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3260" windowHeight="10365" activeTab="0"/>
  </bookViews>
  <sheets>
    <sheet name=" Gas Gen Plt 6.07" sheetId="1" r:id="rId1"/>
    <sheet name="2010 Gas" sheetId="2" r:id="rId2"/>
    <sheet name="2010 Common Electric Gas" sheetId="3" r:id="rId3"/>
    <sheet name="3.05 " sheetId="4" r:id="rId4"/>
  </sheets>
  <externalReferences>
    <externalReference r:id="rId7"/>
  </externalReferences>
  <definedNames>
    <definedName name="__123Graph_ECURRENT" hidden="1">'[1]ConsolidatingPL'!#REF!</definedName>
    <definedName name="_Order1" hidden="1">255</definedName>
    <definedName name="_Order2" hidden="1">255</definedName>
    <definedName name="a" localSheetId="0" hidden="1">{#N/A,#N/A,FALSE,"Coversheet";#N/A,#N/A,FALSE,"QA"}</definedName>
    <definedName name="a" localSheetId="2" hidden="1">{#N/A,#N/A,FALSE,"Coversheet";#N/A,#N/A,FALSE,"QA"}</definedName>
    <definedName name="a" localSheetId="1" hidden="1">{#N/A,#N/A,FALSE,"Coversheet";#N/A,#N/A,FALSE,"QA"}</definedName>
    <definedName name="a" hidden="1">{#N/A,#N/A,FALSE,"Coversheet";#N/A,#N/A,FALSE,"QA"}</definedName>
    <definedName name="abc" hidden="1">{#N/A,#N/A,FALSE,"Coversheet";#N/A,#N/A,FALSE,"QA"}</definedName>
    <definedName name="AccessDatabase" hidden="1">"I:\COMTREL\FINICLE\TradeSummary.mdb"</definedName>
    <definedName name="CBWorkbookPriority" hidden="1">-2060790043</definedName>
    <definedName name="DELETE01" localSheetId="0" hidden="1">{#N/A,#N/A,FALSE,"Coversheet";#N/A,#N/A,FALSE,"QA"}</definedName>
    <definedName name="DELETE01" localSheetId="2" hidden="1">{#N/A,#N/A,FALSE,"Coversheet";#N/A,#N/A,FALSE,"QA"}</definedName>
    <definedName name="DELETE01" localSheetId="1" hidden="1">{#N/A,#N/A,FALSE,"Coversheet";#N/A,#N/A,FALSE,"QA"}</definedName>
    <definedName name="DELETE01" hidden="1">{#N/A,#N/A,FALSE,"Coversheet";#N/A,#N/A,FALSE,"QA"}</definedName>
    <definedName name="DELETE02" localSheetId="0" hidden="1">{#N/A,#N/A,FALSE,"Schedule F";#N/A,#N/A,FALSE,"Schedule G"}</definedName>
    <definedName name="DELETE02" localSheetId="2" hidden="1">{#N/A,#N/A,FALSE,"Schedule F";#N/A,#N/A,FALSE,"Schedule G"}</definedName>
    <definedName name="DELETE02" localSheetId="1" hidden="1">{#N/A,#N/A,FALSE,"Schedule F";#N/A,#N/A,FALSE,"Schedule G"}</definedName>
    <definedName name="DELETE02" hidden="1">{#N/A,#N/A,FALSE,"Schedule F";#N/A,#N/A,FALSE,"Schedule G"}</definedName>
    <definedName name="Delete06" localSheetId="0" hidden="1">{#N/A,#N/A,FALSE,"Coversheet";#N/A,#N/A,FALSE,"QA"}</definedName>
    <definedName name="Delete06" localSheetId="2" hidden="1">{#N/A,#N/A,FALSE,"Coversheet";#N/A,#N/A,FALSE,"QA"}</definedName>
    <definedName name="Delete06" localSheetId="1" hidden="1">{#N/A,#N/A,FALSE,"Coversheet";#N/A,#N/A,FALSE,"QA"}</definedName>
    <definedName name="Delete06" hidden="1">{#N/A,#N/A,FALSE,"Coversheet";#N/A,#N/A,FALSE,"QA"}</definedName>
    <definedName name="Delete09" localSheetId="0" hidden="1">{#N/A,#N/A,FALSE,"Coversheet";#N/A,#N/A,FALSE,"QA"}</definedName>
    <definedName name="Delete09" localSheetId="2" hidden="1">{#N/A,#N/A,FALSE,"Coversheet";#N/A,#N/A,FALSE,"QA"}</definedName>
    <definedName name="Delete09" localSheetId="1" hidden="1">{#N/A,#N/A,FALSE,"Coversheet";#N/A,#N/A,FALSE,"QA"}</definedName>
    <definedName name="Delete09" hidden="1">{#N/A,#N/A,FALSE,"Coversheet";#N/A,#N/A,FALSE,"QA"}</definedName>
    <definedName name="Delete1" localSheetId="0" hidden="1">{#N/A,#N/A,FALSE,"Coversheet";#N/A,#N/A,FALSE,"QA"}</definedName>
    <definedName name="Delete1" localSheetId="2" hidden="1">{#N/A,#N/A,FALSE,"Coversheet";#N/A,#N/A,FALSE,"QA"}</definedName>
    <definedName name="Delete1" localSheetId="1" hidden="1">{#N/A,#N/A,FALSE,"Coversheet";#N/A,#N/A,FALSE,"QA"}</definedName>
    <definedName name="Delete1" hidden="1">{#N/A,#N/A,FALSE,"Coversheet";#N/A,#N/A,FALSE,"QA"}</definedName>
    <definedName name="Delete10" localSheetId="0" hidden="1">{#N/A,#N/A,FALSE,"Schedule F";#N/A,#N/A,FALSE,"Schedule G"}</definedName>
    <definedName name="Delete10" localSheetId="2" hidden="1">{#N/A,#N/A,FALSE,"Schedule F";#N/A,#N/A,FALSE,"Schedule G"}</definedName>
    <definedName name="Delete10" localSheetId="1" hidden="1">{#N/A,#N/A,FALSE,"Schedule F";#N/A,#N/A,FALSE,"Schedule G"}</definedName>
    <definedName name="Delete10" hidden="1">{#N/A,#N/A,FALSE,"Schedule F";#N/A,#N/A,FALSE,"Schedule G"}</definedName>
    <definedName name="Delete21" localSheetId="0" hidden="1">{#N/A,#N/A,FALSE,"Coversheet";#N/A,#N/A,FALSE,"QA"}</definedName>
    <definedName name="Delete21" localSheetId="2" hidden="1">{#N/A,#N/A,FALSE,"Coversheet";#N/A,#N/A,FALSE,"QA"}</definedName>
    <definedName name="Delete21" localSheetId="1" hidden="1">{#N/A,#N/A,FALSE,"Coversheet";#N/A,#N/A,FALSE,"QA"}</definedName>
    <definedName name="Delete21" hidden="1">{#N/A,#N/A,FALSE,"Coversheet";#N/A,#N/A,FALSE,"QA"}</definedName>
    <definedName name="DFIT" localSheetId="0" hidden="1">{#N/A,#N/A,FALSE,"Coversheet";#N/A,#N/A,FALSE,"QA"}</definedName>
    <definedName name="DFIT" localSheetId="2" hidden="1">{#N/A,#N/A,FALSE,"Coversheet";#N/A,#N/A,FALSE,"QA"}</definedName>
    <definedName name="DFIT" localSheetId="1" hidden="1">{#N/A,#N/A,FALSE,"Coversheet";#N/A,#N/A,FALSE,"QA"}</definedName>
    <definedName name="DFIT" hidden="1">{#N/A,#N/A,FALSE,"Coversheet";#N/A,#N/A,FALSE,"QA"}</definedName>
    <definedName name="Estimate" localSheetId="0" hidden="1">{#N/A,#N/A,FALSE,"Summ";#N/A,#N/A,FALSE,"General"}</definedName>
    <definedName name="Estimate" localSheetId="2" hidden="1">{#N/A,#N/A,FALSE,"Summ";#N/A,#N/A,FALSE,"General"}</definedName>
    <definedName name="Estimate" localSheetId="1" hidden="1">{#N/A,#N/A,FALSE,"Summ";#N/A,#N/A,FALSE,"General"}</definedName>
    <definedName name="Estimate" hidden="1">{#N/A,#N/A,FALSE,"Summ";#N/A,#N/A,FALSE,"General"}</definedName>
    <definedName name="ex" localSheetId="0" hidden="1">{#N/A,#N/A,FALSE,"Summ";#N/A,#N/A,FALSE,"General"}</definedName>
    <definedName name="ex" localSheetId="2" hidden="1">{#N/A,#N/A,FALSE,"Summ";#N/A,#N/A,FALSE,"General"}</definedName>
    <definedName name="ex" localSheetId="1" hidden="1">{#N/A,#N/A,FALSE,"Summ";#N/A,#N/A,FALSE,"General"}</definedName>
    <definedName name="ex" hidden="1">{#N/A,#N/A,FALSE,"Summ";#N/A,#N/A,FALSE,"General"}</definedName>
    <definedName name="Jane" localSheetId="0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localSheetId="2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localSheetId="1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Miller" localSheetId="0" hidden="1">{#N/A,#N/A,FALSE,"Expenditures";#N/A,#N/A,FALSE,"Property Placed In-Service";#N/A,#N/A,FALSE,"CWIP Balances"}</definedName>
    <definedName name="Miller" localSheetId="2" hidden="1">{#N/A,#N/A,FALSE,"Expenditures";#N/A,#N/A,FALSE,"Property Placed In-Service";#N/A,#N/A,FALSE,"CWIP Balances"}</definedName>
    <definedName name="Miller" localSheetId="1" hidden="1">{#N/A,#N/A,FALSE,"Expenditures";#N/A,#N/A,FALSE,"Property Placed In-Service";#N/A,#N/A,FALSE,"CWIP Balances"}</definedName>
    <definedName name="Miller" hidden="1">{#N/A,#N/A,FALSE,"Expenditures";#N/A,#N/A,FALSE,"Property Placed In-Service";#N/A,#N/A,FALSE,"CWIP Balances"}</definedName>
    <definedName name="new" localSheetId="0" hidden="1">{#N/A,#N/A,FALSE,"Summ";#N/A,#N/A,FALSE,"General"}</definedName>
    <definedName name="new" localSheetId="2" hidden="1">{#N/A,#N/A,FALSE,"Summ";#N/A,#N/A,FALSE,"General"}</definedName>
    <definedName name="new" localSheetId="1" hidden="1">{#N/A,#N/A,FALSE,"Summ";#N/A,#N/A,FALSE,"General"}</definedName>
    <definedName name="new" hidden="1">{#N/A,#N/A,FALSE,"Summ";#N/A,#N/A,FALSE,"General"}</definedName>
    <definedName name="qqq" localSheetId="0" hidden="1">{#N/A,#N/A,FALSE,"schA"}</definedName>
    <definedName name="qqq" localSheetId="2" hidden="1">{#N/A,#N/A,FALSE,"schA"}</definedName>
    <definedName name="qqq" localSheetId="1" hidden="1">{#N/A,#N/A,FALSE,"schA"}</definedName>
    <definedName name="qqq" hidden="1">{#N/A,#N/A,FALSE,"schA"}</definedName>
    <definedName name="six" localSheetId="0" hidden="1">{#N/A,#N/A,FALSE,"Drill Sites";"WP 212",#N/A,FALSE,"MWAG EOR";"WP 213",#N/A,FALSE,"MWAG EOR";#N/A,#N/A,FALSE,"Misc. Facility";#N/A,#N/A,FALSE,"WWTP"}</definedName>
    <definedName name="six" localSheetId="2" hidden="1">{#N/A,#N/A,FALSE,"Drill Sites";"WP 212",#N/A,FALSE,"MWAG EOR";"WP 213",#N/A,FALSE,"MWAG EOR";#N/A,#N/A,FALSE,"Misc. Facility";#N/A,#N/A,FALSE,"WWTP"}</definedName>
    <definedName name="six" localSheetId="1" hidden="1">{#N/A,#N/A,FALSE,"Drill Sites";"WP 212",#N/A,FALSE,"MWAG EOR";"WP 213",#N/A,FALSE,"MWAG EOR";#N/A,#N/A,FALSE,"Misc. Facility";#N/A,#N/A,FALSE,"WWTP"}</definedName>
    <definedName name="six" hidden="1">{#N/A,#N/A,FALSE,"Drill Sites";"WP 212",#N/A,FALSE,"MWAG EOR";"WP 213",#N/A,FALSE,"MWAG EOR";#N/A,#N/A,FALSE,"Misc. Facility";#N/A,#N/A,FALSE,"WWTP"}</definedName>
    <definedName name="six6" localSheetId="0" hidden="1">{#N/A,#N/A,FALSE,"CRPT";#N/A,#N/A,FALSE,"TREND";#N/A,#N/A,FALSE,"%Curve"}</definedName>
    <definedName name="six6" localSheetId="2" hidden="1">{#N/A,#N/A,FALSE,"CRPT";#N/A,#N/A,FALSE,"TREND";#N/A,#N/A,FALSE,"%Curve"}</definedName>
    <definedName name="six6" localSheetId="1" hidden="1">{#N/A,#N/A,FALSE,"CRPT";#N/A,#N/A,FALSE,"TREND";#N/A,#N/A,FALSE,"%Curve"}</definedName>
    <definedName name="six6" hidden="1">{#N/A,#N/A,FALSE,"CRPT";#N/A,#N/A,FALSE,"TREND";#N/A,#N/A,FALSE,"%Curve"}</definedName>
    <definedName name="t" localSheetId="0" hidden="1">{#N/A,#N/A,FALSE,"CESTSUM";#N/A,#N/A,FALSE,"est sum A";#N/A,#N/A,FALSE,"est detail A"}</definedName>
    <definedName name="t" localSheetId="2" hidden="1">{#N/A,#N/A,FALSE,"CESTSUM";#N/A,#N/A,FALSE,"est sum A";#N/A,#N/A,FALSE,"est detail A"}</definedName>
    <definedName name="t" localSheetId="1" hidden="1">{#N/A,#N/A,FALSE,"CESTSUM";#N/A,#N/A,FALSE,"est sum A";#N/A,#N/A,FALSE,"est detail A"}</definedName>
    <definedName name="t" hidden="1">{#N/A,#N/A,FALSE,"CESTSUM";#N/A,#N/A,FALSE,"est sum A";#N/A,#N/A,FALSE,"est detail A"}</definedName>
    <definedName name="TEMP" localSheetId="0" hidden="1">{#N/A,#N/A,FALSE,"Summ";#N/A,#N/A,FALSE,"General"}</definedName>
    <definedName name="TEMP" localSheetId="2" hidden="1">{#N/A,#N/A,FALSE,"Summ";#N/A,#N/A,FALSE,"General"}</definedName>
    <definedName name="TEMP" localSheetId="1" hidden="1">{#N/A,#N/A,FALSE,"Summ";#N/A,#N/A,FALSE,"General"}</definedName>
    <definedName name="TEMP" hidden="1">{#N/A,#N/A,FALSE,"Summ";#N/A,#N/A,FALSE,"General"}</definedName>
    <definedName name="Temp1" localSheetId="0" hidden="1">{#N/A,#N/A,FALSE,"CESTSUM";#N/A,#N/A,FALSE,"est sum A";#N/A,#N/A,FALSE,"est detail A"}</definedName>
    <definedName name="Temp1" localSheetId="2" hidden="1">{#N/A,#N/A,FALSE,"CESTSUM";#N/A,#N/A,FALSE,"est sum A";#N/A,#N/A,FALSE,"est detail A"}</definedName>
    <definedName name="Temp1" localSheetId="1" hidden="1">{#N/A,#N/A,FALSE,"CESTSUM";#N/A,#N/A,FALSE,"est sum A";#N/A,#N/A,FALSE,"est detail A"}</definedName>
    <definedName name="Temp1" hidden="1">{#N/A,#N/A,FALSE,"CESTSUM";#N/A,#N/A,FALSE,"est sum A";#N/A,#N/A,FALSE,"est detail A"}</definedName>
    <definedName name="u" localSheetId="0" hidden="1">{#N/A,#N/A,FALSE,"Summ";#N/A,#N/A,FALSE,"General"}</definedName>
    <definedName name="u" localSheetId="2" hidden="1">{#N/A,#N/A,FALSE,"Summ";#N/A,#N/A,FALSE,"General"}</definedName>
    <definedName name="u" localSheetId="1" hidden="1">{#N/A,#N/A,FALSE,"Summ";#N/A,#N/A,FALSE,"General"}</definedName>
    <definedName name="u" hidden="1">{#N/A,#N/A,FALSE,"Summ";#N/A,#N/A,FALSE,"General"}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wrn.1._.Bi._.Monthly._.CR." localSheetId="0" hidden="1">{#N/A,#N/A,FALSE,"Drill Sites";"WP 212",#N/A,FALSE,"MWAG EOR";"WP 213",#N/A,FALSE,"MWAG EOR";#N/A,#N/A,FALSE,"Misc. Facility";#N/A,#N/A,FALSE,"WWTP"}</definedName>
    <definedName name="wrn.1._.Bi._.Monthly._.CR." localSheetId="2" hidden="1">{#N/A,#N/A,FALSE,"Drill Sites";"WP 212",#N/A,FALSE,"MWAG EOR";"WP 213",#N/A,FALSE,"MWAG EOR";#N/A,#N/A,FALSE,"Misc. Facility";#N/A,#N/A,FALSE,"WWTP"}</definedName>
    <definedName name="wrn.1._.Bi._.Monthly._.CR." localSheetId="1" hidden="1">{#N/A,#N/A,FALSE,"Drill Sites";"WP 212",#N/A,FALSE,"MWAG EOR";"WP 213",#N/A,FALSE,"MWAG EOR";#N/A,#N/A,FALSE,"Misc. Facility";#N/A,#N/A,FALSE,"WWTP"}</definedName>
    <definedName name="wrn.1._.Bi._.Monthly._.CR." hidden="1">{#N/A,#N/A,FALSE,"Drill Sites";"WP 212",#N/A,FALSE,"MWAG EOR";"WP 213",#N/A,FALSE,"MWAG EOR";#N/A,#N/A,FALSE,"Misc. Facility";#N/A,#N/A,FALSE,"WWTP"}</definedName>
    <definedName name="wrn.AAI." localSheetId="0" hidden="1">{#N/A,#N/A,FALSE,"CRPT";#N/A,#N/A,FALSE,"TREND";#N/A,#N/A,FALSE,"%Curve"}</definedName>
    <definedName name="wrn.AAI." localSheetId="2" hidden="1">{#N/A,#N/A,FALSE,"CRPT";#N/A,#N/A,FALSE,"TREND";#N/A,#N/A,FALSE,"%Curve"}</definedName>
    <definedName name="wrn.AAI." localSheetId="1" hidden="1">{#N/A,#N/A,FALSE,"CRPT";#N/A,#N/A,FALSE,"TREND";#N/A,#N/A,FALSE,"%Curve"}</definedName>
    <definedName name="wrn.AAI." hidden="1">{#N/A,#N/A,FALSE,"CRPT";#N/A,#N/A,FALSE,"TREND";#N/A,#N/A,FALSE,"%Curve"}</definedName>
    <definedName name="wrn.AAI._.Report." localSheetId="0" hidden="1">{#N/A,#N/A,FALSE,"CRPT";#N/A,#N/A,FALSE,"TREND";#N/A,#N/A,FALSE,"% CURVE"}</definedName>
    <definedName name="wrn.AAI._.Report." localSheetId="2" hidden="1">{#N/A,#N/A,FALSE,"CRPT";#N/A,#N/A,FALSE,"TREND";#N/A,#N/A,FALSE,"% CURVE"}</definedName>
    <definedName name="wrn.AAI._.Report." localSheetId="1" hidden="1">{#N/A,#N/A,FALSE,"CRPT";#N/A,#N/A,FALSE,"TREND";#N/A,#N/A,FALSE,"% CURVE"}</definedName>
    <definedName name="wrn.AAI._.Report." hidden="1">{#N/A,#N/A,FALSE,"CRPT";#N/A,#N/A,FALSE,"TREND";#N/A,#N/A,FALSE,"% CURVE"}</definedName>
    <definedName name="wrn.Anvil." localSheetId="0" hidden="1">{#N/A,#N/A,FALSE,"CRPT";#N/A,#N/A,FALSE,"PCS ";#N/A,#N/A,FALSE,"TREND";#N/A,#N/A,FALSE,"% CURVE";#N/A,#N/A,FALSE,"FWICALC";#N/A,#N/A,FALSE,"CONTINGENCY";#N/A,#N/A,FALSE,"7616 Fab";#N/A,#N/A,FALSE,"7616 NSK"}</definedName>
    <definedName name="wrn.Anvil." localSheetId="2" hidden="1">{#N/A,#N/A,FALSE,"CRPT";#N/A,#N/A,FALSE,"PCS ";#N/A,#N/A,FALSE,"TREND";#N/A,#N/A,FALSE,"% CURVE";#N/A,#N/A,FALSE,"FWICALC";#N/A,#N/A,FALSE,"CONTINGENCY";#N/A,#N/A,FALSE,"7616 Fab";#N/A,#N/A,FALSE,"7616 NSK"}</definedName>
    <definedName name="wrn.Anvil." localSheetId="1" hidden="1">{#N/A,#N/A,FALSE,"CRPT";#N/A,#N/A,FALSE,"PCS ";#N/A,#N/A,FALSE,"TREND";#N/A,#N/A,FALSE,"% CURVE";#N/A,#N/A,FALSE,"FWICALC";#N/A,#N/A,FALSE,"CONTINGENCY";#N/A,#N/A,FALSE,"7616 Fab";#N/A,#N/A,FALSE,"7616 NSK"}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0" hidden="1">{#N/A,#N/A,FALSE,"Pg 6b CustCount_Gas";#N/A,#N/A,FALSE,"QA";#N/A,#N/A,FALSE,"Report";#N/A,#N/A,FALSE,"forecast"}</definedName>
    <definedName name="wrn.Customer._.Counts._.Gas." localSheetId="2" hidden="1">{#N/A,#N/A,FALSE,"Pg 6b CustCount_Gas";#N/A,#N/A,FALSE,"QA";#N/A,#N/A,FALSE,"Report";#N/A,#N/A,FALSE,"forecast"}</definedName>
    <definedName name="wrn.Customer._.Counts._.Gas." localSheetId="1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ECR." localSheetId="0" hidden="1">{#N/A,#N/A,FALSE,"schA"}</definedName>
    <definedName name="wrn.ECR." localSheetId="2" hidden="1">{#N/A,#N/A,FALSE,"schA"}</definedName>
    <definedName name="wrn.ECR." localSheetId="1" hidden="1">{#N/A,#N/A,FALSE,"schA"}</definedName>
    <definedName name="wrn.ECR." hidden="1">{#N/A,#N/A,FALSE,"schA"}</definedName>
    <definedName name="wrn.ESTIMATE." localSheetId="0" hidden="1">{#N/A,#N/A,FALSE,"CESTSUM";#N/A,#N/A,FALSE,"est sum A";#N/A,#N/A,FALSE,"est detail A"}</definedName>
    <definedName name="wrn.ESTIMATE." localSheetId="2" hidden="1">{#N/A,#N/A,FALSE,"CESTSUM";#N/A,#N/A,FALSE,"est sum A";#N/A,#N/A,FALSE,"est detail A"}</definedName>
    <definedName name="wrn.ESTIMATE." localSheetId="1" hidden="1">{#N/A,#N/A,FALSE,"CESTSUM";#N/A,#N/A,FALSE,"est sum A";#N/A,#N/A,FALSE,"est detail A"}</definedName>
    <definedName name="wrn.ESTIMATE." hidden="1">{#N/A,#N/A,FALSE,"CESTSUM";#N/A,#N/A,FALSE,"est sum A";#N/A,#N/A,FALSE,"est detail A"}</definedName>
    <definedName name="wrn.Fundamental." localSheetId="0" hidden="1">{#N/A,#N/A,TRUE,"CoverPage";#N/A,#N/A,TRUE,"Gas";#N/A,#N/A,TRUE,"Power";#N/A,#N/A,TRUE,"Historical DJ Mthly Prices"}</definedName>
    <definedName name="wrn.Fundamental." localSheetId="2" hidden="1">{#N/A,#N/A,TRUE,"CoverPage";#N/A,#N/A,TRUE,"Gas";#N/A,#N/A,TRUE,"Power";#N/A,#N/A,TRUE,"Historical DJ Mthly Prices"}</definedName>
    <definedName name="wrn.Fundamental." localSheetId="1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IEO." localSheetId="0" hidden="1">{#N/A,#N/A,FALSE,"SUMMARY";#N/A,#N/A,FALSE,"AE7616";#N/A,#N/A,FALSE,"AE7617";#N/A,#N/A,FALSE,"AE7618";#N/A,#N/A,FALSE,"AE7619"}</definedName>
    <definedName name="wrn.IEO." localSheetId="2" hidden="1">{#N/A,#N/A,FALSE,"SUMMARY";#N/A,#N/A,FALSE,"AE7616";#N/A,#N/A,FALSE,"AE7617";#N/A,#N/A,FALSE,"AE7618";#N/A,#N/A,FALSE,"AE7619"}</definedName>
    <definedName name="wrn.IEO." localSheetId="1" hidden="1">{#N/A,#N/A,FALSE,"SUMMARY";#N/A,#N/A,FALSE,"AE7616";#N/A,#N/A,FALSE,"AE7617";#N/A,#N/A,FALSE,"AE7618";#N/A,#N/A,FALSE,"AE7619"}</definedName>
    <definedName name="wrn.IEO." hidden="1">{#N/A,#N/A,FALSE,"SUMMARY";#N/A,#N/A,FALSE,"AE7616";#N/A,#N/A,FALSE,"AE7617";#N/A,#N/A,FALSE,"AE7618";#N/A,#N/A,FALSE,"AE7619"}</definedName>
    <definedName name="wrn.Incentive._.Overhead." localSheetId="0" hidden="1">{#N/A,#N/A,FALSE,"Coversheet";#N/A,#N/A,FALSE,"QA"}</definedName>
    <definedName name="wrn.Incentive._.Overhead." localSheetId="2" hidden="1">{#N/A,#N/A,FALSE,"Coversheet";#N/A,#N/A,FALSE,"QA"}</definedName>
    <definedName name="wrn.Incentive._.Overhead." localSheetId="1" hidden="1">{#N/A,#N/A,FALSE,"Coversheet";#N/A,#N/A,FALSE,"QA"}</definedName>
    <definedName name="wrn.Incentive._.Overhead." hidden="1">{#N/A,#N/A,FALSE,"Coversheet";#N/A,#N/A,FALSE,"QA"}</definedName>
    <definedName name="wrn.limit_reports." localSheetId="0" hidden="1">{#N/A,#N/A,FALSE,"Schedule F";#N/A,#N/A,FALSE,"Schedule G"}</definedName>
    <definedName name="wrn.limit_reports." localSheetId="2" hidden="1">{#N/A,#N/A,FALSE,"Schedule F";#N/A,#N/A,FALSE,"Schedule G"}</definedName>
    <definedName name="wrn.limit_reports." localSheetId="1" hidden="1">{#N/A,#N/A,FALSE,"Schedule F";#N/A,#N/A,FALSE,"Schedule G"}</definedName>
    <definedName name="wrn.limit_reports." hidden="1">{#N/A,#N/A,FALSE,"Schedule F";#N/A,#N/A,FALSE,"Schedule G"}</definedName>
    <definedName name="wrn.MARGIN_WO_QTR." localSheetId="0" hidden="1">{#N/A,#N/A,FALSE,"Month ";#N/A,#N/A,FALSE,"YTD";#N/A,#N/A,FALSE,"12 mo ended"}</definedName>
    <definedName name="wrn.MARGIN_WO_QTR." localSheetId="2" hidden="1">{#N/A,#N/A,FALSE,"Month ";#N/A,#N/A,FALSE,"YTD";#N/A,#N/A,FALSE,"12 mo ended"}</definedName>
    <definedName name="wrn.MARGIN_WO_QTR." localSheetId="1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localSheetId="0" hidden="1">{#N/A,#N/A,FALSE,"BASE";#N/A,#N/A,FALSE,"LOOPS";#N/A,#N/A,FALSE,"PLC"}</definedName>
    <definedName name="wrn.Project._.Services." localSheetId="2" hidden="1">{#N/A,#N/A,FALSE,"BASE";#N/A,#N/A,FALSE,"LOOPS";#N/A,#N/A,FALSE,"PLC"}</definedName>
    <definedName name="wrn.Project._.Services." localSheetId="1" hidden="1">{#N/A,#N/A,FALSE,"BASE";#N/A,#N/A,FALSE,"LOOPS";#N/A,#N/A,FALSE,"PLC"}</definedName>
    <definedName name="wrn.Project._.Services." hidden="1">{#N/A,#N/A,FALSE,"BASE";#N/A,#N/A,FALSE,"LOOPS";#N/A,#N/A,FALSE,"PLC"}</definedName>
    <definedName name="wrn.SCHEDULE." localSheetId="0" hidden="1">{#N/A,#N/A,FALSE,"7617 Fab";#N/A,#N/A,FALSE,"7617 NSK"}</definedName>
    <definedName name="wrn.SCHEDULE." localSheetId="2" hidden="1">{#N/A,#N/A,FALSE,"7617 Fab";#N/A,#N/A,FALSE,"7617 NSK"}</definedName>
    <definedName name="wrn.SCHEDULE." localSheetId="1" hidden="1">{#N/A,#N/A,FALSE,"7617 Fab";#N/A,#N/A,FALSE,"7617 NSK"}</definedName>
    <definedName name="wrn.SCHEDULE." hidden="1">{#N/A,#N/A,FALSE,"7617 Fab";#N/A,#N/A,FALSE,"7617 NSK"}</definedName>
    <definedName name="wrn.SLB." localSheetId="0" hidden="1">{#N/A,#N/A,FALSE,"SUMMARY";#N/A,#N/A,FALSE,"AE7616";#N/A,#N/A,FALSE,"AE7617";#N/A,#N/A,FALSE,"AE7618";#N/A,#N/A,FALSE,"AE7619";#N/A,#N/A,FALSE,"Target Materials"}</definedName>
    <definedName name="wrn.SLB." localSheetId="2" hidden="1">{#N/A,#N/A,FALSE,"SUMMARY";#N/A,#N/A,FALSE,"AE7616";#N/A,#N/A,FALSE,"AE7617";#N/A,#N/A,FALSE,"AE7618";#N/A,#N/A,FALSE,"AE7619";#N/A,#N/A,FALSE,"Target Materials"}</definedName>
    <definedName name="wrn.SLB." localSheetId="1" hidden="1">{#N/A,#N/A,FALSE,"SUMMARY";#N/A,#N/A,FALSE,"AE7616";#N/A,#N/A,FALSE,"AE7617";#N/A,#N/A,FALSE,"AE7618";#N/A,#N/A,FALSE,"AE7619";#N/A,#N/A,FALSE,"Target Materials"}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localSheetId="0" hidden="1">{#N/A,#N/A,FALSE,"2002 Small Tool OH";#N/A,#N/A,FALSE,"QA"}</definedName>
    <definedName name="wrn.Small._.Tools._.Overhead." localSheetId="2" hidden="1">{#N/A,#N/A,FALSE,"2002 Small Tool OH";#N/A,#N/A,FALSE,"QA"}</definedName>
    <definedName name="wrn.Small._.Tools._.Overhead." localSheetId="1" hidden="1">{#N/A,#N/A,FALSE,"2002 Small Tool OH";#N/A,#N/A,FALSE,"QA"}</definedName>
    <definedName name="wrn.Small._.Tools._.Overhead." hidden="1">{#N/A,#N/A,FALSE,"2002 Small Tool OH";#N/A,#N/A,FALSE,"QA"}</definedName>
    <definedName name="wrn.Summary." localSheetId="0" hidden="1">{#N/A,#N/A,FALSE,"Summ";#N/A,#N/A,FALSE,"General"}</definedName>
    <definedName name="wrn.Summary." localSheetId="2" hidden="1">{#N/A,#N/A,FALSE,"Summ";#N/A,#N/A,FALSE,"General"}</definedName>
    <definedName name="wrn.Summary." localSheetId="1" hidden="1">{#N/A,#N/A,FALSE,"Summ";#N/A,#N/A,FALSE,"General"}</definedName>
    <definedName name="wrn.Summary." hidden="1">{#N/A,#N/A,FALSE,"Summ";#N/A,#N/A,FALSE,"General"}</definedName>
    <definedName name="wrn.USIM_Data." localSheetId="0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localSheetId="2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localSheetId="1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localSheetId="0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localSheetId="2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localSheetId="1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localSheetId="0" hidden="1">{#N/A,#N/A,FALSE,"Expenditures";#N/A,#N/A,FALSE,"Property Placed In-Service";#N/A,#N/A,FALSE,"CWIP Balances"}</definedName>
    <definedName name="wrn.USIM_Data_Abbrev3." localSheetId="2" hidden="1">{#N/A,#N/A,FALSE,"Expenditures";#N/A,#N/A,FALSE,"Property Placed In-Service";#N/A,#N/A,FALSE,"CWIP Balances"}</definedName>
    <definedName name="wrn.USIM_Data_Abbrev3." localSheetId="1" hidden="1">{#N/A,#N/A,FALSE,"Expenditures";#N/A,#N/A,FALSE,"Property Placed In-Service";#N/A,#N/A,FALSE,"CWIP Balances"}</definedName>
    <definedName name="wrn.USIM_Data_Abbrev3." hidden="1">{#N/A,#N/A,FALSE,"Expenditures";#N/A,#N/A,FALSE,"Property Placed In-Service";#N/A,#N/A,FALSE,"CWIP Balances"}</definedName>
    <definedName name="www" localSheetId="0" hidden="1">{#N/A,#N/A,FALSE,"schA"}</definedName>
    <definedName name="www" localSheetId="2" hidden="1">{#N/A,#N/A,FALSE,"schA"}</definedName>
    <definedName name="www" localSheetId="1" hidden="1">{#N/A,#N/A,FALSE,"schA"}</definedName>
    <definedName name="www" hidden="1">{#N/A,#N/A,FALSE,"schA"}</definedName>
    <definedName name="www1" localSheetId="0" hidden="1">{#N/A,#N/A,FALSE,"schA"}</definedName>
    <definedName name="www1" localSheetId="2" hidden="1">{#N/A,#N/A,FALSE,"schA"}</definedName>
    <definedName name="www1" localSheetId="1" hidden="1">{#N/A,#N/A,FALSE,"schA"}</definedName>
    <definedName name="www1" hidden="1">{#N/A,#N/A,FALSE,"schA"}</definedName>
  </definedNames>
  <calcPr calcMode="autoNoTable" fullCalcOnLoad="1"/>
</workbook>
</file>

<file path=xl/sharedStrings.xml><?xml version="1.0" encoding="utf-8"?>
<sst xmlns="http://schemas.openxmlformats.org/spreadsheetml/2006/main" count="515" uniqueCount="124">
  <si>
    <t>ACCOUNT</t>
  </si>
  <si>
    <t>NUMBER</t>
  </si>
  <si>
    <t>DESCRIPTION</t>
  </si>
  <si>
    <t>RATE</t>
  </si>
  <si>
    <t>DEPRECIATION</t>
  </si>
  <si>
    <t>C393</t>
  </si>
  <si>
    <t>C396</t>
  </si>
  <si>
    <t>Electric</t>
  </si>
  <si>
    <t>LINE</t>
  </si>
  <si>
    <t>NO.</t>
  </si>
  <si>
    <t>ACTUAL</t>
  </si>
  <si>
    <t>ADJUSTMENT</t>
  </si>
  <si>
    <t>INCREASE(DECREASE) EXPENSE</t>
  </si>
  <si>
    <t>RESTATED</t>
  </si>
  <si>
    <t>ADJUSTMENT TO RATE BASE</t>
  </si>
  <si>
    <t>Total</t>
  </si>
  <si>
    <t>Subtotal</t>
  </si>
  <si>
    <t>ADJUSTMENT TO OPERATING EXPENSES</t>
  </si>
  <si>
    <t>INCREASE(DECREASE) NOI</t>
  </si>
  <si>
    <t>Gas</t>
  </si>
  <si>
    <t>TOTAL  ADJUSTMENT TO RATEBASE</t>
  </si>
  <si>
    <t>C3911</t>
  </si>
  <si>
    <t>OFFICE FURNITURE &amp; EQUIPMENT, OLD</t>
  </si>
  <si>
    <t>C3912</t>
  </si>
  <si>
    <t xml:space="preserve">COMPUTER EQUIPMENT, OLD   </t>
  </si>
  <si>
    <t>C3920</t>
  </si>
  <si>
    <t>STORES EQUIPMENT, OLD</t>
  </si>
  <si>
    <t>C3940</t>
  </si>
  <si>
    <t>TOOLS / SHOP / GARAGE, OLD</t>
  </si>
  <si>
    <t>C3970</t>
  </si>
  <si>
    <t>COMMUNICATION EQUIPMENT, OLD</t>
  </si>
  <si>
    <t>C3980</t>
  </si>
  <si>
    <t>MISC EQUIPMENT, OLD</t>
  </si>
  <si>
    <t>PUGET SOUND ENERGY-ELECTRIC &amp; GAS</t>
  </si>
  <si>
    <t>ALLOCATION METHODS</t>
  </si>
  <si>
    <t>Method</t>
  </si>
  <si>
    <t>Description</t>
  </si>
  <si>
    <t>*</t>
  </si>
  <si>
    <t>12 Month Average Number of Customers</t>
  </si>
  <si>
    <t>Percent</t>
  </si>
  <si>
    <t>Joint Meter Reading Customers</t>
  </si>
  <si>
    <t>Non-Production Plant</t>
  </si>
  <si>
    <t xml:space="preserve"> Distribution</t>
  </si>
  <si>
    <t xml:space="preserve"> Transmission </t>
  </si>
  <si>
    <t xml:space="preserve"> Direct General Plant</t>
  </si>
  <si>
    <t>4-Factor Allocator</t>
  </si>
  <si>
    <t xml:space="preserve">  </t>
  </si>
  <si>
    <t xml:space="preserve">     Number of Customers</t>
  </si>
  <si>
    <t xml:space="preserve">     Percent</t>
  </si>
  <si>
    <t xml:space="preserve">     Labor - Direct Charge to O&amp;M</t>
  </si>
  <si>
    <t xml:space="preserve">     T&amp;D O&amp;M Expense (Less Labor)</t>
  </si>
  <si>
    <t>Total Percentages</t>
  </si>
  <si>
    <t>GENERAL PLANT DEPRECIATION</t>
  </si>
  <si>
    <t>updated</t>
  </si>
  <si>
    <t xml:space="preserve">     Net Classified Plant (Excluding General (Common) Plant)</t>
  </si>
  <si>
    <t>Employee Benefits</t>
  </si>
  <si>
    <t>Direct Labor Accts 500-935</t>
  </si>
  <si>
    <t>DEPRECIABLE BASE</t>
  </si>
  <si>
    <t>TRANS EQUIPMENT OLD</t>
  </si>
  <si>
    <t>POWER OP EQUIPMENT OLD</t>
  </si>
  <si>
    <t>AS OF OCTOBER 2008</t>
  </si>
  <si>
    <t>MONTHLY</t>
  </si>
  <si>
    <t>NOV.</t>
  </si>
  <si>
    <t>DEC.</t>
  </si>
  <si>
    <t>JAN.</t>
  </si>
  <si>
    <t>FEB.</t>
  </si>
  <si>
    <t>MAR.</t>
  </si>
  <si>
    <t>APR.</t>
  </si>
  <si>
    <t>MAY</t>
  </si>
  <si>
    <t>JUN.</t>
  </si>
  <si>
    <t>JUL.</t>
  </si>
  <si>
    <t>AUG.</t>
  </si>
  <si>
    <t>SEP.</t>
  </si>
  <si>
    <t>OCT.</t>
  </si>
  <si>
    <t>NET MONTHLY DIFFERENCE IN ACCUMULATED DEPRECIATION BALANCE</t>
  </si>
  <si>
    <t>COMMON GENERAL PLANT DEPRECIATION AND ACCUMULATED DEPRECIATION BALANCE</t>
  </si>
  <si>
    <t>LABORATORY EQUIPMENT OLD</t>
  </si>
  <si>
    <t>ALLOCATED TO ELECTRIC</t>
  </si>
  <si>
    <t>ALLOCATED TO GAS</t>
  </si>
  <si>
    <t>TEST YEAR</t>
  </si>
  <si>
    <t>Test Year</t>
  </si>
  <si>
    <t xml:space="preserve"> </t>
  </si>
  <si>
    <t>Expense Allocated To Electric</t>
  </si>
  <si>
    <t>Expense Allocated To Gas</t>
  </si>
  <si>
    <t>Accumulated Depreciation - Electric</t>
  </si>
  <si>
    <t>Accumulated Depreciation - Gas</t>
  </si>
  <si>
    <t>Monthly Difference-Accumulated Depreciation</t>
  </si>
  <si>
    <t>DIFFERENCE- DEPRECIATION EXPENSE</t>
  </si>
  <si>
    <t>DIFFERENCE-DEPRECIATION EXPENSE</t>
  </si>
  <si>
    <t xml:space="preserve">DIFFERENCE-ACCUMULATED DEPRECIATION </t>
  </si>
  <si>
    <t>ACTUAL MONTHLY DEPRECIATION</t>
  </si>
  <si>
    <t>CALCULATED MONTHLY DEPRECIATION</t>
  </si>
  <si>
    <t>December</t>
  </si>
  <si>
    <t>FOR THE TWELVE MONTHS ENDED DECEMBER 31, 2010</t>
  </si>
  <si>
    <t>PUGET SOUND ENERGY - GAS</t>
  </si>
  <si>
    <t>FOR THE TWELVE MONTHS ENDED JUNE 30,2010</t>
  </si>
  <si>
    <t>GAS TARIFF INCREASE FILING</t>
  </si>
  <si>
    <t>PLANT IN SERVICE</t>
  </si>
  <si>
    <t>ACCUMULATED DEPRECIATION - GAS</t>
  </si>
  <si>
    <t>DEPRECIATION EXPENSE</t>
  </si>
  <si>
    <t>GAS GENERAL PLANT DEPRECIATION AND ACCUMULATED DEPRECIATION BALANCE</t>
  </si>
  <si>
    <t>G3911</t>
  </si>
  <si>
    <t>G3912</t>
  </si>
  <si>
    <t>G3920</t>
  </si>
  <si>
    <t>G393</t>
  </si>
  <si>
    <t>G3940</t>
  </si>
  <si>
    <t>G3950</t>
  </si>
  <si>
    <t>G396</t>
  </si>
  <si>
    <t>G3970</t>
  </si>
  <si>
    <t>G3980</t>
  </si>
  <si>
    <t>Accumulated Totals</t>
  </si>
  <si>
    <t>Gas Portion</t>
  </si>
  <si>
    <t>DEPR</t>
  </si>
  <si>
    <t>Electric Portion</t>
  </si>
  <si>
    <t xml:space="preserve">TOTAL DIFFERENCE-ACCUMULATED DEPRECIATION </t>
  </si>
  <si>
    <t xml:space="preserve"> DIFFERENCE-ELECTRIC PORTION ACCUMULATED DEPRECIATION </t>
  </si>
  <si>
    <t xml:space="preserve"> DIFFERENCE-GAS PORTION ACCUMULATED DEPRECIATION </t>
  </si>
  <si>
    <t xml:space="preserve"> DIFFERENCE-ELECTRIC PORTION DEPRECIATION EXPENSE</t>
  </si>
  <si>
    <t xml:space="preserve"> DIFFERENCE-GAS PORTION DEPRECIATION EXPENSE</t>
  </si>
  <si>
    <t>Docket Number UG-11______</t>
  </si>
  <si>
    <t>PAGE 6.07</t>
  </si>
  <si>
    <t>Exhibit No. ______ (MJS-6)</t>
  </si>
  <si>
    <t>INCREASE(DECREASE) FIT @</t>
  </si>
  <si>
    <t>ACCUMULATED DEFERRED FIT</t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</si>
</sst>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_(* #,##0_);_(* \(#,##0\);_(* &quot;-&quot;??_);_(@_)"/>
    <numFmt numFmtId="166" formatCode="0.00_);\(0.00\)"/>
    <numFmt numFmtId="167" formatCode="0.00000"/>
    <numFmt numFmtId="168" formatCode="0.0000"/>
    <numFmt numFmtId="169" formatCode="0.000"/>
    <numFmt numFmtId="170" formatCode="0.0"/>
    <numFmt numFmtId="171" formatCode="0.0%"/>
    <numFmt numFmtId="172" formatCode="[$-409]dddd\,\ mmmm\ dd\,\ yyyy"/>
    <numFmt numFmtId="173" formatCode="[$-409]h:mm:ss\ AM/PM"/>
    <numFmt numFmtId="174" formatCode="0.000_);\(0.000\)"/>
    <numFmt numFmtId="175" formatCode="0.0000_);\(0.0000\)"/>
    <numFmt numFmtId="176" formatCode="_(* #,##0.000_);_(* \(#,##0.000\);_(* &quot;-&quot;??_);_(@_)"/>
    <numFmt numFmtId="177" formatCode="_(* #,##0.0000_);_(* \(#,##0.0000\);_(* &quot;-&quot;??_);_(@_)"/>
    <numFmt numFmtId="178" formatCode="_(* #,##0.0_);_(* \(#,##0.0\);_(* &quot;-&quot;??_);_(@_)"/>
    <numFmt numFmtId="179" formatCode="0.0000%"/>
    <numFmt numFmtId="180" formatCode="_(&quot;$&quot;* #,##0.000_);_(&quot;$&quot;* \(#,##0.000\);_(&quot;$&quot;* &quot;-&quot;??_);_(@_)"/>
    <numFmt numFmtId="181" formatCode="_(&quot;$&quot;* #,##0.0000_);_(&quot;$&quot;* \(#,##0.0000\);_(&quot;$&quot;* &quot;-&quot;??_);_(@_)"/>
    <numFmt numFmtId="182" formatCode="_(&quot;$&quot;* #,##0.0_);_(&quot;$&quot;* \(#,##0.0\);_(&quot;$&quot;* &quot;-&quot;??_);_(@_)"/>
    <numFmt numFmtId="183" formatCode="_(&quot;$&quot;* #,##0_);_(&quot;$&quot;* \(#,##0\);_(&quot;$&quot;* &quot;-&quot;??_);_(@_)"/>
    <numFmt numFmtId="184" formatCode="mm/dd/yyyy"/>
    <numFmt numFmtId="185" formatCode="[$-409]mmm\-yy;@"/>
    <numFmt numFmtId="186" formatCode="0.000%"/>
    <numFmt numFmtId="187" formatCode="0.000000"/>
    <numFmt numFmtId="188" formatCode="_(* #,##0.0_);_(* \(#,##0.0\);_(* &quot;-&quot;_);_(@_)"/>
    <numFmt numFmtId="189" formatCode="_(* #,##0.00000_);_(* \(#,##0.00000\);_(* &quot;-&quot;??_);_(@_)"/>
    <numFmt numFmtId="190" formatCode="_(* ###0_);_(* \(###0\);_(* &quot;-&quot;_);_(@_)"/>
    <numFmt numFmtId="191" formatCode="yyyy"/>
    <numFmt numFmtId="192" formatCode="mmm\ yyyy"/>
    <numFmt numFmtId="193" formatCode="&quot;Tax Expense @ &quot;0%"/>
    <numFmt numFmtId="194" formatCode="_(&quot;$&quot;* #,##0.00000_);_(&quot;$&quot;* \(#,##0.00000\);_(&quot;$&quot;* &quot;-&quot;??_);_(@_)"/>
    <numFmt numFmtId="195" formatCode="_(&quot;$&quot;* #,##0.00000000000000000000_);_(&quot;$&quot;* \(#,##0.00000000000000000000\);_(&quot;$&quot;* &quot;-&quot;??_);_(@_)"/>
    <numFmt numFmtId="196" formatCode="0.000000000000000000000000000000"/>
    <numFmt numFmtId="197" formatCode="0.0000000"/>
    <numFmt numFmtId="198" formatCode="m/d/yy"/>
    <numFmt numFmtId="199" formatCode="d\.mmm\.yy"/>
    <numFmt numFmtId="200" formatCode="#,##0.000000_);[Red]\(#,##0.000000\)"/>
    <numFmt numFmtId="201" formatCode="_(* #,##0.000_);_(* \(#,##0.000\);_(* &quot;-&quot;???_);_(@_)"/>
    <numFmt numFmtId="202" formatCode="_(* #,##0.0000_);_(* \(#,##0.0000\);_(* &quot;-&quot;????_);_(@_)"/>
    <numFmt numFmtId="203" formatCode="dd\-mmm\-yy"/>
    <numFmt numFmtId="204" formatCode="_(* #,##0.00_);_(* \(#,##0.00\);_(* &quot;-&quot;_);_(@_)"/>
    <numFmt numFmtId="205" formatCode="mmm\-yyyy"/>
    <numFmt numFmtId="206" formatCode="[$-409]mmmm\-yy;@"/>
    <numFmt numFmtId="207" formatCode="mmmm\ d\,\ yyyy"/>
    <numFmt numFmtId="208" formatCode="&quot;$&quot;#,##0.0_);[Red]\(&quot;$&quot;#,##0.0\)"/>
    <numFmt numFmtId="209" formatCode="_(* #,##0.0_);_(* \(#,##0.0\);_(* &quot;-&quot;?_);_(@_)"/>
    <numFmt numFmtId="210" formatCode="&quot;$&quot;#,##0"/>
    <numFmt numFmtId="211" formatCode="#."/>
    <numFmt numFmtId="212" formatCode="_([$€-2]* #,##0.00_);_([$€-2]* \(#,##0.00\);_([$€-2]* &quot;-&quot;??_)"/>
    <numFmt numFmtId="213" formatCode="&quot;$&quot;#,##0;\-&quot;$&quot;#,##0"/>
    <numFmt numFmtId="214" formatCode="_(&quot;$&quot;* #,##0.0000_);_(&quot;$&quot;* \(#,##0.0000\);_(&quot;$&quot;* &quot;-&quot;????_);_(@_)"/>
    <numFmt numFmtId="215" formatCode="&quot;$&quot;#,##0.00"/>
    <numFmt numFmtId="216" formatCode="0.00000%"/>
  </numFmts>
  <fonts count="64">
    <font>
      <sz val="10"/>
      <name val="Arial"/>
      <family val="0"/>
    </font>
    <font>
      <u val="single"/>
      <sz val="8"/>
      <color indexed="36"/>
      <name val="Arial"/>
      <family val="2"/>
    </font>
    <font>
      <u val="single"/>
      <sz val="8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2"/>
      <name val="Arial"/>
      <family val="2"/>
    </font>
    <font>
      <sz val="10"/>
      <color indexed="8"/>
      <name val="MS Sans Serif"/>
      <family val="2"/>
    </font>
    <font>
      <sz val="12"/>
      <color indexed="24"/>
      <name val="Arial"/>
      <family val="2"/>
    </font>
    <font>
      <sz val="10"/>
      <name val="Helv"/>
      <family val="0"/>
    </font>
    <font>
      <sz val="10"/>
      <name val="MS Serif"/>
      <family val="1"/>
    </font>
    <font>
      <sz val="10"/>
      <name val="Courier"/>
      <family val="3"/>
    </font>
    <font>
      <b/>
      <sz val="12"/>
      <name val="Arial"/>
      <family val="2"/>
    </font>
    <font>
      <sz val="7"/>
      <name val="Small Fonts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8"/>
      <name val="Helv"/>
      <family val="0"/>
    </font>
    <font>
      <b/>
      <sz val="8"/>
      <color indexed="8"/>
      <name val="Helv"/>
      <family val="0"/>
    </font>
    <font>
      <b/>
      <sz val="14"/>
      <color indexed="56"/>
      <name val="Arial"/>
      <family val="2"/>
    </font>
    <font>
      <b/>
      <u val="single"/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sz val="11"/>
      <name val="univers (E1)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Times"/>
      <family val="1"/>
    </font>
    <font>
      <sz val="10"/>
      <color indexed="24"/>
      <name val="Arial"/>
      <family val="2"/>
    </font>
    <font>
      <sz val="1"/>
      <color indexed="16"/>
      <name val="Courier"/>
      <family val="3"/>
    </font>
    <font>
      <b/>
      <sz val="12"/>
      <color indexed="20"/>
      <name val="Arial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color indexed="5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gray0625">
        <fgColor indexed="8"/>
      </patternFill>
    </fill>
    <fill>
      <patternFill patternType="gray125">
        <fgColor indexed="8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3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189" fontId="0" fillId="0" borderId="0">
      <alignment horizontal="left" wrapText="1"/>
      <protection/>
    </xf>
    <xf numFmtId="187" fontId="0" fillId="0" borderId="0">
      <alignment horizontal="left" wrapText="1"/>
      <protection/>
    </xf>
    <xf numFmtId="187" fontId="0" fillId="0" borderId="0">
      <alignment horizontal="left" wrapText="1"/>
      <protection/>
    </xf>
    <xf numFmtId="187" fontId="0" fillId="0" borderId="0">
      <alignment horizontal="left" wrapText="1"/>
      <protection/>
    </xf>
    <xf numFmtId="187" fontId="0" fillId="0" borderId="0">
      <alignment horizontal="left" wrapText="1"/>
      <protection/>
    </xf>
    <xf numFmtId="187" fontId="0" fillId="0" borderId="0">
      <alignment horizontal="left" wrapText="1"/>
      <protection/>
    </xf>
    <xf numFmtId="189" fontId="0" fillId="0" borderId="0">
      <alignment horizontal="left" wrapText="1"/>
      <protection/>
    </xf>
    <xf numFmtId="189" fontId="0" fillId="0" borderId="0">
      <alignment horizontal="left" wrapText="1"/>
      <protection/>
    </xf>
    <xf numFmtId="189" fontId="0" fillId="0" borderId="0">
      <alignment horizontal="left" wrapText="1"/>
      <protection/>
    </xf>
    <xf numFmtId="189" fontId="0" fillId="0" borderId="0">
      <alignment horizontal="left" wrapText="1"/>
      <protection/>
    </xf>
    <xf numFmtId="189" fontId="0" fillId="0" borderId="0">
      <alignment horizontal="left" wrapText="1"/>
      <protection/>
    </xf>
    <xf numFmtId="187" fontId="0" fillId="0" borderId="0">
      <alignment horizontal="left" wrapText="1"/>
      <protection/>
    </xf>
    <xf numFmtId="197" fontId="0" fillId="0" borderId="0">
      <alignment horizontal="left" wrapText="1"/>
      <protection/>
    </xf>
    <xf numFmtId="189" fontId="0" fillId="0" borderId="0">
      <alignment horizontal="left" wrapText="1"/>
      <protection/>
    </xf>
    <xf numFmtId="189" fontId="0" fillId="0" borderId="0">
      <alignment horizontal="left" wrapText="1"/>
      <protection/>
    </xf>
    <xf numFmtId="189" fontId="0" fillId="0" borderId="0">
      <alignment horizontal="left" wrapText="1"/>
      <protection/>
    </xf>
    <xf numFmtId="189" fontId="0" fillId="0" borderId="0">
      <alignment horizontal="left" wrapText="1"/>
      <protection/>
    </xf>
    <xf numFmtId="189" fontId="0" fillId="0" borderId="0">
      <alignment horizontal="left" wrapText="1"/>
      <protection/>
    </xf>
    <xf numFmtId="197" fontId="0" fillId="0" borderId="0">
      <alignment horizontal="left" wrapText="1"/>
      <protection/>
    </xf>
    <xf numFmtId="197" fontId="0" fillId="0" borderId="0">
      <alignment horizontal="left" wrapText="1"/>
      <protection/>
    </xf>
    <xf numFmtId="197" fontId="0" fillId="0" borderId="0">
      <alignment horizontal="left" wrapText="1"/>
      <protection/>
    </xf>
    <xf numFmtId="189" fontId="0" fillId="0" borderId="0">
      <alignment horizontal="left" wrapText="1"/>
      <protection/>
    </xf>
    <xf numFmtId="189" fontId="0" fillId="0" borderId="0">
      <alignment horizontal="left" wrapText="1"/>
      <protection/>
    </xf>
    <xf numFmtId="189" fontId="0" fillId="0" borderId="0">
      <alignment horizontal="left" wrapText="1"/>
      <protection/>
    </xf>
    <xf numFmtId="189" fontId="0" fillId="0" borderId="0">
      <alignment horizontal="left" wrapText="1"/>
      <protection/>
    </xf>
    <xf numFmtId="189" fontId="0" fillId="0" borderId="0">
      <alignment horizontal="left" wrapText="1"/>
      <protection/>
    </xf>
    <xf numFmtId="0" fontId="29" fillId="0" borderId="0">
      <alignment/>
      <protection/>
    </xf>
    <xf numFmtId="0" fontId="29" fillId="0" borderId="0">
      <alignment/>
      <protection/>
    </xf>
    <xf numFmtId="187" fontId="0" fillId="0" borderId="0">
      <alignment horizontal="left" wrapText="1"/>
      <protection/>
    </xf>
    <xf numFmtId="187" fontId="0" fillId="0" borderId="0">
      <alignment horizontal="left" wrapText="1"/>
      <protection/>
    </xf>
    <xf numFmtId="187" fontId="0" fillId="0" borderId="0">
      <alignment horizontal="left" wrapText="1"/>
      <protection/>
    </xf>
    <xf numFmtId="187" fontId="0" fillId="0" borderId="0">
      <alignment horizontal="left" wrapText="1"/>
      <protection/>
    </xf>
    <xf numFmtId="0" fontId="29" fillId="0" borderId="0">
      <alignment/>
      <protection/>
    </xf>
    <xf numFmtId="189" fontId="0" fillId="0" borderId="0">
      <alignment horizontal="left" wrapText="1"/>
      <protection/>
    </xf>
    <xf numFmtId="189" fontId="0" fillId="0" borderId="0">
      <alignment horizontal="left" wrapText="1"/>
      <protection/>
    </xf>
    <xf numFmtId="189" fontId="0" fillId="0" borderId="0">
      <alignment horizontal="left" wrapText="1"/>
      <protection/>
    </xf>
    <xf numFmtId="189" fontId="0" fillId="0" borderId="0">
      <alignment horizontal="left" wrapText="1"/>
      <protection/>
    </xf>
    <xf numFmtId="189" fontId="0" fillId="0" borderId="0">
      <alignment horizontal="left" wrapText="1"/>
      <protection/>
    </xf>
    <xf numFmtId="189" fontId="0" fillId="0" borderId="0">
      <alignment horizontal="left" wrapText="1"/>
      <protection/>
    </xf>
    <xf numFmtId="189" fontId="0" fillId="0" borderId="0">
      <alignment horizontal="left" wrapText="1"/>
      <protection/>
    </xf>
    <xf numFmtId="189" fontId="0" fillId="0" borderId="0">
      <alignment horizontal="left" wrapText="1"/>
      <protection/>
    </xf>
    <xf numFmtId="189" fontId="0" fillId="0" borderId="0">
      <alignment horizontal="left" wrapText="1"/>
      <protection/>
    </xf>
    <xf numFmtId="189" fontId="0" fillId="0" borderId="0">
      <alignment horizontal="left" wrapText="1"/>
      <protection/>
    </xf>
    <xf numFmtId="189" fontId="0" fillId="0" borderId="0">
      <alignment horizontal="left" wrapText="1"/>
      <protection/>
    </xf>
    <xf numFmtId="189" fontId="0" fillId="0" borderId="0">
      <alignment horizontal="left" wrapText="1"/>
      <protection/>
    </xf>
    <xf numFmtId="189" fontId="0" fillId="0" borderId="0">
      <alignment horizontal="left" wrapText="1"/>
      <protection/>
    </xf>
    <xf numFmtId="189" fontId="0" fillId="0" borderId="0">
      <alignment horizontal="left" wrapText="1"/>
      <protection/>
    </xf>
    <xf numFmtId="189" fontId="0" fillId="0" borderId="0">
      <alignment horizontal="left" wrapText="1"/>
      <protection/>
    </xf>
    <xf numFmtId="187" fontId="0" fillId="0" borderId="0">
      <alignment horizontal="left" wrapText="1"/>
      <protection/>
    </xf>
    <xf numFmtId="187" fontId="0" fillId="0" borderId="0">
      <alignment horizontal="left" wrapText="1"/>
      <protection/>
    </xf>
    <xf numFmtId="187" fontId="0" fillId="0" borderId="0">
      <alignment horizontal="left" wrapText="1"/>
      <protection/>
    </xf>
    <xf numFmtId="187" fontId="0" fillId="0" borderId="0">
      <alignment horizontal="left" wrapText="1"/>
      <protection/>
    </xf>
    <xf numFmtId="187" fontId="0" fillId="0" borderId="0">
      <alignment horizontal="left" wrapText="1"/>
      <protection/>
    </xf>
    <xf numFmtId="187" fontId="0" fillId="0" borderId="0">
      <alignment horizontal="left" wrapText="1"/>
      <protection/>
    </xf>
    <xf numFmtId="187" fontId="0" fillId="0" borderId="0">
      <alignment horizontal="left" wrapText="1"/>
      <protection/>
    </xf>
    <xf numFmtId="187" fontId="0" fillId="0" borderId="0">
      <alignment horizontal="left" wrapText="1"/>
      <protection/>
    </xf>
    <xf numFmtId="187" fontId="0" fillId="0" borderId="0">
      <alignment horizontal="left" wrapText="1"/>
      <protection/>
    </xf>
    <xf numFmtId="189" fontId="0" fillId="0" borderId="0">
      <alignment horizontal="left" wrapText="1"/>
      <protection/>
    </xf>
    <xf numFmtId="189" fontId="0" fillId="0" borderId="0">
      <alignment horizontal="left" wrapText="1"/>
      <protection/>
    </xf>
    <xf numFmtId="189" fontId="0" fillId="0" borderId="0">
      <alignment horizontal="left" wrapText="1"/>
      <protection/>
    </xf>
    <xf numFmtId="189" fontId="0" fillId="0" borderId="0">
      <alignment horizontal="left" wrapText="1"/>
      <protection/>
    </xf>
    <xf numFmtId="189" fontId="0" fillId="0" borderId="0">
      <alignment horizontal="left" wrapText="1"/>
      <protection/>
    </xf>
    <xf numFmtId="189" fontId="0" fillId="0" borderId="0">
      <alignment horizontal="left" wrapText="1"/>
      <protection/>
    </xf>
    <xf numFmtId="189" fontId="0" fillId="0" borderId="0">
      <alignment horizontal="left" wrapText="1"/>
      <protection/>
    </xf>
    <xf numFmtId="189" fontId="0" fillId="0" borderId="0">
      <alignment horizontal="left" wrapText="1"/>
      <protection/>
    </xf>
    <xf numFmtId="189" fontId="0" fillId="0" borderId="0">
      <alignment horizontal="left" wrapText="1"/>
      <protection/>
    </xf>
    <xf numFmtId="187" fontId="0" fillId="0" borderId="0">
      <alignment horizontal="left" wrapText="1"/>
      <protection/>
    </xf>
    <xf numFmtId="0" fontId="29" fillId="0" borderId="0">
      <alignment/>
      <protection/>
    </xf>
    <xf numFmtId="0" fontId="29" fillId="0" borderId="0">
      <alignment/>
      <protection/>
    </xf>
    <xf numFmtId="189" fontId="0" fillId="0" borderId="0">
      <alignment horizontal="left" wrapText="1"/>
      <protection/>
    </xf>
    <xf numFmtId="189" fontId="0" fillId="0" borderId="0">
      <alignment horizontal="left" wrapText="1"/>
      <protection/>
    </xf>
    <xf numFmtId="187" fontId="0" fillId="0" borderId="0">
      <alignment horizontal="left" wrapText="1"/>
      <protection/>
    </xf>
    <xf numFmtId="187" fontId="0" fillId="0" borderId="0">
      <alignment horizontal="left" wrapText="1"/>
      <protection/>
    </xf>
    <xf numFmtId="187" fontId="0" fillId="0" borderId="0">
      <alignment horizontal="left" wrapText="1"/>
      <protection/>
    </xf>
    <xf numFmtId="187" fontId="0" fillId="0" borderId="0">
      <alignment horizontal="left" wrapText="1"/>
      <protection/>
    </xf>
    <xf numFmtId="187" fontId="0" fillId="0" borderId="0">
      <alignment horizontal="left" wrapText="1"/>
      <protection/>
    </xf>
    <xf numFmtId="187" fontId="0" fillId="0" borderId="0">
      <alignment horizontal="left" wrapText="1"/>
      <protection/>
    </xf>
    <xf numFmtId="197" fontId="0" fillId="0" borderId="0">
      <alignment horizontal="left" wrapText="1"/>
      <protection/>
    </xf>
    <xf numFmtId="189" fontId="0" fillId="0" borderId="0">
      <alignment horizontal="left" wrapText="1"/>
      <protection/>
    </xf>
    <xf numFmtId="189" fontId="0" fillId="0" borderId="0">
      <alignment horizontal="left" wrapText="1"/>
      <protection/>
    </xf>
    <xf numFmtId="189" fontId="0" fillId="0" borderId="0">
      <alignment horizontal="left" wrapText="1"/>
      <protection/>
    </xf>
    <xf numFmtId="189" fontId="0" fillId="0" borderId="0">
      <alignment horizontal="left" wrapText="1"/>
      <protection/>
    </xf>
    <xf numFmtId="189" fontId="0" fillId="0" borderId="0">
      <alignment horizontal="left" wrapText="1"/>
      <protection/>
    </xf>
    <xf numFmtId="189" fontId="0" fillId="0" borderId="0">
      <alignment horizontal="left" wrapText="1"/>
      <protection/>
    </xf>
    <xf numFmtId="189" fontId="0" fillId="0" borderId="0">
      <alignment horizontal="left" wrapText="1"/>
      <protection/>
    </xf>
    <xf numFmtId="189" fontId="0" fillId="0" borderId="0">
      <alignment horizontal="left" wrapText="1"/>
      <protection/>
    </xf>
    <xf numFmtId="187" fontId="0" fillId="0" borderId="0">
      <alignment horizontal="left" wrapText="1"/>
      <protection/>
    </xf>
    <xf numFmtId="187" fontId="0" fillId="0" borderId="0">
      <alignment horizontal="left" wrapText="1"/>
      <protection/>
    </xf>
    <xf numFmtId="187" fontId="0" fillId="0" borderId="0">
      <alignment horizontal="left" wrapText="1"/>
      <protection/>
    </xf>
    <xf numFmtId="187" fontId="0" fillId="0" borderId="0">
      <alignment horizontal="left" wrapText="1"/>
      <protection/>
    </xf>
    <xf numFmtId="0" fontId="29" fillId="0" borderId="0">
      <alignment/>
      <protection/>
    </xf>
    <xf numFmtId="0" fontId="29" fillId="0" borderId="0">
      <alignment/>
      <protection/>
    </xf>
    <xf numFmtId="187" fontId="0" fillId="0" borderId="0">
      <alignment horizontal="left" wrapText="1"/>
      <protection/>
    </xf>
    <xf numFmtId="187" fontId="0" fillId="0" borderId="0">
      <alignment horizontal="left" wrapText="1"/>
      <protection/>
    </xf>
    <xf numFmtId="187" fontId="0" fillId="0" borderId="0">
      <alignment horizontal="left" wrapText="1"/>
      <protection/>
    </xf>
    <xf numFmtId="187" fontId="0" fillId="0" borderId="0">
      <alignment horizontal="left" wrapText="1"/>
      <protection/>
    </xf>
    <xf numFmtId="189" fontId="0" fillId="0" borderId="0">
      <alignment horizontal="left" wrapText="1"/>
      <protection/>
    </xf>
    <xf numFmtId="189" fontId="0" fillId="0" borderId="0">
      <alignment horizontal="left" wrapText="1"/>
      <protection/>
    </xf>
    <xf numFmtId="189" fontId="0" fillId="0" borderId="0">
      <alignment horizontal="left" wrapText="1"/>
      <protection/>
    </xf>
    <xf numFmtId="189" fontId="0" fillId="0" borderId="0">
      <alignment horizontal="left" wrapText="1"/>
      <protection/>
    </xf>
    <xf numFmtId="189" fontId="0" fillId="0" borderId="0">
      <alignment horizontal="left" wrapText="1"/>
      <protection/>
    </xf>
    <xf numFmtId="189" fontId="0" fillId="0" borderId="0">
      <alignment horizontal="left" wrapText="1"/>
      <protection/>
    </xf>
    <xf numFmtId="189" fontId="0" fillId="0" borderId="0">
      <alignment horizontal="left" wrapText="1"/>
      <protection/>
    </xf>
    <xf numFmtId="189" fontId="0" fillId="0" borderId="0">
      <alignment horizontal="left" wrapText="1"/>
      <protection/>
    </xf>
    <xf numFmtId="189" fontId="0" fillId="0" borderId="0">
      <alignment horizontal="left" wrapText="1"/>
      <protection/>
    </xf>
    <xf numFmtId="189" fontId="0" fillId="0" borderId="0">
      <alignment horizontal="left" wrapText="1"/>
      <protection/>
    </xf>
    <xf numFmtId="189" fontId="0" fillId="0" borderId="0">
      <alignment horizontal="left" wrapText="1"/>
      <protection/>
    </xf>
    <xf numFmtId="189" fontId="0" fillId="0" borderId="0">
      <alignment horizontal="left" wrapText="1"/>
      <protection/>
    </xf>
    <xf numFmtId="189" fontId="0" fillId="0" borderId="0">
      <alignment horizontal="left" wrapText="1"/>
      <protection/>
    </xf>
    <xf numFmtId="189" fontId="0" fillId="0" borderId="0">
      <alignment horizontal="left" wrapText="1"/>
      <protection/>
    </xf>
    <xf numFmtId="189" fontId="0" fillId="0" borderId="0">
      <alignment horizontal="left" wrapText="1"/>
      <protection/>
    </xf>
    <xf numFmtId="189" fontId="0" fillId="0" borderId="0">
      <alignment horizontal="left" wrapText="1"/>
      <protection/>
    </xf>
    <xf numFmtId="189" fontId="0" fillId="0" borderId="0">
      <alignment horizontal="left" wrapText="1"/>
      <protection/>
    </xf>
    <xf numFmtId="189" fontId="0" fillId="0" borderId="0">
      <alignment horizontal="left" wrapText="1"/>
      <protection/>
    </xf>
    <xf numFmtId="189" fontId="0" fillId="0" borderId="0">
      <alignment horizontal="left" wrapText="1"/>
      <protection/>
    </xf>
    <xf numFmtId="189" fontId="0" fillId="0" borderId="0">
      <alignment horizontal="left" wrapText="1"/>
      <protection/>
    </xf>
    <xf numFmtId="0" fontId="29" fillId="0" borderId="0">
      <alignment/>
      <protection/>
    </xf>
    <xf numFmtId="0" fontId="51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51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51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51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51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51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51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51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5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51" fillId="20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51" fillId="21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51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5" borderId="0" applyNumberFormat="0" applyBorder="0" applyAlignment="0" applyProtection="0"/>
    <xf numFmtId="0" fontId="53" fillId="36" borderId="0" applyNumberFormat="0" applyBorder="0" applyAlignment="0" applyProtection="0"/>
    <xf numFmtId="199" fontId="10" fillId="0" borderId="0" applyFill="0" applyBorder="0" applyAlignment="0">
      <protection/>
    </xf>
    <xf numFmtId="41" fontId="0" fillId="37" borderId="0">
      <alignment/>
      <protection/>
    </xf>
    <xf numFmtId="0" fontId="54" fillId="38" borderId="1" applyNumberFormat="0" applyAlignment="0" applyProtection="0"/>
    <xf numFmtId="41" fontId="0" fillId="39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" fontId="26" fillId="0" borderId="0" applyFont="0" applyFill="0" applyBorder="0" applyAlignment="0" applyProtection="0"/>
    <xf numFmtId="3" fontId="11" fillId="0" borderId="0" applyFon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30" fillId="0" borderId="0">
      <alignment/>
      <protection/>
    </xf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211" fontId="32" fillId="0" borderId="0">
      <alignment/>
      <protection locked="0"/>
    </xf>
    <xf numFmtId="0" fontId="30" fillId="0" borderId="0">
      <alignment/>
      <protection/>
    </xf>
    <xf numFmtId="0" fontId="13" fillId="0" borderId="0" applyNumberFormat="0" applyAlignment="0">
      <protection/>
    </xf>
    <xf numFmtId="0" fontId="14" fillId="0" borderId="0" applyNumberFormat="0" applyAlignment="0">
      <protection/>
    </xf>
    <xf numFmtId="0" fontId="12" fillId="0" borderId="0">
      <alignment/>
      <protection/>
    </xf>
    <xf numFmtId="0" fontId="30" fillId="0" borderId="0">
      <alignment/>
      <protection/>
    </xf>
    <xf numFmtId="0" fontId="12" fillId="0" borderId="0">
      <alignment/>
      <protection/>
    </xf>
    <xf numFmtId="0" fontId="3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8" fontId="26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187" fontId="0" fillId="0" borderId="0">
      <alignment/>
      <protection/>
    </xf>
    <xf numFmtId="21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2" fontId="11" fillId="0" borderId="0" applyFont="0" applyFill="0" applyBorder="0" applyAlignment="0" applyProtection="0"/>
    <xf numFmtId="0" fontId="12" fillId="0" borderId="0">
      <alignment/>
      <protection/>
    </xf>
    <xf numFmtId="0" fontId="1" fillId="0" borderId="0" applyNumberFormat="0" applyFill="0" applyBorder="0" applyAlignment="0" applyProtection="0"/>
    <xf numFmtId="0" fontId="56" fillId="40" borderId="0" applyNumberFormat="0" applyBorder="0" applyAlignment="0" applyProtection="0"/>
    <xf numFmtId="38" fontId="4" fillId="39" borderId="0" applyNumberFormat="0" applyBorder="0" applyAlignment="0" applyProtection="0"/>
    <xf numFmtId="38" fontId="4" fillId="39" borderId="0" applyNumberFormat="0" applyBorder="0" applyAlignment="0" applyProtection="0"/>
    <xf numFmtId="38" fontId="4" fillId="39" borderId="0" applyNumberFormat="0" applyBorder="0" applyAlignment="0" applyProtection="0"/>
    <xf numFmtId="38" fontId="4" fillId="39" borderId="0" applyNumberFormat="0" applyBorder="0" applyAlignment="0" applyProtection="0"/>
    <xf numFmtId="0" fontId="15" fillId="0" borderId="2" applyNumberFormat="0" applyAlignment="0" applyProtection="0"/>
    <xf numFmtId="0" fontId="15" fillId="0" borderId="3">
      <alignment horizontal="left"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7" fillId="0" borderId="4" applyNumberFormat="0" applyFill="0" applyAlignment="0" applyProtection="0"/>
    <xf numFmtId="0" fontId="57" fillId="0" borderId="0" applyNumberFormat="0" applyFill="0" applyBorder="0" applyAlignment="0" applyProtection="0"/>
    <xf numFmtId="38" fontId="5" fillId="0" borderId="0">
      <alignment/>
      <protection/>
    </xf>
    <xf numFmtId="40" fontId="5" fillId="0" borderId="0">
      <alignment/>
      <protection/>
    </xf>
    <xf numFmtId="0" fontId="2" fillId="0" borderId="0" applyNumberFormat="0" applyFill="0" applyBorder="0" applyAlignment="0" applyProtection="0"/>
    <xf numFmtId="0" fontId="58" fillId="41" borderId="5" applyNumberFormat="0" applyAlignment="0" applyProtection="0"/>
    <xf numFmtId="10" fontId="4" fillId="37" borderId="6" applyNumberFormat="0" applyBorder="0" applyAlignment="0" applyProtection="0"/>
    <xf numFmtId="10" fontId="4" fillId="37" borderId="6" applyNumberFormat="0" applyBorder="0" applyAlignment="0" applyProtection="0"/>
    <xf numFmtId="10" fontId="4" fillId="37" borderId="6" applyNumberFormat="0" applyBorder="0" applyAlignment="0" applyProtection="0"/>
    <xf numFmtId="10" fontId="4" fillId="37" borderId="6" applyNumberFormat="0" applyBorder="0" applyAlignment="0" applyProtection="0"/>
    <xf numFmtId="41" fontId="9" fillId="42" borderId="7">
      <alignment horizontal="left"/>
      <protection locked="0"/>
    </xf>
    <xf numFmtId="10" fontId="9" fillId="42" borderId="7">
      <alignment horizontal="right"/>
      <protection locked="0"/>
    </xf>
    <xf numFmtId="41" fontId="9" fillId="42" borderId="7">
      <alignment horizontal="left"/>
      <protection locked="0"/>
    </xf>
    <xf numFmtId="0" fontId="4" fillId="39" borderId="0">
      <alignment/>
      <protection/>
    </xf>
    <xf numFmtId="3" fontId="33" fillId="0" borderId="0" applyFill="0" applyBorder="0" applyAlignment="0" applyProtection="0"/>
    <xf numFmtId="0" fontId="59" fillId="0" borderId="8" applyNumberFormat="0" applyFill="0" applyAlignment="0" applyProtection="0"/>
    <xf numFmtId="44" fontId="3" fillId="0" borderId="9" applyNumberFormat="0" applyFont="0" applyAlignment="0">
      <protection/>
    </xf>
    <xf numFmtId="44" fontId="3" fillId="0" borderId="9" applyNumberFormat="0" applyFont="0" applyAlignment="0">
      <protection/>
    </xf>
    <xf numFmtId="44" fontId="3" fillId="0" borderId="9" applyNumberFormat="0" applyFont="0" applyAlignment="0">
      <protection/>
    </xf>
    <xf numFmtId="44" fontId="3" fillId="0" borderId="9" applyNumberFormat="0" applyFont="0" applyAlignment="0">
      <protection/>
    </xf>
    <xf numFmtId="44" fontId="3" fillId="0" borderId="10" applyNumberFormat="0" applyFont="0" applyAlignment="0">
      <protection/>
    </xf>
    <xf numFmtId="44" fontId="3" fillId="0" borderId="10" applyNumberFormat="0" applyFont="0" applyAlignment="0">
      <protection/>
    </xf>
    <xf numFmtId="44" fontId="3" fillId="0" borderId="10" applyNumberFormat="0" applyFont="0" applyAlignment="0">
      <protection/>
    </xf>
    <xf numFmtId="44" fontId="3" fillId="0" borderId="10" applyNumberFormat="0" applyFont="0" applyAlignment="0">
      <protection/>
    </xf>
    <xf numFmtId="0" fontId="60" fillId="43" borderId="0" applyNumberFormat="0" applyBorder="0" applyAlignment="0" applyProtection="0"/>
    <xf numFmtId="37" fontId="16" fillId="0" borderId="0">
      <alignment/>
      <protection/>
    </xf>
    <xf numFmtId="0" fontId="0" fillId="0" borderId="0">
      <alignment/>
      <protection/>
    </xf>
    <xf numFmtId="213" fontId="0" fillId="0" borderId="0">
      <alignment/>
      <protection/>
    </xf>
    <xf numFmtId="213" fontId="0" fillId="0" borderId="0">
      <alignment/>
      <protection/>
    </xf>
    <xf numFmtId="213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0" fontId="0" fillId="0" borderId="0">
      <alignment horizontal="left" wrapText="1"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8" fillId="0" borderId="0">
      <alignment/>
      <protection/>
    </xf>
    <xf numFmtId="187" fontId="19" fillId="0" borderId="0">
      <alignment horizontal="left" wrapText="1"/>
      <protection/>
    </xf>
    <xf numFmtId="0" fontId="27" fillId="0" borderId="0">
      <alignment/>
      <protection/>
    </xf>
    <xf numFmtId="207" fontId="0" fillId="0" borderId="0">
      <alignment horizontal="left" wrapText="1"/>
      <protection/>
    </xf>
    <xf numFmtId="0" fontId="0" fillId="0" borderId="0">
      <alignment/>
      <protection/>
    </xf>
    <xf numFmtId="0" fontId="0" fillId="44" borderId="11" applyNumberFormat="0" applyFont="0" applyAlignment="0" applyProtection="0"/>
    <xf numFmtId="0" fontId="28" fillId="45" borderId="12" applyNumberFormat="0" applyFont="0" applyAlignment="0" applyProtection="0"/>
    <xf numFmtId="0" fontId="28" fillId="45" borderId="12" applyNumberFormat="0" applyFont="0" applyAlignment="0" applyProtection="0"/>
    <xf numFmtId="0" fontId="61" fillId="46" borderId="13" applyNumberFormat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30" fillId="0" borderId="0">
      <alignment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8" fillId="0" borderId="0" applyFont="0" applyFill="0" applyBorder="0" applyAlignment="0" applyProtection="0"/>
    <xf numFmtId="41" fontId="0" fillId="47" borderId="7">
      <alignment/>
      <protection/>
    </xf>
    <xf numFmtId="0" fontId="17" fillId="0" borderId="0" applyNumberFormat="0" applyFont="0" applyFill="0" applyBorder="0" applyAlignment="0" applyProtection="0"/>
    <xf numFmtId="15" fontId="17" fillId="0" borderId="0" applyFont="0" applyFill="0" applyBorder="0" applyAlignment="0" applyProtection="0"/>
    <xf numFmtId="4" fontId="17" fillId="0" borderId="0" applyFont="0" applyFill="0" applyBorder="0" applyAlignment="0" applyProtection="0"/>
    <xf numFmtId="0" fontId="18" fillId="0" borderId="14">
      <alignment horizontal="center"/>
      <protection/>
    </xf>
    <xf numFmtId="3" fontId="17" fillId="0" borderId="0" applyFont="0" applyFill="0" applyBorder="0" applyAlignment="0" applyProtection="0"/>
    <xf numFmtId="0" fontId="17" fillId="48" borderId="0" applyNumberFormat="0" applyFont="0" applyBorder="0" applyAlignment="0" applyProtection="0"/>
    <xf numFmtId="0" fontId="30" fillId="0" borderId="0">
      <alignment/>
      <protection/>
    </xf>
    <xf numFmtId="3" fontId="34" fillId="0" borderId="0" applyFill="0" applyBorder="0" applyAlignment="0" applyProtection="0"/>
    <xf numFmtId="0" fontId="35" fillId="0" borderId="0">
      <alignment/>
      <protection/>
    </xf>
    <xf numFmtId="3" fontId="34" fillId="0" borderId="0" applyFill="0" applyBorder="0" applyAlignment="0" applyProtection="0"/>
    <xf numFmtId="42" fontId="0" fillId="37" borderId="0">
      <alignment/>
      <protection/>
    </xf>
    <xf numFmtId="42" fontId="0" fillId="37" borderId="15">
      <alignment vertical="center"/>
      <protection/>
    </xf>
    <xf numFmtId="0" fontId="3" fillId="37" borderId="16" applyNumberFormat="0">
      <alignment horizontal="center" vertical="center" wrapText="1"/>
      <protection/>
    </xf>
    <xf numFmtId="10" fontId="0" fillId="37" borderId="0">
      <alignment/>
      <protection/>
    </xf>
    <xf numFmtId="214" fontId="0" fillId="37" borderId="0">
      <alignment/>
      <protection/>
    </xf>
    <xf numFmtId="165" fontId="5" fillId="0" borderId="0" applyBorder="0" applyAlignment="0">
      <protection/>
    </xf>
    <xf numFmtId="42" fontId="0" fillId="37" borderId="17">
      <alignment horizontal="left"/>
      <protection/>
    </xf>
    <xf numFmtId="214" fontId="36" fillId="37" borderId="17">
      <alignment horizontal="left"/>
      <protection/>
    </xf>
    <xf numFmtId="165" fontId="5" fillId="0" borderId="0" applyBorder="0" applyAlignment="0">
      <protection/>
    </xf>
    <xf numFmtId="14" fontId="19" fillId="0" borderId="0" applyNumberFormat="0" applyFill="0" applyBorder="0" applyAlignment="0" applyProtection="0"/>
    <xf numFmtId="188" fontId="0" fillId="0" borderId="0" applyFont="0" applyFill="0" applyAlignment="0">
      <protection/>
    </xf>
    <xf numFmtId="39" fontId="0" fillId="49" borderId="0">
      <alignment/>
      <protection/>
    </xf>
    <xf numFmtId="38" fontId="4" fillId="0" borderId="18">
      <alignment/>
      <protection/>
    </xf>
    <xf numFmtId="38" fontId="4" fillId="0" borderId="18">
      <alignment/>
      <protection/>
    </xf>
    <xf numFmtId="38" fontId="4" fillId="0" borderId="18">
      <alignment/>
      <protection/>
    </xf>
    <xf numFmtId="38" fontId="4" fillId="0" borderId="18">
      <alignment/>
      <protection/>
    </xf>
    <xf numFmtId="38" fontId="5" fillId="0" borderId="17">
      <alignment/>
      <protection/>
    </xf>
    <xf numFmtId="39" fontId="19" fillId="50" borderId="0">
      <alignment/>
      <protection/>
    </xf>
    <xf numFmtId="187" fontId="0" fillId="0" borderId="0">
      <alignment horizontal="left" wrapText="1"/>
      <protection/>
    </xf>
    <xf numFmtId="187" fontId="0" fillId="0" borderId="0">
      <alignment horizontal="left" wrapText="1"/>
      <protection/>
    </xf>
    <xf numFmtId="187" fontId="0" fillId="0" borderId="0">
      <alignment horizontal="left" wrapText="1"/>
      <protection/>
    </xf>
    <xf numFmtId="187" fontId="0" fillId="0" borderId="0">
      <alignment horizontal="left" wrapText="1"/>
      <protection/>
    </xf>
    <xf numFmtId="187" fontId="0" fillId="0" borderId="0">
      <alignment horizontal="left" wrapText="1"/>
      <protection/>
    </xf>
    <xf numFmtId="187" fontId="0" fillId="0" borderId="0">
      <alignment horizontal="left" wrapText="1"/>
      <protection/>
    </xf>
    <xf numFmtId="40" fontId="20" fillId="0" borderId="0" applyBorder="0">
      <alignment horizontal="right"/>
      <protection/>
    </xf>
    <xf numFmtId="41" fontId="37" fillId="37" borderId="0">
      <alignment horizontal="left"/>
      <protection/>
    </xf>
    <xf numFmtId="0" fontId="62" fillId="0" borderId="0" applyNumberFormat="0" applyFill="0" applyBorder="0" applyAlignment="0" applyProtection="0"/>
    <xf numFmtId="215" fontId="38" fillId="37" borderId="0">
      <alignment horizontal="left" vertical="center"/>
      <protection/>
    </xf>
    <xf numFmtId="0" fontId="3" fillId="37" borderId="0">
      <alignment horizontal="left" wrapText="1"/>
      <protection/>
    </xf>
    <xf numFmtId="0" fontId="21" fillId="0" borderId="0">
      <alignment horizontal="left" vertical="center"/>
      <protection/>
    </xf>
    <xf numFmtId="0" fontId="11" fillId="0" borderId="19" applyNumberFormat="0" applyFont="0" applyFill="0" applyAlignment="0" applyProtection="0"/>
    <xf numFmtId="0" fontId="30" fillId="0" borderId="20">
      <alignment/>
      <protection/>
    </xf>
    <xf numFmtId="0" fontId="63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8" fillId="0" borderId="0" xfId="0" applyFont="1" applyFill="1" applyBorder="1" applyAlignment="1" quotePrefix="1">
      <alignment horizontal="right"/>
    </xf>
    <xf numFmtId="0" fontId="8" fillId="0" borderId="21" xfId="0" applyFont="1" applyFill="1" applyBorder="1" applyAlignment="1" quotePrefix="1">
      <alignment horizontal="right"/>
    </xf>
    <xf numFmtId="0" fontId="8" fillId="0" borderId="0" xfId="0" applyFont="1" applyFill="1" applyAlignment="1" applyProtection="1">
      <alignment horizontal="centerContinuous"/>
      <protection locked="0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8" fillId="0" borderId="0" xfId="0" applyFont="1" applyFill="1" applyAlignment="1" quotePrefix="1">
      <alignment horizontal="centerContinuous"/>
    </xf>
    <xf numFmtId="0" fontId="8" fillId="0" borderId="0" xfId="0" applyFont="1" applyFill="1" applyAlignment="1">
      <alignment horizontal="centerContinuous"/>
    </xf>
    <xf numFmtId="15" fontId="8" fillId="0" borderId="0" xfId="0" applyNumberFormat="1" applyFont="1" applyFill="1" applyAlignment="1" quotePrefix="1">
      <alignment horizontal="centerContinuous"/>
    </xf>
    <xf numFmtId="15" fontId="8" fillId="0" borderId="0" xfId="0" applyNumberFormat="1" applyFont="1" applyFill="1" applyAlignment="1">
      <alignment horizontal="centerContinuous"/>
    </xf>
    <xf numFmtId="18" fontId="8" fillId="0" borderId="0" xfId="0" applyNumberFormat="1" applyFont="1" applyFill="1" applyAlignment="1" quotePrefix="1">
      <alignment horizontal="centerContinuous"/>
    </xf>
    <xf numFmtId="18" fontId="8" fillId="0" borderId="0" xfId="0" applyNumberFormat="1" applyFont="1" applyFill="1" applyAlignment="1">
      <alignment horizontal="centerContinuous"/>
    </xf>
    <xf numFmtId="0" fontId="8" fillId="0" borderId="0" xfId="0" applyFont="1" applyFill="1" applyAlignment="1">
      <alignment/>
    </xf>
    <xf numFmtId="0" fontId="8" fillId="0" borderId="0" xfId="0" applyFont="1" applyFill="1" applyAlignment="1" applyProtection="1">
      <alignment horizontal="center"/>
      <protection locked="0"/>
    </xf>
    <xf numFmtId="0" fontId="8" fillId="0" borderId="16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left"/>
    </xf>
    <xf numFmtId="0" fontId="8" fillId="0" borderId="16" xfId="0" applyFont="1" applyFill="1" applyBorder="1" applyAlignment="1" applyProtection="1">
      <alignment horizontal="center"/>
      <protection locked="0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  <xf numFmtId="9" fontId="7" fillId="0" borderId="0" xfId="0" applyNumberFormat="1" applyFont="1" applyFill="1" applyAlignment="1">
      <alignment/>
    </xf>
    <xf numFmtId="37" fontId="7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165" fontId="23" fillId="0" borderId="0" xfId="202" applyNumberFormat="1" applyFont="1" applyFill="1" applyAlignment="1">
      <alignment/>
    </xf>
    <xf numFmtId="3" fontId="23" fillId="0" borderId="0" xfId="202" applyNumberFormat="1" applyFont="1" applyFill="1" applyAlignment="1">
      <alignment/>
    </xf>
    <xf numFmtId="42" fontId="23" fillId="0" borderId="0" xfId="228" applyNumberFormat="1" applyFont="1" applyFill="1" applyAlignment="1">
      <alignment/>
    </xf>
    <xf numFmtId="41" fontId="23" fillId="0" borderId="0" xfId="228" applyNumberFormat="1" applyFont="1" applyFill="1" applyAlignment="1">
      <alignment/>
    </xf>
    <xf numFmtId="42" fontId="23" fillId="0" borderId="3" xfId="228" applyNumberFormat="1" applyFont="1" applyFill="1" applyBorder="1" applyAlignment="1">
      <alignment/>
    </xf>
    <xf numFmtId="183" fontId="23" fillId="0" borderId="0" xfId="228" applyNumberFormat="1" applyFont="1" applyFill="1" applyAlignment="1">
      <alignment/>
    </xf>
    <xf numFmtId="4" fontId="23" fillId="0" borderId="0" xfId="202" applyFont="1" applyFill="1" applyAlignment="1">
      <alignment/>
    </xf>
    <xf numFmtId="183" fontId="23" fillId="0" borderId="3" xfId="228" applyNumberFormat="1" applyFont="1" applyFill="1" applyBorder="1" applyAlignment="1">
      <alignment/>
    </xf>
    <xf numFmtId="37" fontId="7" fillId="0" borderId="15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27" fillId="0" borderId="0" xfId="294" applyFont="1">
      <alignment/>
      <protection/>
    </xf>
    <xf numFmtId="0" fontId="8" fillId="0" borderId="0" xfId="286" applyFont="1" applyFill="1" applyAlignment="1">
      <alignment horizontal="right"/>
      <protection/>
    </xf>
    <xf numFmtId="165" fontId="7" fillId="0" borderId="0" xfId="198" applyNumberFormat="1" applyFont="1" applyFill="1" applyAlignment="1">
      <alignment/>
    </xf>
    <xf numFmtId="41" fontId="7" fillId="0" borderId="0" xfId="0" applyNumberFormat="1" applyFont="1" applyFill="1" applyAlignment="1">
      <alignment/>
    </xf>
    <xf numFmtId="42" fontId="7" fillId="0" borderId="0" xfId="224" applyNumberFormat="1" applyFont="1" applyFill="1" applyBorder="1" applyAlignment="1">
      <alignment/>
    </xf>
    <xf numFmtId="37" fontId="7" fillId="0" borderId="0" xfId="0" applyNumberFormat="1" applyFont="1" applyFill="1" applyBorder="1" applyAlignment="1">
      <alignment/>
    </xf>
    <xf numFmtId="165" fontId="7" fillId="0" borderId="0" xfId="198" applyNumberFormat="1" applyFont="1" applyFill="1" applyAlignment="1" applyProtection="1">
      <alignment/>
      <protection locked="0"/>
    </xf>
    <xf numFmtId="165" fontId="7" fillId="0" borderId="0" xfId="198" applyNumberFormat="1" applyFont="1" applyFill="1" applyBorder="1" applyAlignment="1" applyProtection="1">
      <alignment/>
      <protection locked="0"/>
    </xf>
    <xf numFmtId="165" fontId="7" fillId="0" borderId="17" xfId="198" applyNumberFormat="1" applyFont="1" applyFill="1" applyBorder="1" applyAlignment="1" applyProtection="1">
      <alignment/>
      <protection locked="0"/>
    </xf>
    <xf numFmtId="187" fontId="7" fillId="0" borderId="0" xfId="349" applyFont="1" applyFill="1" applyAlignment="1">
      <alignment horizontal="left"/>
      <protection/>
    </xf>
    <xf numFmtId="183" fontId="7" fillId="0" borderId="0" xfId="224" applyNumberFormat="1" applyFont="1" applyFill="1" applyBorder="1" applyAlignment="1" applyProtection="1">
      <alignment/>
      <protection locked="0"/>
    </xf>
    <xf numFmtId="183" fontId="7" fillId="0" borderId="16" xfId="224" applyNumberFormat="1" applyFont="1" applyFill="1" applyBorder="1" applyAlignment="1" applyProtection="1">
      <alignment/>
      <protection locked="0"/>
    </xf>
    <xf numFmtId="183" fontId="7" fillId="0" borderId="22" xfId="224" applyNumberFormat="1" applyFont="1" applyFill="1" applyBorder="1" applyAlignment="1" applyProtection="1">
      <alignment/>
      <protection locked="0"/>
    </xf>
    <xf numFmtId="0" fontId="25" fillId="0" borderId="0" xfId="0" applyFont="1" applyFill="1" applyAlignment="1">
      <alignment/>
    </xf>
    <xf numFmtId="0" fontId="23" fillId="0" borderId="0" xfId="0" applyFont="1" applyFill="1" applyAlignment="1">
      <alignment/>
    </xf>
    <xf numFmtId="43" fontId="23" fillId="0" borderId="0" xfId="198" applyFont="1" applyFill="1" applyAlignment="1">
      <alignment/>
    </xf>
    <xf numFmtId="0" fontId="23" fillId="0" borderId="0" xfId="0" applyFont="1" applyFill="1" applyAlignment="1">
      <alignment horizontal="center"/>
    </xf>
    <xf numFmtId="10" fontId="23" fillId="0" borderId="0" xfId="314" applyNumberFormat="1" applyFont="1" applyFill="1" applyAlignment="1">
      <alignment horizontal="center"/>
    </xf>
    <xf numFmtId="41" fontId="24" fillId="0" borderId="0" xfId="314" applyNumberFormat="1" applyFont="1" applyFill="1" applyBorder="1" applyAlignment="1">
      <alignment/>
    </xf>
    <xf numFmtId="10" fontId="24" fillId="0" borderId="0" xfId="0" applyNumberFormat="1" applyFont="1" applyFill="1" applyAlignment="1">
      <alignment/>
    </xf>
    <xf numFmtId="43" fontId="24" fillId="0" borderId="0" xfId="198" applyFont="1" applyFill="1" applyBorder="1" applyAlignment="1">
      <alignment/>
    </xf>
    <xf numFmtId="10" fontId="24" fillId="0" borderId="0" xfId="314" applyNumberFormat="1" applyFont="1" applyFill="1" applyBorder="1" applyAlignment="1">
      <alignment/>
    </xf>
    <xf numFmtId="0" fontId="24" fillId="0" borderId="0" xfId="0" applyFont="1" applyFill="1" applyAlignment="1">
      <alignment horizontal="center"/>
    </xf>
    <xf numFmtId="43" fontId="24" fillId="0" borderId="0" xfId="198" applyFont="1" applyFill="1" applyAlignment="1">
      <alignment horizontal="center"/>
    </xf>
    <xf numFmtId="0" fontId="23" fillId="0" borderId="16" xfId="0" applyFont="1" applyFill="1" applyBorder="1" applyAlignment="1">
      <alignment/>
    </xf>
    <xf numFmtId="41" fontId="24" fillId="0" borderId="16" xfId="0" applyNumberFormat="1" applyFont="1" applyFill="1" applyBorder="1" applyAlignment="1">
      <alignment/>
    </xf>
    <xf numFmtId="0" fontId="23" fillId="0" borderId="0" xfId="0" applyFont="1" applyFill="1" applyBorder="1" applyAlignment="1">
      <alignment horizontal="center"/>
    </xf>
    <xf numFmtId="17" fontId="23" fillId="0" borderId="0" xfId="0" applyNumberFormat="1" applyFont="1" applyFill="1" applyBorder="1" applyAlignment="1">
      <alignment horizontal="center"/>
    </xf>
    <xf numFmtId="41" fontId="23" fillId="0" borderId="0" xfId="0" applyNumberFormat="1" applyFont="1" applyFill="1" applyBorder="1" applyAlignment="1">
      <alignment horizontal="center"/>
    </xf>
    <xf numFmtId="0" fontId="24" fillId="0" borderId="16" xfId="0" applyFont="1" applyFill="1" applyBorder="1" applyAlignment="1">
      <alignment horizontal="center"/>
    </xf>
    <xf numFmtId="43" fontId="24" fillId="0" borderId="16" xfId="198" applyFont="1" applyFill="1" applyBorder="1" applyAlignment="1">
      <alignment horizontal="center"/>
    </xf>
    <xf numFmtId="0" fontId="23" fillId="0" borderId="16" xfId="0" applyFont="1" applyFill="1" applyBorder="1" applyAlignment="1">
      <alignment horizontal="center"/>
    </xf>
    <xf numFmtId="41" fontId="23" fillId="0" borderId="0" xfId="314" applyNumberFormat="1" applyFont="1" applyFill="1" applyAlignment="1">
      <alignment/>
    </xf>
    <xf numFmtId="41" fontId="23" fillId="0" borderId="0" xfId="0" applyNumberFormat="1" applyFont="1" applyFill="1" applyAlignment="1">
      <alignment/>
    </xf>
    <xf numFmtId="0" fontId="23" fillId="0" borderId="0" xfId="0" applyFont="1" applyFill="1" applyAlignment="1">
      <alignment horizontal="left"/>
    </xf>
    <xf numFmtId="0" fontId="23" fillId="0" borderId="0" xfId="0" applyFont="1" applyFill="1" applyAlignment="1">
      <alignment horizontal="right"/>
    </xf>
    <xf numFmtId="43" fontId="23" fillId="0" borderId="3" xfId="198" applyFont="1" applyFill="1" applyBorder="1" applyAlignment="1">
      <alignment/>
    </xf>
    <xf numFmtId="10" fontId="23" fillId="0" borderId="0" xfId="314" applyNumberFormat="1" applyFont="1" applyFill="1" applyBorder="1" applyAlignment="1">
      <alignment horizontal="center"/>
    </xf>
    <xf numFmtId="41" fontId="23" fillId="0" borderId="3" xfId="198" applyNumberFormat="1" applyFont="1" applyFill="1" applyBorder="1" applyAlignment="1">
      <alignment/>
    </xf>
    <xf numFmtId="41" fontId="24" fillId="0" borderId="3" xfId="198" applyNumberFormat="1" applyFont="1" applyFill="1" applyBorder="1" applyAlignment="1">
      <alignment/>
    </xf>
    <xf numFmtId="43" fontId="23" fillId="0" borderId="0" xfId="198" applyFont="1" applyFill="1" applyBorder="1" applyAlignment="1">
      <alignment/>
    </xf>
    <xf numFmtId="41" fontId="23" fillId="0" borderId="0" xfId="198" applyNumberFormat="1" applyFont="1" applyFill="1" applyBorder="1" applyAlignment="1">
      <alignment/>
    </xf>
    <xf numFmtId="41" fontId="24" fillId="0" borderId="0" xfId="198" applyNumberFormat="1" applyFont="1" applyFill="1" applyAlignment="1">
      <alignment horizontal="center"/>
    </xf>
    <xf numFmtId="0" fontId="23" fillId="0" borderId="0" xfId="0" applyNumberFormat="1" applyFont="1" applyFill="1" applyBorder="1" applyAlignment="1">
      <alignment horizontal="center"/>
    </xf>
    <xf numFmtId="41" fontId="24" fillId="0" borderId="16" xfId="198" applyNumberFormat="1" applyFont="1" applyFill="1" applyBorder="1" applyAlignment="1">
      <alignment horizontal="center"/>
    </xf>
    <xf numFmtId="0" fontId="23" fillId="0" borderId="16" xfId="0" applyNumberFormat="1" applyFont="1" applyFill="1" applyBorder="1" applyAlignment="1">
      <alignment horizontal="center"/>
    </xf>
    <xf numFmtId="41" fontId="23" fillId="0" borderId="0" xfId="314" applyNumberFormat="1" applyFont="1" applyFill="1" applyBorder="1" applyAlignment="1">
      <alignment/>
    </xf>
    <xf numFmtId="0" fontId="24" fillId="0" borderId="16" xfId="0" applyFont="1" applyFill="1" applyBorder="1" applyAlignment="1">
      <alignment/>
    </xf>
    <xf numFmtId="41" fontId="23" fillId="0" borderId="0" xfId="0" applyNumberFormat="1" applyFont="1" applyFill="1" applyBorder="1" applyAlignment="1">
      <alignment/>
    </xf>
    <xf numFmtId="41" fontId="23" fillId="0" borderId="3" xfId="0" applyNumberFormat="1" applyFont="1" applyFill="1" applyBorder="1" applyAlignment="1">
      <alignment/>
    </xf>
    <xf numFmtId="10" fontId="23" fillId="0" borderId="0" xfId="0" applyNumberFormat="1" applyFont="1" applyFill="1" applyAlignment="1">
      <alignment/>
    </xf>
    <xf numFmtId="10" fontId="23" fillId="0" borderId="0" xfId="314" applyNumberFormat="1" applyFont="1" applyFill="1" applyBorder="1" applyAlignment="1">
      <alignment/>
    </xf>
    <xf numFmtId="41" fontId="24" fillId="0" borderId="22" xfId="0" applyNumberFormat="1" applyFont="1" applyFill="1" applyBorder="1" applyAlignment="1">
      <alignment/>
    </xf>
    <xf numFmtId="41" fontId="24" fillId="0" borderId="15" xfId="0" applyNumberFormat="1" applyFont="1" applyFill="1" applyBorder="1" applyAlignment="1">
      <alignment/>
    </xf>
    <xf numFmtId="0" fontId="24" fillId="0" borderId="0" xfId="0" applyFont="1" applyFill="1" applyAlignment="1">
      <alignment horizontal="left"/>
    </xf>
    <xf numFmtId="41" fontId="23" fillId="0" borderId="15" xfId="0" applyNumberFormat="1" applyFont="1" applyFill="1" applyBorder="1" applyAlignment="1">
      <alignment/>
    </xf>
    <xf numFmtId="17" fontId="23" fillId="0" borderId="0" xfId="0" applyNumberFormat="1" applyFont="1" applyFill="1" applyAlignment="1">
      <alignment horizontal="center"/>
    </xf>
    <xf numFmtId="216" fontId="23" fillId="0" borderId="0" xfId="0" applyNumberFormat="1" applyFont="1" applyFill="1" applyAlignment="1">
      <alignment/>
    </xf>
    <xf numFmtId="0" fontId="24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41" fontId="24" fillId="0" borderId="0" xfId="198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center"/>
    </xf>
    <xf numFmtId="0" fontId="3" fillId="0" borderId="0" xfId="0" applyNumberFormat="1" applyFont="1" applyFill="1" applyBorder="1" applyAlignment="1">
      <alignment horizontal="centerContinuous"/>
    </xf>
    <xf numFmtId="0" fontId="3" fillId="0" borderId="0" xfId="0" applyNumberFormat="1" applyFont="1" applyFill="1" applyAlignment="1">
      <alignment horizontal="centerContinuous" vertical="center"/>
    </xf>
    <xf numFmtId="0" fontId="23" fillId="0" borderId="0" xfId="0" applyNumberFormat="1" applyFont="1" applyFill="1" applyAlignment="1">
      <alignment/>
    </xf>
    <xf numFmtId="0" fontId="23" fillId="0" borderId="0" xfId="0" applyNumberFormat="1" applyFont="1" applyFill="1" applyAlignment="1">
      <alignment horizontal="center"/>
    </xf>
    <xf numFmtId="0" fontId="24" fillId="0" borderId="16" xfId="0" applyNumberFormat="1" applyFont="1" applyFill="1" applyBorder="1" applyAlignment="1">
      <alignment horizontal="center"/>
    </xf>
    <xf numFmtId="0" fontId="24" fillId="0" borderId="0" xfId="0" applyNumberFormat="1" applyFont="1" applyFill="1" applyAlignment="1">
      <alignment horizontal="center"/>
    </xf>
    <xf numFmtId="0" fontId="25" fillId="0" borderId="0" xfId="0" applyNumberFormat="1" applyFont="1" applyFill="1" applyAlignment="1">
      <alignment/>
    </xf>
    <xf numFmtId="14" fontId="23" fillId="0" borderId="0" xfId="0" applyNumberFormat="1" applyFont="1" applyFill="1" applyAlignment="1">
      <alignment horizontal="center"/>
    </xf>
    <xf numFmtId="0" fontId="23" fillId="0" borderId="0" xfId="0" applyNumberFormat="1" applyFont="1" applyFill="1" applyAlignment="1">
      <alignment horizontal="left"/>
    </xf>
    <xf numFmtId="10" fontId="24" fillId="0" borderId="15" xfId="310" applyNumberFormat="1" applyFont="1" applyFill="1" applyBorder="1" applyAlignment="1">
      <alignment/>
    </xf>
    <xf numFmtId="10" fontId="23" fillId="0" borderId="15" xfId="310" applyNumberFormat="1" applyFont="1" applyFill="1" applyBorder="1" applyAlignment="1">
      <alignment/>
    </xf>
    <xf numFmtId="3" fontId="23" fillId="0" borderId="0" xfId="0" applyNumberFormat="1" applyFont="1" applyFill="1" applyAlignment="1">
      <alignment/>
    </xf>
    <xf numFmtId="0" fontId="23" fillId="0" borderId="0" xfId="0" applyNumberFormat="1" applyFont="1" applyFill="1" applyAlignment="1">
      <alignment horizontal="left" wrapText="1"/>
    </xf>
    <xf numFmtId="10" fontId="23" fillId="0" borderId="3" xfId="310" applyNumberFormat="1" applyFont="1" applyFill="1" applyBorder="1" applyAlignment="1">
      <alignment/>
    </xf>
    <xf numFmtId="10" fontId="23" fillId="0" borderId="3" xfId="0" applyNumberFormat="1" applyFont="1" applyFill="1" applyBorder="1" applyAlignment="1">
      <alignment/>
    </xf>
    <xf numFmtId="183" fontId="23" fillId="0" borderId="0" xfId="0" applyNumberFormat="1" applyFont="1" applyFill="1" applyAlignment="1">
      <alignment/>
    </xf>
    <xf numFmtId="0" fontId="23" fillId="0" borderId="0" xfId="0" applyNumberFormat="1" applyFont="1" applyFill="1" applyBorder="1" applyAlignment="1">
      <alignment/>
    </xf>
    <xf numFmtId="10" fontId="23" fillId="0" borderId="16" xfId="310" applyNumberFormat="1" applyFont="1" applyFill="1" applyBorder="1" applyAlignment="1">
      <alignment/>
    </xf>
    <xf numFmtId="10" fontId="23" fillId="0" borderId="15" xfId="0" applyNumberFormat="1" applyFont="1" applyFill="1" applyBorder="1" applyAlignment="1">
      <alignment/>
    </xf>
    <xf numFmtId="4" fontId="23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left"/>
    </xf>
    <xf numFmtId="0" fontId="7" fillId="0" borderId="0" xfId="0" applyNumberFormat="1" applyFont="1" applyFill="1" applyAlignment="1">
      <alignment horizontal="right"/>
    </xf>
    <xf numFmtId="9" fontId="7" fillId="0" borderId="0" xfId="310" applyFont="1" applyFill="1" applyAlignment="1">
      <alignment horizontal="right"/>
    </xf>
    <xf numFmtId="16" fontId="8" fillId="0" borderId="0" xfId="0" applyNumberFormat="1" applyFont="1" applyFill="1" applyAlignment="1">
      <alignment horizontal="center"/>
    </xf>
    <xf numFmtId="41" fontId="24" fillId="0" borderId="16" xfId="0" applyNumberFormat="1" applyFont="1" applyFill="1" applyBorder="1" applyAlignment="1">
      <alignment horizontal="center"/>
    </xf>
    <xf numFmtId="41" fontId="24" fillId="0" borderId="3" xfId="0" applyNumberFormat="1" applyFont="1" applyFill="1" applyBorder="1" applyAlignment="1">
      <alignment horizontal="center"/>
    </xf>
    <xf numFmtId="0" fontId="24" fillId="0" borderId="16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17" xfId="0" applyFont="1" applyFill="1" applyBorder="1" applyAlignment="1">
      <alignment horizontal="center"/>
    </xf>
  </cellXfs>
  <cellStyles count="346">
    <cellStyle name="Normal" xfId="0"/>
    <cellStyle name="_x0013_" xfId="15"/>
    <cellStyle name="_09GRC Gas Transport For Review" xfId="16"/>
    <cellStyle name="_4.06E Pass Throughs" xfId="17"/>
    <cellStyle name="_4.06E Pass Throughs_04 07E Wild Horse Wind Expansion (C) (2)" xfId="18"/>
    <cellStyle name="_4.06E Pass Throughs_4 31 Regulatory Assets and Liabilities  7 06- Exhibit D" xfId="19"/>
    <cellStyle name="_4.06E Pass Throughs_4 32 Regulatory Assets and Liabilities  7 06- Exhibit D" xfId="20"/>
    <cellStyle name="_4.06E Pass Throughs_Book9" xfId="21"/>
    <cellStyle name="_4.13E Montana Energy Tax" xfId="22"/>
    <cellStyle name="_4.13E Montana Energy Tax_04 07E Wild Horse Wind Expansion (C) (2)" xfId="23"/>
    <cellStyle name="_4.13E Montana Energy Tax_4 31 Regulatory Assets and Liabilities  7 06- Exhibit D" xfId="24"/>
    <cellStyle name="_4.13E Montana Energy Tax_4 32 Regulatory Assets and Liabilities  7 06- Exhibit D" xfId="25"/>
    <cellStyle name="_4.13E Montana Energy Tax_Book9" xfId="26"/>
    <cellStyle name="_AURORA WIP" xfId="27"/>
    <cellStyle name="_Book1" xfId="28"/>
    <cellStyle name="_Book1 (2)" xfId="29"/>
    <cellStyle name="_Book1 (2)_04 07E Wild Horse Wind Expansion (C) (2)" xfId="30"/>
    <cellStyle name="_Book1 (2)_4 31 Regulatory Assets and Liabilities  7 06- Exhibit D" xfId="31"/>
    <cellStyle name="_Book1 (2)_4 32 Regulatory Assets and Liabilities  7 06- Exhibit D" xfId="32"/>
    <cellStyle name="_Book1 (2)_Book9" xfId="33"/>
    <cellStyle name="_Book1_4 31 Regulatory Assets and Liabilities  7 06- Exhibit D" xfId="34"/>
    <cellStyle name="_Book1_4 32 Regulatory Assets and Liabilities  7 06- Exhibit D" xfId="35"/>
    <cellStyle name="_Book1_Book9" xfId="36"/>
    <cellStyle name="_Book2" xfId="37"/>
    <cellStyle name="_Book2_04 07E Wild Horse Wind Expansion (C) (2)" xfId="38"/>
    <cellStyle name="_Book2_4 31 Regulatory Assets and Liabilities  7 06- Exhibit D" xfId="39"/>
    <cellStyle name="_Book2_4 32 Regulatory Assets and Liabilities  7 06- Exhibit D" xfId="40"/>
    <cellStyle name="_Book2_Book9" xfId="41"/>
    <cellStyle name="_Book3" xfId="42"/>
    <cellStyle name="_Book5" xfId="43"/>
    <cellStyle name="_Chelan Debt Forecast 12.19.05" xfId="44"/>
    <cellStyle name="_Chelan Debt Forecast 12.19.05_4 31 Regulatory Assets and Liabilities  7 06- Exhibit D" xfId="45"/>
    <cellStyle name="_Chelan Debt Forecast 12.19.05_4 32 Regulatory Assets and Liabilities  7 06- Exhibit D" xfId="46"/>
    <cellStyle name="_Chelan Debt Forecast 12.19.05_Book9" xfId="47"/>
    <cellStyle name="_Copy 11-9 Sumas Proforma - Current" xfId="48"/>
    <cellStyle name="_Costs not in AURORA 06GRC" xfId="49"/>
    <cellStyle name="_Costs not in AURORA 06GRC_04 07E Wild Horse Wind Expansion (C) (2)" xfId="50"/>
    <cellStyle name="_Costs not in AURORA 06GRC_4 31 Regulatory Assets and Liabilities  7 06- Exhibit D" xfId="51"/>
    <cellStyle name="_Costs not in AURORA 06GRC_4 32 Regulatory Assets and Liabilities  7 06- Exhibit D" xfId="52"/>
    <cellStyle name="_Costs not in AURORA 06GRC_Book9" xfId="53"/>
    <cellStyle name="_Costs not in AURORA 2006GRC 6.15.06" xfId="54"/>
    <cellStyle name="_Costs not in AURORA 2006GRC 6.15.06_04 07E Wild Horse Wind Expansion (C) (2)" xfId="55"/>
    <cellStyle name="_Costs not in AURORA 2006GRC 6.15.06_4 31 Regulatory Assets and Liabilities  7 06- Exhibit D" xfId="56"/>
    <cellStyle name="_Costs not in AURORA 2006GRC 6.15.06_4 32 Regulatory Assets and Liabilities  7 06- Exhibit D" xfId="57"/>
    <cellStyle name="_Costs not in AURORA 2006GRC 6.15.06_Book9" xfId="58"/>
    <cellStyle name="_Costs not in AURORA 2006GRC w gas price updated" xfId="59"/>
    <cellStyle name="_Costs not in AURORA 2007 Rate Case" xfId="60"/>
    <cellStyle name="_Costs not in AURORA 2007 Rate Case_4 31 Regulatory Assets and Liabilities  7 06- Exhibit D" xfId="61"/>
    <cellStyle name="_Costs not in AURORA 2007 Rate Case_4 32 Regulatory Assets and Liabilities  7 06- Exhibit D" xfId="62"/>
    <cellStyle name="_Costs not in AURORA 2007 Rate Case_Book9" xfId="63"/>
    <cellStyle name="_Costs not in KWI3000 '06Budget" xfId="64"/>
    <cellStyle name="_Costs not in KWI3000 '06Budget_4 31 Regulatory Assets and Liabilities  7 06- Exhibit D" xfId="65"/>
    <cellStyle name="_Costs not in KWI3000 '06Budget_4 32 Regulatory Assets and Liabilities  7 06- Exhibit D" xfId="66"/>
    <cellStyle name="_Costs not in KWI3000 '06Budget_Book9" xfId="67"/>
    <cellStyle name="_DEM-WP (C) Power Cost 2006GRC Order" xfId="68"/>
    <cellStyle name="_DEM-WP (C) Power Cost 2006GRC Order_04 07E Wild Horse Wind Expansion (C) (2)" xfId="69"/>
    <cellStyle name="_DEM-WP (C) Power Cost 2006GRC Order_4 31 Regulatory Assets and Liabilities  7 06- Exhibit D" xfId="70"/>
    <cellStyle name="_DEM-WP (C) Power Cost 2006GRC Order_4 32 Regulatory Assets and Liabilities  7 06- Exhibit D" xfId="71"/>
    <cellStyle name="_DEM-WP (C) Power Cost 2006GRC Order_Book9" xfId="72"/>
    <cellStyle name="_DEM-WP Revised (HC) Wild Horse 2006GRC" xfId="73"/>
    <cellStyle name="_DEM-WP(C) Colstrip FOR" xfId="74"/>
    <cellStyle name="_DEM-WP(C) Costs not in AURORA 2006GRC" xfId="75"/>
    <cellStyle name="_DEM-WP(C) Costs not in AURORA 2006GRC_4 31 Regulatory Assets and Liabilities  7 06- Exhibit D" xfId="76"/>
    <cellStyle name="_DEM-WP(C) Costs not in AURORA 2006GRC_4 32 Regulatory Assets and Liabilities  7 06- Exhibit D" xfId="77"/>
    <cellStyle name="_DEM-WP(C) Costs not in AURORA 2006GRC_Book9" xfId="78"/>
    <cellStyle name="_DEM-WP(C) Costs not in AURORA 2007GRC" xfId="79"/>
    <cellStyle name="_DEM-WP(C) Costs not in AURORA 2007PCORC-5.07Update" xfId="80"/>
    <cellStyle name="_DEM-WP(C) Costs not in AURORA 2007PCORC-5.07Update_DEM-WP(C) Production O&amp;M 2009GRC Rebuttal" xfId="81"/>
    <cellStyle name="_DEM-WP(C) Prod O&amp;M 2007GRC" xfId="82"/>
    <cellStyle name="_DEM-WP(C) Rate Year Sumas by Month Update Corrected" xfId="83"/>
    <cellStyle name="_DEM-WP(C) Sumas Proforma 11.5.07" xfId="84"/>
    <cellStyle name="_DEM-WP(C) Westside Hydro Data_051007" xfId="85"/>
    <cellStyle name="_Fixed Gas Transport 1 19 09" xfId="86"/>
    <cellStyle name="_Fuel Prices 4-14" xfId="87"/>
    <cellStyle name="_Fuel Prices 4-14_04 07E Wild Horse Wind Expansion (C) (2)" xfId="88"/>
    <cellStyle name="_Fuel Prices 4-14_4 31 Regulatory Assets and Liabilities  7 06- Exhibit D" xfId="89"/>
    <cellStyle name="_Fuel Prices 4-14_4 32 Regulatory Assets and Liabilities  7 06- Exhibit D" xfId="90"/>
    <cellStyle name="_Fuel Prices 4-14_Book9" xfId="91"/>
    <cellStyle name="_Gas Transportation Charges_2009GRC_120308" xfId="92"/>
    <cellStyle name="_NIM 06 Base Case Current Trends" xfId="93"/>
    <cellStyle name="_Portfolio SPlan Base Case.xls Chart 1" xfId="94"/>
    <cellStyle name="_Portfolio SPlan Base Case.xls Chart 2" xfId="95"/>
    <cellStyle name="_Portfolio SPlan Base Case.xls Chart 3" xfId="96"/>
    <cellStyle name="_Power Cost Value Copy 11.30.05 gas 1.09.06 AURORA at 1.10.06" xfId="97"/>
    <cellStyle name="_Power Cost Value Copy 11.30.05 gas 1.09.06 AURORA at 1.10.06_04 07E Wild Horse Wind Expansion (C) (2)" xfId="98"/>
    <cellStyle name="_Power Cost Value Copy 11.30.05 gas 1.09.06 AURORA at 1.10.06_4 31 Regulatory Assets and Liabilities  7 06- Exhibit D" xfId="99"/>
    <cellStyle name="_Power Cost Value Copy 11.30.05 gas 1.09.06 AURORA at 1.10.06_4 32 Regulatory Assets and Liabilities  7 06- Exhibit D" xfId="100"/>
    <cellStyle name="_Power Cost Value Copy 11.30.05 gas 1.09.06 AURORA at 1.10.06_Book9" xfId="101"/>
    <cellStyle name="_Recon to Darrin's 5.11.05 proforma" xfId="102"/>
    <cellStyle name="_Recon to Darrin's 5.11.05 proforma_4 31 Regulatory Assets and Liabilities  7 06- Exhibit D" xfId="103"/>
    <cellStyle name="_Recon to Darrin's 5.11.05 proforma_4 32 Regulatory Assets and Liabilities  7 06- Exhibit D" xfId="104"/>
    <cellStyle name="_Recon to Darrin's 5.11.05 proforma_Book9" xfId="105"/>
    <cellStyle name="_Sumas Proforma - 11-09-07" xfId="106"/>
    <cellStyle name="_Sumas Property Taxes v1" xfId="107"/>
    <cellStyle name="_Tenaska Comparison" xfId="108"/>
    <cellStyle name="_Tenaska Comparison_4 31 Regulatory Assets and Liabilities  7 06- Exhibit D" xfId="109"/>
    <cellStyle name="_Tenaska Comparison_4 32 Regulatory Assets and Liabilities  7 06- Exhibit D" xfId="110"/>
    <cellStyle name="_Tenaska Comparison_Book9" xfId="111"/>
    <cellStyle name="_Value Copy 11 30 05 gas 12 09 05 AURORA at 12 14 05" xfId="112"/>
    <cellStyle name="_Value Copy 11 30 05 gas 12 09 05 AURORA at 12 14 05_04 07E Wild Horse Wind Expansion (C) (2)" xfId="113"/>
    <cellStyle name="_Value Copy 11 30 05 gas 12 09 05 AURORA at 12 14 05_4 31 Regulatory Assets and Liabilities  7 06- Exhibit D" xfId="114"/>
    <cellStyle name="_Value Copy 11 30 05 gas 12 09 05 AURORA at 12 14 05_4 32 Regulatory Assets and Liabilities  7 06- Exhibit D" xfId="115"/>
    <cellStyle name="_Value Copy 11 30 05 gas 12 09 05 AURORA at 12 14 05_Book9" xfId="116"/>
    <cellStyle name="_VC 6.15.06 update on 06GRC power costs.xls Chart 1" xfId="117"/>
    <cellStyle name="_VC 6.15.06 update on 06GRC power costs.xls Chart 1_04 07E Wild Horse Wind Expansion (C) (2)" xfId="118"/>
    <cellStyle name="_VC 6.15.06 update on 06GRC power costs.xls Chart 1_4 31 Regulatory Assets and Liabilities  7 06- Exhibit D" xfId="119"/>
    <cellStyle name="_VC 6.15.06 update on 06GRC power costs.xls Chart 1_4 32 Regulatory Assets and Liabilities  7 06- Exhibit D" xfId="120"/>
    <cellStyle name="_VC 6.15.06 update on 06GRC power costs.xls Chart 1_Book9" xfId="121"/>
    <cellStyle name="_VC 6.15.06 update on 06GRC power costs.xls Chart 2" xfId="122"/>
    <cellStyle name="_VC 6.15.06 update on 06GRC power costs.xls Chart 2_04 07E Wild Horse Wind Expansion (C) (2)" xfId="123"/>
    <cellStyle name="_VC 6.15.06 update on 06GRC power costs.xls Chart 2_4 31 Regulatory Assets and Liabilities  7 06- Exhibit D" xfId="124"/>
    <cellStyle name="_VC 6.15.06 update on 06GRC power costs.xls Chart 2_4 32 Regulatory Assets and Liabilities  7 06- Exhibit D" xfId="125"/>
    <cellStyle name="_VC 6.15.06 update on 06GRC power costs.xls Chart 2_Book9" xfId="126"/>
    <cellStyle name="_VC 6.15.06 update on 06GRC power costs.xls Chart 3" xfId="127"/>
    <cellStyle name="_VC 6.15.06 update on 06GRC power costs.xls Chart 3_04 07E Wild Horse Wind Expansion (C) (2)" xfId="128"/>
    <cellStyle name="_VC 6.15.06 update on 06GRC power costs.xls Chart 3_4 31 Regulatory Assets and Liabilities  7 06- Exhibit D" xfId="129"/>
    <cellStyle name="_VC 6.15.06 update on 06GRC power costs.xls Chart 3_4 32 Regulatory Assets and Liabilities  7 06- Exhibit D" xfId="130"/>
    <cellStyle name="_VC 6.15.06 update on 06GRC power costs.xls Chart 3_Book9" xfId="131"/>
    <cellStyle name="0,0&#13;&#10;NA&#13;&#10;" xfId="132"/>
    <cellStyle name="20% - Accent1" xfId="133"/>
    <cellStyle name="20% - Accent1 2" xfId="134"/>
    <cellStyle name="20% - Accent1 3" xfId="135"/>
    <cellStyle name="20% - Accent2" xfId="136"/>
    <cellStyle name="20% - Accent2 2" xfId="137"/>
    <cellStyle name="20% - Accent2 3" xfId="138"/>
    <cellStyle name="20% - Accent3" xfId="139"/>
    <cellStyle name="20% - Accent3 2" xfId="140"/>
    <cellStyle name="20% - Accent3 3" xfId="141"/>
    <cellStyle name="20% - Accent4" xfId="142"/>
    <cellStyle name="20% - Accent4 2" xfId="143"/>
    <cellStyle name="20% - Accent4 3" xfId="144"/>
    <cellStyle name="20% - Accent5" xfId="145"/>
    <cellStyle name="20% - Accent5 2" xfId="146"/>
    <cellStyle name="20% - Accent5 3" xfId="147"/>
    <cellStyle name="20% - Accent6" xfId="148"/>
    <cellStyle name="20% - Accent6 2" xfId="149"/>
    <cellStyle name="20% - Accent6 3" xfId="150"/>
    <cellStyle name="40% - Accent1" xfId="151"/>
    <cellStyle name="40% - Accent1 2" xfId="152"/>
    <cellStyle name="40% - Accent1 3" xfId="153"/>
    <cellStyle name="40% - Accent2" xfId="154"/>
    <cellStyle name="40% - Accent2 2" xfId="155"/>
    <cellStyle name="40% - Accent2 3" xfId="156"/>
    <cellStyle name="40% - Accent3" xfId="157"/>
    <cellStyle name="40% - Accent3 2" xfId="158"/>
    <cellStyle name="40% - Accent3 3" xfId="159"/>
    <cellStyle name="40% - Accent4" xfId="160"/>
    <cellStyle name="40% - Accent4 2" xfId="161"/>
    <cellStyle name="40% - Accent4 3" xfId="162"/>
    <cellStyle name="40% - Accent5" xfId="163"/>
    <cellStyle name="40% - Accent5 2" xfId="164"/>
    <cellStyle name="40% - Accent5 3" xfId="165"/>
    <cellStyle name="40% - Accent6" xfId="166"/>
    <cellStyle name="40% - Accent6 2" xfId="167"/>
    <cellStyle name="40% - Accent6 3" xfId="168"/>
    <cellStyle name="60% - Accent1" xfId="169"/>
    <cellStyle name="60% - Accent2" xfId="170"/>
    <cellStyle name="60% - Accent3" xfId="171"/>
    <cellStyle name="60% - Accent4" xfId="172"/>
    <cellStyle name="60% - Accent5" xfId="173"/>
    <cellStyle name="60% - Accent6" xfId="174"/>
    <cellStyle name="Accent1" xfId="175"/>
    <cellStyle name="Accent2" xfId="176"/>
    <cellStyle name="Accent3" xfId="177"/>
    <cellStyle name="Accent4" xfId="178"/>
    <cellStyle name="Accent5" xfId="179"/>
    <cellStyle name="Accent6" xfId="180"/>
    <cellStyle name="Bad" xfId="181"/>
    <cellStyle name="Calc Currency (0)" xfId="182"/>
    <cellStyle name="Calculation" xfId="183"/>
    <cellStyle name="Check Cell" xfId="184"/>
    <cellStyle name="CheckCell" xfId="185"/>
    <cellStyle name="Comma" xfId="186"/>
    <cellStyle name="Comma [0]" xfId="187"/>
    <cellStyle name="Comma 10" xfId="188"/>
    <cellStyle name="Comma 11" xfId="189"/>
    <cellStyle name="Comma 12" xfId="190"/>
    <cellStyle name="Comma 13" xfId="191"/>
    <cellStyle name="Comma 2" xfId="192"/>
    <cellStyle name="Comma 2 2" xfId="193"/>
    <cellStyle name="Comma 3" xfId="194"/>
    <cellStyle name="Comma 3 2" xfId="195"/>
    <cellStyle name="Comma 4" xfId="196"/>
    <cellStyle name="Comma 4 2" xfId="197"/>
    <cellStyle name="Comma 5" xfId="198"/>
    <cellStyle name="Comma 7" xfId="199"/>
    <cellStyle name="Comma 8" xfId="200"/>
    <cellStyle name="Comma 9" xfId="201"/>
    <cellStyle name="Comma_Common Allocators GRC TY 0903" xfId="202"/>
    <cellStyle name="Comma0" xfId="203"/>
    <cellStyle name="Comma0 - Style2" xfId="204"/>
    <cellStyle name="Comma0 - Style4" xfId="205"/>
    <cellStyle name="Comma0 - Style5" xfId="206"/>
    <cellStyle name="Comma0 2" xfId="207"/>
    <cellStyle name="Comma0 3" xfId="208"/>
    <cellStyle name="Comma0 4" xfId="209"/>
    <cellStyle name="Comma0_00COS Ind Allocators" xfId="210"/>
    <cellStyle name="Comma1 - Style1" xfId="211"/>
    <cellStyle name="Copied" xfId="212"/>
    <cellStyle name="COST1" xfId="213"/>
    <cellStyle name="Curren - Style1" xfId="214"/>
    <cellStyle name="Curren - Style2" xfId="215"/>
    <cellStyle name="Curren - Style5" xfId="216"/>
    <cellStyle name="Curren - Style6" xfId="217"/>
    <cellStyle name="Currency" xfId="218"/>
    <cellStyle name="Currency [0]" xfId="219"/>
    <cellStyle name="Currency 10" xfId="220"/>
    <cellStyle name="Currency 11" xfId="221"/>
    <cellStyle name="Currency 2" xfId="222"/>
    <cellStyle name="Currency 3" xfId="223"/>
    <cellStyle name="Currency 4" xfId="224"/>
    <cellStyle name="Currency 7" xfId="225"/>
    <cellStyle name="Currency 8" xfId="226"/>
    <cellStyle name="Currency 9" xfId="227"/>
    <cellStyle name="Currency_Common Allocators GRC TY 0903" xfId="228"/>
    <cellStyle name="Currency0" xfId="229"/>
    <cellStyle name="Date" xfId="230"/>
    <cellStyle name="Date 2" xfId="231"/>
    <cellStyle name="Date 3" xfId="232"/>
    <cellStyle name="Date 4" xfId="233"/>
    <cellStyle name="Entered" xfId="234"/>
    <cellStyle name="Euro" xfId="235"/>
    <cellStyle name="Explanatory Text" xfId="236"/>
    <cellStyle name="Fixed" xfId="237"/>
    <cellStyle name="Fixed3 - Style3" xfId="238"/>
    <cellStyle name="Followed Hyperlink" xfId="239"/>
    <cellStyle name="Good" xfId="240"/>
    <cellStyle name="Grey" xfId="241"/>
    <cellStyle name="Grey 2" xfId="242"/>
    <cellStyle name="Grey 3" xfId="243"/>
    <cellStyle name="Grey 4" xfId="244"/>
    <cellStyle name="Header1" xfId="245"/>
    <cellStyle name="Header2" xfId="246"/>
    <cellStyle name="Heading 1" xfId="247"/>
    <cellStyle name="Heading 2" xfId="248"/>
    <cellStyle name="Heading 3" xfId="249"/>
    <cellStyle name="Heading 4" xfId="250"/>
    <cellStyle name="Heading1" xfId="251"/>
    <cellStyle name="Heading2" xfId="252"/>
    <cellStyle name="Hyperlink" xfId="253"/>
    <cellStyle name="Input" xfId="254"/>
    <cellStyle name="Input [yellow]" xfId="255"/>
    <cellStyle name="Input [yellow] 2" xfId="256"/>
    <cellStyle name="Input [yellow] 3" xfId="257"/>
    <cellStyle name="Input [yellow] 4" xfId="258"/>
    <cellStyle name="Input Cells" xfId="259"/>
    <cellStyle name="Input Cells Percent" xfId="260"/>
    <cellStyle name="Input Cells_Book9" xfId="261"/>
    <cellStyle name="Lines" xfId="262"/>
    <cellStyle name="LINKED" xfId="263"/>
    <cellStyle name="Linked Cell" xfId="264"/>
    <cellStyle name="modified border" xfId="265"/>
    <cellStyle name="modified border 2" xfId="266"/>
    <cellStyle name="modified border 3" xfId="267"/>
    <cellStyle name="modified border 4" xfId="268"/>
    <cellStyle name="modified border1" xfId="269"/>
    <cellStyle name="modified border1 2" xfId="270"/>
    <cellStyle name="modified border1 3" xfId="271"/>
    <cellStyle name="modified border1 4" xfId="272"/>
    <cellStyle name="Neutral" xfId="273"/>
    <cellStyle name="no dec" xfId="274"/>
    <cellStyle name="Normal - Style1" xfId="275"/>
    <cellStyle name="Normal - Style1 2" xfId="276"/>
    <cellStyle name="Normal - Style1 3" xfId="277"/>
    <cellStyle name="Normal - Style1 4" xfId="278"/>
    <cellStyle name="Normal 10" xfId="279"/>
    <cellStyle name="Normal 10 2" xfId="280"/>
    <cellStyle name="Normal 11" xfId="281"/>
    <cellStyle name="Normal 12" xfId="282"/>
    <cellStyle name="Normal 13" xfId="283"/>
    <cellStyle name="Normal 14" xfId="284"/>
    <cellStyle name="Normal 2" xfId="285"/>
    <cellStyle name="Normal 2 2" xfId="286"/>
    <cellStyle name="Normal 2 2 2" xfId="287"/>
    <cellStyle name="Normal 2 2 3" xfId="288"/>
    <cellStyle name="Normal 2 3" xfId="289"/>
    <cellStyle name="Normal 2 4" xfId="290"/>
    <cellStyle name="Normal 2 5" xfId="291"/>
    <cellStyle name="Normal 2 6" xfId="292"/>
    <cellStyle name="Normal 2_Allocation Method - Working File" xfId="293"/>
    <cellStyle name="Normal 3" xfId="294"/>
    <cellStyle name="Normal 3 2" xfId="295"/>
    <cellStyle name="Normal 3 3" xfId="296"/>
    <cellStyle name="Normal 4" xfId="297"/>
    <cellStyle name="Normal 4 2" xfId="298"/>
    <cellStyle name="Normal 49" xfId="299"/>
    <cellStyle name="Normal 6" xfId="300"/>
    <cellStyle name="Normal 7" xfId="301"/>
    <cellStyle name="Normal 9" xfId="302"/>
    <cellStyle name="Note" xfId="303"/>
    <cellStyle name="Note 8" xfId="304"/>
    <cellStyle name="Note 9" xfId="305"/>
    <cellStyle name="Output" xfId="306"/>
    <cellStyle name="Percen - Style1" xfId="307"/>
    <cellStyle name="Percen - Style2" xfId="308"/>
    <cellStyle name="Percen - Style3" xfId="309"/>
    <cellStyle name="Percent" xfId="310"/>
    <cellStyle name="Percent [2]" xfId="311"/>
    <cellStyle name="Percent 2" xfId="312"/>
    <cellStyle name="Percent 3" xfId="313"/>
    <cellStyle name="Percent 4" xfId="314"/>
    <cellStyle name="Percent 4 2" xfId="315"/>
    <cellStyle name="Processing" xfId="316"/>
    <cellStyle name="PSChar" xfId="317"/>
    <cellStyle name="PSDate" xfId="318"/>
    <cellStyle name="PSDec" xfId="319"/>
    <cellStyle name="PSHeading" xfId="320"/>
    <cellStyle name="PSInt" xfId="321"/>
    <cellStyle name="PSSpacer" xfId="322"/>
    <cellStyle name="purple - Style8" xfId="323"/>
    <cellStyle name="RED" xfId="324"/>
    <cellStyle name="Red - Style7" xfId="325"/>
    <cellStyle name="RED_04 07E Wild Horse Wind Expansion (C) (2)" xfId="326"/>
    <cellStyle name="Report" xfId="327"/>
    <cellStyle name="Report Bar" xfId="328"/>
    <cellStyle name="Report Heading" xfId="329"/>
    <cellStyle name="Report Percent" xfId="330"/>
    <cellStyle name="Report Unit Cost" xfId="331"/>
    <cellStyle name="Reports" xfId="332"/>
    <cellStyle name="Reports Total" xfId="333"/>
    <cellStyle name="Reports Unit Cost Total" xfId="334"/>
    <cellStyle name="Reports_Book9" xfId="335"/>
    <cellStyle name="RevList" xfId="336"/>
    <cellStyle name="round100" xfId="337"/>
    <cellStyle name="shade" xfId="338"/>
    <cellStyle name="StmtTtl1" xfId="339"/>
    <cellStyle name="StmtTtl1 2" xfId="340"/>
    <cellStyle name="StmtTtl1 3" xfId="341"/>
    <cellStyle name="StmtTtl1 4" xfId="342"/>
    <cellStyle name="StmtTtl2" xfId="343"/>
    <cellStyle name="STYL1 - Style1" xfId="344"/>
    <cellStyle name="Style 1" xfId="345"/>
    <cellStyle name="Style 1 2" xfId="346"/>
    <cellStyle name="Style 1 3" xfId="347"/>
    <cellStyle name="Style 1 4" xfId="348"/>
    <cellStyle name="Style 1 5" xfId="349"/>
    <cellStyle name="Style 1_4 31 Regulatory Assets and Liabilities  7 06- Exhibit D" xfId="350"/>
    <cellStyle name="Subtotal" xfId="351"/>
    <cellStyle name="Sub-total" xfId="352"/>
    <cellStyle name="Title" xfId="353"/>
    <cellStyle name="Title: Major" xfId="354"/>
    <cellStyle name="Title: Minor" xfId="355"/>
    <cellStyle name="Title: Worksheet" xfId="356"/>
    <cellStyle name="Total" xfId="357"/>
    <cellStyle name="Total4 - Style4" xfId="358"/>
    <cellStyle name="Warning Text" xfId="3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tabSelected="1" zoomScalePageLayoutView="0" workbookViewId="0" topLeftCell="A1">
      <selection activeCell="E26" sqref="E26"/>
    </sheetView>
  </sheetViews>
  <sheetFormatPr defaultColWidth="9.140625" defaultRowHeight="12.75"/>
  <cols>
    <col min="1" max="1" width="5.00390625" style="0" bestFit="1" customWidth="1"/>
    <col min="2" max="2" width="48.421875" style="0" customWidth="1"/>
    <col min="3" max="3" width="10.28125" style="0" customWidth="1"/>
    <col min="4" max="4" width="10.28125" style="0" bestFit="1" customWidth="1"/>
    <col min="5" max="5" width="12.57421875" style="0" customWidth="1"/>
  </cols>
  <sheetData>
    <row r="1" spans="1:5" ht="14.25">
      <c r="A1" s="4"/>
      <c r="B1" s="5"/>
      <c r="C1" s="5"/>
      <c r="D1" s="33"/>
      <c r="E1" s="34" t="s">
        <v>119</v>
      </c>
    </row>
    <row r="2" spans="1:5" ht="15" thickBot="1">
      <c r="A2" s="5"/>
      <c r="B2" s="5"/>
      <c r="C2" s="5"/>
      <c r="D2" s="33"/>
      <c r="E2" s="6" t="s">
        <v>121</v>
      </c>
    </row>
    <row r="3" spans="1:5" ht="14.25" thickBot="1" thickTop="1">
      <c r="A3" s="1"/>
      <c r="B3" s="1"/>
      <c r="C3" s="1"/>
      <c r="D3" s="1"/>
      <c r="E3" s="2" t="s">
        <v>120</v>
      </c>
    </row>
    <row r="4" spans="1:5" ht="13.5" thickTop="1">
      <c r="A4" s="3" t="s">
        <v>94</v>
      </c>
      <c r="B4" s="7"/>
      <c r="C4" s="8"/>
      <c r="D4" s="8"/>
      <c r="E4" s="8"/>
    </row>
    <row r="5" spans="1:5" ht="12.75">
      <c r="A5" s="3" t="s">
        <v>52</v>
      </c>
      <c r="B5" s="9"/>
      <c r="C5" s="10"/>
      <c r="D5" s="10"/>
      <c r="E5" s="10"/>
    </row>
    <row r="6" spans="1:5" ht="12.75">
      <c r="A6" s="8" t="s">
        <v>95</v>
      </c>
      <c r="B6" s="11"/>
      <c r="C6" s="12"/>
      <c r="D6" s="12"/>
      <c r="E6" s="12"/>
    </row>
    <row r="7" spans="1:5" ht="12.75">
      <c r="A7" s="3" t="s">
        <v>96</v>
      </c>
      <c r="B7" s="7"/>
      <c r="C7" s="8"/>
      <c r="D7" s="8"/>
      <c r="E7" s="8"/>
    </row>
    <row r="8" spans="1:5" ht="12.75">
      <c r="A8" s="13"/>
      <c r="B8" s="13"/>
      <c r="C8" s="13"/>
      <c r="D8" s="13"/>
      <c r="E8" s="13"/>
    </row>
    <row r="9" spans="1:5" ht="12.75">
      <c r="A9" s="14" t="s">
        <v>8</v>
      </c>
      <c r="B9" s="13"/>
      <c r="C9" s="119"/>
      <c r="D9" s="119"/>
      <c r="E9" s="119"/>
    </row>
    <row r="10" spans="1:5" ht="12.75">
      <c r="A10" s="15" t="s">
        <v>9</v>
      </c>
      <c r="B10" s="16" t="s">
        <v>2</v>
      </c>
      <c r="C10" s="17" t="s">
        <v>10</v>
      </c>
      <c r="D10" s="17" t="s">
        <v>13</v>
      </c>
      <c r="E10" s="17" t="s">
        <v>11</v>
      </c>
    </row>
    <row r="11" spans="1:5" ht="12.75">
      <c r="A11" s="5"/>
      <c r="B11" s="5"/>
      <c r="C11" s="5"/>
      <c r="D11" s="5"/>
      <c r="E11" s="5"/>
    </row>
    <row r="12" spans="1:5" ht="12.75">
      <c r="A12" s="18">
        <v>1</v>
      </c>
      <c r="B12" s="22" t="s">
        <v>14</v>
      </c>
      <c r="C12" s="35"/>
      <c r="D12" s="35"/>
      <c r="E12" s="35"/>
    </row>
    <row r="13" spans="1:5" ht="12.75">
      <c r="A13" s="18">
        <f>A12+1</f>
        <v>2</v>
      </c>
      <c r="B13" s="32" t="s">
        <v>97</v>
      </c>
      <c r="C13" s="35"/>
      <c r="D13" s="35"/>
      <c r="E13" s="35" t="s">
        <v>81</v>
      </c>
    </row>
    <row r="14" spans="1:5" ht="12.75">
      <c r="A14" s="18">
        <f aca="true" t="shared" si="0" ref="A14:A26">A13+1</f>
        <v>3</v>
      </c>
      <c r="B14" s="19" t="s">
        <v>98</v>
      </c>
      <c r="C14" s="20"/>
      <c r="D14" s="36">
        <f>-'2010 Gas'!AF56-'2010 Common Electric Gas'!AG73</f>
        <v>-173949.10623863013</v>
      </c>
      <c r="E14" s="37">
        <f>D14</f>
        <v>-173949.10623863013</v>
      </c>
    </row>
    <row r="15" spans="1:5" ht="12.75">
      <c r="A15" s="18">
        <f t="shared" si="0"/>
        <v>4</v>
      </c>
      <c r="B15" s="116" t="s">
        <v>123</v>
      </c>
      <c r="C15" s="20"/>
      <c r="D15" s="36">
        <f>-D14*D24</f>
        <v>60882.187183520546</v>
      </c>
      <c r="E15" s="37">
        <f>D15</f>
        <v>60882.187183520546</v>
      </c>
    </row>
    <row r="16" spans="1:5" ht="13.5" thickBot="1">
      <c r="A16" s="18">
        <f t="shared" si="0"/>
        <v>5</v>
      </c>
      <c r="B16" s="19" t="s">
        <v>20</v>
      </c>
      <c r="C16" s="21"/>
      <c r="D16" s="21"/>
      <c r="E16" s="31">
        <f>SUM(E14:E15)</f>
        <v>-113066.91905510958</v>
      </c>
    </row>
    <row r="17" spans="1:5" ht="13.5" thickTop="1">
      <c r="A17" s="18">
        <f t="shared" si="0"/>
        <v>6</v>
      </c>
      <c r="B17" s="19"/>
      <c r="C17" s="21"/>
      <c r="D17" s="21"/>
      <c r="E17" s="38"/>
    </row>
    <row r="18" spans="1:5" ht="12.75">
      <c r="A18" s="18">
        <f t="shared" si="0"/>
        <v>7</v>
      </c>
      <c r="B18" s="22" t="s">
        <v>17</v>
      </c>
      <c r="C18" s="5"/>
      <c r="D18" s="5"/>
      <c r="E18" s="5"/>
    </row>
    <row r="19" spans="1:5" ht="12.75">
      <c r="A19" s="18">
        <f t="shared" si="0"/>
        <v>8</v>
      </c>
      <c r="B19" s="5" t="s">
        <v>99</v>
      </c>
      <c r="C19" s="39">
        <f>'2010 Gas'!AF29+'2010 Common Electric Gas'!AG27</f>
        <v>6052437.762914</v>
      </c>
      <c r="D19" s="39">
        <f>'2010 Gas'!AF15+'2010 Common Electric Gas'!AG14</f>
        <v>5460131.548188928</v>
      </c>
      <c r="E19" s="40">
        <f>+D19-C19</f>
        <v>-592306.2147250725</v>
      </c>
    </row>
    <row r="20" spans="1:5" ht="12.75">
      <c r="A20" s="18">
        <f t="shared" si="0"/>
        <v>9</v>
      </c>
      <c r="B20" s="5" t="s">
        <v>12</v>
      </c>
      <c r="C20" s="41">
        <f>SUM(C19:C19)</f>
        <v>6052437.762914</v>
      </c>
      <c r="D20" s="41">
        <f>SUM(D19:D19)</f>
        <v>5460131.548188928</v>
      </c>
      <c r="E20" s="41">
        <f>SUM(E19:E19)</f>
        <v>-592306.2147250725</v>
      </c>
    </row>
    <row r="21" spans="1:5" ht="12.75">
      <c r="A21" s="18">
        <f t="shared" si="0"/>
        <v>10</v>
      </c>
      <c r="B21" s="5"/>
      <c r="C21" s="40"/>
      <c r="D21" s="40"/>
      <c r="E21" s="40"/>
    </row>
    <row r="22" spans="1:5" ht="12.75">
      <c r="A22" s="18">
        <f t="shared" si="0"/>
        <v>11</v>
      </c>
      <c r="B22" s="42" t="s">
        <v>12</v>
      </c>
      <c r="C22" s="43"/>
      <c r="D22" s="43"/>
      <c r="E22" s="44">
        <f>E20</f>
        <v>-592306.2147250725</v>
      </c>
    </row>
    <row r="23" spans="1:5" ht="12.75">
      <c r="A23" s="18">
        <f t="shared" si="0"/>
        <v>12</v>
      </c>
      <c r="B23" s="42"/>
      <c r="C23" s="43"/>
      <c r="D23" s="43"/>
      <c r="E23" s="43"/>
    </row>
    <row r="24" spans="1:5" ht="12.75">
      <c r="A24" s="18">
        <f t="shared" si="0"/>
        <v>13</v>
      </c>
      <c r="B24" s="116" t="s">
        <v>122</v>
      </c>
      <c r="C24" s="117"/>
      <c r="D24" s="118">
        <v>0.35</v>
      </c>
      <c r="E24" s="43">
        <f>-E22*D24</f>
        <v>207307.17515377537</v>
      </c>
    </row>
    <row r="25" spans="1:5" ht="12.75">
      <c r="A25" s="18">
        <f t="shared" si="0"/>
        <v>14</v>
      </c>
      <c r="B25" s="42"/>
      <c r="C25" s="43"/>
      <c r="D25" s="43"/>
      <c r="E25" s="43"/>
    </row>
    <row r="26" spans="1:5" ht="13.5" thickBot="1">
      <c r="A26" s="18">
        <f t="shared" si="0"/>
        <v>15</v>
      </c>
      <c r="B26" s="42" t="s">
        <v>18</v>
      </c>
      <c r="C26" s="35"/>
      <c r="D26" s="35"/>
      <c r="E26" s="45">
        <f>-E22-E24</f>
        <v>384999.0395712971</v>
      </c>
    </row>
    <row r="27" spans="1:5" ht="13.5" thickTop="1">
      <c r="A27" s="18" t="s">
        <v>81</v>
      </c>
      <c r="B27" s="19"/>
      <c r="C27" s="35"/>
      <c r="D27" s="35"/>
      <c r="E27" s="35"/>
    </row>
    <row r="28" spans="1:5" ht="12.75">
      <c r="A28" s="18"/>
      <c r="B28" s="5"/>
      <c r="C28" s="5"/>
      <c r="D28" s="5"/>
      <c r="E28" s="5"/>
    </row>
    <row r="29" spans="1:2" ht="12.75">
      <c r="A29" s="18"/>
      <c r="B29" s="5"/>
    </row>
    <row r="30" spans="1:2" ht="12.75">
      <c r="A30" s="18"/>
      <c r="B30" s="5"/>
    </row>
  </sheetData>
  <sheetProtection/>
  <mergeCells count="1">
    <mergeCell ref="C9:E9"/>
  </mergeCells>
  <printOptions/>
  <pageMargins left="0" right="0" top="1" bottom="1" header="0.5" footer="0.5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58"/>
  <sheetViews>
    <sheetView zoomScalePageLayoutView="0" workbookViewId="0" topLeftCell="A1">
      <pane xSplit="2" ySplit="3" topLeftCell="Z4" activePane="bottomRight" state="frozen"/>
      <selection pane="topLeft" activeCell="C57" sqref="C57"/>
      <selection pane="topRight" activeCell="C57" sqref="C57"/>
      <selection pane="bottomLeft" activeCell="C57" sqref="C57"/>
      <selection pane="bottomRight" activeCell="C57" sqref="C57"/>
    </sheetView>
  </sheetViews>
  <sheetFormatPr defaultColWidth="9.140625" defaultRowHeight="12.75"/>
  <cols>
    <col min="1" max="1" width="9.00390625" style="49" bestFit="1" customWidth="1"/>
    <col min="2" max="2" width="35.28125" style="47" customWidth="1"/>
    <col min="3" max="3" width="21.28125" style="48" bestFit="1" customWidth="1"/>
    <col min="4" max="4" width="9.28125" style="49" customWidth="1"/>
    <col min="5" max="5" width="14.28125" style="47" bestFit="1" customWidth="1"/>
    <col min="6" max="22" width="8.7109375" style="47" bestFit="1" customWidth="1"/>
    <col min="23" max="23" width="9.28125" style="47" bestFit="1" customWidth="1"/>
    <col min="24" max="25" width="8.7109375" style="47" bestFit="1" customWidth="1"/>
    <col min="26" max="31" width="8.7109375" style="47" customWidth="1"/>
    <col min="32" max="32" width="10.28125" style="47" bestFit="1" customWidth="1"/>
    <col min="33" max="33" width="9.28125" style="47" bestFit="1" customWidth="1"/>
    <col min="34" max="34" width="10.28125" style="47" bestFit="1" customWidth="1"/>
    <col min="35" max="35" width="9.140625" style="47" customWidth="1"/>
    <col min="36" max="36" width="22.7109375" style="47" bestFit="1" customWidth="1"/>
    <col min="37" max="16384" width="9.140625" style="47" customWidth="1"/>
  </cols>
  <sheetData>
    <row r="1" ht="12">
      <c r="B1" s="46" t="s">
        <v>100</v>
      </c>
    </row>
    <row r="2" ht="12">
      <c r="B2" s="46"/>
    </row>
    <row r="3" spans="1:33" ht="12">
      <c r="A3" s="55"/>
      <c r="B3" s="55"/>
      <c r="C3" s="56"/>
      <c r="D3" s="55"/>
      <c r="E3" s="56" t="s">
        <v>81</v>
      </c>
      <c r="F3" s="120" t="s">
        <v>91</v>
      </c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 t="s">
        <v>91</v>
      </c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</row>
    <row r="4" spans="1:32" ht="12">
      <c r="A4" s="55" t="s">
        <v>0</v>
      </c>
      <c r="B4" s="55"/>
      <c r="C4" s="56" t="s">
        <v>57</v>
      </c>
      <c r="D4" s="55" t="s">
        <v>112</v>
      </c>
      <c r="E4" s="56" t="s">
        <v>61</v>
      </c>
      <c r="F4" s="59" t="s">
        <v>62</v>
      </c>
      <c r="G4" s="60" t="s">
        <v>63</v>
      </c>
      <c r="H4" s="59" t="s">
        <v>64</v>
      </c>
      <c r="I4" s="59" t="s">
        <v>65</v>
      </c>
      <c r="J4" s="59" t="s">
        <v>66</v>
      </c>
      <c r="K4" s="59" t="s">
        <v>67</v>
      </c>
      <c r="L4" s="59" t="s">
        <v>68</v>
      </c>
      <c r="M4" s="59" t="s">
        <v>69</v>
      </c>
      <c r="N4" s="59" t="s">
        <v>70</v>
      </c>
      <c r="O4" s="59" t="s">
        <v>71</v>
      </c>
      <c r="P4" s="59" t="s">
        <v>72</v>
      </c>
      <c r="Q4" s="59" t="s">
        <v>73</v>
      </c>
      <c r="R4" s="59" t="s">
        <v>62</v>
      </c>
      <c r="S4" s="59" t="s">
        <v>63</v>
      </c>
      <c r="T4" s="59" t="s">
        <v>64</v>
      </c>
      <c r="U4" s="59" t="s">
        <v>65</v>
      </c>
      <c r="V4" s="59" t="s">
        <v>66</v>
      </c>
      <c r="W4" s="59" t="s">
        <v>67</v>
      </c>
      <c r="X4" s="59" t="s">
        <v>68</v>
      </c>
      <c r="Y4" s="59" t="s">
        <v>69</v>
      </c>
      <c r="Z4" s="59" t="s">
        <v>70</v>
      </c>
      <c r="AA4" s="59" t="s">
        <v>71</v>
      </c>
      <c r="AB4" s="59" t="s">
        <v>72</v>
      </c>
      <c r="AC4" s="59" t="s">
        <v>73</v>
      </c>
      <c r="AD4" s="59" t="s">
        <v>62</v>
      </c>
      <c r="AE4" s="59" t="s">
        <v>63</v>
      </c>
      <c r="AF4" s="89" t="s">
        <v>92</v>
      </c>
    </row>
    <row r="5" spans="1:32" ht="12">
      <c r="A5" s="62" t="s">
        <v>1</v>
      </c>
      <c r="B5" s="62" t="s">
        <v>2</v>
      </c>
      <c r="C5" s="63" t="s">
        <v>60</v>
      </c>
      <c r="D5" s="62" t="s">
        <v>3</v>
      </c>
      <c r="E5" s="63" t="s">
        <v>4</v>
      </c>
      <c r="F5" s="64">
        <v>2008</v>
      </c>
      <c r="G5" s="64">
        <v>2008</v>
      </c>
      <c r="H5" s="64">
        <v>2009</v>
      </c>
      <c r="I5" s="64">
        <v>2009</v>
      </c>
      <c r="J5" s="64">
        <v>2009</v>
      </c>
      <c r="K5" s="64">
        <v>2009</v>
      </c>
      <c r="L5" s="64">
        <v>2009</v>
      </c>
      <c r="M5" s="64">
        <v>2009</v>
      </c>
      <c r="N5" s="64">
        <v>2009</v>
      </c>
      <c r="O5" s="64">
        <v>2009</v>
      </c>
      <c r="P5" s="64">
        <v>2009</v>
      </c>
      <c r="Q5" s="64">
        <v>2009</v>
      </c>
      <c r="R5" s="64">
        <v>2009</v>
      </c>
      <c r="S5" s="64">
        <v>2009</v>
      </c>
      <c r="T5" s="64">
        <v>2010</v>
      </c>
      <c r="U5" s="64">
        <v>2010</v>
      </c>
      <c r="V5" s="64">
        <v>2010</v>
      </c>
      <c r="W5" s="64">
        <v>2010</v>
      </c>
      <c r="X5" s="64">
        <v>2010</v>
      </c>
      <c r="Y5" s="64">
        <v>2010</v>
      </c>
      <c r="Z5" s="64">
        <v>2010</v>
      </c>
      <c r="AA5" s="64">
        <v>2010</v>
      </c>
      <c r="AB5" s="64">
        <v>2010</v>
      </c>
      <c r="AC5" s="64">
        <v>2010</v>
      </c>
      <c r="AD5" s="64">
        <v>2010</v>
      </c>
      <c r="AE5" s="64">
        <v>2010</v>
      </c>
      <c r="AF5" s="57" t="s">
        <v>80</v>
      </c>
    </row>
    <row r="6" spans="1:36" ht="12">
      <c r="A6" s="49" t="s">
        <v>101</v>
      </c>
      <c r="B6" s="47" t="s">
        <v>22</v>
      </c>
      <c r="C6" s="48">
        <v>2281875.42</v>
      </c>
      <c r="D6" s="50">
        <v>0.05</v>
      </c>
      <c r="E6" s="65">
        <f aca="true" t="shared" si="0" ref="E6:E14">(C6*D6)/12</f>
        <v>9507.814250000001</v>
      </c>
      <c r="F6" s="66">
        <f aca="true" t="shared" si="1" ref="F6:M14">E6</f>
        <v>9507.814250000001</v>
      </c>
      <c r="G6" s="66">
        <f t="shared" si="1"/>
        <v>9507.814250000001</v>
      </c>
      <c r="H6" s="66">
        <f aca="true" t="shared" si="2" ref="H6:M6">114093.77/12</f>
        <v>9507.814166666667</v>
      </c>
      <c r="I6" s="66">
        <f t="shared" si="2"/>
        <v>9507.814166666667</v>
      </c>
      <c r="J6" s="66">
        <f t="shared" si="2"/>
        <v>9507.814166666667</v>
      </c>
      <c r="K6" s="66">
        <f t="shared" si="2"/>
        <v>9507.814166666667</v>
      </c>
      <c r="L6" s="66">
        <f t="shared" si="2"/>
        <v>9507.814166666667</v>
      </c>
      <c r="M6" s="66">
        <f t="shared" si="2"/>
        <v>9507.814166666667</v>
      </c>
      <c r="N6" s="66">
        <v>9507.814166666667</v>
      </c>
      <c r="O6" s="66">
        <v>9507.814166666667</v>
      </c>
      <c r="P6" s="66">
        <v>9507.814166666667</v>
      </c>
      <c r="Q6" s="66">
        <v>9507.814166666667</v>
      </c>
      <c r="R6" s="66">
        <v>9507.814166666667</v>
      </c>
      <c r="S6" s="66">
        <v>9507.814166666667</v>
      </c>
      <c r="T6" s="66">
        <v>9507.814166666667</v>
      </c>
      <c r="U6" s="66">
        <v>9507.814166666667</v>
      </c>
      <c r="V6" s="66">
        <v>9507.814166666667</v>
      </c>
      <c r="W6" s="66">
        <f>V6</f>
        <v>9507.814166666667</v>
      </c>
      <c r="X6" s="66">
        <f aca="true" t="shared" si="3" ref="X6:AE14">W6</f>
        <v>9507.814166666667</v>
      </c>
      <c r="Y6" s="66">
        <f>X6</f>
        <v>9507.814166666667</v>
      </c>
      <c r="Z6" s="66">
        <f aca="true" t="shared" si="4" ref="Z6:AE6">Y6</f>
        <v>9507.814166666667</v>
      </c>
      <c r="AA6" s="66">
        <f t="shared" si="4"/>
        <v>9507.814166666667</v>
      </c>
      <c r="AB6" s="66">
        <f t="shared" si="4"/>
        <v>9507.814166666667</v>
      </c>
      <c r="AC6" s="66">
        <f t="shared" si="4"/>
        <v>9507.814166666667</v>
      </c>
      <c r="AD6" s="66">
        <f t="shared" si="4"/>
        <v>9507.814166666667</v>
      </c>
      <c r="AE6" s="66">
        <f t="shared" si="4"/>
        <v>9507.814166666667</v>
      </c>
      <c r="AF6" s="66">
        <f>T6+U6+V6+X6+Y6+W6+Z6+AA6+AB6+AC6+AD6+AE6</f>
        <v>114093.76999999997</v>
      </c>
      <c r="AH6" s="66"/>
      <c r="AI6" s="66"/>
      <c r="AJ6" s="66"/>
    </row>
    <row r="7" spans="1:36" ht="12">
      <c r="A7" s="49" t="s">
        <v>102</v>
      </c>
      <c r="B7" s="47" t="s">
        <v>24</v>
      </c>
      <c r="C7" s="48">
        <v>5988515.69</v>
      </c>
      <c r="D7" s="50">
        <v>0.2</v>
      </c>
      <c r="E7" s="65">
        <f t="shared" si="0"/>
        <v>99808.59483333334</v>
      </c>
      <c r="F7" s="66">
        <f t="shared" si="1"/>
        <v>99808.59483333334</v>
      </c>
      <c r="G7" s="66">
        <f>F7</f>
        <v>99808.59483333334</v>
      </c>
      <c r="H7" s="66">
        <f aca="true" t="shared" si="5" ref="H7:H14">G7</f>
        <v>99808.59483333334</v>
      </c>
      <c r="I7" s="66">
        <f>H7</f>
        <v>99808.59483333334</v>
      </c>
      <c r="J7" s="66">
        <f>I7</f>
        <v>99808.59483333334</v>
      </c>
      <c r="K7" s="66">
        <f>J7</f>
        <v>99808.59483333334</v>
      </c>
      <c r="L7" s="66">
        <f>K7</f>
        <v>99808.59483333334</v>
      </c>
      <c r="M7" s="66">
        <f>L7</f>
        <v>99808.59483333334</v>
      </c>
      <c r="N7" s="66">
        <v>99808.59483333334</v>
      </c>
      <c r="O7" s="66">
        <v>99808.59483333334</v>
      </c>
      <c r="P7" s="66">
        <v>99808.59483333334</v>
      </c>
      <c r="Q7" s="66">
        <v>99808.59483333334</v>
      </c>
      <c r="R7" s="66">
        <v>99808.59483333334</v>
      </c>
      <c r="S7" s="66">
        <v>99808.59483333334</v>
      </c>
      <c r="T7" s="66">
        <v>99808.59483333334</v>
      </c>
      <c r="U7" s="66">
        <v>99808.59483333334</v>
      </c>
      <c r="V7" s="66">
        <v>99808.59483333334</v>
      </c>
      <c r="W7" s="66">
        <f aca="true" t="shared" si="6" ref="W7:W14">V7</f>
        <v>99808.59483333334</v>
      </c>
      <c r="X7" s="66">
        <f t="shared" si="3"/>
        <v>99808.59483333334</v>
      </c>
      <c r="Y7" s="66">
        <f t="shared" si="3"/>
        <v>99808.59483333334</v>
      </c>
      <c r="Z7" s="66">
        <f t="shared" si="3"/>
        <v>99808.59483333334</v>
      </c>
      <c r="AA7" s="66">
        <f t="shared" si="3"/>
        <v>99808.59483333334</v>
      </c>
      <c r="AB7" s="66">
        <f t="shared" si="3"/>
        <v>99808.59483333334</v>
      </c>
      <c r="AC7" s="66">
        <f t="shared" si="3"/>
        <v>99808.59483333334</v>
      </c>
      <c r="AD7" s="66">
        <f t="shared" si="3"/>
        <v>99808.59483333334</v>
      </c>
      <c r="AE7" s="66">
        <f t="shared" si="3"/>
        <v>99808.59483333334</v>
      </c>
      <c r="AF7" s="66">
        <f aca="true" t="shared" si="7" ref="AF7:AF14">T7+U7+V7+X7+Y7+W7+Z7+AA7+AB7+AC7+AD7+AE7</f>
        <v>1197703.1379999998</v>
      </c>
      <c r="AH7" s="66"/>
      <c r="AI7" s="66"/>
      <c r="AJ7" s="66"/>
    </row>
    <row r="8" spans="1:36" ht="12">
      <c r="A8" s="49" t="s">
        <v>103</v>
      </c>
      <c r="B8" s="47" t="s">
        <v>58</v>
      </c>
      <c r="C8" s="48">
        <v>362434.54</v>
      </c>
      <c r="D8" s="50">
        <v>0.09</v>
      </c>
      <c r="E8" s="65">
        <f t="shared" si="0"/>
        <v>2718.2590499999997</v>
      </c>
      <c r="F8" s="66">
        <f t="shared" si="1"/>
        <v>2718.2590499999997</v>
      </c>
      <c r="G8" s="66">
        <f t="shared" si="1"/>
        <v>2718.2590499999997</v>
      </c>
      <c r="H8" s="66">
        <f t="shared" si="5"/>
        <v>2718.2590499999997</v>
      </c>
      <c r="I8" s="66">
        <f t="shared" si="1"/>
        <v>2718.2590499999997</v>
      </c>
      <c r="J8" s="66">
        <f t="shared" si="1"/>
        <v>2718.2590499999997</v>
      </c>
      <c r="K8" s="66">
        <f t="shared" si="1"/>
        <v>2718.2590499999997</v>
      </c>
      <c r="L8" s="66">
        <f t="shared" si="1"/>
        <v>2718.2590499999997</v>
      </c>
      <c r="M8" s="66">
        <f t="shared" si="1"/>
        <v>2718.2590499999997</v>
      </c>
      <c r="N8" s="66">
        <v>2718.2590499999997</v>
      </c>
      <c r="O8" s="66">
        <v>2718.2590499999997</v>
      </c>
      <c r="P8" s="66">
        <v>2718.2590499999997</v>
      </c>
      <c r="Q8" s="66">
        <v>2718.2590499999997</v>
      </c>
      <c r="R8" s="66">
        <v>2718.2590499999997</v>
      </c>
      <c r="S8" s="66">
        <v>2718.2590499999997</v>
      </c>
      <c r="T8" s="66">
        <v>2718.2590499999997</v>
      </c>
      <c r="U8" s="66">
        <v>2718.2590499999997</v>
      </c>
      <c r="V8" s="66">
        <v>2718.2590499999997</v>
      </c>
      <c r="W8" s="66">
        <f t="shared" si="6"/>
        <v>2718.2590499999997</v>
      </c>
      <c r="X8" s="66">
        <f t="shared" si="3"/>
        <v>2718.2590499999997</v>
      </c>
      <c r="Y8" s="66">
        <f t="shared" si="3"/>
        <v>2718.2590499999997</v>
      </c>
      <c r="Z8" s="66">
        <f t="shared" si="3"/>
        <v>2718.2590499999997</v>
      </c>
      <c r="AA8" s="66">
        <f t="shared" si="3"/>
        <v>2718.2590499999997</v>
      </c>
      <c r="AB8" s="66">
        <f t="shared" si="3"/>
        <v>2718.2590499999997</v>
      </c>
      <c r="AC8" s="66">
        <f t="shared" si="3"/>
        <v>2718.2590499999997</v>
      </c>
      <c r="AD8" s="66">
        <f t="shared" si="3"/>
        <v>2718.2590499999997</v>
      </c>
      <c r="AE8" s="66">
        <f t="shared" si="3"/>
        <v>2718.2590499999997</v>
      </c>
      <c r="AF8" s="66">
        <f t="shared" si="7"/>
        <v>32619.108600000003</v>
      </c>
      <c r="AH8" s="66"/>
      <c r="AI8" s="66"/>
      <c r="AJ8" s="66"/>
    </row>
    <row r="9" spans="1:36" ht="12">
      <c r="A9" s="49" t="s">
        <v>104</v>
      </c>
      <c r="B9" s="47" t="s">
        <v>26</v>
      </c>
      <c r="C9" s="48">
        <v>34029.95</v>
      </c>
      <c r="D9" s="50">
        <v>0.05</v>
      </c>
      <c r="E9" s="65">
        <f t="shared" si="0"/>
        <v>141.79145833333334</v>
      </c>
      <c r="F9" s="66">
        <f t="shared" si="1"/>
        <v>141.79145833333334</v>
      </c>
      <c r="G9" s="66">
        <f t="shared" si="1"/>
        <v>141.79145833333334</v>
      </c>
      <c r="H9" s="66">
        <f t="shared" si="5"/>
        <v>141.79145833333334</v>
      </c>
      <c r="I9" s="66">
        <f t="shared" si="1"/>
        <v>141.79145833333334</v>
      </c>
      <c r="J9" s="66">
        <f t="shared" si="1"/>
        <v>141.79145833333334</v>
      </c>
      <c r="K9" s="66">
        <f t="shared" si="1"/>
        <v>141.79145833333334</v>
      </c>
      <c r="L9" s="66">
        <f t="shared" si="1"/>
        <v>141.79145833333334</v>
      </c>
      <c r="M9" s="66">
        <f t="shared" si="1"/>
        <v>141.79145833333334</v>
      </c>
      <c r="N9" s="66">
        <v>141.79145833333334</v>
      </c>
      <c r="O9" s="66">
        <v>141.79145833333334</v>
      </c>
      <c r="P9" s="66">
        <v>141.79145833333334</v>
      </c>
      <c r="Q9" s="66">
        <v>141.79145833333334</v>
      </c>
      <c r="R9" s="66">
        <v>141.79145833333334</v>
      </c>
      <c r="S9" s="66">
        <v>141.79145833333334</v>
      </c>
      <c r="T9" s="66">
        <v>141.79145833333334</v>
      </c>
      <c r="U9" s="66">
        <v>141.79145833333334</v>
      </c>
      <c r="V9" s="66">
        <v>141.79145833333334</v>
      </c>
      <c r="W9" s="66">
        <f t="shared" si="6"/>
        <v>141.79145833333334</v>
      </c>
      <c r="X9" s="66">
        <f t="shared" si="3"/>
        <v>141.79145833333334</v>
      </c>
      <c r="Y9" s="66">
        <f t="shared" si="3"/>
        <v>141.79145833333334</v>
      </c>
      <c r="Z9" s="66">
        <f t="shared" si="3"/>
        <v>141.79145833333334</v>
      </c>
      <c r="AA9" s="66">
        <f t="shared" si="3"/>
        <v>141.79145833333334</v>
      </c>
      <c r="AB9" s="66">
        <f t="shared" si="3"/>
        <v>141.79145833333334</v>
      </c>
      <c r="AC9" s="66">
        <f t="shared" si="3"/>
        <v>141.79145833333334</v>
      </c>
      <c r="AD9" s="66">
        <f t="shared" si="3"/>
        <v>141.79145833333334</v>
      </c>
      <c r="AE9" s="66">
        <f t="shared" si="3"/>
        <v>141.79145833333334</v>
      </c>
      <c r="AF9" s="66">
        <f t="shared" si="7"/>
        <v>1701.4975000000002</v>
      </c>
      <c r="AH9" s="66"/>
      <c r="AI9" s="66"/>
      <c r="AJ9" s="66"/>
    </row>
    <row r="10" spans="1:36" ht="12">
      <c r="A10" s="49" t="s">
        <v>105</v>
      </c>
      <c r="B10" s="47" t="s">
        <v>28</v>
      </c>
      <c r="C10" s="48">
        <v>5073001.61</v>
      </c>
      <c r="D10" s="50">
        <v>0.05</v>
      </c>
      <c r="E10" s="65">
        <f t="shared" si="0"/>
        <v>21137.506708333338</v>
      </c>
      <c r="F10" s="66">
        <f t="shared" si="1"/>
        <v>21137.506708333338</v>
      </c>
      <c r="G10" s="66">
        <f t="shared" si="1"/>
        <v>21137.506708333338</v>
      </c>
      <c r="H10" s="66">
        <f t="shared" si="5"/>
        <v>21137.506708333338</v>
      </c>
      <c r="I10" s="66">
        <f t="shared" si="1"/>
        <v>21137.506708333338</v>
      </c>
      <c r="J10" s="66">
        <f t="shared" si="1"/>
        <v>21137.506708333338</v>
      </c>
      <c r="K10" s="66">
        <f t="shared" si="1"/>
        <v>21137.506708333338</v>
      </c>
      <c r="L10" s="66">
        <f t="shared" si="1"/>
        <v>21137.506708333338</v>
      </c>
      <c r="M10" s="66">
        <f t="shared" si="1"/>
        <v>21137.506708333338</v>
      </c>
      <c r="N10" s="66">
        <v>21137.506708333338</v>
      </c>
      <c r="O10" s="66">
        <v>21137.506708333338</v>
      </c>
      <c r="P10" s="66">
        <v>21137.506708333338</v>
      </c>
      <c r="Q10" s="66">
        <v>21137.506708333338</v>
      </c>
      <c r="R10" s="66">
        <v>21137.506708333338</v>
      </c>
      <c r="S10" s="66">
        <v>21137.506708333338</v>
      </c>
      <c r="T10" s="66">
        <v>21137.506708333338</v>
      </c>
      <c r="U10" s="66">
        <v>21137.506708333338</v>
      </c>
      <c r="V10" s="66">
        <v>21137.506708333338</v>
      </c>
      <c r="W10" s="66">
        <f t="shared" si="6"/>
        <v>21137.506708333338</v>
      </c>
      <c r="X10" s="66">
        <f t="shared" si="3"/>
        <v>21137.506708333338</v>
      </c>
      <c r="Y10" s="66">
        <f t="shared" si="3"/>
        <v>21137.506708333338</v>
      </c>
      <c r="Z10" s="66">
        <f t="shared" si="3"/>
        <v>21137.506708333338</v>
      </c>
      <c r="AA10" s="66">
        <f t="shared" si="3"/>
        <v>21137.506708333338</v>
      </c>
      <c r="AB10" s="66">
        <f t="shared" si="3"/>
        <v>21137.506708333338</v>
      </c>
      <c r="AC10" s="66">
        <f t="shared" si="3"/>
        <v>21137.506708333338</v>
      </c>
      <c r="AD10" s="66">
        <f t="shared" si="3"/>
        <v>21137.506708333338</v>
      </c>
      <c r="AE10" s="66">
        <f t="shared" si="3"/>
        <v>21137.506708333338</v>
      </c>
      <c r="AF10" s="66">
        <f t="shared" si="7"/>
        <v>253650.0805</v>
      </c>
      <c r="AH10" s="66"/>
      <c r="AI10" s="66"/>
      <c r="AJ10" s="66"/>
    </row>
    <row r="11" spans="1:36" ht="12">
      <c r="A11" s="49" t="s">
        <v>106</v>
      </c>
      <c r="B11" s="47" t="s">
        <v>76</v>
      </c>
      <c r="C11" s="48">
        <v>2143441.38</v>
      </c>
      <c r="D11" s="50">
        <v>0.05</v>
      </c>
      <c r="E11" s="65">
        <f t="shared" si="0"/>
        <v>8931.00575</v>
      </c>
      <c r="F11" s="66">
        <f t="shared" si="1"/>
        <v>8931.00575</v>
      </c>
      <c r="G11" s="66">
        <f t="shared" si="1"/>
        <v>8931.00575</v>
      </c>
      <c r="H11" s="66">
        <f t="shared" si="5"/>
        <v>8931.00575</v>
      </c>
      <c r="I11" s="66">
        <f t="shared" si="1"/>
        <v>8931.00575</v>
      </c>
      <c r="J11" s="66">
        <f t="shared" si="1"/>
        <v>8931.00575</v>
      </c>
      <c r="K11" s="66">
        <f t="shared" si="1"/>
        <v>8931.00575</v>
      </c>
      <c r="L11" s="66">
        <f t="shared" si="1"/>
        <v>8931.00575</v>
      </c>
      <c r="M11" s="66">
        <f t="shared" si="1"/>
        <v>8931.00575</v>
      </c>
      <c r="N11" s="66">
        <v>8931.00575</v>
      </c>
      <c r="O11" s="66">
        <v>8931.00575</v>
      </c>
      <c r="P11" s="66">
        <v>8931.00575</v>
      </c>
      <c r="Q11" s="66">
        <v>8931.00575</v>
      </c>
      <c r="R11" s="66">
        <v>8931.00575</v>
      </c>
      <c r="S11" s="66">
        <v>8931.00575</v>
      </c>
      <c r="T11" s="66">
        <v>8931.00575</v>
      </c>
      <c r="U11" s="66">
        <v>8931.00575</v>
      </c>
      <c r="V11" s="66">
        <v>8931.00575</v>
      </c>
      <c r="W11" s="66">
        <f t="shared" si="6"/>
        <v>8931.00575</v>
      </c>
      <c r="X11" s="66">
        <f t="shared" si="3"/>
        <v>8931.00575</v>
      </c>
      <c r="Y11" s="66">
        <f t="shared" si="3"/>
        <v>8931.00575</v>
      </c>
      <c r="Z11" s="66">
        <f t="shared" si="3"/>
        <v>8931.00575</v>
      </c>
      <c r="AA11" s="66">
        <f t="shared" si="3"/>
        <v>8931.00575</v>
      </c>
      <c r="AB11" s="66">
        <f t="shared" si="3"/>
        <v>8931.00575</v>
      </c>
      <c r="AC11" s="66">
        <f t="shared" si="3"/>
        <v>8931.00575</v>
      </c>
      <c r="AD11" s="66">
        <f t="shared" si="3"/>
        <v>8931.00575</v>
      </c>
      <c r="AE11" s="66">
        <f t="shared" si="3"/>
        <v>8931.00575</v>
      </c>
      <c r="AF11" s="66">
        <f t="shared" si="7"/>
        <v>107172.06899999997</v>
      </c>
      <c r="AH11" s="66"/>
      <c r="AI11" s="66"/>
      <c r="AJ11" s="66"/>
    </row>
    <row r="12" spans="1:36" ht="12">
      <c r="A12" s="49" t="s">
        <v>107</v>
      </c>
      <c r="B12" s="47" t="s">
        <v>59</v>
      </c>
      <c r="C12" s="48">
        <v>73330.67</v>
      </c>
      <c r="D12" s="50">
        <v>0.06</v>
      </c>
      <c r="E12" s="65">
        <f t="shared" si="0"/>
        <v>366.65335</v>
      </c>
      <c r="F12" s="66">
        <f t="shared" si="1"/>
        <v>366.65335</v>
      </c>
      <c r="G12" s="66">
        <f t="shared" si="1"/>
        <v>366.65335</v>
      </c>
      <c r="H12" s="66">
        <f t="shared" si="5"/>
        <v>366.65335</v>
      </c>
      <c r="I12" s="66">
        <f t="shared" si="1"/>
        <v>366.65335</v>
      </c>
      <c r="J12" s="66">
        <f t="shared" si="1"/>
        <v>366.65335</v>
      </c>
      <c r="K12" s="66">
        <f t="shared" si="1"/>
        <v>366.65335</v>
      </c>
      <c r="L12" s="66">
        <f t="shared" si="1"/>
        <v>366.65335</v>
      </c>
      <c r="M12" s="66">
        <f t="shared" si="1"/>
        <v>366.65335</v>
      </c>
      <c r="N12" s="66">
        <v>366.65335</v>
      </c>
      <c r="O12" s="66">
        <v>366.65335</v>
      </c>
      <c r="P12" s="66">
        <v>366.65335</v>
      </c>
      <c r="Q12" s="66">
        <v>366.65335</v>
      </c>
      <c r="R12" s="66">
        <v>366.65335</v>
      </c>
      <c r="S12" s="66">
        <v>366.65335</v>
      </c>
      <c r="T12" s="66">
        <v>366.65335</v>
      </c>
      <c r="U12" s="66">
        <v>366.65335</v>
      </c>
      <c r="V12" s="66">
        <v>366.65335</v>
      </c>
      <c r="W12" s="66">
        <f t="shared" si="6"/>
        <v>366.65335</v>
      </c>
      <c r="X12" s="66">
        <f t="shared" si="3"/>
        <v>366.65335</v>
      </c>
      <c r="Y12" s="66">
        <f t="shared" si="3"/>
        <v>366.65335</v>
      </c>
      <c r="Z12" s="66">
        <f t="shared" si="3"/>
        <v>366.65335</v>
      </c>
      <c r="AA12" s="66">
        <f t="shared" si="3"/>
        <v>366.65335</v>
      </c>
      <c r="AB12" s="66">
        <f t="shared" si="3"/>
        <v>366.65335</v>
      </c>
      <c r="AC12" s="66">
        <f t="shared" si="3"/>
        <v>366.65335</v>
      </c>
      <c r="AD12" s="66">
        <f t="shared" si="3"/>
        <v>366.65335</v>
      </c>
      <c r="AE12" s="66">
        <f t="shared" si="3"/>
        <v>366.65335</v>
      </c>
      <c r="AF12" s="66">
        <f t="shared" si="7"/>
        <v>4399.8402</v>
      </c>
      <c r="AH12" s="66"/>
      <c r="AI12" s="66"/>
      <c r="AJ12" s="66"/>
    </row>
    <row r="13" spans="1:36" ht="12">
      <c r="A13" s="49" t="s">
        <v>108</v>
      </c>
      <c r="B13" s="47" t="s">
        <v>30</v>
      </c>
      <c r="C13" s="48">
        <v>3359292.15</v>
      </c>
      <c r="D13" s="50">
        <v>0.0667</v>
      </c>
      <c r="E13" s="65">
        <f t="shared" si="0"/>
        <v>18672.06553375</v>
      </c>
      <c r="F13" s="66">
        <f t="shared" si="1"/>
        <v>18672.06553375</v>
      </c>
      <c r="G13" s="66">
        <f t="shared" si="1"/>
        <v>18672.06553375</v>
      </c>
      <c r="H13" s="66">
        <f t="shared" si="5"/>
        <v>18672.06553375</v>
      </c>
      <c r="I13" s="66">
        <f t="shared" si="1"/>
        <v>18672.06553375</v>
      </c>
      <c r="J13" s="66">
        <f t="shared" si="1"/>
        <v>18672.06553375</v>
      </c>
      <c r="K13" s="66">
        <f t="shared" si="1"/>
        <v>18672.06553375</v>
      </c>
      <c r="L13" s="66">
        <f t="shared" si="1"/>
        <v>18672.06553375</v>
      </c>
      <c r="M13" s="66">
        <f t="shared" si="1"/>
        <v>18672.06553375</v>
      </c>
      <c r="N13" s="66">
        <v>18672.06553375</v>
      </c>
      <c r="O13" s="66">
        <v>18672.06553375</v>
      </c>
      <c r="P13" s="66">
        <v>18672.06553375</v>
      </c>
      <c r="Q13" s="66">
        <v>18672.06553375</v>
      </c>
      <c r="R13" s="66">
        <v>18672.06553375</v>
      </c>
      <c r="S13" s="66">
        <v>18672.06553375</v>
      </c>
      <c r="T13" s="66">
        <v>18672.06553375</v>
      </c>
      <c r="U13" s="66">
        <v>18672.06553375</v>
      </c>
      <c r="V13" s="66">
        <v>18672.06553375</v>
      </c>
      <c r="W13" s="66">
        <f t="shared" si="6"/>
        <v>18672.06553375</v>
      </c>
      <c r="X13" s="66">
        <f t="shared" si="3"/>
        <v>18672.06553375</v>
      </c>
      <c r="Y13" s="66">
        <f t="shared" si="3"/>
        <v>18672.06553375</v>
      </c>
      <c r="Z13" s="66">
        <f t="shared" si="3"/>
        <v>18672.06553375</v>
      </c>
      <c r="AA13" s="66">
        <f t="shared" si="3"/>
        <v>18672.06553375</v>
      </c>
      <c r="AB13" s="66">
        <f t="shared" si="3"/>
        <v>18672.06553375</v>
      </c>
      <c r="AC13" s="66">
        <f t="shared" si="3"/>
        <v>18672.06553375</v>
      </c>
      <c r="AD13" s="66">
        <f t="shared" si="3"/>
        <v>18672.06553375</v>
      </c>
      <c r="AE13" s="66">
        <f t="shared" si="3"/>
        <v>18672.06553375</v>
      </c>
      <c r="AF13" s="66">
        <f t="shared" si="7"/>
        <v>224064.78640499993</v>
      </c>
      <c r="AH13" s="66"/>
      <c r="AI13" s="66"/>
      <c r="AJ13" s="66"/>
    </row>
    <row r="14" spans="1:36" ht="12">
      <c r="A14" s="49" t="s">
        <v>109</v>
      </c>
      <c r="B14" s="47" t="s">
        <v>32</v>
      </c>
      <c r="C14" s="48">
        <v>73675.06</v>
      </c>
      <c r="D14" s="50">
        <v>0.0667</v>
      </c>
      <c r="E14" s="65">
        <f t="shared" si="0"/>
        <v>409.51054183333326</v>
      </c>
      <c r="F14" s="66">
        <f t="shared" si="1"/>
        <v>409.51054183333326</v>
      </c>
      <c r="G14" s="66">
        <f t="shared" si="1"/>
        <v>409.51054183333326</v>
      </c>
      <c r="H14" s="66">
        <f t="shared" si="5"/>
        <v>409.51054183333326</v>
      </c>
      <c r="I14" s="66">
        <f t="shared" si="1"/>
        <v>409.51054183333326</v>
      </c>
      <c r="J14" s="66">
        <f t="shared" si="1"/>
        <v>409.51054183333326</v>
      </c>
      <c r="K14" s="66">
        <f t="shared" si="1"/>
        <v>409.51054183333326</v>
      </c>
      <c r="L14" s="66">
        <f t="shared" si="1"/>
        <v>409.51054183333326</v>
      </c>
      <c r="M14" s="66">
        <f t="shared" si="1"/>
        <v>409.51054183333326</v>
      </c>
      <c r="N14" s="66">
        <v>409.51054183333326</v>
      </c>
      <c r="O14" s="66">
        <v>409.51054183333326</v>
      </c>
      <c r="P14" s="66">
        <v>409.51054183333326</v>
      </c>
      <c r="Q14" s="66">
        <v>409.51054183333326</v>
      </c>
      <c r="R14" s="66">
        <v>409.51054183333326</v>
      </c>
      <c r="S14" s="66">
        <v>409.51054183333326</v>
      </c>
      <c r="T14" s="66">
        <v>409.51054183333326</v>
      </c>
      <c r="U14" s="66">
        <v>409.51054183333326</v>
      </c>
      <c r="V14" s="66">
        <v>409.51054183333326</v>
      </c>
      <c r="W14" s="66">
        <f t="shared" si="6"/>
        <v>409.51054183333326</v>
      </c>
      <c r="X14" s="66">
        <f t="shared" si="3"/>
        <v>409.51054183333326</v>
      </c>
      <c r="Y14" s="66">
        <f t="shared" si="3"/>
        <v>409.51054183333326</v>
      </c>
      <c r="Z14" s="66">
        <f t="shared" si="3"/>
        <v>409.51054183333326</v>
      </c>
      <c r="AA14" s="66">
        <f t="shared" si="3"/>
        <v>409.51054183333326</v>
      </c>
      <c r="AB14" s="66">
        <f t="shared" si="3"/>
        <v>409.51054183333326</v>
      </c>
      <c r="AC14" s="66">
        <f t="shared" si="3"/>
        <v>409.51054183333326</v>
      </c>
      <c r="AD14" s="66">
        <f t="shared" si="3"/>
        <v>409.51054183333326</v>
      </c>
      <c r="AE14" s="66">
        <f t="shared" si="3"/>
        <v>409.51054183333326</v>
      </c>
      <c r="AF14" s="66">
        <f t="shared" si="7"/>
        <v>4914.126501999999</v>
      </c>
      <c r="AH14" s="66"/>
      <c r="AI14" s="66"/>
      <c r="AJ14" s="66"/>
    </row>
    <row r="15" spans="1:32" ht="12">
      <c r="A15" s="67"/>
      <c r="B15" s="68" t="s">
        <v>16</v>
      </c>
      <c r="C15" s="69">
        <v>19389596.47</v>
      </c>
      <c r="D15" s="70"/>
      <c r="E15" s="71">
        <f>SUM(E6:E14)</f>
        <v>161693.20147558334</v>
      </c>
      <c r="F15" s="71">
        <f aca="true" t="shared" si="8" ref="F15:AE15">SUM(F6:F14)</f>
        <v>161693.20147558334</v>
      </c>
      <c r="G15" s="71">
        <f t="shared" si="8"/>
        <v>161693.20147558334</v>
      </c>
      <c r="H15" s="71">
        <f t="shared" si="8"/>
        <v>161693.20139225</v>
      </c>
      <c r="I15" s="71">
        <f t="shared" si="8"/>
        <v>161693.20139225</v>
      </c>
      <c r="J15" s="71">
        <f t="shared" si="8"/>
        <v>161693.20139225</v>
      </c>
      <c r="K15" s="71">
        <f t="shared" si="8"/>
        <v>161693.20139225</v>
      </c>
      <c r="L15" s="71">
        <f t="shared" si="8"/>
        <v>161693.20139225</v>
      </c>
      <c r="M15" s="71">
        <f t="shared" si="8"/>
        <v>161693.20139225</v>
      </c>
      <c r="N15" s="71">
        <f t="shared" si="8"/>
        <v>161693.20139225</v>
      </c>
      <c r="O15" s="71">
        <f t="shared" si="8"/>
        <v>161693.20139225</v>
      </c>
      <c r="P15" s="71">
        <f t="shared" si="8"/>
        <v>161693.20139225</v>
      </c>
      <c r="Q15" s="71">
        <f t="shared" si="8"/>
        <v>161693.20139225</v>
      </c>
      <c r="R15" s="71">
        <f t="shared" si="8"/>
        <v>161693.20139225</v>
      </c>
      <c r="S15" s="71">
        <f t="shared" si="8"/>
        <v>161693.20139225</v>
      </c>
      <c r="T15" s="71">
        <f t="shared" si="8"/>
        <v>161693.20139225</v>
      </c>
      <c r="U15" s="71">
        <f t="shared" si="8"/>
        <v>161693.20139225</v>
      </c>
      <c r="V15" s="71">
        <f t="shared" si="8"/>
        <v>161693.20139225</v>
      </c>
      <c r="W15" s="71">
        <f>SUM(W6:W14)</f>
        <v>161693.20139225</v>
      </c>
      <c r="X15" s="71">
        <f t="shared" si="8"/>
        <v>161693.20139225</v>
      </c>
      <c r="Y15" s="71">
        <f t="shared" si="8"/>
        <v>161693.20139225</v>
      </c>
      <c r="Z15" s="71">
        <f t="shared" si="8"/>
        <v>161693.20139225</v>
      </c>
      <c r="AA15" s="71">
        <f t="shared" si="8"/>
        <v>161693.20139225</v>
      </c>
      <c r="AB15" s="71">
        <f t="shared" si="8"/>
        <v>161693.20139225</v>
      </c>
      <c r="AC15" s="71">
        <f t="shared" si="8"/>
        <v>161693.20139225</v>
      </c>
      <c r="AD15" s="71">
        <f t="shared" si="8"/>
        <v>161693.20139225</v>
      </c>
      <c r="AE15" s="71">
        <f t="shared" si="8"/>
        <v>161693.20139225</v>
      </c>
      <c r="AF15" s="72">
        <f>SUM(AF6:AF14)</f>
        <v>1940318.4167069995</v>
      </c>
    </row>
    <row r="16" spans="1:23" ht="12">
      <c r="A16" s="67"/>
      <c r="B16" s="68"/>
      <c r="C16" s="73"/>
      <c r="D16" s="70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66"/>
    </row>
    <row r="17" spans="1:33" ht="12">
      <c r="A17" s="55"/>
      <c r="B17" s="55"/>
      <c r="C17" s="56"/>
      <c r="D17" s="55"/>
      <c r="E17" s="75"/>
      <c r="F17" s="120" t="s">
        <v>90</v>
      </c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 t="s">
        <v>90</v>
      </c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</row>
    <row r="18" spans="1:32" ht="12">
      <c r="A18" s="55" t="s">
        <v>0</v>
      </c>
      <c r="B18" s="55"/>
      <c r="C18" s="56"/>
      <c r="D18" s="55"/>
      <c r="E18" s="75"/>
      <c r="F18" s="61" t="s">
        <v>62</v>
      </c>
      <c r="G18" s="61" t="s">
        <v>63</v>
      </c>
      <c r="H18" s="61" t="s">
        <v>64</v>
      </c>
      <c r="I18" s="61" t="s">
        <v>65</v>
      </c>
      <c r="J18" s="61" t="s">
        <v>66</v>
      </c>
      <c r="K18" s="61" t="s">
        <v>67</v>
      </c>
      <c r="L18" s="61" t="s">
        <v>68</v>
      </c>
      <c r="M18" s="61" t="s">
        <v>69</v>
      </c>
      <c r="N18" s="61" t="s">
        <v>70</v>
      </c>
      <c r="O18" s="61" t="s">
        <v>71</v>
      </c>
      <c r="P18" s="61" t="s">
        <v>72</v>
      </c>
      <c r="Q18" s="61" t="s">
        <v>73</v>
      </c>
      <c r="R18" s="61" t="s">
        <v>62</v>
      </c>
      <c r="S18" s="61" t="s">
        <v>63</v>
      </c>
      <c r="T18" s="61" t="s">
        <v>64</v>
      </c>
      <c r="U18" s="61" t="s">
        <v>65</v>
      </c>
      <c r="V18" s="61" t="s">
        <v>66</v>
      </c>
      <c r="W18" s="59" t="s">
        <v>67</v>
      </c>
      <c r="X18" s="59" t="s">
        <v>68</v>
      </c>
      <c r="Y18" s="59" t="s">
        <v>69</v>
      </c>
      <c r="Z18" s="59" t="s">
        <v>70</v>
      </c>
      <c r="AA18" s="59" t="s">
        <v>71</v>
      </c>
      <c r="AB18" s="59" t="s">
        <v>72</v>
      </c>
      <c r="AC18" s="59" t="s">
        <v>73</v>
      </c>
      <c r="AD18" s="59" t="s">
        <v>62</v>
      </c>
      <c r="AE18" s="59" t="s">
        <v>63</v>
      </c>
      <c r="AF18" s="89" t="s">
        <v>92</v>
      </c>
    </row>
    <row r="19" spans="1:32" ht="12">
      <c r="A19" s="62" t="s">
        <v>1</v>
      </c>
      <c r="B19" s="62" t="s">
        <v>2</v>
      </c>
      <c r="C19" s="63"/>
      <c r="D19" s="62"/>
      <c r="E19" s="77"/>
      <c r="F19" s="78">
        <v>2008</v>
      </c>
      <c r="G19" s="78">
        <v>2008</v>
      </c>
      <c r="H19" s="78">
        <v>2009</v>
      </c>
      <c r="I19" s="78">
        <v>2009</v>
      </c>
      <c r="J19" s="78">
        <v>2009</v>
      </c>
      <c r="K19" s="78">
        <v>2009</v>
      </c>
      <c r="L19" s="78">
        <v>2009</v>
      </c>
      <c r="M19" s="78">
        <v>2009</v>
      </c>
      <c r="N19" s="78">
        <v>2009</v>
      </c>
      <c r="O19" s="78">
        <v>2009</v>
      </c>
      <c r="P19" s="78">
        <v>2009</v>
      </c>
      <c r="Q19" s="78">
        <v>2009</v>
      </c>
      <c r="R19" s="78">
        <v>2009</v>
      </c>
      <c r="S19" s="78">
        <v>2009</v>
      </c>
      <c r="T19" s="78">
        <v>2010</v>
      </c>
      <c r="U19" s="78">
        <v>2010</v>
      </c>
      <c r="V19" s="78">
        <v>2010</v>
      </c>
      <c r="W19" s="78">
        <v>2010</v>
      </c>
      <c r="X19" s="78">
        <v>2010</v>
      </c>
      <c r="Y19" s="78">
        <v>2010</v>
      </c>
      <c r="Z19" s="78">
        <v>2010</v>
      </c>
      <c r="AA19" s="78">
        <v>2010</v>
      </c>
      <c r="AB19" s="78">
        <v>2010</v>
      </c>
      <c r="AC19" s="78">
        <v>2010</v>
      </c>
      <c r="AD19" s="78">
        <v>2010</v>
      </c>
      <c r="AE19" s="78">
        <v>2010</v>
      </c>
      <c r="AF19" s="57" t="s">
        <v>80</v>
      </c>
    </row>
    <row r="20" spans="1:32" ht="12">
      <c r="A20" s="49" t="s">
        <v>101</v>
      </c>
      <c r="B20" s="47" t="s">
        <v>22</v>
      </c>
      <c r="D20" s="50"/>
      <c r="E20" s="65"/>
      <c r="F20" s="66">
        <v>9507.81</v>
      </c>
      <c r="G20" s="66">
        <v>9468.2</v>
      </c>
      <c r="H20" s="66">
        <v>9428.75</v>
      </c>
      <c r="I20" s="66">
        <v>9389.46</v>
      </c>
      <c r="J20" s="66">
        <v>9350.34</v>
      </c>
      <c r="K20" s="66">
        <v>9311.38</v>
      </c>
      <c r="L20" s="66">
        <v>9272.58</v>
      </c>
      <c r="M20" s="66">
        <v>9233.95</v>
      </c>
      <c r="N20" s="66">
        <v>9195.47</v>
      </c>
      <c r="O20" s="66">
        <v>9157.16</v>
      </c>
      <c r="P20" s="66">
        <v>9119</v>
      </c>
      <c r="Q20" s="66">
        <v>9081.01</v>
      </c>
      <c r="R20" s="66">
        <v>9043.17</v>
      </c>
      <c r="S20" s="66">
        <v>9005.49</v>
      </c>
      <c r="T20" s="66">
        <v>8967.97</v>
      </c>
      <c r="U20" s="66">
        <v>8930.6</v>
      </c>
      <c r="V20" s="66">
        <v>8893.39</v>
      </c>
      <c r="W20" s="66">
        <v>14808.59</v>
      </c>
      <c r="X20" s="66">
        <v>9507.71</v>
      </c>
      <c r="Y20" s="66">
        <f aca="true" t="shared" si="9" ref="Y20:AE28">X20</f>
        <v>9507.71</v>
      </c>
      <c r="Z20" s="66">
        <f t="shared" si="9"/>
        <v>9507.71</v>
      </c>
      <c r="AA20" s="66">
        <f t="shared" si="9"/>
        <v>9507.71</v>
      </c>
      <c r="AB20" s="66">
        <f t="shared" si="9"/>
        <v>9507.71</v>
      </c>
      <c r="AC20" s="66">
        <f t="shared" si="9"/>
        <v>9507.71</v>
      </c>
      <c r="AD20" s="66">
        <f t="shared" si="9"/>
        <v>9507.71</v>
      </c>
      <c r="AE20" s="66">
        <f t="shared" si="9"/>
        <v>9507.71</v>
      </c>
      <c r="AF20" s="66">
        <f>+T20+U20+V20+X20+Y20+W20+Z20+AA20+AB20+AC20+AD20+AE20</f>
        <v>117662.22999999995</v>
      </c>
    </row>
    <row r="21" spans="1:32" ht="12">
      <c r="A21" s="49" t="s">
        <v>102</v>
      </c>
      <c r="B21" s="47" t="s">
        <v>24</v>
      </c>
      <c r="D21" s="50"/>
      <c r="E21" s="65"/>
      <c r="F21" s="66">
        <v>99808.6</v>
      </c>
      <c r="G21" s="66">
        <v>98145.12</v>
      </c>
      <c r="H21" s="66">
        <v>96509.37</v>
      </c>
      <c r="I21" s="66">
        <v>94900.88</v>
      </c>
      <c r="J21" s="66">
        <v>93319.2</v>
      </c>
      <c r="K21" s="66">
        <v>91763.88</v>
      </c>
      <c r="L21" s="66">
        <v>90234.48</v>
      </c>
      <c r="M21" s="66">
        <v>88730.57</v>
      </c>
      <c r="N21" s="66">
        <v>87251.73</v>
      </c>
      <c r="O21" s="66">
        <v>85797.53</v>
      </c>
      <c r="P21" s="66">
        <v>84367.57</v>
      </c>
      <c r="Q21" s="66">
        <v>82961.45</v>
      </c>
      <c r="R21" s="66">
        <v>81578.76</v>
      </c>
      <c r="S21" s="66">
        <v>80219.11</v>
      </c>
      <c r="T21" s="66">
        <v>78882.12</v>
      </c>
      <c r="U21" s="66">
        <v>77567.42</v>
      </c>
      <c r="V21" s="66">
        <v>76274.63</v>
      </c>
      <c r="W21" s="66">
        <v>313089.58</v>
      </c>
      <c r="X21" s="66">
        <v>99693.19</v>
      </c>
      <c r="Y21" s="66">
        <f t="shared" si="9"/>
        <v>99693.19</v>
      </c>
      <c r="Z21" s="66">
        <f t="shared" si="9"/>
        <v>99693.19</v>
      </c>
      <c r="AA21" s="66">
        <f t="shared" si="9"/>
        <v>99693.19</v>
      </c>
      <c r="AB21" s="66">
        <f t="shared" si="9"/>
        <v>99693.19</v>
      </c>
      <c r="AC21" s="66">
        <f t="shared" si="9"/>
        <v>99693.19</v>
      </c>
      <c r="AD21" s="66">
        <f t="shared" si="9"/>
        <v>99693.19</v>
      </c>
      <c r="AE21" s="66">
        <f t="shared" si="9"/>
        <v>99693.19</v>
      </c>
      <c r="AF21" s="66">
        <f aca="true" t="shared" si="10" ref="AF21:AF28">+T21+U21+V21+X21+Y21+W21+Z21+AA21+AB21+AC21+AD21+AE21</f>
        <v>1343359.2699999998</v>
      </c>
    </row>
    <row r="22" spans="1:32" ht="12">
      <c r="A22" s="49" t="s">
        <v>103</v>
      </c>
      <c r="B22" s="47" t="s">
        <v>58</v>
      </c>
      <c r="D22" s="50"/>
      <c r="E22" s="65"/>
      <c r="F22" s="66">
        <v>3293.12</v>
      </c>
      <c r="G22" s="66">
        <v>3265.68</v>
      </c>
      <c r="H22" s="66">
        <v>3238.46</v>
      </c>
      <c r="I22" s="66">
        <v>3211.47</v>
      </c>
      <c r="J22" s="66">
        <v>3184.71</v>
      </c>
      <c r="K22" s="66">
        <v>3158.17</v>
      </c>
      <c r="L22" s="66">
        <v>3131.85</v>
      </c>
      <c r="M22" s="66">
        <v>3105.76</v>
      </c>
      <c r="N22" s="66">
        <v>3079.87</v>
      </c>
      <c r="O22" s="66">
        <v>3054.21</v>
      </c>
      <c r="P22" s="66">
        <v>3028.76</v>
      </c>
      <c r="Q22" s="66">
        <v>3008.68</v>
      </c>
      <c r="R22" s="66">
        <v>2984.09</v>
      </c>
      <c r="S22" s="66">
        <v>2959.22</v>
      </c>
      <c r="T22" s="66">
        <f>2934.56+35.65</f>
        <v>2970.21</v>
      </c>
      <c r="U22" s="66">
        <f>2910.1+35.65</f>
        <v>2945.75</v>
      </c>
      <c r="V22" s="66">
        <f>2885.88+35.65</f>
        <v>2921.53</v>
      </c>
      <c r="W22" s="66">
        <v>-3402.83</v>
      </c>
      <c r="X22" s="66">
        <v>2713.45</v>
      </c>
      <c r="Y22" s="66">
        <f t="shared" si="9"/>
        <v>2713.45</v>
      </c>
      <c r="Z22" s="66">
        <v>2746.2</v>
      </c>
      <c r="AA22" s="66">
        <v>2792.51</v>
      </c>
      <c r="AB22" s="66">
        <v>2803.89</v>
      </c>
      <c r="AC22" s="66">
        <v>2803.89</v>
      </c>
      <c r="AD22" s="66">
        <v>2803.89</v>
      </c>
      <c r="AE22" s="66">
        <v>2803.89</v>
      </c>
      <c r="AF22" s="66">
        <f t="shared" si="10"/>
        <v>27615.829999999994</v>
      </c>
    </row>
    <row r="23" spans="1:32" ht="12">
      <c r="A23" s="49" t="s">
        <v>104</v>
      </c>
      <c r="B23" s="47" t="s">
        <v>26</v>
      </c>
      <c r="D23" s="50"/>
      <c r="E23" s="65"/>
      <c r="F23" s="66">
        <v>141.79</v>
      </c>
      <c r="G23" s="66">
        <v>141.2</v>
      </c>
      <c r="H23" s="66">
        <v>140.61</v>
      </c>
      <c r="I23" s="66">
        <v>140.03</v>
      </c>
      <c r="J23" s="66">
        <v>139.44</v>
      </c>
      <c r="K23" s="66">
        <v>138.86</v>
      </c>
      <c r="L23" s="66">
        <v>138.28</v>
      </c>
      <c r="M23" s="66">
        <v>137.71</v>
      </c>
      <c r="N23" s="66">
        <v>137.13</v>
      </c>
      <c r="O23" s="66">
        <v>136.56</v>
      </c>
      <c r="P23" s="66">
        <v>135.99</v>
      </c>
      <c r="Q23" s="66">
        <v>135.43</v>
      </c>
      <c r="R23" s="66">
        <v>134.86</v>
      </c>
      <c r="S23" s="66">
        <v>134.3</v>
      </c>
      <c r="T23" s="66">
        <v>133.74</v>
      </c>
      <c r="U23" s="66">
        <v>133.18</v>
      </c>
      <c r="V23" s="66">
        <v>132.63</v>
      </c>
      <c r="W23" s="66">
        <v>220.85</v>
      </c>
      <c r="X23" s="66">
        <v>141.79</v>
      </c>
      <c r="Y23" s="66">
        <f t="shared" si="9"/>
        <v>141.79</v>
      </c>
      <c r="Z23" s="66">
        <f t="shared" si="9"/>
        <v>141.79</v>
      </c>
      <c r="AA23" s="66">
        <f t="shared" si="9"/>
        <v>141.79</v>
      </c>
      <c r="AB23" s="66">
        <f t="shared" si="9"/>
        <v>141.79</v>
      </c>
      <c r="AC23" s="66">
        <f t="shared" si="9"/>
        <v>141.79</v>
      </c>
      <c r="AD23" s="66">
        <f t="shared" si="9"/>
        <v>141.79</v>
      </c>
      <c r="AE23" s="66">
        <f t="shared" si="9"/>
        <v>141.79</v>
      </c>
      <c r="AF23" s="66">
        <f t="shared" si="10"/>
        <v>1754.7199999999998</v>
      </c>
    </row>
    <row r="24" spans="1:32" ht="12">
      <c r="A24" s="49" t="s">
        <v>105</v>
      </c>
      <c r="B24" s="47" t="s">
        <v>28</v>
      </c>
      <c r="D24" s="50"/>
      <c r="E24" s="65"/>
      <c r="F24" s="66">
        <v>21137.51</v>
      </c>
      <c r="G24" s="66">
        <v>21049.43</v>
      </c>
      <c r="H24" s="66">
        <v>20961.73</v>
      </c>
      <c r="I24" s="66">
        <v>20874.39</v>
      </c>
      <c r="J24" s="66">
        <v>20787.41</v>
      </c>
      <c r="K24" s="66">
        <v>20700.8</v>
      </c>
      <c r="L24" s="66">
        <v>20614.54</v>
      </c>
      <c r="M24" s="66">
        <v>20528.65</v>
      </c>
      <c r="N24" s="66">
        <v>20443.11</v>
      </c>
      <c r="O24" s="66">
        <v>20357.93</v>
      </c>
      <c r="P24" s="66">
        <v>20273.11</v>
      </c>
      <c r="Q24" s="66">
        <v>20188.64</v>
      </c>
      <c r="R24" s="66">
        <v>20104.52</v>
      </c>
      <c r="S24" s="66">
        <v>20020.75</v>
      </c>
      <c r="T24" s="66">
        <v>19937.62</v>
      </c>
      <c r="U24" s="66">
        <v>19854.26</v>
      </c>
      <c r="V24" s="66">
        <v>19771.53</v>
      </c>
      <c r="W24" s="66">
        <v>32922.09</v>
      </c>
      <c r="X24" s="66">
        <v>21137.27</v>
      </c>
      <c r="Y24" s="66">
        <f t="shared" si="9"/>
        <v>21137.27</v>
      </c>
      <c r="Z24" s="66">
        <f t="shared" si="9"/>
        <v>21137.27</v>
      </c>
      <c r="AA24" s="66">
        <f t="shared" si="9"/>
        <v>21137.27</v>
      </c>
      <c r="AB24" s="66">
        <f t="shared" si="9"/>
        <v>21137.27</v>
      </c>
      <c r="AC24" s="66">
        <f t="shared" si="9"/>
        <v>21137.27</v>
      </c>
      <c r="AD24" s="66">
        <f t="shared" si="9"/>
        <v>21137.27</v>
      </c>
      <c r="AE24" s="66">
        <f t="shared" si="9"/>
        <v>21137.27</v>
      </c>
      <c r="AF24" s="66">
        <f t="shared" si="10"/>
        <v>261583.65999999992</v>
      </c>
    </row>
    <row r="25" spans="1:32" ht="12">
      <c r="A25" s="49" t="s">
        <v>106</v>
      </c>
      <c r="B25" s="47" t="s">
        <v>76</v>
      </c>
      <c r="D25" s="50"/>
      <c r="E25" s="65"/>
      <c r="F25" s="66">
        <v>8931.01</v>
      </c>
      <c r="G25" s="66">
        <v>8893.79</v>
      </c>
      <c r="H25" s="66">
        <v>8856.74</v>
      </c>
      <c r="I25" s="66">
        <v>8819.83</v>
      </c>
      <c r="J25" s="66">
        <v>8783.08</v>
      </c>
      <c r="K25" s="66">
        <v>8746.49</v>
      </c>
      <c r="L25" s="66">
        <v>8710.04</v>
      </c>
      <c r="M25" s="66">
        <v>8673.75</v>
      </c>
      <c r="N25" s="66">
        <v>8637.61</v>
      </c>
      <c r="O25" s="66">
        <v>8601.62</v>
      </c>
      <c r="P25" s="66">
        <v>8565.78</v>
      </c>
      <c r="Q25" s="66">
        <v>8530.09</v>
      </c>
      <c r="R25" s="66">
        <v>8494.55</v>
      </c>
      <c r="S25" s="66">
        <v>8459.15</v>
      </c>
      <c r="T25" s="66">
        <v>8423.91</v>
      </c>
      <c r="U25" s="66">
        <v>8388.81</v>
      </c>
      <c r="V25" s="66">
        <v>8353.85</v>
      </c>
      <c r="W25" s="66">
        <v>13910.23</v>
      </c>
      <c r="X25" s="66">
        <v>8930.9</v>
      </c>
      <c r="Y25" s="66">
        <f t="shared" si="9"/>
        <v>8930.9</v>
      </c>
      <c r="Z25" s="66">
        <f t="shared" si="9"/>
        <v>8930.9</v>
      </c>
      <c r="AA25" s="66">
        <f t="shared" si="9"/>
        <v>8930.9</v>
      </c>
      <c r="AB25" s="66">
        <f t="shared" si="9"/>
        <v>8930.9</v>
      </c>
      <c r="AC25" s="66">
        <f t="shared" si="9"/>
        <v>8930.9</v>
      </c>
      <c r="AD25" s="66">
        <f t="shared" si="9"/>
        <v>8930.9</v>
      </c>
      <c r="AE25" s="66">
        <f t="shared" si="9"/>
        <v>8930.9</v>
      </c>
      <c r="AF25" s="66">
        <f t="shared" si="10"/>
        <v>110523.99999999997</v>
      </c>
    </row>
    <row r="26" spans="1:32" ht="12">
      <c r="A26" s="49" t="s">
        <v>107</v>
      </c>
      <c r="B26" s="47" t="s">
        <v>59</v>
      </c>
      <c r="D26" s="50"/>
      <c r="E26" s="65"/>
      <c r="F26" s="66">
        <v>411.37</v>
      </c>
      <c r="G26" s="66">
        <v>409.08</v>
      </c>
      <c r="H26" s="66">
        <v>406.81</v>
      </c>
      <c r="I26" s="66">
        <v>404.54</v>
      </c>
      <c r="J26" s="66">
        <v>402.3</v>
      </c>
      <c r="K26" s="66">
        <v>419.42</v>
      </c>
      <c r="L26" s="66">
        <v>417.09</v>
      </c>
      <c r="M26" s="66">
        <v>414.77</v>
      </c>
      <c r="N26" s="66">
        <v>412.46</v>
      </c>
      <c r="O26" s="66">
        <v>410.17</v>
      </c>
      <c r="P26" s="66">
        <v>407.89</v>
      </c>
      <c r="Q26" s="66">
        <v>405.62</v>
      </c>
      <c r="R26" s="66">
        <v>403.37</v>
      </c>
      <c r="S26" s="66">
        <v>401.13</v>
      </c>
      <c r="T26" s="66">
        <v>398.9</v>
      </c>
      <c r="U26" s="66">
        <v>396.68</v>
      </c>
      <c r="V26" s="66">
        <v>394.48</v>
      </c>
      <c r="W26" s="66">
        <v>-295.19</v>
      </c>
      <c r="X26" s="66">
        <v>392</v>
      </c>
      <c r="Y26" s="66">
        <f t="shared" si="9"/>
        <v>392</v>
      </c>
      <c r="Z26" s="66">
        <f t="shared" si="9"/>
        <v>392</v>
      </c>
      <c r="AA26" s="66">
        <f t="shared" si="9"/>
        <v>392</v>
      </c>
      <c r="AB26" s="66">
        <f t="shared" si="9"/>
        <v>392</v>
      </c>
      <c r="AC26" s="66">
        <f t="shared" si="9"/>
        <v>392</v>
      </c>
      <c r="AD26" s="66">
        <f t="shared" si="9"/>
        <v>392</v>
      </c>
      <c r="AE26" s="66">
        <f t="shared" si="9"/>
        <v>392</v>
      </c>
      <c r="AF26" s="66">
        <f t="shared" si="10"/>
        <v>4030.87</v>
      </c>
    </row>
    <row r="27" spans="1:32" ht="12">
      <c r="A27" s="49" t="s">
        <v>108</v>
      </c>
      <c r="B27" s="47" t="s">
        <v>30</v>
      </c>
      <c r="D27" s="50"/>
      <c r="E27" s="65"/>
      <c r="F27" s="66">
        <v>18672.07</v>
      </c>
      <c r="G27" s="66">
        <v>18568.28</v>
      </c>
      <c r="H27" s="66">
        <v>18465.07</v>
      </c>
      <c r="I27" s="66">
        <v>18362.44</v>
      </c>
      <c r="J27" s="66">
        <v>18260.37</v>
      </c>
      <c r="K27" s="66">
        <v>18158.87</v>
      </c>
      <c r="L27" s="66">
        <v>17946.22</v>
      </c>
      <c r="M27" s="66">
        <v>17846.47</v>
      </c>
      <c r="N27" s="66">
        <v>17711.56</v>
      </c>
      <c r="O27" s="66">
        <v>17613.11</v>
      </c>
      <c r="P27" s="66">
        <v>17515.22</v>
      </c>
      <c r="Q27" s="66">
        <v>17417.86</v>
      </c>
      <c r="R27" s="66">
        <v>17321.05</v>
      </c>
      <c r="S27" s="66">
        <v>17224.77</v>
      </c>
      <c r="T27" s="66">
        <v>17129.03</v>
      </c>
      <c r="U27" s="66">
        <v>17033.82</v>
      </c>
      <c r="V27" s="66">
        <v>16939.14</v>
      </c>
      <c r="W27" s="66">
        <v>33832.29</v>
      </c>
      <c r="X27" s="66">
        <v>18498.46</v>
      </c>
      <c r="Y27" s="66">
        <f t="shared" si="9"/>
        <v>18498.46</v>
      </c>
      <c r="Z27" s="66">
        <f t="shared" si="9"/>
        <v>18498.46</v>
      </c>
      <c r="AA27" s="66">
        <f t="shared" si="9"/>
        <v>18498.46</v>
      </c>
      <c r="AB27" s="66">
        <f t="shared" si="9"/>
        <v>18498.46</v>
      </c>
      <c r="AC27" s="66">
        <f t="shared" si="9"/>
        <v>18498.46</v>
      </c>
      <c r="AD27" s="66">
        <f t="shared" si="9"/>
        <v>18498.46</v>
      </c>
      <c r="AE27" s="66">
        <f t="shared" si="9"/>
        <v>18498.46</v>
      </c>
      <c r="AF27" s="66">
        <f t="shared" si="10"/>
        <v>232921.95999999996</v>
      </c>
    </row>
    <row r="28" spans="1:32" ht="12">
      <c r="A28" s="49" t="s">
        <v>109</v>
      </c>
      <c r="B28" s="47" t="s">
        <v>32</v>
      </c>
      <c r="D28" s="50"/>
      <c r="E28" s="65"/>
      <c r="F28" s="66">
        <v>409.51</v>
      </c>
      <c r="G28" s="66">
        <v>407.23</v>
      </c>
      <c r="H28" s="66">
        <v>404.97</v>
      </c>
      <c r="I28" s="66">
        <v>402.72</v>
      </c>
      <c r="J28" s="66">
        <v>400.48</v>
      </c>
      <c r="K28" s="66">
        <v>398.26</v>
      </c>
      <c r="L28" s="66">
        <v>396.04</v>
      </c>
      <c r="M28" s="66">
        <v>393.84</v>
      </c>
      <c r="N28" s="66">
        <v>391.65</v>
      </c>
      <c r="O28" s="66">
        <v>389.47</v>
      </c>
      <c r="P28" s="66">
        <v>387.31</v>
      </c>
      <c r="Q28" s="66">
        <v>385.16</v>
      </c>
      <c r="R28" s="66">
        <v>383.02</v>
      </c>
      <c r="S28" s="66">
        <v>380.89</v>
      </c>
      <c r="T28" s="66">
        <v>378.77</v>
      </c>
      <c r="U28" s="66">
        <v>376.66</v>
      </c>
      <c r="V28" s="66">
        <v>374.57</v>
      </c>
      <c r="W28" s="66">
        <v>712.26</v>
      </c>
      <c r="X28" s="66">
        <v>409.27</v>
      </c>
      <c r="Y28" s="66">
        <f t="shared" si="9"/>
        <v>409.27</v>
      </c>
      <c r="Z28" s="66">
        <f t="shared" si="9"/>
        <v>409.27</v>
      </c>
      <c r="AA28" s="66">
        <f t="shared" si="9"/>
        <v>409.27</v>
      </c>
      <c r="AB28" s="66">
        <f t="shared" si="9"/>
        <v>409.27</v>
      </c>
      <c r="AC28" s="66">
        <f t="shared" si="9"/>
        <v>409.27</v>
      </c>
      <c r="AD28" s="66">
        <f t="shared" si="9"/>
        <v>409.27</v>
      </c>
      <c r="AE28" s="66">
        <f t="shared" si="9"/>
        <v>409.27</v>
      </c>
      <c r="AF28" s="66">
        <f t="shared" si="10"/>
        <v>5116.42</v>
      </c>
    </row>
    <row r="29" spans="1:32" ht="12">
      <c r="A29" s="67"/>
      <c r="C29" s="73"/>
      <c r="D29" s="70"/>
      <c r="E29" s="68" t="s">
        <v>16</v>
      </c>
      <c r="F29" s="71">
        <f aca="true" t="shared" si="11" ref="F29:AF29">SUM(F20:F28)</f>
        <v>162312.79</v>
      </c>
      <c r="G29" s="71">
        <f t="shared" si="11"/>
        <v>160348.00999999998</v>
      </c>
      <c r="H29" s="71">
        <f t="shared" si="11"/>
        <v>158412.51</v>
      </c>
      <c r="I29" s="71">
        <f t="shared" si="11"/>
        <v>156505.76</v>
      </c>
      <c r="J29" s="71">
        <f t="shared" si="11"/>
        <v>154627.33</v>
      </c>
      <c r="K29" s="71">
        <f t="shared" si="11"/>
        <v>152796.13000000003</v>
      </c>
      <c r="L29" s="71">
        <f t="shared" si="11"/>
        <v>150861.12000000002</v>
      </c>
      <c r="M29" s="71">
        <f t="shared" si="11"/>
        <v>149065.47</v>
      </c>
      <c r="N29" s="71">
        <f t="shared" si="11"/>
        <v>147260.59</v>
      </c>
      <c r="O29" s="71">
        <f t="shared" si="11"/>
        <v>145517.76</v>
      </c>
      <c r="P29" s="71">
        <f t="shared" si="11"/>
        <v>143800.63</v>
      </c>
      <c r="Q29" s="71">
        <f t="shared" si="11"/>
        <v>142113.93999999997</v>
      </c>
      <c r="R29" s="71">
        <f t="shared" si="11"/>
        <v>140447.38999999998</v>
      </c>
      <c r="S29" s="71">
        <f t="shared" si="11"/>
        <v>138804.81000000003</v>
      </c>
      <c r="T29" s="71">
        <f t="shared" si="11"/>
        <v>137222.27</v>
      </c>
      <c r="U29" s="71">
        <f t="shared" si="11"/>
        <v>135627.18</v>
      </c>
      <c r="V29" s="71">
        <f t="shared" si="11"/>
        <v>134055.75</v>
      </c>
      <c r="W29" s="71">
        <f t="shared" si="11"/>
        <v>405797.87</v>
      </c>
      <c r="X29" s="71">
        <f t="shared" si="11"/>
        <v>161424.03999999995</v>
      </c>
      <c r="Y29" s="71">
        <f t="shared" si="11"/>
        <v>161424.03999999995</v>
      </c>
      <c r="Z29" s="71">
        <f t="shared" si="11"/>
        <v>161456.78999999995</v>
      </c>
      <c r="AA29" s="71">
        <f t="shared" si="11"/>
        <v>161503.09999999995</v>
      </c>
      <c r="AB29" s="71">
        <f t="shared" si="11"/>
        <v>161514.47999999995</v>
      </c>
      <c r="AC29" s="71">
        <f t="shared" si="11"/>
        <v>161514.47999999995</v>
      </c>
      <c r="AD29" s="71">
        <f t="shared" si="11"/>
        <v>161514.47999999995</v>
      </c>
      <c r="AE29" s="71">
        <f t="shared" si="11"/>
        <v>161514.47999999995</v>
      </c>
      <c r="AF29" s="72">
        <f t="shared" si="11"/>
        <v>2104568.96</v>
      </c>
    </row>
    <row r="30" spans="1:22" ht="12">
      <c r="A30" s="67"/>
      <c r="C30" s="73"/>
      <c r="D30" s="70"/>
      <c r="E30" s="79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</row>
    <row r="31" spans="1:33" ht="12">
      <c r="A31" s="55"/>
      <c r="B31" s="55"/>
      <c r="C31" s="56"/>
      <c r="D31" s="55"/>
      <c r="E31" s="75"/>
      <c r="F31" s="120" t="s">
        <v>88</v>
      </c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 t="s">
        <v>88</v>
      </c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</row>
    <row r="32" spans="1:32" ht="12">
      <c r="A32" s="55" t="s">
        <v>0</v>
      </c>
      <c r="B32" s="55"/>
      <c r="C32" s="56"/>
      <c r="D32" s="55"/>
      <c r="E32" s="75"/>
      <c r="F32" s="61" t="s">
        <v>62</v>
      </c>
      <c r="G32" s="61" t="s">
        <v>63</v>
      </c>
      <c r="H32" s="61" t="s">
        <v>64</v>
      </c>
      <c r="I32" s="61" t="s">
        <v>65</v>
      </c>
      <c r="J32" s="61" t="s">
        <v>66</v>
      </c>
      <c r="K32" s="61" t="s">
        <v>67</v>
      </c>
      <c r="L32" s="61" t="s">
        <v>68</v>
      </c>
      <c r="M32" s="61" t="s">
        <v>69</v>
      </c>
      <c r="N32" s="61" t="s">
        <v>70</v>
      </c>
      <c r="O32" s="61" t="s">
        <v>71</v>
      </c>
      <c r="P32" s="61" t="s">
        <v>72</v>
      </c>
      <c r="Q32" s="61" t="s">
        <v>73</v>
      </c>
      <c r="R32" s="61" t="s">
        <v>62</v>
      </c>
      <c r="S32" s="61" t="s">
        <v>63</v>
      </c>
      <c r="T32" s="61" t="s">
        <v>64</v>
      </c>
      <c r="U32" s="61" t="s">
        <v>65</v>
      </c>
      <c r="V32" s="61" t="s">
        <v>66</v>
      </c>
      <c r="W32" s="59" t="s">
        <v>67</v>
      </c>
      <c r="X32" s="59" t="s">
        <v>68</v>
      </c>
      <c r="Y32" s="59" t="s">
        <v>69</v>
      </c>
      <c r="Z32" s="59" t="s">
        <v>70</v>
      </c>
      <c r="AA32" s="59" t="s">
        <v>71</v>
      </c>
      <c r="AB32" s="59" t="s">
        <v>72</v>
      </c>
      <c r="AC32" s="59" t="s">
        <v>73</v>
      </c>
      <c r="AD32" s="59" t="s">
        <v>62</v>
      </c>
      <c r="AE32" s="59" t="s">
        <v>63</v>
      </c>
      <c r="AF32" s="89" t="s">
        <v>92</v>
      </c>
    </row>
    <row r="33" spans="1:32" ht="12">
      <c r="A33" s="62" t="s">
        <v>1</v>
      </c>
      <c r="B33" s="62" t="s">
        <v>2</v>
      </c>
      <c r="C33" s="63"/>
      <c r="D33" s="62"/>
      <c r="E33" s="77"/>
      <c r="F33" s="78">
        <v>2008</v>
      </c>
      <c r="G33" s="78">
        <v>2008</v>
      </c>
      <c r="H33" s="78">
        <v>2009</v>
      </c>
      <c r="I33" s="78">
        <v>2009</v>
      </c>
      <c r="J33" s="78">
        <v>2009</v>
      </c>
      <c r="K33" s="78">
        <v>2009</v>
      </c>
      <c r="L33" s="78">
        <v>2009</v>
      </c>
      <c r="M33" s="78">
        <v>2009</v>
      </c>
      <c r="N33" s="78">
        <v>2009</v>
      </c>
      <c r="O33" s="78">
        <v>2009</v>
      </c>
      <c r="P33" s="78">
        <v>2009</v>
      </c>
      <c r="Q33" s="78">
        <v>2009</v>
      </c>
      <c r="R33" s="78">
        <v>2009</v>
      </c>
      <c r="S33" s="78">
        <v>2009</v>
      </c>
      <c r="T33" s="78">
        <v>2010</v>
      </c>
      <c r="U33" s="78">
        <v>2010</v>
      </c>
      <c r="V33" s="78">
        <v>2010</v>
      </c>
      <c r="W33" s="78">
        <v>2010</v>
      </c>
      <c r="X33" s="78">
        <v>2010</v>
      </c>
      <c r="Y33" s="78">
        <v>2010</v>
      </c>
      <c r="Z33" s="78">
        <v>2010</v>
      </c>
      <c r="AA33" s="78">
        <v>2010</v>
      </c>
      <c r="AB33" s="78">
        <v>2010</v>
      </c>
      <c r="AC33" s="78">
        <v>2010</v>
      </c>
      <c r="AD33" s="78">
        <v>2010</v>
      </c>
      <c r="AE33" s="78">
        <v>2010</v>
      </c>
      <c r="AF33" s="57" t="s">
        <v>80</v>
      </c>
    </row>
    <row r="34" spans="1:32" ht="12">
      <c r="A34" s="49" t="s">
        <v>101</v>
      </c>
      <c r="B34" s="47" t="s">
        <v>22</v>
      </c>
      <c r="D34" s="50"/>
      <c r="E34" s="65"/>
      <c r="F34" s="66">
        <f aca="true" t="shared" si="12" ref="F34:AE42">F6-F20</f>
        <v>0.004250000001775334</v>
      </c>
      <c r="G34" s="66">
        <f t="shared" si="12"/>
        <v>39.61425000000054</v>
      </c>
      <c r="H34" s="66">
        <f t="shared" si="12"/>
        <v>79.064166666667</v>
      </c>
      <c r="I34" s="66">
        <f t="shared" si="12"/>
        <v>118.35416666666788</v>
      </c>
      <c r="J34" s="66">
        <f t="shared" si="12"/>
        <v>157.47416666666686</v>
      </c>
      <c r="K34" s="66">
        <f t="shared" si="12"/>
        <v>196.4341666666678</v>
      </c>
      <c r="L34" s="66">
        <f t="shared" si="12"/>
        <v>235.23416666666708</v>
      </c>
      <c r="M34" s="66">
        <f t="shared" si="12"/>
        <v>273.8641666666663</v>
      </c>
      <c r="N34" s="66">
        <f t="shared" si="12"/>
        <v>312.34416666666766</v>
      </c>
      <c r="O34" s="66">
        <f t="shared" si="12"/>
        <v>350.65416666666715</v>
      </c>
      <c r="P34" s="66">
        <f t="shared" si="12"/>
        <v>388.814166666667</v>
      </c>
      <c r="Q34" s="66">
        <f t="shared" si="12"/>
        <v>426.8041666666668</v>
      </c>
      <c r="R34" s="66">
        <f t="shared" si="12"/>
        <v>464.64416666666693</v>
      </c>
      <c r="S34" s="66">
        <f t="shared" si="12"/>
        <v>502.3241666666672</v>
      </c>
      <c r="T34" s="66">
        <f t="shared" si="12"/>
        <v>539.8441666666677</v>
      </c>
      <c r="U34" s="66">
        <f t="shared" si="12"/>
        <v>577.2141666666666</v>
      </c>
      <c r="V34" s="66">
        <f t="shared" si="12"/>
        <v>614.4241666666676</v>
      </c>
      <c r="W34" s="66">
        <f t="shared" si="12"/>
        <v>-5300.775833333333</v>
      </c>
      <c r="X34" s="66">
        <f t="shared" si="12"/>
        <v>0.10416666666787933</v>
      </c>
      <c r="Y34" s="66">
        <f t="shared" si="12"/>
        <v>0.10416666666787933</v>
      </c>
      <c r="Z34" s="66">
        <f t="shared" si="12"/>
        <v>0.10416666666787933</v>
      </c>
      <c r="AA34" s="66">
        <f t="shared" si="12"/>
        <v>0.10416666666787933</v>
      </c>
      <c r="AB34" s="66">
        <f t="shared" si="12"/>
        <v>0.10416666666787933</v>
      </c>
      <c r="AC34" s="66">
        <f t="shared" si="12"/>
        <v>0.10416666666787933</v>
      </c>
      <c r="AD34" s="66">
        <f t="shared" si="12"/>
        <v>0.10416666666787933</v>
      </c>
      <c r="AE34" s="66">
        <f t="shared" si="12"/>
        <v>0.10416666666787933</v>
      </c>
      <c r="AF34" s="66">
        <f>+T34+U34+V34+X34+Y34+W34+Z34+AA34+AB34+AC34+AD34+AE34</f>
        <v>-3568.459999999988</v>
      </c>
    </row>
    <row r="35" spans="1:32" ht="12">
      <c r="A35" s="49" t="s">
        <v>102</v>
      </c>
      <c r="B35" s="47" t="s">
        <v>24</v>
      </c>
      <c r="D35" s="50"/>
      <c r="E35" s="65"/>
      <c r="F35" s="66">
        <f t="shared" si="12"/>
        <v>-0.005166666669538245</v>
      </c>
      <c r="G35" s="66">
        <f t="shared" si="12"/>
        <v>1663.474833333341</v>
      </c>
      <c r="H35" s="66">
        <f t="shared" si="12"/>
        <v>3299.224833333341</v>
      </c>
      <c r="I35" s="66">
        <f t="shared" si="12"/>
        <v>4907.714833333332</v>
      </c>
      <c r="J35" s="66">
        <f t="shared" si="12"/>
        <v>6489.394833333339</v>
      </c>
      <c r="K35" s="66">
        <f t="shared" si="12"/>
        <v>8044.714833333332</v>
      </c>
      <c r="L35" s="66">
        <f t="shared" si="12"/>
        <v>9574.11483333334</v>
      </c>
      <c r="M35" s="66">
        <f t="shared" si="12"/>
        <v>11078.02483333333</v>
      </c>
      <c r="N35" s="66">
        <f t="shared" si="12"/>
        <v>12556.86483333334</v>
      </c>
      <c r="O35" s="66">
        <f t="shared" si="12"/>
        <v>14011.064833333337</v>
      </c>
      <c r="P35" s="66">
        <f t="shared" si="12"/>
        <v>15441.02483333333</v>
      </c>
      <c r="Q35" s="66">
        <f t="shared" si="12"/>
        <v>16847.14483333334</v>
      </c>
      <c r="R35" s="66">
        <f t="shared" si="12"/>
        <v>18229.83483333334</v>
      </c>
      <c r="S35" s="66">
        <f t="shared" si="12"/>
        <v>19589.484833333336</v>
      </c>
      <c r="T35" s="66">
        <f t="shared" si="12"/>
        <v>20926.47483333334</v>
      </c>
      <c r="U35" s="66">
        <f t="shared" si="12"/>
        <v>22241.174833333338</v>
      </c>
      <c r="V35" s="66">
        <f t="shared" si="12"/>
        <v>23533.96483333333</v>
      </c>
      <c r="W35" s="66">
        <f t="shared" si="12"/>
        <v>-213280.98516666668</v>
      </c>
      <c r="X35" s="66">
        <f t="shared" si="12"/>
        <v>115.40483333333395</v>
      </c>
      <c r="Y35" s="66">
        <f t="shared" si="12"/>
        <v>115.40483333333395</v>
      </c>
      <c r="Z35" s="66">
        <f t="shared" si="12"/>
        <v>115.40483333333395</v>
      </c>
      <c r="AA35" s="66">
        <f t="shared" si="12"/>
        <v>115.40483333333395</v>
      </c>
      <c r="AB35" s="66">
        <f t="shared" si="12"/>
        <v>115.40483333333395</v>
      </c>
      <c r="AC35" s="66">
        <f t="shared" si="12"/>
        <v>115.40483333333395</v>
      </c>
      <c r="AD35" s="66">
        <f t="shared" si="12"/>
        <v>115.40483333333395</v>
      </c>
      <c r="AE35" s="66">
        <f t="shared" si="12"/>
        <v>115.40483333333395</v>
      </c>
      <c r="AF35" s="66">
        <f aca="true" t="shared" si="13" ref="AF35:AF42">+T35+U35+V35+X35+Y35+W35+Z35+AA35+AB35+AC35+AD35+AE35</f>
        <v>-145656.13199999998</v>
      </c>
    </row>
    <row r="36" spans="1:32" ht="12">
      <c r="A36" s="49" t="s">
        <v>103</v>
      </c>
      <c r="B36" s="47" t="s">
        <v>58</v>
      </c>
      <c r="D36" s="50"/>
      <c r="E36" s="65"/>
      <c r="F36" s="66">
        <f t="shared" si="12"/>
        <v>-574.8609500000002</v>
      </c>
      <c r="G36" s="66">
        <f t="shared" si="12"/>
        <v>-547.4209500000002</v>
      </c>
      <c r="H36" s="66">
        <f t="shared" si="12"/>
        <v>-520.2009500000004</v>
      </c>
      <c r="I36" s="66">
        <f t="shared" si="12"/>
        <v>-493.21095000000014</v>
      </c>
      <c r="J36" s="66">
        <f t="shared" si="12"/>
        <v>-466.4509500000004</v>
      </c>
      <c r="K36" s="66">
        <f t="shared" si="12"/>
        <v>-439.9109500000004</v>
      </c>
      <c r="L36" s="66">
        <f t="shared" si="12"/>
        <v>-413.59095000000025</v>
      </c>
      <c r="M36" s="66">
        <f t="shared" si="12"/>
        <v>-387.50095000000056</v>
      </c>
      <c r="N36" s="66">
        <f t="shared" si="12"/>
        <v>-361.61095000000023</v>
      </c>
      <c r="O36" s="66">
        <f t="shared" si="12"/>
        <v>-335.9509500000004</v>
      </c>
      <c r="P36" s="66">
        <f t="shared" si="12"/>
        <v>-310.50095000000056</v>
      </c>
      <c r="Q36" s="66">
        <f t="shared" si="12"/>
        <v>-290.4209500000002</v>
      </c>
      <c r="R36" s="66">
        <f t="shared" si="12"/>
        <v>-265.8309500000005</v>
      </c>
      <c r="S36" s="66">
        <f t="shared" si="12"/>
        <v>-240.96095000000014</v>
      </c>
      <c r="T36" s="66">
        <f t="shared" si="12"/>
        <v>-251.95095000000038</v>
      </c>
      <c r="U36" s="66">
        <f t="shared" si="12"/>
        <v>-227.49095000000034</v>
      </c>
      <c r="V36" s="66">
        <f t="shared" si="12"/>
        <v>-203.27095000000054</v>
      </c>
      <c r="W36" s="66">
        <f t="shared" si="12"/>
        <v>6121.08905</v>
      </c>
      <c r="X36" s="66">
        <f t="shared" si="12"/>
        <v>4.809049999999843</v>
      </c>
      <c r="Y36" s="66">
        <f t="shared" si="12"/>
        <v>4.809049999999843</v>
      </c>
      <c r="Z36" s="66">
        <f t="shared" si="12"/>
        <v>-27.940950000000157</v>
      </c>
      <c r="AA36" s="66">
        <f t="shared" si="12"/>
        <v>-74.25095000000056</v>
      </c>
      <c r="AB36" s="66">
        <f t="shared" si="12"/>
        <v>-85.63095000000021</v>
      </c>
      <c r="AC36" s="66">
        <f t="shared" si="12"/>
        <v>-85.63095000000021</v>
      </c>
      <c r="AD36" s="66">
        <f t="shared" si="12"/>
        <v>-85.63095000000021</v>
      </c>
      <c r="AE36" s="66">
        <f t="shared" si="12"/>
        <v>-85.63095000000021</v>
      </c>
      <c r="AF36" s="66">
        <f t="shared" si="13"/>
        <v>5003.278599999996</v>
      </c>
    </row>
    <row r="37" spans="1:32" ht="12">
      <c r="A37" s="49" t="s">
        <v>104</v>
      </c>
      <c r="B37" s="47" t="s">
        <v>26</v>
      </c>
      <c r="D37" s="50"/>
      <c r="E37" s="65"/>
      <c r="F37" s="66">
        <f t="shared" si="12"/>
        <v>0.0014583333333462178</v>
      </c>
      <c r="G37" s="66">
        <f t="shared" si="12"/>
        <v>0.5914583333333496</v>
      </c>
      <c r="H37" s="66">
        <f t="shared" si="12"/>
        <v>1.1814583333333246</v>
      </c>
      <c r="I37" s="66">
        <f t="shared" si="12"/>
        <v>1.7614583333333371</v>
      </c>
      <c r="J37" s="66">
        <f t="shared" si="12"/>
        <v>2.3514583333333405</v>
      </c>
      <c r="K37" s="66">
        <f t="shared" si="12"/>
        <v>2.9314583333333246</v>
      </c>
      <c r="L37" s="66">
        <f t="shared" si="12"/>
        <v>3.511458333333337</v>
      </c>
      <c r="M37" s="66">
        <f t="shared" si="12"/>
        <v>4.08145833333333</v>
      </c>
      <c r="N37" s="66">
        <f t="shared" si="12"/>
        <v>4.661458333333343</v>
      </c>
      <c r="O37" s="66">
        <f t="shared" si="12"/>
        <v>5.231458333333336</v>
      </c>
      <c r="P37" s="66">
        <f t="shared" si="12"/>
        <v>5.801458333333329</v>
      </c>
      <c r="Q37" s="66">
        <f t="shared" si="12"/>
        <v>6.361458333333331</v>
      </c>
      <c r="R37" s="66">
        <f t="shared" si="12"/>
        <v>6.931458333333325</v>
      </c>
      <c r="S37" s="66">
        <f t="shared" si="12"/>
        <v>7.491458333333327</v>
      </c>
      <c r="T37" s="66">
        <f t="shared" si="12"/>
        <v>8.05145833333333</v>
      </c>
      <c r="U37" s="66">
        <f t="shared" si="12"/>
        <v>8.611458333333331</v>
      </c>
      <c r="V37" s="66">
        <f t="shared" si="12"/>
        <v>9.161458333333343</v>
      </c>
      <c r="W37" s="66">
        <f t="shared" si="12"/>
        <v>-79.05854166666666</v>
      </c>
      <c r="X37" s="66">
        <f t="shared" si="12"/>
        <v>0.0014583333333462178</v>
      </c>
      <c r="Y37" s="66">
        <f t="shared" si="12"/>
        <v>0.0014583333333462178</v>
      </c>
      <c r="Z37" s="66">
        <f t="shared" si="12"/>
        <v>0.0014583333333462178</v>
      </c>
      <c r="AA37" s="66">
        <f t="shared" si="12"/>
        <v>0.0014583333333462178</v>
      </c>
      <c r="AB37" s="66">
        <f t="shared" si="12"/>
        <v>0.0014583333333462178</v>
      </c>
      <c r="AC37" s="66">
        <f t="shared" si="12"/>
        <v>0.0014583333333462178</v>
      </c>
      <c r="AD37" s="66">
        <f t="shared" si="12"/>
        <v>0.0014583333333462178</v>
      </c>
      <c r="AE37" s="66">
        <f t="shared" si="12"/>
        <v>0.0014583333333462178</v>
      </c>
      <c r="AF37" s="66">
        <f t="shared" si="13"/>
        <v>-53.22249999999988</v>
      </c>
    </row>
    <row r="38" spans="1:32" ht="12">
      <c r="A38" s="49" t="s">
        <v>105</v>
      </c>
      <c r="B38" s="47" t="s">
        <v>28</v>
      </c>
      <c r="D38" s="50"/>
      <c r="E38" s="65"/>
      <c r="F38" s="66">
        <f t="shared" si="12"/>
        <v>-0.003291666660516057</v>
      </c>
      <c r="G38" s="66">
        <f t="shared" si="12"/>
        <v>88.07670833333759</v>
      </c>
      <c r="H38" s="66">
        <f t="shared" si="12"/>
        <v>175.77670833333832</v>
      </c>
      <c r="I38" s="66">
        <f t="shared" si="12"/>
        <v>263.11670833333847</v>
      </c>
      <c r="J38" s="66">
        <f t="shared" si="12"/>
        <v>350.09670833333803</v>
      </c>
      <c r="K38" s="66">
        <f t="shared" si="12"/>
        <v>436.7067083333386</v>
      </c>
      <c r="L38" s="66">
        <f t="shared" si="12"/>
        <v>522.966708333337</v>
      </c>
      <c r="M38" s="66">
        <f t="shared" si="12"/>
        <v>608.8567083333364</v>
      </c>
      <c r="N38" s="66">
        <f t="shared" si="12"/>
        <v>694.3967083333373</v>
      </c>
      <c r="O38" s="66">
        <f t="shared" si="12"/>
        <v>779.5767083333376</v>
      </c>
      <c r="P38" s="66">
        <f t="shared" si="12"/>
        <v>864.3967083333373</v>
      </c>
      <c r="Q38" s="66">
        <f t="shared" si="12"/>
        <v>948.8667083333385</v>
      </c>
      <c r="R38" s="66">
        <f t="shared" si="12"/>
        <v>1032.9867083333374</v>
      </c>
      <c r="S38" s="66">
        <f t="shared" si="12"/>
        <v>1116.7567083333379</v>
      </c>
      <c r="T38" s="66">
        <f t="shared" si="12"/>
        <v>1199.886708333339</v>
      </c>
      <c r="U38" s="66">
        <f t="shared" si="12"/>
        <v>1283.2467083333395</v>
      </c>
      <c r="V38" s="66">
        <f t="shared" si="12"/>
        <v>1365.976708333339</v>
      </c>
      <c r="W38" s="66">
        <f t="shared" si="12"/>
        <v>-11784.583291666659</v>
      </c>
      <c r="X38" s="66">
        <f t="shared" si="12"/>
        <v>0.23670833333744667</v>
      </c>
      <c r="Y38" s="66">
        <f t="shared" si="12"/>
        <v>0.23670833333744667</v>
      </c>
      <c r="Z38" s="66">
        <f t="shared" si="12"/>
        <v>0.23670833333744667</v>
      </c>
      <c r="AA38" s="66">
        <f t="shared" si="12"/>
        <v>0.23670833333744667</v>
      </c>
      <c r="AB38" s="66">
        <f t="shared" si="12"/>
        <v>0.23670833333744667</v>
      </c>
      <c r="AC38" s="66">
        <f t="shared" si="12"/>
        <v>0.23670833333744667</v>
      </c>
      <c r="AD38" s="66">
        <f t="shared" si="12"/>
        <v>0.23670833333744667</v>
      </c>
      <c r="AE38" s="66">
        <f t="shared" si="12"/>
        <v>0.23670833333744667</v>
      </c>
      <c r="AF38" s="66">
        <f t="shared" si="13"/>
        <v>-7933.579499999942</v>
      </c>
    </row>
    <row r="39" spans="1:32" ht="12">
      <c r="A39" s="49" t="s">
        <v>106</v>
      </c>
      <c r="B39" s="47" t="s">
        <v>76</v>
      </c>
      <c r="D39" s="50"/>
      <c r="E39" s="65"/>
      <c r="F39" s="66">
        <f t="shared" si="12"/>
        <v>-0.004249999999956344</v>
      </c>
      <c r="G39" s="66">
        <f t="shared" si="12"/>
        <v>37.21574999999939</v>
      </c>
      <c r="H39" s="66">
        <f t="shared" si="12"/>
        <v>74.26575000000048</v>
      </c>
      <c r="I39" s="66">
        <f t="shared" si="12"/>
        <v>111.17575000000033</v>
      </c>
      <c r="J39" s="66">
        <f t="shared" si="12"/>
        <v>147.92575000000033</v>
      </c>
      <c r="K39" s="66">
        <f t="shared" si="12"/>
        <v>184.51575000000048</v>
      </c>
      <c r="L39" s="66">
        <f t="shared" si="12"/>
        <v>220.9657499999994</v>
      </c>
      <c r="M39" s="66">
        <f t="shared" si="12"/>
        <v>257.25575000000026</v>
      </c>
      <c r="N39" s="66">
        <f t="shared" si="12"/>
        <v>293.3957499999997</v>
      </c>
      <c r="O39" s="66">
        <f t="shared" si="12"/>
        <v>329.38574999999946</v>
      </c>
      <c r="P39" s="66">
        <f t="shared" si="12"/>
        <v>365.2257499999996</v>
      </c>
      <c r="Q39" s="66">
        <f t="shared" si="12"/>
        <v>400.9157500000001</v>
      </c>
      <c r="R39" s="66">
        <f t="shared" si="12"/>
        <v>436.455750000001</v>
      </c>
      <c r="S39" s="66">
        <f t="shared" si="12"/>
        <v>471.8557500000006</v>
      </c>
      <c r="T39" s="66">
        <f t="shared" si="12"/>
        <v>507.0957500000004</v>
      </c>
      <c r="U39" s="66">
        <f t="shared" si="12"/>
        <v>542.1957500000008</v>
      </c>
      <c r="V39" s="66">
        <f t="shared" si="12"/>
        <v>577.1557499999999</v>
      </c>
      <c r="W39" s="66">
        <f t="shared" si="12"/>
        <v>-4979.224249999999</v>
      </c>
      <c r="X39" s="66">
        <f t="shared" si="12"/>
        <v>0.10575000000062573</v>
      </c>
      <c r="Y39" s="66">
        <f t="shared" si="12"/>
        <v>0.10575000000062573</v>
      </c>
      <c r="Z39" s="66">
        <f t="shared" si="12"/>
        <v>0.10575000000062573</v>
      </c>
      <c r="AA39" s="66">
        <f t="shared" si="12"/>
        <v>0.10575000000062573</v>
      </c>
      <c r="AB39" s="66">
        <f t="shared" si="12"/>
        <v>0.10575000000062573</v>
      </c>
      <c r="AC39" s="66">
        <f t="shared" si="12"/>
        <v>0.10575000000062573</v>
      </c>
      <c r="AD39" s="66">
        <f t="shared" si="12"/>
        <v>0.10575000000062573</v>
      </c>
      <c r="AE39" s="66">
        <f t="shared" si="12"/>
        <v>0.10575000000062573</v>
      </c>
      <c r="AF39" s="66">
        <f t="shared" si="13"/>
        <v>-3351.930999999993</v>
      </c>
    </row>
    <row r="40" spans="1:32" ht="12">
      <c r="A40" s="49" t="s">
        <v>107</v>
      </c>
      <c r="B40" s="47" t="s">
        <v>59</v>
      </c>
      <c r="D40" s="50"/>
      <c r="E40" s="65"/>
      <c r="F40" s="66">
        <f t="shared" si="12"/>
        <v>-44.716650000000016</v>
      </c>
      <c r="G40" s="66">
        <f t="shared" si="12"/>
        <v>-42.426649999999995</v>
      </c>
      <c r="H40" s="66">
        <f t="shared" si="12"/>
        <v>-40.15665000000001</v>
      </c>
      <c r="I40" s="66">
        <f t="shared" si="12"/>
        <v>-37.88665000000003</v>
      </c>
      <c r="J40" s="66">
        <f t="shared" si="12"/>
        <v>-35.64665000000002</v>
      </c>
      <c r="K40" s="66">
        <f t="shared" si="12"/>
        <v>-52.76665000000003</v>
      </c>
      <c r="L40" s="66">
        <f t="shared" si="12"/>
        <v>-50.436649999999986</v>
      </c>
      <c r="M40" s="66">
        <f t="shared" si="12"/>
        <v>-48.11664999999999</v>
      </c>
      <c r="N40" s="66">
        <f t="shared" si="12"/>
        <v>-45.80664999999999</v>
      </c>
      <c r="O40" s="66">
        <f t="shared" si="12"/>
        <v>-43.51665000000003</v>
      </c>
      <c r="P40" s="66">
        <f t="shared" si="12"/>
        <v>-41.23665</v>
      </c>
      <c r="Q40" s="66">
        <f t="shared" si="12"/>
        <v>-38.966650000000016</v>
      </c>
      <c r="R40" s="66">
        <f t="shared" si="12"/>
        <v>-36.716650000000016</v>
      </c>
      <c r="S40" s="66">
        <f t="shared" si="12"/>
        <v>-34.47665000000001</v>
      </c>
      <c r="T40" s="66">
        <f t="shared" si="12"/>
        <v>-32.24664999999999</v>
      </c>
      <c r="U40" s="66">
        <f t="shared" si="12"/>
        <v>-30.026650000000018</v>
      </c>
      <c r="V40" s="66">
        <f t="shared" si="12"/>
        <v>-27.82665000000003</v>
      </c>
      <c r="W40" s="66">
        <f t="shared" si="12"/>
        <v>661.84335</v>
      </c>
      <c r="X40" s="66">
        <f t="shared" si="12"/>
        <v>-25.34665000000001</v>
      </c>
      <c r="Y40" s="66">
        <f t="shared" si="12"/>
        <v>-25.34665000000001</v>
      </c>
      <c r="Z40" s="66">
        <f t="shared" si="12"/>
        <v>-25.34665000000001</v>
      </c>
      <c r="AA40" s="66">
        <f t="shared" si="12"/>
        <v>-25.34665000000001</v>
      </c>
      <c r="AB40" s="66">
        <f t="shared" si="12"/>
        <v>-25.34665000000001</v>
      </c>
      <c r="AC40" s="66">
        <f t="shared" si="12"/>
        <v>-25.34665000000001</v>
      </c>
      <c r="AD40" s="66">
        <f t="shared" si="12"/>
        <v>-25.34665000000001</v>
      </c>
      <c r="AE40" s="66">
        <f t="shared" si="12"/>
        <v>-25.34665000000001</v>
      </c>
      <c r="AF40" s="66">
        <f t="shared" si="13"/>
        <v>368.97019999999986</v>
      </c>
    </row>
    <row r="41" spans="1:32" ht="12">
      <c r="A41" s="49" t="s">
        <v>108</v>
      </c>
      <c r="B41" s="47" t="s">
        <v>30</v>
      </c>
      <c r="D41" s="50"/>
      <c r="E41" s="65"/>
      <c r="F41" s="66">
        <f t="shared" si="12"/>
        <v>-0.004466250000405125</v>
      </c>
      <c r="G41" s="66">
        <f t="shared" si="12"/>
        <v>103.78553375000047</v>
      </c>
      <c r="H41" s="66">
        <f t="shared" si="12"/>
        <v>206.9955337499996</v>
      </c>
      <c r="I41" s="66">
        <f t="shared" si="12"/>
        <v>309.6255337500006</v>
      </c>
      <c r="J41" s="66">
        <f t="shared" si="12"/>
        <v>411.6955337500003</v>
      </c>
      <c r="K41" s="66">
        <f t="shared" si="12"/>
        <v>513.1955337500003</v>
      </c>
      <c r="L41" s="66">
        <f t="shared" si="12"/>
        <v>725.8455337499981</v>
      </c>
      <c r="M41" s="66">
        <f t="shared" si="12"/>
        <v>825.5955337499981</v>
      </c>
      <c r="N41" s="66">
        <f t="shared" si="12"/>
        <v>960.505533749998</v>
      </c>
      <c r="O41" s="66">
        <f t="shared" si="12"/>
        <v>1058.9555337499987</v>
      </c>
      <c r="P41" s="66">
        <f t="shared" si="12"/>
        <v>1156.8455337499981</v>
      </c>
      <c r="Q41" s="66">
        <f t="shared" si="12"/>
        <v>1254.2055337499987</v>
      </c>
      <c r="R41" s="66">
        <f t="shared" si="12"/>
        <v>1351.01553375</v>
      </c>
      <c r="S41" s="66">
        <f t="shared" si="12"/>
        <v>1447.2955337499989</v>
      </c>
      <c r="T41" s="66">
        <f t="shared" si="12"/>
        <v>1543.0355337500005</v>
      </c>
      <c r="U41" s="66">
        <f t="shared" si="12"/>
        <v>1638.2455337499996</v>
      </c>
      <c r="V41" s="66">
        <f t="shared" si="12"/>
        <v>1732.9255337499999</v>
      </c>
      <c r="W41" s="66">
        <f t="shared" si="12"/>
        <v>-15160.224466250002</v>
      </c>
      <c r="X41" s="66">
        <f t="shared" si="12"/>
        <v>173.60553375000018</v>
      </c>
      <c r="Y41" s="66">
        <f t="shared" si="12"/>
        <v>173.60553375000018</v>
      </c>
      <c r="Z41" s="66">
        <f t="shared" si="12"/>
        <v>173.60553375000018</v>
      </c>
      <c r="AA41" s="66">
        <f t="shared" si="12"/>
        <v>173.60553375000018</v>
      </c>
      <c r="AB41" s="66">
        <f t="shared" si="12"/>
        <v>173.60553375000018</v>
      </c>
      <c r="AC41" s="66">
        <f t="shared" si="12"/>
        <v>173.60553375000018</v>
      </c>
      <c r="AD41" s="66">
        <f t="shared" si="12"/>
        <v>173.60553375000018</v>
      </c>
      <c r="AE41" s="66">
        <f t="shared" si="12"/>
        <v>173.60553375000018</v>
      </c>
      <c r="AF41" s="66">
        <f t="shared" si="13"/>
        <v>-8857.173595</v>
      </c>
    </row>
    <row r="42" spans="1:32" ht="12">
      <c r="A42" s="49" t="s">
        <v>109</v>
      </c>
      <c r="B42" s="47" t="s">
        <v>32</v>
      </c>
      <c r="D42" s="70"/>
      <c r="E42" s="65"/>
      <c r="F42" s="66">
        <f t="shared" si="12"/>
        <v>0.0005418333332727343</v>
      </c>
      <c r="G42" s="66">
        <f t="shared" si="12"/>
        <v>2.2805418333332454</v>
      </c>
      <c r="H42" s="66">
        <f t="shared" si="12"/>
        <v>4.540541833333236</v>
      </c>
      <c r="I42" s="66">
        <f t="shared" si="12"/>
        <v>6.790541833333236</v>
      </c>
      <c r="J42" s="66">
        <f t="shared" si="12"/>
        <v>9.030541833333245</v>
      </c>
      <c r="K42" s="66">
        <f t="shared" si="12"/>
        <v>11.250541833333273</v>
      </c>
      <c r="L42" s="66">
        <f t="shared" si="12"/>
        <v>13.470541833333243</v>
      </c>
      <c r="M42" s="66">
        <f t="shared" si="12"/>
        <v>15.670541833333289</v>
      </c>
      <c r="N42" s="66">
        <f t="shared" si="12"/>
        <v>17.860541833333286</v>
      </c>
      <c r="O42" s="66">
        <f t="shared" si="12"/>
        <v>20.040541833333236</v>
      </c>
      <c r="P42" s="66">
        <f t="shared" si="12"/>
        <v>22.20054183333326</v>
      </c>
      <c r="Q42" s="66">
        <f t="shared" si="12"/>
        <v>24.35054183333324</v>
      </c>
      <c r="R42" s="66">
        <f t="shared" si="12"/>
        <v>26.490541833333282</v>
      </c>
      <c r="S42" s="66">
        <f t="shared" si="12"/>
        <v>28.620541833333277</v>
      </c>
      <c r="T42" s="66">
        <f t="shared" si="12"/>
        <v>30.740541833333282</v>
      </c>
      <c r="U42" s="66">
        <f t="shared" si="12"/>
        <v>32.85054183333324</v>
      </c>
      <c r="V42" s="66">
        <f t="shared" si="12"/>
        <v>34.94054183333327</v>
      </c>
      <c r="W42" s="66">
        <f t="shared" si="12"/>
        <v>-302.7494581666667</v>
      </c>
      <c r="X42" s="66">
        <f t="shared" si="12"/>
        <v>0.24054183333328183</v>
      </c>
      <c r="Y42" s="66">
        <f t="shared" si="12"/>
        <v>0.24054183333328183</v>
      </c>
      <c r="Z42" s="66">
        <f t="shared" si="12"/>
        <v>0.24054183333328183</v>
      </c>
      <c r="AA42" s="66">
        <f t="shared" si="12"/>
        <v>0.24054183333328183</v>
      </c>
      <c r="AB42" s="66">
        <f t="shared" si="12"/>
        <v>0.24054183333328183</v>
      </c>
      <c r="AC42" s="66">
        <f t="shared" si="12"/>
        <v>0.24054183333328183</v>
      </c>
      <c r="AD42" s="66">
        <f t="shared" si="12"/>
        <v>0.24054183333328183</v>
      </c>
      <c r="AE42" s="66">
        <f t="shared" si="12"/>
        <v>0.24054183333328183</v>
      </c>
      <c r="AF42" s="66">
        <f t="shared" si="13"/>
        <v>-202.29349800000068</v>
      </c>
    </row>
    <row r="43" spans="1:33" ht="12">
      <c r="A43" s="67"/>
      <c r="C43" s="73"/>
      <c r="D43" s="70"/>
      <c r="E43" s="68" t="s">
        <v>16</v>
      </c>
      <c r="F43" s="71">
        <f>SUM(F34:F42)</f>
        <v>-619.5885244166623</v>
      </c>
      <c r="G43" s="71">
        <f aca="true" t="shared" si="14" ref="G43:AF43">SUM(G34:G42)</f>
        <v>1345.1914755833454</v>
      </c>
      <c r="H43" s="71">
        <f t="shared" si="14"/>
        <v>3280.6913922500125</v>
      </c>
      <c r="I43" s="71">
        <f t="shared" si="14"/>
        <v>5187.441392250004</v>
      </c>
      <c r="J43" s="71">
        <f t="shared" si="14"/>
        <v>7065.871392250012</v>
      </c>
      <c r="K43" s="71">
        <f t="shared" si="14"/>
        <v>8897.071392250005</v>
      </c>
      <c r="L43" s="71">
        <f t="shared" si="14"/>
        <v>10832.081392250007</v>
      </c>
      <c r="M43" s="71">
        <f t="shared" si="14"/>
        <v>12627.731392249996</v>
      </c>
      <c r="N43" s="71">
        <f t="shared" si="14"/>
        <v>14432.61139225001</v>
      </c>
      <c r="O43" s="71">
        <f t="shared" si="14"/>
        <v>16175.441392250008</v>
      </c>
      <c r="P43" s="71">
        <f t="shared" si="14"/>
        <v>17892.571392249996</v>
      </c>
      <c r="Q43" s="71">
        <f t="shared" si="14"/>
        <v>19579.261392250013</v>
      </c>
      <c r="R43" s="71">
        <f t="shared" si="14"/>
        <v>21245.811392250012</v>
      </c>
      <c r="S43" s="71">
        <f t="shared" si="14"/>
        <v>22888.391392250007</v>
      </c>
      <c r="T43" s="71">
        <f t="shared" si="14"/>
        <v>24470.931392250015</v>
      </c>
      <c r="U43" s="71">
        <f>SUM(U34:U42)</f>
        <v>26066.021392250008</v>
      </c>
      <c r="V43" s="71">
        <f t="shared" si="14"/>
        <v>27637.45139225</v>
      </c>
      <c r="W43" s="71">
        <f t="shared" si="14"/>
        <v>-244104.66860774998</v>
      </c>
      <c r="X43" s="71">
        <f t="shared" si="14"/>
        <v>269.16139225000654</v>
      </c>
      <c r="Y43" s="71">
        <f t="shared" si="14"/>
        <v>269.16139225000654</v>
      </c>
      <c r="Z43" s="71">
        <f t="shared" si="14"/>
        <v>236.41139225000654</v>
      </c>
      <c r="AA43" s="71">
        <f t="shared" si="14"/>
        <v>190.10139225000614</v>
      </c>
      <c r="AB43" s="71">
        <f t="shared" si="14"/>
        <v>178.7213922500065</v>
      </c>
      <c r="AC43" s="71">
        <f t="shared" si="14"/>
        <v>178.7213922500065</v>
      </c>
      <c r="AD43" s="71">
        <f t="shared" si="14"/>
        <v>178.7213922500065</v>
      </c>
      <c r="AE43" s="71">
        <f t="shared" si="14"/>
        <v>178.7213922500065</v>
      </c>
      <c r="AF43" s="72">
        <f t="shared" si="14"/>
        <v>-164250.5432929999</v>
      </c>
      <c r="AG43" s="66"/>
    </row>
    <row r="44" spans="1:33" ht="12">
      <c r="A44" s="67"/>
      <c r="C44" s="73"/>
      <c r="D44" s="70"/>
      <c r="E44" s="79"/>
      <c r="F44" s="121" t="s">
        <v>89</v>
      </c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 t="s">
        <v>89</v>
      </c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</row>
    <row r="45" spans="1:36" ht="12">
      <c r="A45" s="49" t="s">
        <v>101</v>
      </c>
      <c r="B45" s="47" t="s">
        <v>22</v>
      </c>
      <c r="C45" s="73"/>
      <c r="D45" s="70"/>
      <c r="E45" s="79"/>
      <c r="F45" s="66">
        <f>F34</f>
        <v>0.004250000001775334</v>
      </c>
      <c r="G45" s="66">
        <f aca="true" t="shared" si="15" ref="G45:H54">F45+G34</f>
        <v>39.618500000002314</v>
      </c>
      <c r="H45" s="66">
        <f>G45+H34</f>
        <v>118.68266666666932</v>
      </c>
      <c r="I45" s="66">
        <f>H45+I34</f>
        <v>237.0368333333372</v>
      </c>
      <c r="J45" s="66">
        <f aca="true" t="shared" si="16" ref="I45:W53">I45+J34</f>
        <v>394.51100000000406</v>
      </c>
      <c r="K45" s="66">
        <f t="shared" si="16"/>
        <v>590.9451666666719</v>
      </c>
      <c r="L45" s="66">
        <f t="shared" si="16"/>
        <v>826.179333333339</v>
      </c>
      <c r="M45" s="66">
        <f t="shared" si="16"/>
        <v>1100.0435000000052</v>
      </c>
      <c r="N45" s="66">
        <f t="shared" si="16"/>
        <v>1412.3876666666729</v>
      </c>
      <c r="O45" s="66">
        <f t="shared" si="16"/>
        <v>1763.04183333334</v>
      </c>
      <c r="P45" s="66">
        <f t="shared" si="16"/>
        <v>2151.856000000007</v>
      </c>
      <c r="Q45" s="66">
        <f t="shared" si="16"/>
        <v>2578.660166666674</v>
      </c>
      <c r="R45" s="66">
        <f t="shared" si="16"/>
        <v>3043.3043333333408</v>
      </c>
      <c r="S45" s="66">
        <f t="shared" si="16"/>
        <v>3545.628500000008</v>
      </c>
      <c r="T45" s="66">
        <f t="shared" si="16"/>
        <v>4085.4726666666757</v>
      </c>
      <c r="U45" s="66">
        <f t="shared" si="16"/>
        <v>4662.686833333342</v>
      </c>
      <c r="V45" s="66">
        <f>U45+V34</f>
        <v>5277.11100000001</v>
      </c>
      <c r="W45" s="66">
        <f>V45+W34</f>
        <v>-23.66483333332326</v>
      </c>
      <c r="X45" s="66">
        <f aca="true" t="shared" si="17" ref="X45:AE53">W45+X34</f>
        <v>-23.56066666665538</v>
      </c>
      <c r="Y45" s="66">
        <f t="shared" si="17"/>
        <v>-23.4564999999875</v>
      </c>
      <c r="Z45" s="66">
        <f t="shared" si="17"/>
        <v>-23.35233333331962</v>
      </c>
      <c r="AA45" s="66">
        <f t="shared" si="17"/>
        <v>-23.24816666665174</v>
      </c>
      <c r="AB45" s="66">
        <f t="shared" si="17"/>
        <v>-23.143999999983862</v>
      </c>
      <c r="AC45" s="66">
        <f t="shared" si="17"/>
        <v>-23.039833333315983</v>
      </c>
      <c r="AD45" s="66">
        <f t="shared" si="17"/>
        <v>-22.935666666648103</v>
      </c>
      <c r="AE45" s="66">
        <f t="shared" si="17"/>
        <v>-22.831499999980224</v>
      </c>
      <c r="AF45" s="81">
        <f>(S45+AE45+SUM(T45:AD45)*2/24)</f>
        <v>4676.036041666706</v>
      </c>
      <c r="AG45" s="66"/>
      <c r="AH45" s="66"/>
      <c r="AI45" s="66"/>
      <c r="AJ45" s="90"/>
    </row>
    <row r="46" spans="1:36" ht="12">
      <c r="A46" s="49" t="s">
        <v>102</v>
      </c>
      <c r="B46" s="47" t="s">
        <v>24</v>
      </c>
      <c r="C46" s="73"/>
      <c r="D46" s="70"/>
      <c r="E46" s="79"/>
      <c r="F46" s="66">
        <f aca="true" t="shared" si="18" ref="F46:F53">F35</f>
        <v>-0.005166666669538245</v>
      </c>
      <c r="G46" s="66">
        <f t="shared" si="15"/>
        <v>1663.4696666666714</v>
      </c>
      <c r="H46" s="66">
        <f>G46+H35</f>
        <v>4962.694500000012</v>
      </c>
      <c r="I46" s="66">
        <f>H46+I35</f>
        <v>9870.409333333344</v>
      </c>
      <c r="J46" s="66">
        <f t="shared" si="16"/>
        <v>16359.804166666683</v>
      </c>
      <c r="K46" s="66">
        <f t="shared" si="16"/>
        <v>24404.519000000015</v>
      </c>
      <c r="L46" s="66">
        <f t="shared" si="16"/>
        <v>33978.633833333355</v>
      </c>
      <c r="M46" s="66">
        <f t="shared" si="16"/>
        <v>45056.658666666684</v>
      </c>
      <c r="N46" s="66">
        <f t="shared" si="16"/>
        <v>57613.523500000025</v>
      </c>
      <c r="O46" s="66">
        <f t="shared" si="16"/>
        <v>71624.58833333336</v>
      </c>
      <c r="P46" s="66">
        <f t="shared" si="16"/>
        <v>87065.61316666669</v>
      </c>
      <c r="Q46" s="66">
        <f t="shared" si="16"/>
        <v>103912.75800000003</v>
      </c>
      <c r="R46" s="66">
        <f t="shared" si="16"/>
        <v>122142.59283333337</v>
      </c>
      <c r="S46" s="66">
        <f t="shared" si="16"/>
        <v>141732.0776666667</v>
      </c>
      <c r="T46" s="66">
        <f t="shared" si="16"/>
        <v>162658.55250000005</v>
      </c>
      <c r="U46" s="66">
        <f t="shared" si="16"/>
        <v>184899.7273333334</v>
      </c>
      <c r="V46" s="66">
        <f t="shared" si="16"/>
        <v>208433.69216666673</v>
      </c>
      <c r="W46" s="66">
        <f t="shared" si="16"/>
        <v>-4847.292999999947</v>
      </c>
      <c r="X46" s="66">
        <f t="shared" si="17"/>
        <v>-4731.888166666613</v>
      </c>
      <c r="Y46" s="66">
        <f t="shared" si="17"/>
        <v>-4616.483333333279</v>
      </c>
      <c r="Z46" s="66">
        <f t="shared" si="17"/>
        <v>-4501.078499999945</v>
      </c>
      <c r="AA46" s="66">
        <f t="shared" si="17"/>
        <v>-4385.673666666611</v>
      </c>
      <c r="AB46" s="66">
        <f t="shared" si="17"/>
        <v>-4270.268833333277</v>
      </c>
      <c r="AC46" s="66">
        <f t="shared" si="17"/>
        <v>-4154.863999999943</v>
      </c>
      <c r="AD46" s="66">
        <f t="shared" si="17"/>
        <v>-4039.4591666666092</v>
      </c>
      <c r="AE46" s="66">
        <f t="shared" si="17"/>
        <v>-3924.0543333332753</v>
      </c>
      <c r="AF46" s="81">
        <f aca="true" t="shared" si="19" ref="AF46:AF54">(S46+AE46+SUM(T46:AD46)*2/24)</f>
        <v>181178.4369444446</v>
      </c>
      <c r="AI46" s="66"/>
      <c r="AJ46" s="90"/>
    </row>
    <row r="47" spans="1:36" ht="12">
      <c r="A47" s="49" t="s">
        <v>103</v>
      </c>
      <c r="B47" s="47" t="s">
        <v>58</v>
      </c>
      <c r="C47" s="73"/>
      <c r="D47" s="70"/>
      <c r="E47" s="79"/>
      <c r="F47" s="66">
        <f t="shared" si="18"/>
        <v>-574.8609500000002</v>
      </c>
      <c r="G47" s="66">
        <f t="shared" si="15"/>
        <v>-1122.2819000000004</v>
      </c>
      <c r="H47" s="66">
        <f t="shared" si="15"/>
        <v>-1642.4828500000008</v>
      </c>
      <c r="I47" s="66">
        <f t="shared" si="16"/>
        <v>-2135.693800000001</v>
      </c>
      <c r="J47" s="66">
        <f t="shared" si="16"/>
        <v>-2602.1447500000013</v>
      </c>
      <c r="K47" s="66">
        <f t="shared" si="16"/>
        <v>-3042.0557000000017</v>
      </c>
      <c r="L47" s="66">
        <f t="shared" si="16"/>
        <v>-3455.646650000002</v>
      </c>
      <c r="M47" s="66">
        <f t="shared" si="16"/>
        <v>-3843.1476000000025</v>
      </c>
      <c r="N47" s="66">
        <f t="shared" si="16"/>
        <v>-4204.758550000002</v>
      </c>
      <c r="O47" s="66">
        <f t="shared" si="16"/>
        <v>-4540.709500000003</v>
      </c>
      <c r="P47" s="66">
        <f t="shared" si="16"/>
        <v>-4851.210450000003</v>
      </c>
      <c r="Q47" s="66">
        <f t="shared" si="16"/>
        <v>-5141.631400000004</v>
      </c>
      <c r="R47" s="66">
        <f t="shared" si="16"/>
        <v>-5407.462350000004</v>
      </c>
      <c r="S47" s="66">
        <f t="shared" si="16"/>
        <v>-5648.423300000004</v>
      </c>
      <c r="T47" s="66">
        <f t="shared" si="16"/>
        <v>-5900.374250000004</v>
      </c>
      <c r="U47" s="66">
        <f t="shared" si="16"/>
        <v>-6127.865200000005</v>
      </c>
      <c r="V47" s="66">
        <f t="shared" si="16"/>
        <v>-6331.136150000006</v>
      </c>
      <c r="W47" s="66">
        <f t="shared" si="16"/>
        <v>-210.04710000000614</v>
      </c>
      <c r="X47" s="66">
        <f t="shared" si="17"/>
        <v>-205.2380500000063</v>
      </c>
      <c r="Y47" s="66">
        <f t="shared" si="17"/>
        <v>-200.42900000000645</v>
      </c>
      <c r="Z47" s="66">
        <f t="shared" si="17"/>
        <v>-228.3699500000066</v>
      </c>
      <c r="AA47" s="66">
        <f t="shared" si="17"/>
        <v>-302.62090000000717</v>
      </c>
      <c r="AB47" s="66">
        <f t="shared" si="17"/>
        <v>-388.2518500000074</v>
      </c>
      <c r="AC47" s="66">
        <f t="shared" si="17"/>
        <v>-473.8828000000076</v>
      </c>
      <c r="AD47" s="66">
        <f t="shared" si="17"/>
        <v>-559.5137500000078</v>
      </c>
      <c r="AE47" s="66">
        <f t="shared" si="17"/>
        <v>-645.144700000008</v>
      </c>
      <c r="AF47" s="81">
        <f t="shared" si="19"/>
        <v>-8037.545416666685</v>
      </c>
      <c r="AG47" s="66"/>
      <c r="AH47" s="66"/>
      <c r="AI47" s="66"/>
      <c r="AJ47" s="90"/>
    </row>
    <row r="48" spans="1:36" ht="12">
      <c r="A48" s="49" t="s">
        <v>104</v>
      </c>
      <c r="B48" s="47" t="s">
        <v>26</v>
      </c>
      <c r="C48" s="73"/>
      <c r="D48" s="70"/>
      <c r="E48" s="79"/>
      <c r="F48" s="66">
        <f t="shared" si="18"/>
        <v>0.0014583333333462178</v>
      </c>
      <c r="G48" s="66">
        <f t="shared" si="15"/>
        <v>0.5929166666666958</v>
      </c>
      <c r="H48" s="66">
        <f t="shared" si="15"/>
        <v>1.7743750000000205</v>
      </c>
      <c r="I48" s="66">
        <f t="shared" si="16"/>
        <v>3.5358333333333576</v>
      </c>
      <c r="J48" s="66">
        <f t="shared" si="16"/>
        <v>5.887291666666698</v>
      </c>
      <c r="K48" s="66">
        <f t="shared" si="16"/>
        <v>8.818750000000023</v>
      </c>
      <c r="L48" s="66">
        <f t="shared" si="16"/>
        <v>12.33020833333336</v>
      </c>
      <c r="M48" s="66">
        <f t="shared" si="16"/>
        <v>16.41166666666669</v>
      </c>
      <c r="N48" s="66">
        <f t="shared" si="16"/>
        <v>21.073125000000033</v>
      </c>
      <c r="O48" s="66">
        <f t="shared" si="16"/>
        <v>26.30458333333337</v>
      </c>
      <c r="P48" s="66">
        <f t="shared" si="16"/>
        <v>32.1060416666667</v>
      </c>
      <c r="Q48" s="66">
        <f t="shared" si="16"/>
        <v>38.46750000000003</v>
      </c>
      <c r="R48" s="66">
        <f t="shared" si="16"/>
        <v>45.398958333333354</v>
      </c>
      <c r="S48" s="66">
        <f t="shared" si="16"/>
        <v>52.89041666666668</v>
      </c>
      <c r="T48" s="66">
        <f t="shared" si="16"/>
        <v>60.94187500000001</v>
      </c>
      <c r="U48" s="66">
        <f t="shared" si="16"/>
        <v>69.55333333333334</v>
      </c>
      <c r="V48" s="66">
        <f t="shared" si="16"/>
        <v>78.71479166666668</v>
      </c>
      <c r="W48" s="66">
        <f t="shared" si="16"/>
        <v>-0.3437499999999716</v>
      </c>
      <c r="X48" s="66">
        <f t="shared" si="17"/>
        <v>-0.34229166666662536</v>
      </c>
      <c r="Y48" s="66">
        <f t="shared" si="17"/>
        <v>-0.34083333333327914</v>
      </c>
      <c r="Z48" s="66">
        <f t="shared" si="17"/>
        <v>-0.3393749999999329</v>
      </c>
      <c r="AA48" s="66">
        <f t="shared" si="17"/>
        <v>-0.3379166666665867</v>
      </c>
      <c r="AB48" s="66">
        <f t="shared" si="17"/>
        <v>-0.3364583333332405</v>
      </c>
      <c r="AC48" s="66">
        <f t="shared" si="17"/>
        <v>-0.33499999999989427</v>
      </c>
      <c r="AD48" s="66">
        <f t="shared" si="17"/>
        <v>-0.33354166666654805</v>
      </c>
      <c r="AE48" s="66">
        <f t="shared" si="17"/>
        <v>-0.33208333333320184</v>
      </c>
      <c r="AF48" s="81">
        <f t="shared" si="19"/>
        <v>69.76673611111131</v>
      </c>
      <c r="AG48" s="66"/>
      <c r="AH48" s="66"/>
      <c r="AI48" s="66"/>
      <c r="AJ48" s="90"/>
    </row>
    <row r="49" spans="1:36" ht="12">
      <c r="A49" s="49" t="s">
        <v>105</v>
      </c>
      <c r="B49" s="47" t="s">
        <v>28</v>
      </c>
      <c r="C49" s="73"/>
      <c r="D49" s="70"/>
      <c r="E49" s="79"/>
      <c r="F49" s="66">
        <f t="shared" si="18"/>
        <v>-0.003291666660516057</v>
      </c>
      <c r="G49" s="66">
        <f t="shared" si="15"/>
        <v>88.07341666667708</v>
      </c>
      <c r="H49" s="66">
        <f t="shared" si="15"/>
        <v>263.8501250000154</v>
      </c>
      <c r="I49" s="66">
        <f t="shared" si="16"/>
        <v>526.9668333333539</v>
      </c>
      <c r="J49" s="66">
        <f t="shared" si="16"/>
        <v>877.0635416666919</v>
      </c>
      <c r="K49" s="66">
        <f t="shared" si="16"/>
        <v>1313.7702500000305</v>
      </c>
      <c r="L49" s="66">
        <f t="shared" si="16"/>
        <v>1836.7369583333675</v>
      </c>
      <c r="M49" s="66">
        <f t="shared" si="16"/>
        <v>2445.593666666704</v>
      </c>
      <c r="N49" s="66">
        <f t="shared" si="16"/>
        <v>3139.9903750000412</v>
      </c>
      <c r="O49" s="66">
        <f t="shared" si="16"/>
        <v>3919.567083333379</v>
      </c>
      <c r="P49" s="66">
        <f t="shared" si="16"/>
        <v>4783.963791666716</v>
      </c>
      <c r="Q49" s="66">
        <f t="shared" si="16"/>
        <v>5732.830500000055</v>
      </c>
      <c r="R49" s="66">
        <f t="shared" si="16"/>
        <v>6765.817208333392</v>
      </c>
      <c r="S49" s="66">
        <f t="shared" si="16"/>
        <v>7882.57391666673</v>
      </c>
      <c r="T49" s="66">
        <f t="shared" si="16"/>
        <v>9082.460625000069</v>
      </c>
      <c r="U49" s="66">
        <f t="shared" si="16"/>
        <v>10365.707333333408</v>
      </c>
      <c r="V49" s="66">
        <f t="shared" si="16"/>
        <v>11731.684041666747</v>
      </c>
      <c r="W49" s="66">
        <f t="shared" si="16"/>
        <v>-52.89924999991126</v>
      </c>
      <c r="X49" s="66">
        <f t="shared" si="17"/>
        <v>-52.662541666573816</v>
      </c>
      <c r="Y49" s="66">
        <f t="shared" si="17"/>
        <v>-52.42583333323637</v>
      </c>
      <c r="Z49" s="66">
        <f t="shared" si="17"/>
        <v>-52.18912499989892</v>
      </c>
      <c r="AA49" s="66">
        <f t="shared" si="17"/>
        <v>-51.952416666561476</v>
      </c>
      <c r="AB49" s="66">
        <f t="shared" si="17"/>
        <v>-51.71570833322403</v>
      </c>
      <c r="AC49" s="66">
        <f t="shared" si="17"/>
        <v>-51.47899999988658</v>
      </c>
      <c r="AD49" s="66">
        <f t="shared" si="17"/>
        <v>-51.242291666549136</v>
      </c>
      <c r="AE49" s="66">
        <f t="shared" si="17"/>
        <v>-51.00558333321169</v>
      </c>
      <c r="AF49" s="81">
        <f t="shared" si="19"/>
        <v>10395.175486111384</v>
      </c>
      <c r="AG49" s="66"/>
      <c r="AH49" s="66"/>
      <c r="AI49" s="66"/>
      <c r="AJ49" s="90"/>
    </row>
    <row r="50" spans="1:36" ht="12">
      <c r="A50" s="49" t="s">
        <v>106</v>
      </c>
      <c r="B50" s="47" t="s">
        <v>76</v>
      </c>
      <c r="C50" s="73"/>
      <c r="D50" s="70"/>
      <c r="E50" s="79"/>
      <c r="F50" s="66">
        <f t="shared" si="18"/>
        <v>-0.004249999999956344</v>
      </c>
      <c r="G50" s="66">
        <f t="shared" si="15"/>
        <v>37.21149999999943</v>
      </c>
      <c r="H50" s="66">
        <f t="shared" si="15"/>
        <v>111.47724999999991</v>
      </c>
      <c r="I50" s="66">
        <f t="shared" si="16"/>
        <v>222.65300000000025</v>
      </c>
      <c r="J50" s="66">
        <f t="shared" si="16"/>
        <v>370.5787500000006</v>
      </c>
      <c r="K50" s="66">
        <f t="shared" si="16"/>
        <v>555.0945000000011</v>
      </c>
      <c r="L50" s="66">
        <f t="shared" si="16"/>
        <v>776.0602500000005</v>
      </c>
      <c r="M50" s="66">
        <f t="shared" si="16"/>
        <v>1033.3160000000007</v>
      </c>
      <c r="N50" s="66">
        <f t="shared" si="16"/>
        <v>1326.7117500000004</v>
      </c>
      <c r="O50" s="66">
        <f t="shared" si="16"/>
        <v>1656.0974999999999</v>
      </c>
      <c r="P50" s="66">
        <f t="shared" si="16"/>
        <v>2021.3232499999995</v>
      </c>
      <c r="Q50" s="66">
        <f t="shared" si="16"/>
        <v>2422.2389999999996</v>
      </c>
      <c r="R50" s="66">
        <f t="shared" si="16"/>
        <v>2858.6947500000006</v>
      </c>
      <c r="S50" s="66">
        <f t="shared" si="16"/>
        <v>3330.550500000001</v>
      </c>
      <c r="T50" s="66">
        <f t="shared" si="16"/>
        <v>3837.6462500000016</v>
      </c>
      <c r="U50" s="66">
        <f t="shared" si="16"/>
        <v>4379.842000000002</v>
      </c>
      <c r="V50" s="66">
        <f t="shared" si="16"/>
        <v>4956.997750000002</v>
      </c>
      <c r="W50" s="66">
        <f t="shared" si="16"/>
        <v>-22.22649999999703</v>
      </c>
      <c r="X50" s="66">
        <f t="shared" si="17"/>
        <v>-22.120749999996406</v>
      </c>
      <c r="Y50" s="66">
        <f t="shared" si="17"/>
        <v>-22.01499999999578</v>
      </c>
      <c r="Z50" s="66">
        <f t="shared" si="17"/>
        <v>-21.909249999995154</v>
      </c>
      <c r="AA50" s="66">
        <f t="shared" si="17"/>
        <v>-21.80349999999453</v>
      </c>
      <c r="AB50" s="66">
        <f t="shared" si="17"/>
        <v>-21.697749999993903</v>
      </c>
      <c r="AC50" s="66">
        <f t="shared" si="17"/>
        <v>-21.591999999993277</v>
      </c>
      <c r="AD50" s="66">
        <f t="shared" si="17"/>
        <v>-21.48624999999265</v>
      </c>
      <c r="AE50" s="66">
        <f t="shared" si="17"/>
        <v>-21.380499999992026</v>
      </c>
      <c r="AF50" s="81">
        <f t="shared" si="19"/>
        <v>4392.47291666668</v>
      </c>
      <c r="AG50" s="66"/>
      <c r="AI50" s="66"/>
      <c r="AJ50" s="90"/>
    </row>
    <row r="51" spans="1:36" ht="12">
      <c r="A51" s="49" t="s">
        <v>107</v>
      </c>
      <c r="B51" s="47" t="s">
        <v>59</v>
      </c>
      <c r="C51" s="73"/>
      <c r="D51" s="70"/>
      <c r="E51" s="79"/>
      <c r="F51" s="66">
        <f t="shared" si="18"/>
        <v>-44.716650000000016</v>
      </c>
      <c r="G51" s="66">
        <f t="shared" si="15"/>
        <v>-87.14330000000001</v>
      </c>
      <c r="H51" s="66">
        <f t="shared" si="15"/>
        <v>-127.29995000000002</v>
      </c>
      <c r="I51" s="66">
        <f t="shared" si="16"/>
        <v>-165.18660000000006</v>
      </c>
      <c r="J51" s="66">
        <f t="shared" si="16"/>
        <v>-200.83325000000008</v>
      </c>
      <c r="K51" s="66">
        <f t="shared" si="16"/>
        <v>-253.5999000000001</v>
      </c>
      <c r="L51" s="66">
        <f t="shared" si="16"/>
        <v>-304.0365500000001</v>
      </c>
      <c r="M51" s="66">
        <f t="shared" si="16"/>
        <v>-352.1532000000001</v>
      </c>
      <c r="N51" s="66">
        <f t="shared" si="16"/>
        <v>-397.9598500000001</v>
      </c>
      <c r="O51" s="66">
        <f t="shared" si="16"/>
        <v>-441.4765000000001</v>
      </c>
      <c r="P51" s="66">
        <f t="shared" si="16"/>
        <v>-482.7131500000001</v>
      </c>
      <c r="Q51" s="66">
        <f t="shared" si="16"/>
        <v>-521.6798000000001</v>
      </c>
      <c r="R51" s="66">
        <f t="shared" si="16"/>
        <v>-558.3964500000002</v>
      </c>
      <c r="S51" s="66">
        <f t="shared" si="16"/>
        <v>-592.8731000000002</v>
      </c>
      <c r="T51" s="66">
        <f t="shared" si="16"/>
        <v>-625.1197500000003</v>
      </c>
      <c r="U51" s="66">
        <f t="shared" si="16"/>
        <v>-655.1464000000003</v>
      </c>
      <c r="V51" s="66">
        <f t="shared" si="16"/>
        <v>-682.9730500000003</v>
      </c>
      <c r="W51" s="66">
        <f t="shared" si="16"/>
        <v>-21.129700000000298</v>
      </c>
      <c r="X51" s="66">
        <f t="shared" si="17"/>
        <v>-46.47635000000031</v>
      </c>
      <c r="Y51" s="66">
        <f t="shared" si="17"/>
        <v>-71.82300000000032</v>
      </c>
      <c r="Z51" s="66">
        <f t="shared" si="17"/>
        <v>-97.16965000000033</v>
      </c>
      <c r="AA51" s="66">
        <f t="shared" si="17"/>
        <v>-122.51630000000034</v>
      </c>
      <c r="AB51" s="66">
        <f t="shared" si="17"/>
        <v>-147.86295000000035</v>
      </c>
      <c r="AC51" s="66">
        <f t="shared" si="17"/>
        <v>-173.20960000000036</v>
      </c>
      <c r="AD51" s="66">
        <f t="shared" si="17"/>
        <v>-198.55625000000038</v>
      </c>
      <c r="AE51" s="66">
        <f t="shared" si="17"/>
        <v>-223.9029000000004</v>
      </c>
      <c r="AF51" s="81">
        <f t="shared" si="19"/>
        <v>-1053.6079166666677</v>
      </c>
      <c r="AG51" s="66"/>
      <c r="AH51" s="66"/>
      <c r="AI51" s="66"/>
      <c r="AJ51" s="90"/>
    </row>
    <row r="52" spans="1:36" ht="12">
      <c r="A52" s="49" t="s">
        <v>108</v>
      </c>
      <c r="B52" s="47" t="s">
        <v>30</v>
      </c>
      <c r="C52" s="73"/>
      <c r="D52" s="70"/>
      <c r="E52" s="79"/>
      <c r="F52" s="66">
        <f t="shared" si="18"/>
        <v>-0.004466250000405125</v>
      </c>
      <c r="G52" s="66">
        <f t="shared" si="15"/>
        <v>103.78106750000006</v>
      </c>
      <c r="H52" s="66">
        <f t="shared" si="15"/>
        <v>310.77660124999966</v>
      </c>
      <c r="I52" s="66">
        <f t="shared" si="16"/>
        <v>620.4021350000003</v>
      </c>
      <c r="J52" s="66">
        <f t="shared" si="16"/>
        <v>1032.0976687500006</v>
      </c>
      <c r="K52" s="66">
        <f t="shared" si="16"/>
        <v>1545.293202500001</v>
      </c>
      <c r="L52" s="66">
        <f t="shared" si="16"/>
        <v>2271.138736249999</v>
      </c>
      <c r="M52" s="66">
        <f t="shared" si="16"/>
        <v>3096.734269999997</v>
      </c>
      <c r="N52" s="66">
        <f t="shared" si="16"/>
        <v>4057.239803749995</v>
      </c>
      <c r="O52" s="66">
        <f t="shared" si="16"/>
        <v>5116.195337499994</v>
      </c>
      <c r="P52" s="66">
        <f t="shared" si="16"/>
        <v>6273.040871249992</v>
      </c>
      <c r="Q52" s="66">
        <f t="shared" si="16"/>
        <v>7527.246404999991</v>
      </c>
      <c r="R52" s="66">
        <f t="shared" si="16"/>
        <v>8878.26193874999</v>
      </c>
      <c r="S52" s="66">
        <f t="shared" si="16"/>
        <v>10325.55747249999</v>
      </c>
      <c r="T52" s="66">
        <f t="shared" si="16"/>
        <v>11868.59300624999</v>
      </c>
      <c r="U52" s="66">
        <f t="shared" si="16"/>
        <v>13506.83853999999</v>
      </c>
      <c r="V52" s="66">
        <f t="shared" si="16"/>
        <v>15239.76407374999</v>
      </c>
      <c r="W52" s="66">
        <f t="shared" si="16"/>
        <v>79.53960749998805</v>
      </c>
      <c r="X52" s="66">
        <f t="shared" si="17"/>
        <v>253.14514124998823</v>
      </c>
      <c r="Y52" s="66">
        <f t="shared" si="17"/>
        <v>426.7506749999884</v>
      </c>
      <c r="Z52" s="66">
        <f t="shared" si="17"/>
        <v>600.3562087499886</v>
      </c>
      <c r="AA52" s="66">
        <f t="shared" si="17"/>
        <v>773.9617424999888</v>
      </c>
      <c r="AB52" s="66">
        <f t="shared" si="17"/>
        <v>947.5672762499889</v>
      </c>
      <c r="AC52" s="66">
        <f t="shared" si="17"/>
        <v>1121.172809999989</v>
      </c>
      <c r="AD52" s="66">
        <f t="shared" si="17"/>
        <v>1294.7783437499893</v>
      </c>
      <c r="AE52" s="66">
        <f t="shared" si="17"/>
        <v>1468.3838774999895</v>
      </c>
      <c r="AF52" s="81">
        <f t="shared" si="19"/>
        <v>15636.646968749968</v>
      </c>
      <c r="AG52" s="66"/>
      <c r="AH52" s="66"/>
      <c r="AI52" s="66"/>
      <c r="AJ52" s="90"/>
    </row>
    <row r="53" spans="1:36" ht="12">
      <c r="A53" s="49" t="s">
        <v>109</v>
      </c>
      <c r="B53" s="47" t="s">
        <v>32</v>
      </c>
      <c r="C53" s="73"/>
      <c r="D53" s="70"/>
      <c r="E53" s="79"/>
      <c r="F53" s="66">
        <f t="shared" si="18"/>
        <v>0.0005418333332727343</v>
      </c>
      <c r="G53" s="66">
        <f t="shared" si="15"/>
        <v>2.281083666666518</v>
      </c>
      <c r="H53" s="66">
        <f t="shared" si="15"/>
        <v>6.8216254999997545</v>
      </c>
      <c r="I53" s="66">
        <f t="shared" si="16"/>
        <v>13.612167333332991</v>
      </c>
      <c r="J53" s="66">
        <f t="shared" si="16"/>
        <v>22.642709166666236</v>
      </c>
      <c r="K53" s="66">
        <f t="shared" si="16"/>
        <v>33.89325099999951</v>
      </c>
      <c r="L53" s="66">
        <f t="shared" si="16"/>
        <v>47.36379283333275</v>
      </c>
      <c r="M53" s="66">
        <f t="shared" si="16"/>
        <v>63.03433466666604</v>
      </c>
      <c r="N53" s="66">
        <f t="shared" si="16"/>
        <v>80.89487649999933</v>
      </c>
      <c r="O53" s="66">
        <f t="shared" si="16"/>
        <v>100.93541833333256</v>
      </c>
      <c r="P53" s="66">
        <f t="shared" si="16"/>
        <v>123.13596016666582</v>
      </c>
      <c r="Q53" s="66">
        <f t="shared" si="16"/>
        <v>147.48650199999906</v>
      </c>
      <c r="R53" s="66">
        <f t="shared" si="16"/>
        <v>173.97704383333235</v>
      </c>
      <c r="S53" s="66">
        <f t="shared" si="16"/>
        <v>202.59758566666562</v>
      </c>
      <c r="T53" s="66">
        <f t="shared" si="16"/>
        <v>233.3381274999989</v>
      </c>
      <c r="U53" s="66">
        <f t="shared" si="16"/>
        <v>266.18866933333214</v>
      </c>
      <c r="V53" s="66">
        <f t="shared" si="16"/>
        <v>301.1292111666654</v>
      </c>
      <c r="W53" s="66">
        <f t="shared" si="16"/>
        <v>-1.6202470000013136</v>
      </c>
      <c r="X53" s="66">
        <f t="shared" si="17"/>
        <v>-1.3797051666680318</v>
      </c>
      <c r="Y53" s="66">
        <f t="shared" si="17"/>
        <v>-1.13916333333475</v>
      </c>
      <c r="Z53" s="66">
        <f t="shared" si="17"/>
        <v>-0.8986215000014681</v>
      </c>
      <c r="AA53" s="66">
        <f t="shared" si="17"/>
        <v>-0.6580796666681863</v>
      </c>
      <c r="AB53" s="66">
        <f t="shared" si="17"/>
        <v>-0.41753783333490446</v>
      </c>
      <c r="AC53" s="66">
        <f t="shared" si="17"/>
        <v>-0.17699600000162263</v>
      </c>
      <c r="AD53" s="66">
        <f t="shared" si="17"/>
        <v>0.0635458333316592</v>
      </c>
      <c r="AE53" s="66">
        <f t="shared" si="17"/>
        <v>0.304087666664941</v>
      </c>
      <c r="AF53" s="81">
        <f t="shared" si="19"/>
        <v>269.1041069444404</v>
      </c>
      <c r="AG53" s="66"/>
      <c r="AH53" s="66"/>
      <c r="AI53" s="66"/>
      <c r="AJ53" s="90"/>
    </row>
    <row r="54" spans="1:36" ht="12">
      <c r="A54" s="67"/>
      <c r="B54" s="47" t="s">
        <v>110</v>
      </c>
      <c r="C54" s="73"/>
      <c r="D54" s="70"/>
      <c r="E54" s="68" t="s">
        <v>16</v>
      </c>
      <c r="F54" s="82">
        <f>SUM(F45:F53)</f>
        <v>-619.5885244166623</v>
      </c>
      <c r="G54" s="82">
        <f>SUM(G45:G53)</f>
        <v>725.6029511666832</v>
      </c>
      <c r="H54" s="82">
        <f t="shared" si="15"/>
        <v>4006.2943434166955</v>
      </c>
      <c r="I54" s="82">
        <f aca="true" t="shared" si="20" ref="I54:AE54">SUM(I45:I53)</f>
        <v>9193.7357356667</v>
      </c>
      <c r="J54" s="82">
        <f t="shared" si="20"/>
        <v>16259.607127916714</v>
      </c>
      <c r="K54" s="82">
        <f t="shared" si="20"/>
        <v>25156.678520166715</v>
      </c>
      <c r="L54" s="82">
        <f t="shared" si="20"/>
        <v>35988.75991241673</v>
      </c>
      <c r="M54" s="82">
        <f t="shared" si="20"/>
        <v>48616.49130466672</v>
      </c>
      <c r="N54" s="82">
        <f t="shared" si="20"/>
        <v>63049.10269691675</v>
      </c>
      <c r="O54" s="82">
        <f t="shared" si="20"/>
        <v>79224.54408916674</v>
      </c>
      <c r="P54" s="82">
        <f t="shared" si="20"/>
        <v>97117.11548141675</v>
      </c>
      <c r="Q54" s="82">
        <f t="shared" si="20"/>
        <v>116696.37687366676</v>
      </c>
      <c r="R54" s="82">
        <f t="shared" si="20"/>
        <v>137942.18826591675</v>
      </c>
      <c r="S54" s="82">
        <f t="shared" si="20"/>
        <v>160830.5796581668</v>
      </c>
      <c r="T54" s="82">
        <f t="shared" si="20"/>
        <v>185301.51105041674</v>
      </c>
      <c r="U54" s="82">
        <f t="shared" si="20"/>
        <v>211367.53244266682</v>
      </c>
      <c r="V54" s="82">
        <f t="shared" si="20"/>
        <v>239004.9838349168</v>
      </c>
      <c r="W54" s="82">
        <f t="shared" si="20"/>
        <v>-5099.684772833199</v>
      </c>
      <c r="X54" s="82">
        <f t="shared" si="20"/>
        <v>-4830.523380583191</v>
      </c>
      <c r="Y54" s="82">
        <f t="shared" si="20"/>
        <v>-4561.361988333186</v>
      </c>
      <c r="Z54" s="82">
        <f t="shared" si="20"/>
        <v>-4324.950596083178</v>
      </c>
      <c r="AA54" s="82">
        <f t="shared" si="20"/>
        <v>-4134.849203833172</v>
      </c>
      <c r="AB54" s="82">
        <f t="shared" si="20"/>
        <v>-3956.1278115831665</v>
      </c>
      <c r="AC54" s="82">
        <f t="shared" si="20"/>
        <v>-3777.406419333159</v>
      </c>
      <c r="AD54" s="82">
        <f t="shared" si="20"/>
        <v>-3598.685027083153</v>
      </c>
      <c r="AE54" s="82">
        <f t="shared" si="20"/>
        <v>-3419.9636348331455</v>
      </c>
      <c r="AF54" s="82">
        <f t="shared" si="19"/>
        <v>207526.48586736157</v>
      </c>
      <c r="AG54" s="81"/>
      <c r="AH54" s="81"/>
      <c r="AI54" s="81"/>
      <c r="AJ54" s="81"/>
    </row>
    <row r="55" spans="5:22" ht="12"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</row>
    <row r="56" spans="2:32" ht="12.75" thickBot="1">
      <c r="B56" s="87" t="s">
        <v>74</v>
      </c>
      <c r="E56" s="66"/>
      <c r="F56" s="88">
        <f>F43</f>
        <v>-619.5885244166623</v>
      </c>
      <c r="G56" s="88">
        <f>F56+G43</f>
        <v>725.6029511666832</v>
      </c>
      <c r="H56" s="88">
        <f>G56+H43</f>
        <v>4006.2943434166955</v>
      </c>
      <c r="I56" s="88">
        <f>H56+I43</f>
        <v>9193.7357356667</v>
      </c>
      <c r="J56" s="88">
        <f aca="true" t="shared" si="21" ref="J56:S56">I56+J43</f>
        <v>16259.607127916712</v>
      </c>
      <c r="K56" s="88">
        <f t="shared" si="21"/>
        <v>25156.678520166715</v>
      </c>
      <c r="L56" s="88">
        <f t="shared" si="21"/>
        <v>35988.759912416725</v>
      </c>
      <c r="M56" s="88">
        <f t="shared" si="21"/>
        <v>48616.49130466672</v>
      </c>
      <c r="N56" s="88">
        <f t="shared" si="21"/>
        <v>63049.10269691673</v>
      </c>
      <c r="O56" s="88">
        <f t="shared" si="21"/>
        <v>79224.54408916674</v>
      </c>
      <c r="P56" s="88">
        <f t="shared" si="21"/>
        <v>97117.11548141674</v>
      </c>
      <c r="Q56" s="88">
        <f t="shared" si="21"/>
        <v>116696.37687366676</v>
      </c>
      <c r="R56" s="88">
        <f t="shared" si="21"/>
        <v>137942.18826591677</v>
      </c>
      <c r="S56" s="88">
        <f t="shared" si="21"/>
        <v>160830.5796581668</v>
      </c>
      <c r="T56" s="88">
        <f>S56+T43</f>
        <v>185301.5110504168</v>
      </c>
      <c r="U56" s="88">
        <f>T56+U43</f>
        <v>211367.5324426668</v>
      </c>
      <c r="V56" s="88">
        <f>U56+V43</f>
        <v>239004.98383491678</v>
      </c>
      <c r="W56" s="88">
        <f>V56+W43</f>
        <v>-5099.684772833192</v>
      </c>
      <c r="X56" s="88">
        <f aca="true" t="shared" si="22" ref="X56:AE56">W56+X43</f>
        <v>-4830.523380583186</v>
      </c>
      <c r="Y56" s="88">
        <f t="shared" si="22"/>
        <v>-4561.361988333179</v>
      </c>
      <c r="Z56" s="88">
        <f t="shared" si="22"/>
        <v>-4324.950596083173</v>
      </c>
      <c r="AA56" s="88">
        <f t="shared" si="22"/>
        <v>-4134.849203833167</v>
      </c>
      <c r="AB56" s="88">
        <f t="shared" si="22"/>
        <v>-3956.1278115831606</v>
      </c>
      <c r="AC56" s="88">
        <f t="shared" si="22"/>
        <v>-3777.406419333154</v>
      </c>
      <c r="AD56" s="88">
        <f t="shared" si="22"/>
        <v>-3598.685027083148</v>
      </c>
      <c r="AE56" s="88">
        <f t="shared" si="22"/>
        <v>-3419.9636348331414</v>
      </c>
      <c r="AF56" s="86">
        <f>(S56+AE56+SUM(T56:AD56)*2)/24</f>
        <v>56674.64551166683</v>
      </c>
    </row>
    <row r="57" spans="5:22" ht="12.75" thickTop="1"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</row>
    <row r="58" spans="5:20" ht="12"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</row>
  </sheetData>
  <sheetProtection/>
  <mergeCells count="8">
    <mergeCell ref="T3:AG3"/>
    <mergeCell ref="F3:S3"/>
    <mergeCell ref="F44:S44"/>
    <mergeCell ref="T44:AG44"/>
    <mergeCell ref="F31:S31"/>
    <mergeCell ref="T31:AG31"/>
    <mergeCell ref="F17:S17"/>
    <mergeCell ref="T17:AG17"/>
  </mergeCells>
  <printOptions/>
  <pageMargins left="0.5" right="0" top="0.5" bottom="0.5" header="0.5" footer="0.25"/>
  <pageSetup horizontalDpi="600" verticalDpi="600" orientation="landscape" paperSize="5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75"/>
  <sheetViews>
    <sheetView zoomScalePageLayoutView="0" workbookViewId="0" topLeftCell="X1">
      <selection activeCell="G58" sqref="G58:AE65"/>
    </sheetView>
  </sheetViews>
  <sheetFormatPr defaultColWidth="9.140625" defaultRowHeight="12.75"/>
  <cols>
    <col min="1" max="1" width="9.140625" style="49" customWidth="1"/>
    <col min="2" max="2" width="34.28125" style="47" customWidth="1"/>
    <col min="3" max="3" width="18.28125" style="48" customWidth="1"/>
    <col min="4" max="4" width="7.7109375" style="49" customWidth="1"/>
    <col min="5" max="5" width="12.8515625" style="47" customWidth="1"/>
    <col min="6" max="8" width="8.57421875" style="47" bestFit="1" customWidth="1"/>
    <col min="9" max="22" width="10.00390625" style="47" bestFit="1" customWidth="1"/>
    <col min="23" max="23" width="10.57421875" style="47" bestFit="1" customWidth="1"/>
    <col min="24" max="28" width="10.00390625" style="47" bestFit="1" customWidth="1"/>
    <col min="29" max="29" width="10.140625" style="47" customWidth="1"/>
    <col min="30" max="31" width="10.00390625" style="47" bestFit="1" customWidth="1"/>
    <col min="32" max="32" width="10.28125" style="47" bestFit="1" customWidth="1"/>
    <col min="33" max="33" width="10.421875" style="47" customWidth="1"/>
    <col min="34" max="35" width="9.28125" style="47" bestFit="1" customWidth="1"/>
    <col min="36" max="16384" width="9.140625" style="47" customWidth="1"/>
  </cols>
  <sheetData>
    <row r="1" spans="1:32" ht="12">
      <c r="A1" s="46" t="s">
        <v>75</v>
      </c>
      <c r="U1" s="50"/>
      <c r="AC1" s="51" t="s">
        <v>77</v>
      </c>
      <c r="AF1" s="52">
        <f>'3.05 '!E36</f>
        <v>0.6651</v>
      </c>
    </row>
    <row r="2" spans="2:32" ht="12">
      <c r="B2" s="46"/>
      <c r="U2" s="50"/>
      <c r="AC2" s="53" t="s">
        <v>78</v>
      </c>
      <c r="AF2" s="54">
        <f>'3.05 '!F36</f>
        <v>0.3349</v>
      </c>
    </row>
    <row r="3" spans="1:33" ht="12">
      <c r="A3" s="55"/>
      <c r="B3" s="55"/>
      <c r="C3" s="56"/>
      <c r="D3" s="55"/>
      <c r="E3" s="56" t="s">
        <v>81</v>
      </c>
      <c r="F3" s="120" t="s">
        <v>91</v>
      </c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 t="s">
        <v>91</v>
      </c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58"/>
      <c r="AG3" s="58"/>
    </row>
    <row r="4" spans="1:33" ht="12">
      <c r="A4" s="55" t="s">
        <v>0</v>
      </c>
      <c r="B4" s="55"/>
      <c r="C4" s="56" t="s">
        <v>57</v>
      </c>
      <c r="D4" s="55" t="s">
        <v>112</v>
      </c>
      <c r="E4" s="56" t="s">
        <v>61</v>
      </c>
      <c r="F4" s="59" t="s">
        <v>62</v>
      </c>
      <c r="G4" s="60" t="s">
        <v>63</v>
      </c>
      <c r="H4" s="59" t="s">
        <v>64</v>
      </c>
      <c r="I4" s="59" t="s">
        <v>65</v>
      </c>
      <c r="J4" s="59" t="s">
        <v>66</v>
      </c>
      <c r="K4" s="59" t="s">
        <v>67</v>
      </c>
      <c r="L4" s="59" t="s">
        <v>68</v>
      </c>
      <c r="M4" s="59" t="s">
        <v>69</v>
      </c>
      <c r="N4" s="59" t="s">
        <v>70</v>
      </c>
      <c r="O4" s="59" t="s">
        <v>71</v>
      </c>
      <c r="P4" s="59" t="s">
        <v>72</v>
      </c>
      <c r="Q4" s="59" t="s">
        <v>73</v>
      </c>
      <c r="R4" s="59" t="s">
        <v>62</v>
      </c>
      <c r="S4" s="59" t="s">
        <v>63</v>
      </c>
      <c r="T4" s="59" t="s">
        <v>64</v>
      </c>
      <c r="U4" s="59" t="s">
        <v>65</v>
      </c>
      <c r="V4" s="59" t="s">
        <v>66</v>
      </c>
      <c r="W4" s="61" t="s">
        <v>67</v>
      </c>
      <c r="X4" s="61" t="s">
        <v>68</v>
      </c>
      <c r="Y4" s="61" t="s">
        <v>69</v>
      </c>
      <c r="Z4" s="61" t="s">
        <v>70</v>
      </c>
      <c r="AA4" s="61" t="s">
        <v>71</v>
      </c>
      <c r="AB4" s="61" t="s">
        <v>72</v>
      </c>
      <c r="AC4" s="61" t="s">
        <v>73</v>
      </c>
      <c r="AD4" s="61" t="s">
        <v>62</v>
      </c>
      <c r="AE4" s="61" t="s">
        <v>63</v>
      </c>
      <c r="AF4" s="124" t="s">
        <v>79</v>
      </c>
      <c r="AG4" s="124"/>
    </row>
    <row r="5" spans="1:33" ht="12">
      <c r="A5" s="62" t="s">
        <v>1</v>
      </c>
      <c r="B5" s="62" t="s">
        <v>2</v>
      </c>
      <c r="C5" s="63" t="s">
        <v>60</v>
      </c>
      <c r="D5" s="62" t="s">
        <v>3</v>
      </c>
      <c r="E5" s="63" t="s">
        <v>4</v>
      </c>
      <c r="F5" s="64">
        <v>2008</v>
      </c>
      <c r="G5" s="64">
        <v>2008</v>
      </c>
      <c r="H5" s="64">
        <v>2009</v>
      </c>
      <c r="I5" s="64">
        <v>2009</v>
      </c>
      <c r="J5" s="64">
        <v>2009</v>
      </c>
      <c r="K5" s="64">
        <v>2009</v>
      </c>
      <c r="L5" s="64">
        <v>2009</v>
      </c>
      <c r="M5" s="64">
        <v>2009</v>
      </c>
      <c r="N5" s="64">
        <v>2009</v>
      </c>
      <c r="O5" s="64">
        <v>2009</v>
      </c>
      <c r="P5" s="64">
        <v>2009</v>
      </c>
      <c r="Q5" s="64">
        <v>2009</v>
      </c>
      <c r="R5" s="64">
        <v>2009</v>
      </c>
      <c r="S5" s="64">
        <v>2009</v>
      </c>
      <c r="T5" s="64">
        <v>2010</v>
      </c>
      <c r="U5" s="64">
        <v>2010</v>
      </c>
      <c r="V5" s="64">
        <v>2010</v>
      </c>
      <c r="W5" s="64">
        <v>2010</v>
      </c>
      <c r="X5" s="64">
        <v>2010</v>
      </c>
      <c r="Y5" s="64">
        <v>2010</v>
      </c>
      <c r="Z5" s="64">
        <v>2010</v>
      </c>
      <c r="AA5" s="64">
        <v>2010</v>
      </c>
      <c r="AB5" s="64">
        <v>2010</v>
      </c>
      <c r="AC5" s="64">
        <v>2010</v>
      </c>
      <c r="AD5" s="64">
        <v>2010</v>
      </c>
      <c r="AE5" s="64">
        <v>2010</v>
      </c>
      <c r="AF5" s="62" t="s">
        <v>7</v>
      </c>
      <c r="AG5" s="62" t="s">
        <v>19</v>
      </c>
    </row>
    <row r="6" spans="1:33" ht="12">
      <c r="A6" s="49" t="s">
        <v>21</v>
      </c>
      <c r="B6" s="47" t="s">
        <v>22</v>
      </c>
      <c r="C6" s="48">
        <v>9943136.67</v>
      </c>
      <c r="D6" s="50">
        <v>0.05</v>
      </c>
      <c r="E6" s="65">
        <f aca="true" t="shared" si="0" ref="E6:E13">(C6*D6)/12</f>
        <v>41429.736125</v>
      </c>
      <c r="F6" s="66">
        <f aca="true" t="shared" si="1" ref="F6:G13">E6</f>
        <v>41429.736125</v>
      </c>
      <c r="G6" s="66">
        <f t="shared" si="1"/>
        <v>41429.736125</v>
      </c>
      <c r="H6" s="66">
        <f aca="true" t="shared" si="2" ref="H6:H13">G6</f>
        <v>41429.736125</v>
      </c>
      <c r="I6" s="66">
        <f aca="true" t="shared" si="3" ref="I6:S6">H6</f>
        <v>41429.736125</v>
      </c>
      <c r="J6" s="66">
        <f t="shared" si="3"/>
        <v>41429.736125</v>
      </c>
      <c r="K6" s="66">
        <f t="shared" si="3"/>
        <v>41429.736125</v>
      </c>
      <c r="L6" s="66">
        <f t="shared" si="3"/>
        <v>41429.736125</v>
      </c>
      <c r="M6" s="66">
        <f t="shared" si="3"/>
        <v>41429.736125</v>
      </c>
      <c r="N6" s="66">
        <f t="shared" si="3"/>
        <v>41429.736125</v>
      </c>
      <c r="O6" s="66">
        <f t="shared" si="3"/>
        <v>41429.736125</v>
      </c>
      <c r="P6" s="66">
        <f t="shared" si="3"/>
        <v>41429.736125</v>
      </c>
      <c r="Q6" s="66">
        <f t="shared" si="3"/>
        <v>41429.736125</v>
      </c>
      <c r="R6" s="66">
        <f t="shared" si="3"/>
        <v>41429.736125</v>
      </c>
      <c r="S6" s="66">
        <f t="shared" si="3"/>
        <v>41429.736125</v>
      </c>
      <c r="T6" s="66">
        <f aca="true" t="shared" si="4" ref="T6:T13">S6</f>
        <v>41429.736125</v>
      </c>
      <c r="U6" s="66">
        <f aca="true" t="shared" si="5" ref="U6:AE6">T6</f>
        <v>41429.736125</v>
      </c>
      <c r="V6" s="66">
        <f t="shared" si="5"/>
        <v>41429.736125</v>
      </c>
      <c r="W6" s="66">
        <f t="shared" si="5"/>
        <v>41429.736125</v>
      </c>
      <c r="X6" s="66">
        <f t="shared" si="5"/>
        <v>41429.736125</v>
      </c>
      <c r="Y6" s="66">
        <f t="shared" si="5"/>
        <v>41429.736125</v>
      </c>
      <c r="Z6" s="66">
        <f t="shared" si="5"/>
        <v>41429.736125</v>
      </c>
      <c r="AA6" s="66">
        <f t="shared" si="5"/>
        <v>41429.736125</v>
      </c>
      <c r="AB6" s="66">
        <f t="shared" si="5"/>
        <v>41429.736125</v>
      </c>
      <c r="AC6" s="66">
        <f t="shared" si="5"/>
        <v>41429.736125</v>
      </c>
      <c r="AD6" s="66">
        <f t="shared" si="5"/>
        <v>41429.736125</v>
      </c>
      <c r="AE6" s="66">
        <f t="shared" si="5"/>
        <v>41429.736125</v>
      </c>
      <c r="AF6" s="66">
        <f aca="true" t="shared" si="6" ref="AF6:AF13">(+T6+U6+V6+X6+Y6+W6+Z6+AA6+AB6+AC6+AD6+AE6)*$AF$1</f>
        <v>330659.00996085</v>
      </c>
      <c r="AG6" s="66">
        <f aca="true" t="shared" si="7" ref="AG6:AG13">(T6+U6+V6+W6+X6+Y6+Z6+AA6+AB6+AC6+AD6+AE6)*$AF$2</f>
        <v>166497.82353914998</v>
      </c>
    </row>
    <row r="7" spans="1:33" ht="12">
      <c r="A7" s="49" t="s">
        <v>23</v>
      </c>
      <c r="B7" s="47" t="s">
        <v>24</v>
      </c>
      <c r="C7" s="48">
        <v>39785471.45</v>
      </c>
      <c r="D7" s="50">
        <v>0.2</v>
      </c>
      <c r="E7" s="65">
        <f t="shared" si="0"/>
        <v>663091.1908333334</v>
      </c>
      <c r="F7" s="66">
        <f t="shared" si="1"/>
        <v>663091.1908333334</v>
      </c>
      <c r="G7" s="66">
        <f t="shared" si="1"/>
        <v>663091.1908333334</v>
      </c>
      <c r="H7" s="66">
        <f t="shared" si="2"/>
        <v>663091.1908333334</v>
      </c>
      <c r="I7" s="66">
        <f aca="true" t="shared" si="8" ref="I7:S7">H7</f>
        <v>663091.1908333334</v>
      </c>
      <c r="J7" s="66">
        <f t="shared" si="8"/>
        <v>663091.1908333334</v>
      </c>
      <c r="K7" s="66">
        <f t="shared" si="8"/>
        <v>663091.1908333334</v>
      </c>
      <c r="L7" s="66">
        <f t="shared" si="8"/>
        <v>663091.1908333334</v>
      </c>
      <c r="M7" s="66">
        <f t="shared" si="8"/>
        <v>663091.1908333334</v>
      </c>
      <c r="N7" s="66">
        <f t="shared" si="8"/>
        <v>663091.1908333334</v>
      </c>
      <c r="O7" s="66">
        <f t="shared" si="8"/>
        <v>663091.1908333334</v>
      </c>
      <c r="P7" s="66">
        <f t="shared" si="8"/>
        <v>663091.1908333334</v>
      </c>
      <c r="Q7" s="66">
        <f t="shared" si="8"/>
        <v>663091.1908333334</v>
      </c>
      <c r="R7" s="66">
        <f t="shared" si="8"/>
        <v>663091.1908333334</v>
      </c>
      <c r="S7" s="66">
        <f t="shared" si="8"/>
        <v>663091.1908333334</v>
      </c>
      <c r="T7" s="66">
        <f t="shared" si="4"/>
        <v>663091.1908333334</v>
      </c>
      <c r="U7" s="66">
        <f aca="true" t="shared" si="9" ref="U7:AE7">T7</f>
        <v>663091.1908333334</v>
      </c>
      <c r="V7" s="66">
        <f t="shared" si="9"/>
        <v>663091.1908333334</v>
      </c>
      <c r="W7" s="66">
        <f t="shared" si="9"/>
        <v>663091.1908333334</v>
      </c>
      <c r="X7" s="66">
        <f t="shared" si="9"/>
        <v>663091.1908333334</v>
      </c>
      <c r="Y7" s="66">
        <f t="shared" si="9"/>
        <v>663091.1908333334</v>
      </c>
      <c r="Z7" s="66">
        <f t="shared" si="9"/>
        <v>663091.1908333334</v>
      </c>
      <c r="AA7" s="66">
        <f t="shared" si="9"/>
        <v>663091.1908333334</v>
      </c>
      <c r="AB7" s="66">
        <f t="shared" si="9"/>
        <v>663091.1908333334</v>
      </c>
      <c r="AC7" s="66">
        <f t="shared" si="9"/>
        <v>663091.1908333334</v>
      </c>
      <c r="AD7" s="66">
        <f t="shared" si="9"/>
        <v>663091.1908333334</v>
      </c>
      <c r="AE7" s="66">
        <f t="shared" si="9"/>
        <v>663091.1908333334</v>
      </c>
      <c r="AF7" s="66">
        <f t="shared" si="6"/>
        <v>5292263.412279002</v>
      </c>
      <c r="AG7" s="66">
        <f t="shared" si="7"/>
        <v>2664830.877721001</v>
      </c>
    </row>
    <row r="8" spans="1:33" ht="12">
      <c r="A8" s="49" t="s">
        <v>25</v>
      </c>
      <c r="B8" s="47" t="s">
        <v>58</v>
      </c>
      <c r="C8" s="48">
        <v>20083.16</v>
      </c>
      <c r="D8" s="50">
        <v>0.09</v>
      </c>
      <c r="E8" s="65">
        <f t="shared" si="0"/>
        <v>150.62369999999999</v>
      </c>
      <c r="F8" s="66">
        <f t="shared" si="1"/>
        <v>150.62369999999999</v>
      </c>
      <c r="G8" s="66">
        <f t="shared" si="1"/>
        <v>150.62369999999999</v>
      </c>
      <c r="H8" s="66">
        <f t="shared" si="2"/>
        <v>150.62369999999999</v>
      </c>
      <c r="I8" s="66">
        <f aca="true" t="shared" si="10" ref="I8:S8">H8</f>
        <v>150.62369999999999</v>
      </c>
      <c r="J8" s="66">
        <f t="shared" si="10"/>
        <v>150.62369999999999</v>
      </c>
      <c r="K8" s="66">
        <f t="shared" si="10"/>
        <v>150.62369999999999</v>
      </c>
      <c r="L8" s="66">
        <f t="shared" si="10"/>
        <v>150.62369999999999</v>
      </c>
      <c r="M8" s="66">
        <f t="shared" si="10"/>
        <v>150.62369999999999</v>
      </c>
      <c r="N8" s="66">
        <f t="shared" si="10"/>
        <v>150.62369999999999</v>
      </c>
      <c r="O8" s="66">
        <f t="shared" si="10"/>
        <v>150.62369999999999</v>
      </c>
      <c r="P8" s="66">
        <f t="shared" si="10"/>
        <v>150.62369999999999</v>
      </c>
      <c r="Q8" s="66">
        <f t="shared" si="10"/>
        <v>150.62369999999999</v>
      </c>
      <c r="R8" s="66">
        <f t="shared" si="10"/>
        <v>150.62369999999999</v>
      </c>
      <c r="S8" s="66">
        <f t="shared" si="10"/>
        <v>150.62369999999999</v>
      </c>
      <c r="T8" s="66">
        <f t="shared" si="4"/>
        <v>150.62369999999999</v>
      </c>
      <c r="U8" s="66">
        <f aca="true" t="shared" si="11" ref="U8:AE8">T8</f>
        <v>150.62369999999999</v>
      </c>
      <c r="V8" s="66">
        <f t="shared" si="11"/>
        <v>150.62369999999999</v>
      </c>
      <c r="W8" s="66">
        <f t="shared" si="11"/>
        <v>150.62369999999999</v>
      </c>
      <c r="X8" s="66">
        <f t="shared" si="11"/>
        <v>150.62369999999999</v>
      </c>
      <c r="Y8" s="66">
        <f t="shared" si="11"/>
        <v>150.62369999999999</v>
      </c>
      <c r="Z8" s="66">
        <f t="shared" si="11"/>
        <v>150.62369999999999</v>
      </c>
      <c r="AA8" s="66">
        <f t="shared" si="11"/>
        <v>150.62369999999999</v>
      </c>
      <c r="AB8" s="66">
        <f t="shared" si="11"/>
        <v>150.62369999999999</v>
      </c>
      <c r="AC8" s="66">
        <f t="shared" si="11"/>
        <v>150.62369999999999</v>
      </c>
      <c r="AD8" s="66">
        <f t="shared" si="11"/>
        <v>150.62369999999999</v>
      </c>
      <c r="AE8" s="66">
        <f t="shared" si="11"/>
        <v>150.62369999999999</v>
      </c>
      <c r="AF8" s="66">
        <f t="shared" si="6"/>
        <v>1202.1578744400003</v>
      </c>
      <c r="AG8" s="66">
        <f t="shared" si="7"/>
        <v>605.32652556</v>
      </c>
    </row>
    <row r="9" spans="1:33" ht="12">
      <c r="A9" s="49" t="s">
        <v>5</v>
      </c>
      <c r="B9" s="47" t="s">
        <v>26</v>
      </c>
      <c r="C9" s="48">
        <v>36065.27</v>
      </c>
      <c r="D9" s="50">
        <v>0.05</v>
      </c>
      <c r="E9" s="65">
        <f t="shared" si="0"/>
        <v>150.27195833333334</v>
      </c>
      <c r="F9" s="66">
        <f t="shared" si="1"/>
        <v>150.27195833333334</v>
      </c>
      <c r="G9" s="66">
        <f t="shared" si="1"/>
        <v>150.27195833333334</v>
      </c>
      <c r="H9" s="66">
        <f t="shared" si="2"/>
        <v>150.27195833333334</v>
      </c>
      <c r="I9" s="66">
        <f aca="true" t="shared" si="12" ref="I9:S9">H9</f>
        <v>150.27195833333334</v>
      </c>
      <c r="J9" s="66">
        <f t="shared" si="12"/>
        <v>150.27195833333334</v>
      </c>
      <c r="K9" s="66">
        <f t="shared" si="12"/>
        <v>150.27195833333334</v>
      </c>
      <c r="L9" s="66">
        <f t="shared" si="12"/>
        <v>150.27195833333334</v>
      </c>
      <c r="M9" s="66">
        <f t="shared" si="12"/>
        <v>150.27195833333334</v>
      </c>
      <c r="N9" s="66">
        <f t="shared" si="12"/>
        <v>150.27195833333334</v>
      </c>
      <c r="O9" s="66">
        <f t="shared" si="12"/>
        <v>150.27195833333334</v>
      </c>
      <c r="P9" s="66">
        <f t="shared" si="12"/>
        <v>150.27195833333334</v>
      </c>
      <c r="Q9" s="66">
        <f t="shared" si="12"/>
        <v>150.27195833333334</v>
      </c>
      <c r="R9" s="66">
        <f t="shared" si="12"/>
        <v>150.27195833333334</v>
      </c>
      <c r="S9" s="66">
        <f t="shared" si="12"/>
        <v>150.27195833333334</v>
      </c>
      <c r="T9" s="66">
        <f t="shared" si="4"/>
        <v>150.27195833333334</v>
      </c>
      <c r="U9" s="66">
        <f aca="true" t="shared" si="13" ref="U9:AE9">T9</f>
        <v>150.27195833333334</v>
      </c>
      <c r="V9" s="66">
        <f t="shared" si="13"/>
        <v>150.27195833333334</v>
      </c>
      <c r="W9" s="66">
        <f t="shared" si="13"/>
        <v>150.27195833333334</v>
      </c>
      <c r="X9" s="66">
        <f t="shared" si="13"/>
        <v>150.27195833333334</v>
      </c>
      <c r="Y9" s="66">
        <f t="shared" si="13"/>
        <v>150.27195833333334</v>
      </c>
      <c r="Z9" s="66">
        <f t="shared" si="13"/>
        <v>150.27195833333334</v>
      </c>
      <c r="AA9" s="66">
        <f t="shared" si="13"/>
        <v>150.27195833333334</v>
      </c>
      <c r="AB9" s="66">
        <f t="shared" si="13"/>
        <v>150.27195833333334</v>
      </c>
      <c r="AC9" s="66">
        <f t="shared" si="13"/>
        <v>150.27195833333334</v>
      </c>
      <c r="AD9" s="66">
        <f t="shared" si="13"/>
        <v>150.27195833333334</v>
      </c>
      <c r="AE9" s="66">
        <f t="shared" si="13"/>
        <v>150.27195833333334</v>
      </c>
      <c r="AF9" s="66">
        <f t="shared" si="6"/>
        <v>1199.3505538499999</v>
      </c>
      <c r="AG9" s="66">
        <f t="shared" si="7"/>
        <v>603.9129461499999</v>
      </c>
    </row>
    <row r="10" spans="1:33" ht="12">
      <c r="A10" s="49" t="s">
        <v>27</v>
      </c>
      <c r="B10" s="47" t="s">
        <v>28</v>
      </c>
      <c r="C10" s="48">
        <v>431645.41</v>
      </c>
      <c r="D10" s="50">
        <v>0.05</v>
      </c>
      <c r="E10" s="65">
        <f t="shared" si="0"/>
        <v>1798.5225416666665</v>
      </c>
      <c r="F10" s="66">
        <f t="shared" si="1"/>
        <v>1798.5225416666665</v>
      </c>
      <c r="G10" s="66">
        <f t="shared" si="1"/>
        <v>1798.5225416666665</v>
      </c>
      <c r="H10" s="66">
        <f t="shared" si="2"/>
        <v>1798.5225416666665</v>
      </c>
      <c r="I10" s="66">
        <f aca="true" t="shared" si="14" ref="I10:S10">H10</f>
        <v>1798.5225416666665</v>
      </c>
      <c r="J10" s="66">
        <f t="shared" si="14"/>
        <v>1798.5225416666665</v>
      </c>
      <c r="K10" s="66">
        <f t="shared" si="14"/>
        <v>1798.5225416666665</v>
      </c>
      <c r="L10" s="66">
        <f t="shared" si="14"/>
        <v>1798.5225416666665</v>
      </c>
      <c r="M10" s="66">
        <f t="shared" si="14"/>
        <v>1798.5225416666665</v>
      </c>
      <c r="N10" s="66">
        <f t="shared" si="14"/>
        <v>1798.5225416666665</v>
      </c>
      <c r="O10" s="66">
        <f t="shared" si="14"/>
        <v>1798.5225416666665</v>
      </c>
      <c r="P10" s="66">
        <f t="shared" si="14"/>
        <v>1798.5225416666665</v>
      </c>
      <c r="Q10" s="66">
        <f t="shared" si="14"/>
        <v>1798.5225416666665</v>
      </c>
      <c r="R10" s="66">
        <f t="shared" si="14"/>
        <v>1798.5225416666665</v>
      </c>
      <c r="S10" s="66">
        <f t="shared" si="14"/>
        <v>1798.5225416666665</v>
      </c>
      <c r="T10" s="66">
        <f t="shared" si="4"/>
        <v>1798.5225416666665</v>
      </c>
      <c r="U10" s="66">
        <f aca="true" t="shared" si="15" ref="U10:AE10">T10</f>
        <v>1798.5225416666665</v>
      </c>
      <c r="V10" s="66">
        <f t="shared" si="15"/>
        <v>1798.5225416666665</v>
      </c>
      <c r="W10" s="66">
        <f t="shared" si="15"/>
        <v>1798.5225416666665</v>
      </c>
      <c r="X10" s="66">
        <f t="shared" si="15"/>
        <v>1798.5225416666665</v>
      </c>
      <c r="Y10" s="66">
        <f t="shared" si="15"/>
        <v>1798.5225416666665</v>
      </c>
      <c r="Z10" s="66">
        <f t="shared" si="15"/>
        <v>1798.5225416666665</v>
      </c>
      <c r="AA10" s="66">
        <f t="shared" si="15"/>
        <v>1798.5225416666665</v>
      </c>
      <c r="AB10" s="66">
        <f t="shared" si="15"/>
        <v>1798.5225416666665</v>
      </c>
      <c r="AC10" s="66">
        <f t="shared" si="15"/>
        <v>1798.5225416666665</v>
      </c>
      <c r="AD10" s="66">
        <f t="shared" si="15"/>
        <v>1798.5225416666665</v>
      </c>
      <c r="AE10" s="66">
        <f t="shared" si="15"/>
        <v>1798.5225416666665</v>
      </c>
      <c r="AF10" s="66">
        <f t="shared" si="6"/>
        <v>14354.36810955</v>
      </c>
      <c r="AG10" s="66">
        <f t="shared" si="7"/>
        <v>7227.902390449999</v>
      </c>
    </row>
    <row r="11" spans="1:33" ht="12">
      <c r="A11" s="49" t="s">
        <v>6</v>
      </c>
      <c r="B11" s="47" t="s">
        <v>59</v>
      </c>
      <c r="C11" s="48">
        <v>-7725.84</v>
      </c>
      <c r="D11" s="50">
        <v>0.06</v>
      </c>
      <c r="E11" s="65">
        <f t="shared" si="0"/>
        <v>-38.6292</v>
      </c>
      <c r="F11" s="66">
        <f t="shared" si="1"/>
        <v>-38.6292</v>
      </c>
      <c r="G11" s="66">
        <f t="shared" si="1"/>
        <v>-38.6292</v>
      </c>
      <c r="H11" s="66">
        <f t="shared" si="2"/>
        <v>-38.6292</v>
      </c>
      <c r="I11" s="66">
        <f aca="true" t="shared" si="16" ref="I11:S11">H11</f>
        <v>-38.6292</v>
      </c>
      <c r="J11" s="66">
        <f t="shared" si="16"/>
        <v>-38.6292</v>
      </c>
      <c r="K11" s="66">
        <f t="shared" si="16"/>
        <v>-38.6292</v>
      </c>
      <c r="L11" s="66">
        <f t="shared" si="16"/>
        <v>-38.6292</v>
      </c>
      <c r="M11" s="66">
        <f t="shared" si="16"/>
        <v>-38.6292</v>
      </c>
      <c r="N11" s="66">
        <f t="shared" si="16"/>
        <v>-38.6292</v>
      </c>
      <c r="O11" s="66">
        <f t="shared" si="16"/>
        <v>-38.6292</v>
      </c>
      <c r="P11" s="66">
        <f t="shared" si="16"/>
        <v>-38.6292</v>
      </c>
      <c r="Q11" s="66">
        <f t="shared" si="16"/>
        <v>-38.6292</v>
      </c>
      <c r="R11" s="66">
        <f t="shared" si="16"/>
        <v>-38.6292</v>
      </c>
      <c r="S11" s="66">
        <f t="shared" si="16"/>
        <v>-38.6292</v>
      </c>
      <c r="T11" s="66">
        <f t="shared" si="4"/>
        <v>-38.6292</v>
      </c>
      <c r="U11" s="66">
        <f aca="true" t="shared" si="17" ref="U11:AE11">T11</f>
        <v>-38.6292</v>
      </c>
      <c r="V11" s="66">
        <f t="shared" si="17"/>
        <v>-38.6292</v>
      </c>
      <c r="W11" s="66">
        <f t="shared" si="17"/>
        <v>-38.6292</v>
      </c>
      <c r="X11" s="66">
        <f t="shared" si="17"/>
        <v>-38.6292</v>
      </c>
      <c r="Y11" s="66">
        <f t="shared" si="17"/>
        <v>-38.6292</v>
      </c>
      <c r="Z11" s="66">
        <f t="shared" si="17"/>
        <v>-38.6292</v>
      </c>
      <c r="AA11" s="66">
        <f t="shared" si="17"/>
        <v>-38.6292</v>
      </c>
      <c r="AB11" s="66">
        <f t="shared" si="17"/>
        <v>-38.6292</v>
      </c>
      <c r="AC11" s="66">
        <f t="shared" si="17"/>
        <v>-38.6292</v>
      </c>
      <c r="AD11" s="66">
        <f t="shared" si="17"/>
        <v>-38.6292</v>
      </c>
      <c r="AE11" s="66">
        <f t="shared" si="17"/>
        <v>-38.6292</v>
      </c>
      <c r="AF11" s="66">
        <f t="shared" si="6"/>
        <v>-308.3073710399999</v>
      </c>
      <c r="AG11" s="66">
        <f t="shared" si="7"/>
        <v>-155.24302895999995</v>
      </c>
    </row>
    <row r="12" spans="1:33" ht="12">
      <c r="A12" s="49" t="s">
        <v>29</v>
      </c>
      <c r="B12" s="47" t="s">
        <v>30</v>
      </c>
      <c r="C12" s="48">
        <v>30034570.53</v>
      </c>
      <c r="D12" s="50">
        <v>0.0667</v>
      </c>
      <c r="E12" s="65">
        <f t="shared" si="0"/>
        <v>166942.15452925</v>
      </c>
      <c r="F12" s="66">
        <f t="shared" si="1"/>
        <v>166942.15452925</v>
      </c>
      <c r="G12" s="66">
        <f t="shared" si="1"/>
        <v>166942.15452925</v>
      </c>
      <c r="H12" s="66">
        <f t="shared" si="2"/>
        <v>166942.15452925</v>
      </c>
      <c r="I12" s="66">
        <f aca="true" t="shared" si="18" ref="I12:S12">H12</f>
        <v>166942.15452925</v>
      </c>
      <c r="J12" s="66">
        <f t="shared" si="18"/>
        <v>166942.15452925</v>
      </c>
      <c r="K12" s="66">
        <f t="shared" si="18"/>
        <v>166942.15452925</v>
      </c>
      <c r="L12" s="66">
        <f t="shared" si="18"/>
        <v>166942.15452925</v>
      </c>
      <c r="M12" s="66">
        <f t="shared" si="18"/>
        <v>166942.15452925</v>
      </c>
      <c r="N12" s="66">
        <f t="shared" si="18"/>
        <v>166942.15452925</v>
      </c>
      <c r="O12" s="66">
        <f t="shared" si="18"/>
        <v>166942.15452925</v>
      </c>
      <c r="P12" s="66">
        <f t="shared" si="18"/>
        <v>166942.15452925</v>
      </c>
      <c r="Q12" s="66">
        <f t="shared" si="18"/>
        <v>166942.15452925</v>
      </c>
      <c r="R12" s="66">
        <f t="shared" si="18"/>
        <v>166942.15452925</v>
      </c>
      <c r="S12" s="66">
        <f t="shared" si="18"/>
        <v>166942.15452925</v>
      </c>
      <c r="T12" s="66">
        <f t="shared" si="4"/>
        <v>166942.15452925</v>
      </c>
      <c r="U12" s="66">
        <f aca="true" t="shared" si="19" ref="U12:AE12">T12</f>
        <v>166942.15452925</v>
      </c>
      <c r="V12" s="66">
        <f t="shared" si="19"/>
        <v>166942.15452925</v>
      </c>
      <c r="W12" s="66">
        <f t="shared" si="19"/>
        <v>166942.15452925</v>
      </c>
      <c r="X12" s="66">
        <f t="shared" si="19"/>
        <v>166942.15452925</v>
      </c>
      <c r="Y12" s="66">
        <f t="shared" si="19"/>
        <v>166942.15452925</v>
      </c>
      <c r="Z12" s="66">
        <f t="shared" si="19"/>
        <v>166942.15452925</v>
      </c>
      <c r="AA12" s="66">
        <f t="shared" si="19"/>
        <v>166942.15452925</v>
      </c>
      <c r="AB12" s="66">
        <f t="shared" si="19"/>
        <v>166942.15452925</v>
      </c>
      <c r="AC12" s="66">
        <f t="shared" si="19"/>
        <v>166942.15452925</v>
      </c>
      <c r="AD12" s="66">
        <f t="shared" si="19"/>
        <v>166942.15452925</v>
      </c>
      <c r="AE12" s="66">
        <f t="shared" si="19"/>
        <v>166942.15452925</v>
      </c>
      <c r="AF12" s="66">
        <f t="shared" si="6"/>
        <v>1332398.72372885</v>
      </c>
      <c r="AG12" s="66">
        <f t="shared" si="7"/>
        <v>670907.1306221498</v>
      </c>
    </row>
    <row r="13" spans="1:33" ht="12">
      <c r="A13" s="49" t="s">
        <v>31</v>
      </c>
      <c r="B13" s="47" t="s">
        <v>32</v>
      </c>
      <c r="C13" s="48">
        <v>416128.19</v>
      </c>
      <c r="D13" s="50">
        <v>0.0667</v>
      </c>
      <c r="E13" s="65">
        <f t="shared" si="0"/>
        <v>2312.9791894166665</v>
      </c>
      <c r="F13" s="66">
        <f t="shared" si="1"/>
        <v>2312.9791894166665</v>
      </c>
      <c r="G13" s="66">
        <f t="shared" si="1"/>
        <v>2312.9791894166665</v>
      </c>
      <c r="H13" s="66">
        <f t="shared" si="2"/>
        <v>2312.9791894166665</v>
      </c>
      <c r="I13" s="66">
        <f aca="true" t="shared" si="20" ref="I13:S13">H13</f>
        <v>2312.9791894166665</v>
      </c>
      <c r="J13" s="66">
        <f t="shared" si="20"/>
        <v>2312.9791894166665</v>
      </c>
      <c r="K13" s="66">
        <f t="shared" si="20"/>
        <v>2312.9791894166665</v>
      </c>
      <c r="L13" s="66">
        <f t="shared" si="20"/>
        <v>2312.9791894166665</v>
      </c>
      <c r="M13" s="66">
        <f t="shared" si="20"/>
        <v>2312.9791894166665</v>
      </c>
      <c r="N13" s="66">
        <f t="shared" si="20"/>
        <v>2312.9791894166665</v>
      </c>
      <c r="O13" s="66">
        <f t="shared" si="20"/>
        <v>2312.9791894166665</v>
      </c>
      <c r="P13" s="66">
        <f t="shared" si="20"/>
        <v>2312.9791894166665</v>
      </c>
      <c r="Q13" s="66">
        <f t="shared" si="20"/>
        <v>2312.9791894166665</v>
      </c>
      <c r="R13" s="66">
        <f t="shared" si="20"/>
        <v>2312.9791894166665</v>
      </c>
      <c r="S13" s="66">
        <f t="shared" si="20"/>
        <v>2312.9791894166665</v>
      </c>
      <c r="T13" s="66">
        <f t="shared" si="4"/>
        <v>2312.9791894166665</v>
      </c>
      <c r="U13" s="66">
        <f aca="true" t="shared" si="21" ref="U13:AE13">T13</f>
        <v>2312.9791894166665</v>
      </c>
      <c r="V13" s="66">
        <f t="shared" si="21"/>
        <v>2312.9791894166665</v>
      </c>
      <c r="W13" s="66">
        <f t="shared" si="21"/>
        <v>2312.9791894166665</v>
      </c>
      <c r="X13" s="66">
        <f t="shared" si="21"/>
        <v>2312.9791894166665</v>
      </c>
      <c r="Y13" s="66">
        <f t="shared" si="21"/>
        <v>2312.9791894166665</v>
      </c>
      <c r="Z13" s="66">
        <f t="shared" si="21"/>
        <v>2312.9791894166665</v>
      </c>
      <c r="AA13" s="66">
        <f t="shared" si="21"/>
        <v>2312.9791894166665</v>
      </c>
      <c r="AB13" s="66">
        <f t="shared" si="21"/>
        <v>2312.9791894166665</v>
      </c>
      <c r="AC13" s="66">
        <f t="shared" si="21"/>
        <v>2312.9791894166665</v>
      </c>
      <c r="AD13" s="66">
        <f t="shared" si="21"/>
        <v>2312.9791894166665</v>
      </c>
      <c r="AE13" s="66">
        <f t="shared" si="21"/>
        <v>2312.9791894166665</v>
      </c>
      <c r="AF13" s="66">
        <f t="shared" si="6"/>
        <v>18460.3495065723</v>
      </c>
      <c r="AG13" s="66">
        <f t="shared" si="7"/>
        <v>9295.400766427698</v>
      </c>
    </row>
    <row r="14" spans="1:33" ht="12">
      <c r="A14" s="67"/>
      <c r="B14" s="68" t="s">
        <v>16</v>
      </c>
      <c r="C14" s="69">
        <v>80659374.84</v>
      </c>
      <c r="D14" s="70"/>
      <c r="E14" s="71">
        <f aca="true" t="shared" si="22" ref="E14:AG14">SUM(E6:E13)</f>
        <v>875836.8496770001</v>
      </c>
      <c r="F14" s="71">
        <f t="shared" si="22"/>
        <v>875836.8496770001</v>
      </c>
      <c r="G14" s="71">
        <f t="shared" si="22"/>
        <v>875836.8496770001</v>
      </c>
      <c r="H14" s="71">
        <f t="shared" si="22"/>
        <v>875836.8496770001</v>
      </c>
      <c r="I14" s="71">
        <f t="shared" si="22"/>
        <v>875836.8496770001</v>
      </c>
      <c r="J14" s="71">
        <f t="shared" si="22"/>
        <v>875836.8496770001</v>
      </c>
      <c r="K14" s="71">
        <f t="shared" si="22"/>
        <v>875836.8496770001</v>
      </c>
      <c r="L14" s="71">
        <f t="shared" si="22"/>
        <v>875836.8496770001</v>
      </c>
      <c r="M14" s="71">
        <f t="shared" si="22"/>
        <v>875836.8496770001</v>
      </c>
      <c r="N14" s="71">
        <f t="shared" si="22"/>
        <v>875836.8496770001</v>
      </c>
      <c r="O14" s="71">
        <f t="shared" si="22"/>
        <v>875836.8496770001</v>
      </c>
      <c r="P14" s="71">
        <f t="shared" si="22"/>
        <v>875836.8496770001</v>
      </c>
      <c r="Q14" s="71">
        <f t="shared" si="22"/>
        <v>875836.8496770001</v>
      </c>
      <c r="R14" s="71">
        <f t="shared" si="22"/>
        <v>875836.8496770001</v>
      </c>
      <c r="S14" s="71">
        <f t="shared" si="22"/>
        <v>875836.8496770001</v>
      </c>
      <c r="T14" s="71">
        <f t="shared" si="22"/>
        <v>875836.8496770001</v>
      </c>
      <c r="U14" s="71">
        <f t="shared" si="22"/>
        <v>875836.8496770001</v>
      </c>
      <c r="V14" s="71">
        <f t="shared" si="22"/>
        <v>875836.8496770001</v>
      </c>
      <c r="W14" s="71">
        <f t="shared" si="22"/>
        <v>875836.8496770001</v>
      </c>
      <c r="X14" s="71">
        <f t="shared" si="22"/>
        <v>875836.8496770001</v>
      </c>
      <c r="Y14" s="71">
        <f t="shared" si="22"/>
        <v>875836.8496770001</v>
      </c>
      <c r="Z14" s="71">
        <f t="shared" si="22"/>
        <v>875836.8496770001</v>
      </c>
      <c r="AA14" s="71">
        <f t="shared" si="22"/>
        <v>875836.8496770001</v>
      </c>
      <c r="AB14" s="71">
        <f t="shared" si="22"/>
        <v>875836.8496770001</v>
      </c>
      <c r="AC14" s="71">
        <f t="shared" si="22"/>
        <v>875836.8496770001</v>
      </c>
      <c r="AD14" s="71">
        <f t="shared" si="22"/>
        <v>875836.8496770001</v>
      </c>
      <c r="AE14" s="71">
        <f t="shared" si="22"/>
        <v>875836.8496770001</v>
      </c>
      <c r="AF14" s="72">
        <f t="shared" si="22"/>
        <v>6990229.064642074</v>
      </c>
      <c r="AG14" s="72">
        <f t="shared" si="22"/>
        <v>3519813.1314819283</v>
      </c>
    </row>
    <row r="15" spans="1:22" ht="12">
      <c r="A15" s="67"/>
      <c r="B15" s="68"/>
      <c r="C15" s="73"/>
      <c r="D15" s="70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</row>
    <row r="16" spans="1:33" ht="12">
      <c r="A16" s="55"/>
      <c r="B16" s="55"/>
      <c r="C16" s="56"/>
      <c r="D16" s="55"/>
      <c r="E16" s="75"/>
      <c r="F16" s="120" t="s">
        <v>90</v>
      </c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 t="s">
        <v>90</v>
      </c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58"/>
      <c r="AG16" s="58"/>
    </row>
    <row r="17" spans="1:33" ht="12">
      <c r="A17" s="55" t="s">
        <v>0</v>
      </c>
      <c r="B17" s="55"/>
      <c r="C17" s="56"/>
      <c r="D17" s="55"/>
      <c r="E17" s="75"/>
      <c r="F17" s="76" t="s">
        <v>62</v>
      </c>
      <c r="G17" s="76" t="s">
        <v>63</v>
      </c>
      <c r="H17" s="76" t="s">
        <v>64</v>
      </c>
      <c r="I17" s="76" t="s">
        <v>65</v>
      </c>
      <c r="J17" s="76" t="s">
        <v>66</v>
      </c>
      <c r="K17" s="76" t="s">
        <v>67</v>
      </c>
      <c r="L17" s="76" t="s">
        <v>68</v>
      </c>
      <c r="M17" s="76" t="s">
        <v>69</v>
      </c>
      <c r="N17" s="76" t="s">
        <v>70</v>
      </c>
      <c r="O17" s="76" t="s">
        <v>71</v>
      </c>
      <c r="P17" s="76" t="s">
        <v>72</v>
      </c>
      <c r="Q17" s="76" t="s">
        <v>73</v>
      </c>
      <c r="R17" s="76" t="s">
        <v>62</v>
      </c>
      <c r="S17" s="76" t="s">
        <v>63</v>
      </c>
      <c r="T17" s="76" t="s">
        <v>64</v>
      </c>
      <c r="U17" s="76" t="s">
        <v>65</v>
      </c>
      <c r="V17" s="76" t="s">
        <v>66</v>
      </c>
      <c r="W17" s="61" t="s">
        <v>67</v>
      </c>
      <c r="X17" s="61" t="s">
        <v>68</v>
      </c>
      <c r="Y17" s="61" t="s">
        <v>69</v>
      </c>
      <c r="Z17" s="61" t="s">
        <v>70</v>
      </c>
      <c r="AA17" s="61" t="s">
        <v>71</v>
      </c>
      <c r="AB17" s="61" t="s">
        <v>72</v>
      </c>
      <c r="AC17" s="61" t="s">
        <v>73</v>
      </c>
      <c r="AD17" s="61" t="s">
        <v>62</v>
      </c>
      <c r="AE17" s="61" t="s">
        <v>63</v>
      </c>
      <c r="AF17" s="124" t="s">
        <v>79</v>
      </c>
      <c r="AG17" s="124"/>
    </row>
    <row r="18" spans="1:33" ht="12">
      <c r="A18" s="62" t="s">
        <v>1</v>
      </c>
      <c r="B18" s="62" t="s">
        <v>2</v>
      </c>
      <c r="C18" s="63"/>
      <c r="D18" s="62"/>
      <c r="E18" s="77"/>
      <c r="F18" s="78">
        <v>2008</v>
      </c>
      <c r="G18" s="78">
        <v>2008</v>
      </c>
      <c r="H18" s="78">
        <v>2009</v>
      </c>
      <c r="I18" s="78">
        <v>2009</v>
      </c>
      <c r="J18" s="78">
        <v>2009</v>
      </c>
      <c r="K18" s="78">
        <v>2009</v>
      </c>
      <c r="L18" s="78">
        <v>2009</v>
      </c>
      <c r="M18" s="78">
        <v>2009</v>
      </c>
      <c r="N18" s="78">
        <v>2009</v>
      </c>
      <c r="O18" s="78">
        <v>2009</v>
      </c>
      <c r="P18" s="78">
        <v>2009</v>
      </c>
      <c r="Q18" s="78">
        <v>2009</v>
      </c>
      <c r="R18" s="78">
        <v>2009</v>
      </c>
      <c r="S18" s="78">
        <v>2009</v>
      </c>
      <c r="T18" s="78">
        <v>2010</v>
      </c>
      <c r="U18" s="78">
        <v>2010</v>
      </c>
      <c r="V18" s="78">
        <v>2010</v>
      </c>
      <c r="W18" s="78">
        <v>2010</v>
      </c>
      <c r="X18" s="78">
        <v>2010</v>
      </c>
      <c r="Y18" s="78">
        <v>2010</v>
      </c>
      <c r="Z18" s="78">
        <v>2010</v>
      </c>
      <c r="AA18" s="78">
        <v>2010</v>
      </c>
      <c r="AB18" s="78">
        <v>2010</v>
      </c>
      <c r="AC18" s="78">
        <v>2010</v>
      </c>
      <c r="AD18" s="78">
        <v>2010</v>
      </c>
      <c r="AE18" s="78">
        <v>2010</v>
      </c>
      <c r="AF18" s="62" t="s">
        <v>7</v>
      </c>
      <c r="AG18" s="62" t="s">
        <v>19</v>
      </c>
    </row>
    <row r="19" spans="1:33" ht="12">
      <c r="A19" s="49" t="s">
        <v>21</v>
      </c>
      <c r="B19" s="47" t="s">
        <v>22</v>
      </c>
      <c r="D19" s="50"/>
      <c r="E19" s="65"/>
      <c r="F19" s="66">
        <v>41345.24</v>
      </c>
      <c r="G19" s="66">
        <v>41172.96</v>
      </c>
      <c r="H19" s="66">
        <v>41001.41</v>
      </c>
      <c r="I19" s="66">
        <v>40830.57</v>
      </c>
      <c r="J19" s="66">
        <v>40660.44</v>
      </c>
      <c r="K19" s="66">
        <v>40491.03</v>
      </c>
      <c r="L19" s="66">
        <v>40322.31</v>
      </c>
      <c r="M19" s="66">
        <v>40154.3</v>
      </c>
      <c r="N19" s="66">
        <v>39986.99</v>
      </c>
      <c r="O19" s="66">
        <v>39841.07</v>
      </c>
      <c r="P19" s="66">
        <v>39675.07</v>
      </c>
      <c r="Q19" s="66">
        <v>39566.35</v>
      </c>
      <c r="R19" s="66">
        <v>39401.49</v>
      </c>
      <c r="S19" s="66">
        <v>39220.11</v>
      </c>
      <c r="T19" s="66">
        <v>37236.48</v>
      </c>
      <c r="U19" s="66">
        <v>37081.33</v>
      </c>
      <c r="V19" s="66">
        <v>36926.83</v>
      </c>
      <c r="W19" s="66">
        <v>68967.82</v>
      </c>
      <c r="X19" s="66">
        <v>39443.89</v>
      </c>
      <c r="Y19" s="66">
        <f>X19</f>
        <v>39443.89</v>
      </c>
      <c r="Z19" s="66">
        <v>41280.58</v>
      </c>
      <c r="AA19" s="66">
        <v>41280.58</v>
      </c>
      <c r="AB19" s="66">
        <v>41280.58</v>
      </c>
      <c r="AC19" s="66">
        <v>41280.58</v>
      </c>
      <c r="AD19" s="66">
        <v>41280.58</v>
      </c>
      <c r="AE19" s="66">
        <v>41280.58</v>
      </c>
      <c r="AF19" s="66">
        <f aca="true" t="shared" si="23" ref="AF19:AF26">(T19+U19+V19+X19+Y19+W19+Z19+AA19+AB19+AC19+AD19+AE19)*$AF$1</f>
        <v>337061.85217200004</v>
      </c>
      <c r="AG19" s="66">
        <f aca="true" t="shared" si="24" ref="AG19:AG26">(T19+U19+V19+W19+X19+Y19+Z19+AA19+AB19+AC19+AD19+AE19)*$AF$2</f>
        <v>169721.86782800005</v>
      </c>
    </row>
    <row r="20" spans="1:33" ht="12">
      <c r="A20" s="49" t="s">
        <v>23</v>
      </c>
      <c r="B20" s="47" t="s">
        <v>24</v>
      </c>
      <c r="D20" s="50"/>
      <c r="E20" s="65"/>
      <c r="F20" s="66">
        <v>656708.48</v>
      </c>
      <c r="G20" s="66">
        <v>645763.34</v>
      </c>
      <c r="H20" s="66">
        <v>635000.62</v>
      </c>
      <c r="I20" s="66">
        <v>624417.27</v>
      </c>
      <c r="J20" s="66">
        <v>614010.32</v>
      </c>
      <c r="K20" s="66">
        <v>603776.81</v>
      </c>
      <c r="L20" s="66">
        <v>593713.87</v>
      </c>
      <c r="M20" s="66">
        <v>583818.63</v>
      </c>
      <c r="N20" s="66">
        <v>574088.32</v>
      </c>
      <c r="O20" s="66">
        <v>564520.18</v>
      </c>
      <c r="P20" s="66">
        <v>555111.52</v>
      </c>
      <c r="Q20" s="66">
        <v>545859.66</v>
      </c>
      <c r="R20" s="66">
        <v>536762</v>
      </c>
      <c r="S20" s="66">
        <v>527817.96</v>
      </c>
      <c r="T20" s="66">
        <v>526301.82</v>
      </c>
      <c r="U20" s="66">
        <v>517530.12</v>
      </c>
      <c r="V20" s="66">
        <v>508904.62</v>
      </c>
      <c r="W20" s="66">
        <f>2152587.8+149.53</f>
        <v>2152737.3299999996</v>
      </c>
      <c r="X20" s="66">
        <f>655198.73+149.53</f>
        <v>655348.26</v>
      </c>
      <c r="Y20" s="66">
        <f>663446+149.53</f>
        <v>663595.53</v>
      </c>
      <c r="Z20" s="66">
        <f>648454.41+149.53</f>
        <v>648603.9400000001</v>
      </c>
      <c r="AA20" s="66">
        <f>662413.76+149.53</f>
        <v>662563.29</v>
      </c>
      <c r="AB20" s="66">
        <v>693850.34</v>
      </c>
      <c r="AC20" s="66">
        <v>693850.34</v>
      </c>
      <c r="AD20" s="66">
        <v>693850.34</v>
      </c>
      <c r="AE20" s="66">
        <v>734908.74</v>
      </c>
      <c r="AF20" s="66">
        <f t="shared" si="23"/>
        <v>6087024.9100170005</v>
      </c>
      <c r="AG20" s="66">
        <f t="shared" si="24"/>
        <v>3065019.759983</v>
      </c>
    </row>
    <row r="21" spans="1:33" ht="12">
      <c r="A21" s="49" t="s">
        <v>25</v>
      </c>
      <c r="B21" s="47" t="s">
        <v>58</v>
      </c>
      <c r="D21" s="50"/>
      <c r="E21" s="65"/>
      <c r="F21" s="66">
        <v>167.36</v>
      </c>
      <c r="G21" s="66">
        <v>165.96</v>
      </c>
      <c r="H21" s="66">
        <v>164.58</v>
      </c>
      <c r="I21" s="66">
        <v>163.21</v>
      </c>
      <c r="J21" s="66">
        <v>161.85</v>
      </c>
      <c r="K21" s="66">
        <v>160.5</v>
      </c>
      <c r="L21" s="66">
        <v>159.16</v>
      </c>
      <c r="M21" s="66">
        <v>157.84</v>
      </c>
      <c r="N21" s="66">
        <v>156.52</v>
      </c>
      <c r="O21" s="66">
        <v>155.22</v>
      </c>
      <c r="P21" s="66">
        <v>153.92</v>
      </c>
      <c r="Q21" s="66">
        <v>152.64</v>
      </c>
      <c r="R21" s="66">
        <v>151.37</v>
      </c>
      <c r="S21" s="66">
        <v>150.11</v>
      </c>
      <c r="T21" s="66">
        <f>148.86+2.86</f>
        <v>151.72000000000003</v>
      </c>
      <c r="U21" s="66">
        <f>147.62+2.86</f>
        <v>150.48000000000002</v>
      </c>
      <c r="V21" s="66">
        <f>146.39+2.86</f>
        <v>149.25</v>
      </c>
      <c r="W21" s="66">
        <v>47.66</v>
      </c>
      <c r="X21" s="66">
        <v>149.76</v>
      </c>
      <c r="Y21" s="66">
        <f aca="true" t="shared" si="25" ref="Y21:Y26">X21</f>
        <v>149.76</v>
      </c>
      <c r="Z21" s="66">
        <v>-29.43</v>
      </c>
      <c r="AA21" s="66">
        <v>-29.43</v>
      </c>
      <c r="AB21" s="66">
        <v>-29.43</v>
      </c>
      <c r="AC21" s="66">
        <v>-29.43</v>
      </c>
      <c r="AD21" s="66">
        <v>-29.43</v>
      </c>
      <c r="AE21" s="66">
        <v>-29.43</v>
      </c>
      <c r="AF21" s="66">
        <f t="shared" si="23"/>
        <v>413.72545500000024</v>
      </c>
      <c r="AG21" s="66">
        <f t="shared" si="24"/>
        <v>208.3245450000001</v>
      </c>
    </row>
    <row r="22" spans="1:33" ht="12">
      <c r="A22" s="49" t="s">
        <v>5</v>
      </c>
      <c r="B22" s="47" t="s">
        <v>26</v>
      </c>
      <c r="D22" s="50"/>
      <c r="E22" s="65"/>
      <c r="F22" s="66">
        <v>150.27</v>
      </c>
      <c r="G22" s="66">
        <v>149.65</v>
      </c>
      <c r="H22" s="66">
        <v>149.02</v>
      </c>
      <c r="I22" s="66">
        <v>148.4</v>
      </c>
      <c r="J22" s="66">
        <v>147.78</v>
      </c>
      <c r="K22" s="66">
        <v>147.17</v>
      </c>
      <c r="L22" s="66">
        <v>146.55</v>
      </c>
      <c r="M22" s="66">
        <v>145.94</v>
      </c>
      <c r="N22" s="66">
        <v>145.34</v>
      </c>
      <c r="O22" s="66">
        <v>144.73</v>
      </c>
      <c r="P22" s="66">
        <v>144.13</v>
      </c>
      <c r="Q22" s="66">
        <v>143.53</v>
      </c>
      <c r="R22" s="66">
        <v>142.93</v>
      </c>
      <c r="S22" s="66">
        <v>142.33</v>
      </c>
      <c r="T22" s="66">
        <v>141.74</v>
      </c>
      <c r="U22" s="66">
        <v>141.15</v>
      </c>
      <c r="V22" s="66">
        <v>140.56</v>
      </c>
      <c r="W22" s="66">
        <v>234.05</v>
      </c>
      <c r="X22" s="66">
        <v>150.27</v>
      </c>
      <c r="Y22" s="66">
        <f t="shared" si="25"/>
        <v>150.27</v>
      </c>
      <c r="Z22" s="66">
        <f aca="true" t="shared" si="26" ref="Z22:AE23">Y22</f>
        <v>150.27</v>
      </c>
      <c r="AA22" s="66">
        <f t="shared" si="26"/>
        <v>150.27</v>
      </c>
      <c r="AB22" s="66">
        <f t="shared" si="26"/>
        <v>150.27</v>
      </c>
      <c r="AC22" s="66">
        <f t="shared" si="26"/>
        <v>150.27</v>
      </c>
      <c r="AD22" s="66">
        <f t="shared" si="26"/>
        <v>150.27</v>
      </c>
      <c r="AE22" s="66">
        <f t="shared" si="26"/>
        <v>150.27</v>
      </c>
      <c r="AF22" s="66">
        <f t="shared" si="23"/>
        <v>1236.859866</v>
      </c>
      <c r="AG22" s="66">
        <f t="shared" si="24"/>
        <v>622.800134</v>
      </c>
    </row>
    <row r="23" spans="1:33" ht="12">
      <c r="A23" s="49" t="s">
        <v>27</v>
      </c>
      <c r="B23" s="47" t="s">
        <v>28</v>
      </c>
      <c r="D23" s="50"/>
      <c r="E23" s="65"/>
      <c r="F23" s="66">
        <v>1798.52</v>
      </c>
      <c r="G23" s="66">
        <v>1791.03</v>
      </c>
      <c r="H23" s="66">
        <v>1783.57</v>
      </c>
      <c r="I23" s="66">
        <v>1776.13</v>
      </c>
      <c r="J23" s="66">
        <v>1768.73</v>
      </c>
      <c r="K23" s="66">
        <v>1761.36</v>
      </c>
      <c r="L23" s="66">
        <v>1754.03</v>
      </c>
      <c r="M23" s="66">
        <v>1746.72</v>
      </c>
      <c r="N23" s="66">
        <v>1739.44</v>
      </c>
      <c r="O23" s="66">
        <v>1732.19</v>
      </c>
      <c r="P23" s="66">
        <v>1724.97</v>
      </c>
      <c r="Q23" s="66">
        <v>1717.79</v>
      </c>
      <c r="R23" s="66">
        <v>1710.63</v>
      </c>
      <c r="S23" s="66">
        <v>1703.5</v>
      </c>
      <c r="T23" s="66">
        <v>1696.4</v>
      </c>
      <c r="U23" s="66">
        <v>1689.34</v>
      </c>
      <c r="V23" s="66">
        <v>1682.3</v>
      </c>
      <c r="W23" s="66">
        <v>2801.23</v>
      </c>
      <c r="X23" s="66">
        <v>1798.5</v>
      </c>
      <c r="Y23" s="66">
        <f t="shared" si="25"/>
        <v>1798.5</v>
      </c>
      <c r="Z23" s="66">
        <f t="shared" si="26"/>
        <v>1798.5</v>
      </c>
      <c r="AA23" s="66">
        <f t="shared" si="26"/>
        <v>1798.5</v>
      </c>
      <c r="AB23" s="66">
        <f t="shared" si="26"/>
        <v>1798.5</v>
      </c>
      <c r="AC23" s="66">
        <f t="shared" si="26"/>
        <v>1798.5</v>
      </c>
      <c r="AD23" s="66">
        <f t="shared" si="26"/>
        <v>1798.5</v>
      </c>
      <c r="AE23" s="66">
        <f t="shared" si="26"/>
        <v>1798.5</v>
      </c>
      <c r="AF23" s="66">
        <f t="shared" si="23"/>
        <v>14803.310277</v>
      </c>
      <c r="AG23" s="66">
        <f t="shared" si="24"/>
        <v>7453.959723</v>
      </c>
    </row>
    <row r="24" spans="1:33" ht="12">
      <c r="A24" s="49" t="s">
        <v>6</v>
      </c>
      <c r="B24" s="47" t="s">
        <v>59</v>
      </c>
      <c r="D24" s="50"/>
      <c r="E24" s="65"/>
      <c r="F24" s="66">
        <v>0</v>
      </c>
      <c r="G24" s="66">
        <f>F24</f>
        <v>0</v>
      </c>
      <c r="H24" s="66">
        <f>G24</f>
        <v>0</v>
      </c>
      <c r="I24" s="66">
        <f aca="true" t="shared" si="27" ref="I24:S24">H24</f>
        <v>0</v>
      </c>
      <c r="J24" s="66">
        <f t="shared" si="27"/>
        <v>0</v>
      </c>
      <c r="K24" s="66">
        <f t="shared" si="27"/>
        <v>0</v>
      </c>
      <c r="L24" s="66">
        <f t="shared" si="27"/>
        <v>0</v>
      </c>
      <c r="M24" s="66">
        <f t="shared" si="27"/>
        <v>0</v>
      </c>
      <c r="N24" s="66">
        <f t="shared" si="27"/>
        <v>0</v>
      </c>
      <c r="O24" s="66">
        <f t="shared" si="27"/>
        <v>0</v>
      </c>
      <c r="P24" s="66">
        <f t="shared" si="27"/>
        <v>0</v>
      </c>
      <c r="Q24" s="66">
        <f t="shared" si="27"/>
        <v>0</v>
      </c>
      <c r="R24" s="66">
        <f t="shared" si="27"/>
        <v>0</v>
      </c>
      <c r="S24" s="66">
        <f t="shared" si="27"/>
        <v>0</v>
      </c>
      <c r="T24" s="66">
        <f>S24</f>
        <v>0</v>
      </c>
      <c r="U24" s="66">
        <f>T24</f>
        <v>0</v>
      </c>
      <c r="V24" s="66">
        <f>U24</f>
        <v>0</v>
      </c>
      <c r="W24" s="66">
        <v>-656.7</v>
      </c>
      <c r="X24" s="66">
        <v>3.61</v>
      </c>
      <c r="Y24" s="66">
        <f t="shared" si="25"/>
        <v>3.61</v>
      </c>
      <c r="Z24" s="66">
        <f>Y24</f>
        <v>3.61</v>
      </c>
      <c r="AA24" s="66">
        <f>Z24</f>
        <v>3.61</v>
      </c>
      <c r="AB24" s="66">
        <v>1.8</v>
      </c>
      <c r="AC24" s="66">
        <v>-0.01</v>
      </c>
      <c r="AD24" s="66">
        <v>-0.01</v>
      </c>
      <c r="AE24" s="66">
        <v>-0.01</v>
      </c>
      <c r="AF24" s="66">
        <f t="shared" si="23"/>
        <v>-425.98989900000004</v>
      </c>
      <c r="AG24" s="66">
        <f t="shared" si="24"/>
        <v>-214.500101</v>
      </c>
    </row>
    <row r="25" spans="1:33" ht="12">
      <c r="A25" s="49" t="s">
        <v>29</v>
      </c>
      <c r="B25" s="47" t="s">
        <v>30</v>
      </c>
      <c r="D25" s="50"/>
      <c r="E25" s="65"/>
      <c r="F25" s="66">
        <v>166903.43</v>
      </c>
      <c r="G25" s="66">
        <v>165975.73</v>
      </c>
      <c r="H25" s="66">
        <v>165053.18</v>
      </c>
      <c r="I25" s="66">
        <v>164135.76</v>
      </c>
      <c r="J25" s="66">
        <v>163223.44</v>
      </c>
      <c r="K25" s="66">
        <v>162316.19</v>
      </c>
      <c r="L25" s="66">
        <v>167700.84</v>
      </c>
      <c r="M25" s="66">
        <v>165829.12</v>
      </c>
      <c r="N25" s="66">
        <v>164943.1</v>
      </c>
      <c r="O25" s="66">
        <v>164026.29</v>
      </c>
      <c r="P25" s="66">
        <v>163111.58</v>
      </c>
      <c r="Q25" s="66">
        <v>162207.03</v>
      </c>
      <c r="R25" s="66">
        <v>161306.33</v>
      </c>
      <c r="S25" s="66">
        <f>160409.73+3</f>
        <v>160412.73</v>
      </c>
      <c r="T25" s="66">
        <v>159518.12</v>
      </c>
      <c r="U25" s="66">
        <v>158631.47</v>
      </c>
      <c r="V25" s="66">
        <v>157749.74</v>
      </c>
      <c r="W25" s="66">
        <f>238118.97+71.44</f>
        <v>238190.41</v>
      </c>
      <c r="X25" s="66">
        <f>172746.25+71.44</f>
        <v>172817.69</v>
      </c>
      <c r="Y25" s="66">
        <f t="shared" si="25"/>
        <v>172817.69</v>
      </c>
      <c r="Z25" s="66">
        <f>161219.27+71.44</f>
        <v>161290.71</v>
      </c>
      <c r="AA25" s="66">
        <f>172349.07+71.44</f>
        <v>172420.51</v>
      </c>
      <c r="AB25" s="66">
        <v>170815.35</v>
      </c>
      <c r="AC25" s="66">
        <v>170815.35</v>
      </c>
      <c r="AD25" s="66">
        <v>170815.35</v>
      </c>
      <c r="AE25" s="66">
        <f>170421.87+71.21</f>
        <v>170493.08</v>
      </c>
      <c r="AF25" s="66">
        <f t="shared" si="23"/>
        <v>1380997.3250970002</v>
      </c>
      <c r="AG25" s="66">
        <f t="shared" si="24"/>
        <v>695378.144903</v>
      </c>
    </row>
    <row r="26" spans="1:33" ht="12">
      <c r="A26" s="49" t="s">
        <v>31</v>
      </c>
      <c r="B26" s="47" t="s">
        <v>32</v>
      </c>
      <c r="D26" s="50"/>
      <c r="E26" s="65"/>
      <c r="F26" s="66">
        <v>2312.98</v>
      </c>
      <c r="G26" s="66">
        <v>2300.12</v>
      </c>
      <c r="H26" s="66">
        <v>2287.34</v>
      </c>
      <c r="I26" s="66">
        <v>2274.62</v>
      </c>
      <c r="J26" s="66">
        <v>2261.98</v>
      </c>
      <c r="K26" s="66">
        <v>2249.41</v>
      </c>
      <c r="L26" s="66">
        <v>2236.91</v>
      </c>
      <c r="M26" s="66">
        <v>2224.47</v>
      </c>
      <c r="N26" s="66">
        <v>2212.11</v>
      </c>
      <c r="O26" s="66">
        <v>2199.81</v>
      </c>
      <c r="P26" s="66">
        <v>2187.58</v>
      </c>
      <c r="Q26" s="66">
        <v>2175.43</v>
      </c>
      <c r="R26" s="66">
        <v>2163.33</v>
      </c>
      <c r="S26" s="66">
        <v>2151.31</v>
      </c>
      <c r="T26" s="66">
        <v>2139.35</v>
      </c>
      <c r="U26" s="66">
        <v>2127.46</v>
      </c>
      <c r="V26" s="66">
        <f>2115.64+1</f>
        <v>2116.64</v>
      </c>
      <c r="W26" s="66">
        <v>4022.94</v>
      </c>
      <c r="X26" s="66">
        <v>2311.64</v>
      </c>
      <c r="Y26" s="66">
        <f t="shared" si="25"/>
        <v>2311.64</v>
      </c>
      <c r="Z26" s="66">
        <f aca="true" t="shared" si="28" ref="Z26:AE26">Y26</f>
        <v>2311.64</v>
      </c>
      <c r="AA26" s="66">
        <f t="shared" si="28"/>
        <v>2311.64</v>
      </c>
      <c r="AB26" s="66">
        <f t="shared" si="28"/>
        <v>2311.64</v>
      </c>
      <c r="AC26" s="66">
        <f t="shared" si="28"/>
        <v>2311.64</v>
      </c>
      <c r="AD26" s="66">
        <f t="shared" si="28"/>
        <v>2311.64</v>
      </c>
      <c r="AE26" s="66">
        <f t="shared" si="28"/>
        <v>2311.64</v>
      </c>
      <c r="AF26" s="66">
        <f t="shared" si="23"/>
        <v>19221.064100999996</v>
      </c>
      <c r="AG26" s="66">
        <f t="shared" si="24"/>
        <v>9678.445898999997</v>
      </c>
    </row>
    <row r="27" spans="1:33" ht="12">
      <c r="A27" s="67"/>
      <c r="C27" s="73"/>
      <c r="D27" s="70"/>
      <c r="E27" s="68" t="s">
        <v>16</v>
      </c>
      <c r="F27" s="71">
        <f>SUM(F19:F26)</f>
        <v>869386.28</v>
      </c>
      <c r="G27" s="71">
        <f aca="true" t="shared" si="29" ref="G27:AG27">SUM(G19:G26)</f>
        <v>857318.7899999999</v>
      </c>
      <c r="H27" s="71">
        <f t="shared" si="29"/>
        <v>845439.7199999999</v>
      </c>
      <c r="I27" s="71">
        <f t="shared" si="29"/>
        <v>833745.96</v>
      </c>
      <c r="J27" s="71">
        <f t="shared" si="29"/>
        <v>822234.54</v>
      </c>
      <c r="K27" s="71">
        <f t="shared" si="29"/>
        <v>810902.4700000001</v>
      </c>
      <c r="L27" s="71">
        <f t="shared" si="29"/>
        <v>806033.67</v>
      </c>
      <c r="M27" s="71">
        <f t="shared" si="29"/>
        <v>794077.0199999999</v>
      </c>
      <c r="N27" s="71">
        <f t="shared" si="29"/>
        <v>783271.8199999998</v>
      </c>
      <c r="O27" s="71">
        <f t="shared" si="29"/>
        <v>772619.49</v>
      </c>
      <c r="P27" s="71">
        <f t="shared" si="29"/>
        <v>762108.7699999999</v>
      </c>
      <c r="Q27" s="71">
        <f t="shared" si="29"/>
        <v>751822.4300000002</v>
      </c>
      <c r="R27" s="71">
        <f t="shared" si="29"/>
        <v>741638.08</v>
      </c>
      <c r="S27" s="71">
        <f t="shared" si="29"/>
        <v>731598.0499999999</v>
      </c>
      <c r="T27" s="71">
        <f t="shared" si="29"/>
        <v>727185.6299999999</v>
      </c>
      <c r="U27" s="71">
        <f t="shared" si="29"/>
        <v>717351.3499999999</v>
      </c>
      <c r="V27" s="71">
        <f t="shared" si="29"/>
        <v>707669.9400000001</v>
      </c>
      <c r="W27" s="71">
        <f t="shared" si="29"/>
        <v>2466344.7399999993</v>
      </c>
      <c r="X27" s="71">
        <f t="shared" si="29"/>
        <v>872023.62</v>
      </c>
      <c r="Y27" s="71">
        <f t="shared" si="29"/>
        <v>880270.89</v>
      </c>
      <c r="Z27" s="71">
        <f t="shared" si="29"/>
        <v>855409.82</v>
      </c>
      <c r="AA27" s="71">
        <f t="shared" si="29"/>
        <v>880498.97</v>
      </c>
      <c r="AB27" s="71">
        <f t="shared" si="29"/>
        <v>910179.0499999999</v>
      </c>
      <c r="AC27" s="71">
        <f t="shared" si="29"/>
        <v>910177.2399999999</v>
      </c>
      <c r="AD27" s="71">
        <f t="shared" si="29"/>
        <v>910177.2399999999</v>
      </c>
      <c r="AE27" s="71">
        <f t="shared" si="29"/>
        <v>950913.3699999999</v>
      </c>
      <c r="AF27" s="72">
        <f t="shared" si="29"/>
        <v>7840333.057086001</v>
      </c>
      <c r="AG27" s="72">
        <f t="shared" si="29"/>
        <v>3947868.8029139997</v>
      </c>
    </row>
    <row r="28" spans="1:22" ht="12">
      <c r="A28" s="67"/>
      <c r="C28" s="73"/>
      <c r="D28" s="70"/>
      <c r="E28" s="79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</row>
    <row r="29" spans="1:33" ht="12">
      <c r="A29" s="55"/>
      <c r="B29" s="55"/>
      <c r="C29" s="56"/>
      <c r="D29" s="55"/>
      <c r="E29" s="75"/>
      <c r="F29" s="122" t="s">
        <v>87</v>
      </c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 t="s">
        <v>87</v>
      </c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  <c r="AF29" s="80"/>
      <c r="AG29" s="80"/>
    </row>
    <row r="30" spans="1:33" ht="12">
      <c r="A30" s="55" t="s">
        <v>0</v>
      </c>
      <c r="B30" s="55"/>
      <c r="C30" s="56"/>
      <c r="D30" s="55"/>
      <c r="E30" s="75"/>
      <c r="F30" s="61" t="s">
        <v>62</v>
      </c>
      <c r="G30" s="61" t="s">
        <v>63</v>
      </c>
      <c r="H30" s="61" t="s">
        <v>64</v>
      </c>
      <c r="I30" s="61" t="s">
        <v>65</v>
      </c>
      <c r="J30" s="61" t="s">
        <v>66</v>
      </c>
      <c r="K30" s="61" t="s">
        <v>67</v>
      </c>
      <c r="L30" s="61" t="s">
        <v>68</v>
      </c>
      <c r="M30" s="61" t="s">
        <v>69</v>
      </c>
      <c r="N30" s="61" t="s">
        <v>70</v>
      </c>
      <c r="O30" s="61" t="s">
        <v>71</v>
      </c>
      <c r="P30" s="61" t="s">
        <v>72</v>
      </c>
      <c r="Q30" s="61" t="s">
        <v>73</v>
      </c>
      <c r="R30" s="61" t="s">
        <v>62</v>
      </c>
      <c r="S30" s="61" t="s">
        <v>63</v>
      </c>
      <c r="T30" s="61" t="s">
        <v>64</v>
      </c>
      <c r="U30" s="61" t="s">
        <v>65</v>
      </c>
      <c r="V30" s="61" t="s">
        <v>66</v>
      </c>
      <c r="W30" s="61" t="s">
        <v>67</v>
      </c>
      <c r="X30" s="61" t="s">
        <v>68</v>
      </c>
      <c r="Y30" s="61" t="s">
        <v>69</v>
      </c>
      <c r="Z30" s="61" t="s">
        <v>70</v>
      </c>
      <c r="AA30" s="61" t="s">
        <v>71</v>
      </c>
      <c r="AB30" s="61" t="s">
        <v>72</v>
      </c>
      <c r="AC30" s="61" t="s">
        <v>73</v>
      </c>
      <c r="AD30" s="61" t="s">
        <v>62</v>
      </c>
      <c r="AE30" s="61" t="s">
        <v>63</v>
      </c>
      <c r="AF30" s="123" t="s">
        <v>79</v>
      </c>
      <c r="AG30" s="124"/>
    </row>
    <row r="31" spans="1:33" ht="12">
      <c r="A31" s="62" t="s">
        <v>1</v>
      </c>
      <c r="B31" s="62" t="s">
        <v>2</v>
      </c>
      <c r="C31" s="63"/>
      <c r="D31" s="62"/>
      <c r="E31" s="77"/>
      <c r="F31" s="78">
        <v>2008</v>
      </c>
      <c r="G31" s="78">
        <v>2008</v>
      </c>
      <c r="H31" s="78">
        <v>2009</v>
      </c>
      <c r="I31" s="78">
        <v>2009</v>
      </c>
      <c r="J31" s="78">
        <v>2009</v>
      </c>
      <c r="K31" s="78">
        <v>2009</v>
      </c>
      <c r="L31" s="78">
        <v>2009</v>
      </c>
      <c r="M31" s="78">
        <v>2009</v>
      </c>
      <c r="N31" s="78">
        <v>2009</v>
      </c>
      <c r="O31" s="78">
        <v>2009</v>
      </c>
      <c r="P31" s="78">
        <v>2009</v>
      </c>
      <c r="Q31" s="78">
        <v>2009</v>
      </c>
      <c r="R31" s="78">
        <v>2009</v>
      </c>
      <c r="S31" s="78">
        <v>2009</v>
      </c>
      <c r="T31" s="78">
        <v>2010</v>
      </c>
      <c r="U31" s="78">
        <v>2010</v>
      </c>
      <c r="V31" s="78">
        <v>2010</v>
      </c>
      <c r="W31" s="78">
        <v>2010</v>
      </c>
      <c r="X31" s="78">
        <v>2010</v>
      </c>
      <c r="Y31" s="78">
        <v>2010</v>
      </c>
      <c r="Z31" s="78">
        <v>2010</v>
      </c>
      <c r="AA31" s="78">
        <v>2010</v>
      </c>
      <c r="AB31" s="78">
        <v>2010</v>
      </c>
      <c r="AC31" s="78">
        <v>2010</v>
      </c>
      <c r="AD31" s="78">
        <v>2010</v>
      </c>
      <c r="AE31" s="78">
        <v>2010</v>
      </c>
      <c r="AF31" s="62" t="s">
        <v>7</v>
      </c>
      <c r="AG31" s="62" t="s">
        <v>19</v>
      </c>
    </row>
    <row r="32" spans="1:33" ht="12">
      <c r="A32" s="49" t="s">
        <v>21</v>
      </c>
      <c r="B32" s="47" t="s">
        <v>22</v>
      </c>
      <c r="D32" s="50"/>
      <c r="E32" s="65"/>
      <c r="F32" s="66">
        <f>F6-F19</f>
        <v>84.49612500000512</v>
      </c>
      <c r="G32" s="66">
        <f>G6-G19</f>
        <v>256.77612500000396</v>
      </c>
      <c r="H32" s="66">
        <f aca="true" t="shared" si="30" ref="H32:S32">H6-H19</f>
        <v>428.3261249999996</v>
      </c>
      <c r="I32" s="66">
        <f t="shared" si="30"/>
        <v>599.1661250000034</v>
      </c>
      <c r="J32" s="66">
        <f t="shared" si="30"/>
        <v>769.2961250000008</v>
      </c>
      <c r="K32" s="66">
        <f t="shared" si="30"/>
        <v>938.7061250000042</v>
      </c>
      <c r="L32" s="66">
        <f t="shared" si="30"/>
        <v>1107.4261250000054</v>
      </c>
      <c r="M32" s="66">
        <f t="shared" si="30"/>
        <v>1275.4361250000002</v>
      </c>
      <c r="N32" s="66">
        <f t="shared" si="30"/>
        <v>1442.7461250000051</v>
      </c>
      <c r="O32" s="66">
        <f t="shared" si="30"/>
        <v>1588.6661250000034</v>
      </c>
      <c r="P32" s="66">
        <f t="shared" si="30"/>
        <v>1754.6661250000034</v>
      </c>
      <c r="Q32" s="66">
        <f t="shared" si="30"/>
        <v>1863.3861250000045</v>
      </c>
      <c r="R32" s="66">
        <f t="shared" si="30"/>
        <v>2028.2461250000051</v>
      </c>
      <c r="S32" s="66">
        <f t="shared" si="30"/>
        <v>2209.6261250000025</v>
      </c>
      <c r="T32" s="66">
        <f aca="true" t="shared" si="31" ref="T32:AE32">T6-T19</f>
        <v>4193.256125</v>
      </c>
      <c r="U32" s="66">
        <f t="shared" si="31"/>
        <v>4348.406125000001</v>
      </c>
      <c r="V32" s="66">
        <f t="shared" si="31"/>
        <v>4502.906125000001</v>
      </c>
      <c r="W32" s="66">
        <f t="shared" si="31"/>
        <v>-27538.083875000004</v>
      </c>
      <c r="X32" s="66">
        <f t="shared" si="31"/>
        <v>1985.8461250000037</v>
      </c>
      <c r="Y32" s="66">
        <f t="shared" si="31"/>
        <v>1985.8461250000037</v>
      </c>
      <c r="Z32" s="66">
        <f t="shared" si="31"/>
        <v>149.15612500000134</v>
      </c>
      <c r="AA32" s="66">
        <f t="shared" si="31"/>
        <v>149.15612500000134</v>
      </c>
      <c r="AB32" s="66">
        <f t="shared" si="31"/>
        <v>149.15612500000134</v>
      </c>
      <c r="AC32" s="66">
        <f t="shared" si="31"/>
        <v>149.15612500000134</v>
      </c>
      <c r="AD32" s="66">
        <f t="shared" si="31"/>
        <v>149.15612500000134</v>
      </c>
      <c r="AE32" s="66">
        <f t="shared" si="31"/>
        <v>149.15612500000134</v>
      </c>
      <c r="AF32" s="66">
        <f aca="true" t="shared" si="32" ref="AF32:AF39">(T32+U32+V32+X32+Y32+W32+Z32+AA32+AB32+AC32+AD32+AE32)*$AF$1</f>
        <v>-6402.842211149991</v>
      </c>
      <c r="AG32" s="66">
        <f aca="true" t="shared" si="33" ref="AG32:AG39">(T32+U32+V32+W32+X32+Y32+Z32+AA32+AB32+AC32+AD32+AE32)*$AF$2</f>
        <v>-3224.044288849995</v>
      </c>
    </row>
    <row r="33" spans="1:33" ht="12">
      <c r="A33" s="49" t="s">
        <v>23</v>
      </c>
      <c r="B33" s="47" t="s">
        <v>24</v>
      </c>
      <c r="D33" s="50"/>
      <c r="E33" s="65"/>
      <c r="F33" s="66">
        <f aca="true" t="shared" si="34" ref="F33:G39">F7-F20</f>
        <v>6382.710833333433</v>
      </c>
      <c r="G33" s="66">
        <f t="shared" si="34"/>
        <v>17327.850833333447</v>
      </c>
      <c r="H33" s="66">
        <f aca="true" t="shared" si="35" ref="H33:S33">H7-H20</f>
        <v>28090.57083333342</v>
      </c>
      <c r="I33" s="66">
        <f t="shared" si="35"/>
        <v>38673.920833333395</v>
      </c>
      <c r="J33" s="66">
        <f t="shared" si="35"/>
        <v>49080.870833333465</v>
      </c>
      <c r="K33" s="66">
        <f t="shared" si="35"/>
        <v>59314.38083333336</v>
      </c>
      <c r="L33" s="66">
        <f t="shared" si="35"/>
        <v>69377.32083333342</v>
      </c>
      <c r="M33" s="66">
        <f t="shared" si="35"/>
        <v>79272.56083333341</v>
      </c>
      <c r="N33" s="66">
        <f t="shared" si="35"/>
        <v>89002.87083333347</v>
      </c>
      <c r="O33" s="66">
        <f t="shared" si="35"/>
        <v>98571.01083333336</v>
      </c>
      <c r="P33" s="66">
        <f t="shared" si="35"/>
        <v>107979.6708333334</v>
      </c>
      <c r="Q33" s="66">
        <f t="shared" si="35"/>
        <v>117231.53083333338</v>
      </c>
      <c r="R33" s="66">
        <f t="shared" si="35"/>
        <v>126329.19083333341</v>
      </c>
      <c r="S33" s="66">
        <f t="shared" si="35"/>
        <v>135273.23083333345</v>
      </c>
      <c r="T33" s="66">
        <f aca="true" t="shared" si="36" ref="T33:AE33">T7-T20</f>
        <v>136789.37083333347</v>
      </c>
      <c r="U33" s="66">
        <f t="shared" si="36"/>
        <v>145561.07083333342</v>
      </c>
      <c r="V33" s="66">
        <f t="shared" si="36"/>
        <v>154186.57083333342</v>
      </c>
      <c r="W33" s="66">
        <f t="shared" si="36"/>
        <v>-1489646.1391666662</v>
      </c>
      <c r="X33" s="66">
        <f t="shared" si="36"/>
        <v>7742.930833333405</v>
      </c>
      <c r="Y33" s="66">
        <f t="shared" si="36"/>
        <v>-504.3391666666139</v>
      </c>
      <c r="Z33" s="66">
        <f t="shared" si="36"/>
        <v>14487.250833333354</v>
      </c>
      <c r="AA33" s="66">
        <f t="shared" si="36"/>
        <v>527.9008333333768</v>
      </c>
      <c r="AB33" s="66">
        <f t="shared" si="36"/>
        <v>-30759.149166666553</v>
      </c>
      <c r="AC33" s="66">
        <f t="shared" si="36"/>
        <v>-30759.149166666553</v>
      </c>
      <c r="AD33" s="66">
        <f t="shared" si="36"/>
        <v>-30759.149166666553</v>
      </c>
      <c r="AE33" s="66">
        <f t="shared" si="36"/>
        <v>-71817.54916666658</v>
      </c>
      <c r="AF33" s="66">
        <f t="shared" si="32"/>
        <v>-794761.4977379988</v>
      </c>
      <c r="AG33" s="66">
        <f t="shared" si="33"/>
        <v>-400188.88226199953</v>
      </c>
    </row>
    <row r="34" spans="1:33" ht="12">
      <c r="A34" s="49" t="s">
        <v>25</v>
      </c>
      <c r="B34" s="47" t="s">
        <v>58</v>
      </c>
      <c r="D34" s="50"/>
      <c r="E34" s="65"/>
      <c r="F34" s="66">
        <f t="shared" si="34"/>
        <v>-16.73630000000003</v>
      </c>
      <c r="G34" s="66">
        <f t="shared" si="34"/>
        <v>-15.336300000000023</v>
      </c>
      <c r="H34" s="66">
        <f aca="true" t="shared" si="37" ref="H34:S34">H8-H21</f>
        <v>-13.956300000000027</v>
      </c>
      <c r="I34" s="66">
        <f t="shared" si="37"/>
        <v>-12.586300000000023</v>
      </c>
      <c r="J34" s="66">
        <f t="shared" si="37"/>
        <v>-11.226300000000009</v>
      </c>
      <c r="K34" s="66">
        <f t="shared" si="37"/>
        <v>-9.876300000000015</v>
      </c>
      <c r="L34" s="66">
        <f t="shared" si="37"/>
        <v>-8.536300000000011</v>
      </c>
      <c r="M34" s="66">
        <f t="shared" si="37"/>
        <v>-7.216300000000018</v>
      </c>
      <c r="N34" s="66">
        <f t="shared" si="37"/>
        <v>-5.896300000000025</v>
      </c>
      <c r="O34" s="66">
        <f t="shared" si="37"/>
        <v>-4.596300000000014</v>
      </c>
      <c r="P34" s="66">
        <f t="shared" si="37"/>
        <v>-3.2963000000000022</v>
      </c>
      <c r="Q34" s="66">
        <f t="shared" si="37"/>
        <v>-2.016300000000001</v>
      </c>
      <c r="R34" s="66">
        <f t="shared" si="37"/>
        <v>-0.7463000000000193</v>
      </c>
      <c r="S34" s="66">
        <f t="shared" si="37"/>
        <v>0.5136999999999716</v>
      </c>
      <c r="T34" s="66">
        <f aca="true" t="shared" si="38" ref="T34:AE34">T8-T21</f>
        <v>-1.096300000000042</v>
      </c>
      <c r="U34" s="66">
        <f t="shared" si="38"/>
        <v>0.14369999999996708</v>
      </c>
      <c r="V34" s="66">
        <f t="shared" si="38"/>
        <v>1.3736999999999853</v>
      </c>
      <c r="W34" s="66">
        <f t="shared" si="38"/>
        <v>102.96369999999999</v>
      </c>
      <c r="X34" s="66">
        <f t="shared" si="38"/>
        <v>0.8636999999999944</v>
      </c>
      <c r="Y34" s="66">
        <f t="shared" si="38"/>
        <v>0.8636999999999944</v>
      </c>
      <c r="Z34" s="66">
        <f t="shared" si="38"/>
        <v>180.0537</v>
      </c>
      <c r="AA34" s="66">
        <f t="shared" si="38"/>
        <v>180.0537</v>
      </c>
      <c r="AB34" s="66">
        <f t="shared" si="38"/>
        <v>180.0537</v>
      </c>
      <c r="AC34" s="66">
        <f t="shared" si="38"/>
        <v>180.0537</v>
      </c>
      <c r="AD34" s="66">
        <f t="shared" si="38"/>
        <v>180.0537</v>
      </c>
      <c r="AE34" s="66">
        <f t="shared" si="38"/>
        <v>180.0537</v>
      </c>
      <c r="AF34" s="66">
        <f t="shared" si="32"/>
        <v>788.4324194399998</v>
      </c>
      <c r="AG34" s="66">
        <f t="shared" si="33"/>
        <v>397.0019805599999</v>
      </c>
    </row>
    <row r="35" spans="1:33" ht="12">
      <c r="A35" s="49" t="s">
        <v>5</v>
      </c>
      <c r="B35" s="47" t="s">
        <v>26</v>
      </c>
      <c r="D35" s="50"/>
      <c r="E35" s="65"/>
      <c r="F35" s="66">
        <f t="shared" si="34"/>
        <v>0.0019583333333343944</v>
      </c>
      <c r="G35" s="66">
        <f t="shared" si="34"/>
        <v>0.6219583333333389</v>
      </c>
      <c r="H35" s="66">
        <f aca="true" t="shared" si="39" ref="H35:S35">H9-H22</f>
        <v>1.2519583333333344</v>
      </c>
      <c r="I35" s="66">
        <f t="shared" si="39"/>
        <v>1.871958333333339</v>
      </c>
      <c r="J35" s="66">
        <f t="shared" si="39"/>
        <v>2.4919583333333435</v>
      </c>
      <c r="K35" s="66">
        <f t="shared" si="39"/>
        <v>3.101958333333357</v>
      </c>
      <c r="L35" s="66">
        <f t="shared" si="39"/>
        <v>3.7219583333333333</v>
      </c>
      <c r="M35" s="66">
        <f t="shared" si="39"/>
        <v>4.331958333333347</v>
      </c>
      <c r="N35" s="66">
        <f t="shared" si="39"/>
        <v>4.931958333333341</v>
      </c>
      <c r="O35" s="66">
        <f t="shared" si="39"/>
        <v>5.541958333333355</v>
      </c>
      <c r="P35" s="66">
        <f t="shared" si="39"/>
        <v>6.141958333333349</v>
      </c>
      <c r="Q35" s="66">
        <f t="shared" si="39"/>
        <v>6.7419583333333435</v>
      </c>
      <c r="R35" s="66">
        <f t="shared" si="39"/>
        <v>7.341958333333338</v>
      </c>
      <c r="S35" s="66">
        <f t="shared" si="39"/>
        <v>7.941958333333332</v>
      </c>
      <c r="T35" s="66">
        <f aca="true" t="shared" si="40" ref="T35:AE35">T9-T22</f>
        <v>8.531958333333336</v>
      </c>
      <c r="U35" s="66">
        <f t="shared" si="40"/>
        <v>9.121958333333339</v>
      </c>
      <c r="V35" s="66">
        <f t="shared" si="40"/>
        <v>9.711958333333342</v>
      </c>
      <c r="W35" s="66">
        <f t="shared" si="40"/>
        <v>-83.77804166666667</v>
      </c>
      <c r="X35" s="66">
        <f t="shared" si="40"/>
        <v>0.0019583333333343944</v>
      </c>
      <c r="Y35" s="66">
        <f t="shared" si="40"/>
        <v>0.0019583333333343944</v>
      </c>
      <c r="Z35" s="66">
        <f t="shared" si="40"/>
        <v>0.0019583333333343944</v>
      </c>
      <c r="AA35" s="66">
        <f t="shared" si="40"/>
        <v>0.0019583333333343944</v>
      </c>
      <c r="AB35" s="66">
        <f t="shared" si="40"/>
        <v>0.0019583333333343944</v>
      </c>
      <c r="AC35" s="66">
        <f t="shared" si="40"/>
        <v>0.0019583333333343944</v>
      </c>
      <c r="AD35" s="66">
        <f t="shared" si="40"/>
        <v>0.0019583333333343944</v>
      </c>
      <c r="AE35" s="66">
        <f t="shared" si="40"/>
        <v>0.0019583333333343944</v>
      </c>
      <c r="AF35" s="66">
        <f t="shared" si="32"/>
        <v>-37.509312149999985</v>
      </c>
      <c r="AG35" s="66">
        <f t="shared" si="33"/>
        <v>-18.88718784999999</v>
      </c>
    </row>
    <row r="36" spans="1:33" ht="12">
      <c r="A36" s="49" t="s">
        <v>27</v>
      </c>
      <c r="B36" s="47" t="s">
        <v>28</v>
      </c>
      <c r="D36" s="50"/>
      <c r="E36" s="65"/>
      <c r="F36" s="66">
        <f t="shared" si="34"/>
        <v>0.0025416666665023513</v>
      </c>
      <c r="G36" s="66">
        <f t="shared" si="34"/>
        <v>7.4925416666665114</v>
      </c>
      <c r="H36" s="66">
        <f aca="true" t="shared" si="41" ref="H36:S36">H10-H23</f>
        <v>14.952541666666548</v>
      </c>
      <c r="I36" s="66">
        <f t="shared" si="41"/>
        <v>22.392541666666375</v>
      </c>
      <c r="J36" s="66">
        <f t="shared" si="41"/>
        <v>29.792541666666466</v>
      </c>
      <c r="K36" s="66">
        <f t="shared" si="41"/>
        <v>37.162541666666584</v>
      </c>
      <c r="L36" s="66">
        <f t="shared" si="41"/>
        <v>44.49254166666651</v>
      </c>
      <c r="M36" s="66">
        <f t="shared" si="41"/>
        <v>51.80254166666646</v>
      </c>
      <c r="N36" s="66">
        <f t="shared" si="41"/>
        <v>59.08254166666643</v>
      </c>
      <c r="O36" s="66">
        <f t="shared" si="41"/>
        <v>66.33254166666643</v>
      </c>
      <c r="P36" s="66">
        <f t="shared" si="41"/>
        <v>73.55254166666646</v>
      </c>
      <c r="Q36" s="66">
        <f t="shared" si="41"/>
        <v>80.73254166666652</v>
      </c>
      <c r="R36" s="66">
        <f t="shared" si="41"/>
        <v>87.89254166666638</v>
      </c>
      <c r="S36" s="66">
        <f t="shared" si="41"/>
        <v>95.02254166666648</v>
      </c>
      <c r="T36" s="66">
        <f aca="true" t="shared" si="42" ref="T36:AE36">T10-T23</f>
        <v>102.1225416666664</v>
      </c>
      <c r="U36" s="66">
        <f t="shared" si="42"/>
        <v>109.18254166666657</v>
      </c>
      <c r="V36" s="66">
        <f t="shared" si="42"/>
        <v>116.22254166666653</v>
      </c>
      <c r="W36" s="66">
        <f t="shared" si="42"/>
        <v>-1002.7074583333335</v>
      </c>
      <c r="X36" s="66">
        <f t="shared" si="42"/>
        <v>0.02254166666648416</v>
      </c>
      <c r="Y36" s="66">
        <f t="shared" si="42"/>
        <v>0.02254166666648416</v>
      </c>
      <c r="Z36" s="66">
        <f t="shared" si="42"/>
        <v>0.02254166666648416</v>
      </c>
      <c r="AA36" s="66">
        <f t="shared" si="42"/>
        <v>0.02254166666648416</v>
      </c>
      <c r="AB36" s="66">
        <f t="shared" si="42"/>
        <v>0.02254166666648416</v>
      </c>
      <c r="AC36" s="66">
        <f t="shared" si="42"/>
        <v>0.02254166666648416</v>
      </c>
      <c r="AD36" s="66">
        <f t="shared" si="42"/>
        <v>0.02254166666648416</v>
      </c>
      <c r="AE36" s="66">
        <f t="shared" si="42"/>
        <v>0.02254166666648416</v>
      </c>
      <c r="AF36" s="66">
        <f t="shared" si="32"/>
        <v>-448.9421674500015</v>
      </c>
      <c r="AG36" s="66">
        <f t="shared" si="33"/>
        <v>-226.05733255000072</v>
      </c>
    </row>
    <row r="37" spans="1:33" ht="12">
      <c r="A37" s="49" t="s">
        <v>6</v>
      </c>
      <c r="B37" s="47" t="s">
        <v>59</v>
      </c>
      <c r="D37" s="50"/>
      <c r="E37" s="65"/>
      <c r="F37" s="66">
        <f t="shared" si="34"/>
        <v>-38.6292</v>
      </c>
      <c r="G37" s="66">
        <f t="shared" si="34"/>
        <v>-38.6292</v>
      </c>
      <c r="H37" s="66">
        <f aca="true" t="shared" si="43" ref="H37:S37">H11-H24</f>
        <v>-38.6292</v>
      </c>
      <c r="I37" s="66">
        <f t="shared" si="43"/>
        <v>-38.6292</v>
      </c>
      <c r="J37" s="66">
        <f t="shared" si="43"/>
        <v>-38.6292</v>
      </c>
      <c r="K37" s="66">
        <f t="shared" si="43"/>
        <v>-38.6292</v>
      </c>
      <c r="L37" s="66">
        <f t="shared" si="43"/>
        <v>-38.6292</v>
      </c>
      <c r="M37" s="66">
        <f t="shared" si="43"/>
        <v>-38.6292</v>
      </c>
      <c r="N37" s="66">
        <f t="shared" si="43"/>
        <v>-38.6292</v>
      </c>
      <c r="O37" s="66">
        <f t="shared" si="43"/>
        <v>-38.6292</v>
      </c>
      <c r="P37" s="66">
        <f t="shared" si="43"/>
        <v>-38.6292</v>
      </c>
      <c r="Q37" s="66">
        <f t="shared" si="43"/>
        <v>-38.6292</v>
      </c>
      <c r="R37" s="66">
        <f t="shared" si="43"/>
        <v>-38.6292</v>
      </c>
      <c r="S37" s="66">
        <f t="shared" si="43"/>
        <v>-38.6292</v>
      </c>
      <c r="T37" s="66">
        <f aca="true" t="shared" si="44" ref="T37:AE37">T11-T24</f>
        <v>-38.6292</v>
      </c>
      <c r="U37" s="66">
        <f t="shared" si="44"/>
        <v>-38.6292</v>
      </c>
      <c r="V37" s="66">
        <f t="shared" si="44"/>
        <v>-38.6292</v>
      </c>
      <c r="W37" s="66">
        <f t="shared" si="44"/>
        <v>618.0708000000001</v>
      </c>
      <c r="X37" s="66">
        <f t="shared" si="44"/>
        <v>-42.2392</v>
      </c>
      <c r="Y37" s="66">
        <f t="shared" si="44"/>
        <v>-42.2392</v>
      </c>
      <c r="Z37" s="66">
        <f t="shared" si="44"/>
        <v>-42.2392</v>
      </c>
      <c r="AA37" s="66">
        <f t="shared" si="44"/>
        <v>-42.2392</v>
      </c>
      <c r="AB37" s="66">
        <f t="shared" si="44"/>
        <v>-40.429199999999994</v>
      </c>
      <c r="AC37" s="66">
        <f t="shared" si="44"/>
        <v>-38.6192</v>
      </c>
      <c r="AD37" s="66">
        <f t="shared" si="44"/>
        <v>-38.6192</v>
      </c>
      <c r="AE37" s="66">
        <f t="shared" si="44"/>
        <v>-38.6192</v>
      </c>
      <c r="AF37" s="66">
        <f t="shared" si="32"/>
        <v>117.68252796000009</v>
      </c>
      <c r="AG37" s="66">
        <f t="shared" si="33"/>
        <v>59.25707204000004</v>
      </c>
    </row>
    <row r="38" spans="1:33" ht="12">
      <c r="A38" s="49" t="s">
        <v>29</v>
      </c>
      <c r="B38" s="47" t="s">
        <v>30</v>
      </c>
      <c r="D38" s="50"/>
      <c r="E38" s="65"/>
      <c r="F38" s="66">
        <f t="shared" si="34"/>
        <v>38.72452925000107</v>
      </c>
      <c r="G38" s="66">
        <f t="shared" si="34"/>
        <v>966.4245292499836</v>
      </c>
      <c r="H38" s="66">
        <f aca="true" t="shared" si="45" ref="H38:S38">H12-H25</f>
        <v>1888.974529250001</v>
      </c>
      <c r="I38" s="66">
        <f t="shared" si="45"/>
        <v>2806.3945292499848</v>
      </c>
      <c r="J38" s="66">
        <f t="shared" si="45"/>
        <v>3718.7145292499918</v>
      </c>
      <c r="K38" s="66">
        <f t="shared" si="45"/>
        <v>4625.964529249992</v>
      </c>
      <c r="L38" s="66">
        <f t="shared" si="45"/>
        <v>-758.6854707500024</v>
      </c>
      <c r="M38" s="66">
        <f t="shared" si="45"/>
        <v>1113.0345292499987</v>
      </c>
      <c r="N38" s="66">
        <f t="shared" si="45"/>
        <v>1999.0545292499883</v>
      </c>
      <c r="O38" s="66">
        <f t="shared" si="45"/>
        <v>2915.864529249986</v>
      </c>
      <c r="P38" s="66">
        <f t="shared" si="45"/>
        <v>3830.574529250007</v>
      </c>
      <c r="Q38" s="66">
        <f t="shared" si="45"/>
        <v>4735.124529249995</v>
      </c>
      <c r="R38" s="66">
        <f t="shared" si="45"/>
        <v>5635.824529250007</v>
      </c>
      <c r="S38" s="66">
        <f t="shared" si="45"/>
        <v>6529.424529249984</v>
      </c>
      <c r="T38" s="66">
        <f aca="true" t="shared" si="46" ref="T38:AE38">T12-T25</f>
        <v>7424.034529249999</v>
      </c>
      <c r="U38" s="66">
        <f t="shared" si="46"/>
        <v>8310.684529249993</v>
      </c>
      <c r="V38" s="66">
        <f t="shared" si="46"/>
        <v>9192.414529250003</v>
      </c>
      <c r="W38" s="66">
        <f t="shared" si="46"/>
        <v>-71248.25547075001</v>
      </c>
      <c r="X38" s="66">
        <f t="shared" si="46"/>
        <v>-5875.535470750008</v>
      </c>
      <c r="Y38" s="66">
        <f t="shared" si="46"/>
        <v>-5875.535470750008</v>
      </c>
      <c r="Z38" s="66">
        <f t="shared" si="46"/>
        <v>5651.444529250002</v>
      </c>
      <c r="AA38" s="66">
        <f t="shared" si="46"/>
        <v>-5478.355470750015</v>
      </c>
      <c r="AB38" s="66">
        <f t="shared" si="46"/>
        <v>-3873.1954707500117</v>
      </c>
      <c r="AC38" s="66">
        <f t="shared" si="46"/>
        <v>-3873.1954707500117</v>
      </c>
      <c r="AD38" s="66">
        <f t="shared" si="46"/>
        <v>-3873.1954707500117</v>
      </c>
      <c r="AE38" s="66">
        <f t="shared" si="46"/>
        <v>-3550.925470749993</v>
      </c>
      <c r="AF38" s="66">
        <f t="shared" si="32"/>
        <v>-48598.601368149946</v>
      </c>
      <c r="AG38" s="66">
        <f t="shared" si="33"/>
        <v>-24471.014280850122</v>
      </c>
    </row>
    <row r="39" spans="1:33" ht="12">
      <c r="A39" s="49" t="s">
        <v>31</v>
      </c>
      <c r="B39" s="47" t="s">
        <v>32</v>
      </c>
      <c r="D39" s="70"/>
      <c r="E39" s="65"/>
      <c r="F39" s="66">
        <f t="shared" si="34"/>
        <v>-0.0008105833335321222</v>
      </c>
      <c r="G39" s="66">
        <f t="shared" si="34"/>
        <v>12.859189416666595</v>
      </c>
      <c r="H39" s="66">
        <f aca="true" t="shared" si="47" ref="H39:S39">H13-H26</f>
        <v>25.63918941666634</v>
      </c>
      <c r="I39" s="66">
        <f t="shared" si="47"/>
        <v>38.359189416666595</v>
      </c>
      <c r="J39" s="66">
        <f t="shared" si="47"/>
        <v>50.99918941666647</v>
      </c>
      <c r="K39" s="66">
        <f t="shared" si="47"/>
        <v>63.56918941666663</v>
      </c>
      <c r="L39" s="66">
        <f t="shared" si="47"/>
        <v>76.06918941666663</v>
      </c>
      <c r="M39" s="66">
        <f t="shared" si="47"/>
        <v>88.50918941666669</v>
      </c>
      <c r="N39" s="66">
        <f t="shared" si="47"/>
        <v>100.86918941666636</v>
      </c>
      <c r="O39" s="66">
        <f t="shared" si="47"/>
        <v>113.16918941666654</v>
      </c>
      <c r="P39" s="66">
        <f t="shared" si="47"/>
        <v>125.39918941666656</v>
      </c>
      <c r="Q39" s="66">
        <f t="shared" si="47"/>
        <v>137.54918941666665</v>
      </c>
      <c r="R39" s="66">
        <f t="shared" si="47"/>
        <v>149.64918941666656</v>
      </c>
      <c r="S39" s="66">
        <f t="shared" si="47"/>
        <v>161.66918941666654</v>
      </c>
      <c r="T39" s="66">
        <f aca="true" t="shared" si="48" ref="T39:AE39">T13-T26</f>
        <v>173.62918941666658</v>
      </c>
      <c r="U39" s="66">
        <f t="shared" si="48"/>
        <v>185.51918941666645</v>
      </c>
      <c r="V39" s="66">
        <f t="shared" si="48"/>
        <v>196.3391894166666</v>
      </c>
      <c r="W39" s="66">
        <f t="shared" si="48"/>
        <v>-1709.9608105833336</v>
      </c>
      <c r="X39" s="66">
        <f t="shared" si="48"/>
        <v>1.3391894166666134</v>
      </c>
      <c r="Y39" s="66">
        <f t="shared" si="48"/>
        <v>1.3391894166666134</v>
      </c>
      <c r="Z39" s="66">
        <f t="shared" si="48"/>
        <v>1.3391894166666134</v>
      </c>
      <c r="AA39" s="66">
        <f t="shared" si="48"/>
        <v>1.3391894166666134</v>
      </c>
      <c r="AB39" s="66">
        <f t="shared" si="48"/>
        <v>1.3391894166666134</v>
      </c>
      <c r="AC39" s="66">
        <f t="shared" si="48"/>
        <v>1.3391894166666134</v>
      </c>
      <c r="AD39" s="66">
        <f t="shared" si="48"/>
        <v>1.3391894166666134</v>
      </c>
      <c r="AE39" s="66">
        <f t="shared" si="48"/>
        <v>1.3391894166666134</v>
      </c>
      <c r="AF39" s="66">
        <f t="shared" si="32"/>
        <v>-760.7145944277007</v>
      </c>
      <c r="AG39" s="66">
        <f t="shared" si="33"/>
        <v>-383.0451325723003</v>
      </c>
    </row>
    <row r="40" spans="1:35" ht="12">
      <c r="A40" s="67"/>
      <c r="C40" s="73"/>
      <c r="D40" s="70"/>
      <c r="E40" s="68" t="s">
        <v>16</v>
      </c>
      <c r="F40" s="71">
        <f aca="true" t="shared" si="49" ref="F40:AG40">SUM(F32:F39)</f>
        <v>6450.569677000105</v>
      </c>
      <c r="G40" s="71">
        <f t="shared" si="49"/>
        <v>18518.059677000103</v>
      </c>
      <c r="H40" s="71">
        <f t="shared" si="49"/>
        <v>30397.129677000084</v>
      </c>
      <c r="I40" s="71">
        <f t="shared" si="49"/>
        <v>42090.88967700005</v>
      </c>
      <c r="J40" s="71">
        <f t="shared" si="49"/>
        <v>53602.30967700012</v>
      </c>
      <c r="K40" s="71">
        <f t="shared" si="49"/>
        <v>64934.37967700001</v>
      </c>
      <c r="L40" s="71">
        <f t="shared" si="49"/>
        <v>69803.17967700008</v>
      </c>
      <c r="M40" s="71">
        <f t="shared" si="49"/>
        <v>81759.82967700009</v>
      </c>
      <c r="N40" s="71">
        <f t="shared" si="49"/>
        <v>92565.02967700013</v>
      </c>
      <c r="O40" s="71">
        <f t="shared" si="49"/>
        <v>103217.35967700001</v>
      </c>
      <c r="P40" s="71">
        <f t="shared" si="49"/>
        <v>113728.07967700007</v>
      </c>
      <c r="Q40" s="71">
        <f t="shared" si="49"/>
        <v>124014.41967700006</v>
      </c>
      <c r="R40" s="71">
        <f t="shared" si="49"/>
        <v>134198.7696770001</v>
      </c>
      <c r="S40" s="71">
        <f t="shared" si="49"/>
        <v>144238.79967700012</v>
      </c>
      <c r="T40" s="71">
        <f t="shared" si="49"/>
        <v>148651.21967700016</v>
      </c>
      <c r="U40" s="71">
        <f t="shared" si="49"/>
        <v>158485.49967700007</v>
      </c>
      <c r="V40" s="71">
        <f t="shared" si="49"/>
        <v>168166.9096770001</v>
      </c>
      <c r="W40" s="71">
        <f t="shared" si="49"/>
        <v>-1590507.8903229993</v>
      </c>
      <c r="X40" s="71">
        <f t="shared" si="49"/>
        <v>3813.229677000068</v>
      </c>
      <c r="Y40" s="71">
        <f t="shared" si="49"/>
        <v>-4434.040322999952</v>
      </c>
      <c r="Z40" s="71">
        <f t="shared" si="49"/>
        <v>20427.029677000024</v>
      </c>
      <c r="AA40" s="71">
        <f t="shared" si="49"/>
        <v>-4662.12032299997</v>
      </c>
      <c r="AB40" s="71">
        <f t="shared" si="49"/>
        <v>-34342.2003229999</v>
      </c>
      <c r="AC40" s="71">
        <f t="shared" si="49"/>
        <v>-34340.390322999905</v>
      </c>
      <c r="AD40" s="71">
        <f t="shared" si="49"/>
        <v>-34340.390322999905</v>
      </c>
      <c r="AE40" s="71">
        <f t="shared" si="49"/>
        <v>-75076.52032299989</v>
      </c>
      <c r="AF40" s="72">
        <f t="shared" si="49"/>
        <v>-850103.9924439264</v>
      </c>
      <c r="AG40" s="72">
        <f t="shared" si="49"/>
        <v>-428055.67143207195</v>
      </c>
      <c r="AH40" s="66"/>
      <c r="AI40" s="66"/>
    </row>
    <row r="41" spans="1:35" ht="12">
      <c r="A41" s="67"/>
      <c r="C41" s="73"/>
      <c r="D41" s="70"/>
      <c r="E41" s="68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93"/>
      <c r="AG41" s="93"/>
      <c r="AH41" s="66"/>
      <c r="AI41" s="66"/>
    </row>
    <row r="42" spans="1:31" ht="12">
      <c r="A42" s="67"/>
      <c r="B42" s="46" t="s">
        <v>113</v>
      </c>
      <c r="C42" s="73"/>
      <c r="D42" s="70"/>
      <c r="E42" s="79"/>
      <c r="F42" s="122" t="s">
        <v>117</v>
      </c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 t="s">
        <v>115</v>
      </c>
      <c r="T42" s="122"/>
      <c r="U42" s="122"/>
      <c r="V42" s="122"/>
      <c r="W42" s="122"/>
      <c r="X42" s="122"/>
      <c r="Y42" s="122"/>
      <c r="Z42" s="122"/>
      <c r="AA42" s="122"/>
      <c r="AB42" s="122"/>
      <c r="AC42" s="122"/>
      <c r="AD42" s="122"/>
      <c r="AE42" s="122"/>
    </row>
    <row r="43" spans="1:31" ht="12">
      <c r="A43" s="67"/>
      <c r="B43" s="46"/>
      <c r="C43" s="73"/>
      <c r="D43" s="70"/>
      <c r="E43" s="79"/>
      <c r="F43" s="61" t="s">
        <v>62</v>
      </c>
      <c r="G43" s="61" t="s">
        <v>63</v>
      </c>
      <c r="H43" s="61" t="s">
        <v>64</v>
      </c>
      <c r="I43" s="61" t="s">
        <v>65</v>
      </c>
      <c r="J43" s="61" t="s">
        <v>66</v>
      </c>
      <c r="K43" s="61" t="s">
        <v>67</v>
      </c>
      <c r="L43" s="61" t="s">
        <v>68</v>
      </c>
      <c r="M43" s="61" t="s">
        <v>69</v>
      </c>
      <c r="N43" s="61" t="s">
        <v>70</v>
      </c>
      <c r="O43" s="61" t="s">
        <v>71</v>
      </c>
      <c r="P43" s="61" t="s">
        <v>72</v>
      </c>
      <c r="Q43" s="61" t="s">
        <v>73</v>
      </c>
      <c r="R43" s="61" t="s">
        <v>62</v>
      </c>
      <c r="S43" s="61" t="s">
        <v>63</v>
      </c>
      <c r="T43" s="61" t="s">
        <v>64</v>
      </c>
      <c r="U43" s="61" t="s">
        <v>65</v>
      </c>
      <c r="V43" s="61" t="s">
        <v>66</v>
      </c>
      <c r="W43" s="61" t="s">
        <v>67</v>
      </c>
      <c r="X43" s="61" t="s">
        <v>68</v>
      </c>
      <c r="Y43" s="61" t="s">
        <v>69</v>
      </c>
      <c r="Z43" s="61" t="s">
        <v>70</v>
      </c>
      <c r="AA43" s="61" t="s">
        <v>71</v>
      </c>
      <c r="AB43" s="61" t="s">
        <v>72</v>
      </c>
      <c r="AC43" s="61" t="s">
        <v>73</v>
      </c>
      <c r="AD43" s="61" t="s">
        <v>62</v>
      </c>
      <c r="AE43" s="61" t="s">
        <v>63</v>
      </c>
    </row>
    <row r="44" spans="1:31" ht="12">
      <c r="A44" s="67"/>
      <c r="B44" s="46"/>
      <c r="C44" s="73"/>
      <c r="D44" s="70"/>
      <c r="E44" s="79"/>
      <c r="F44" s="78">
        <v>2008</v>
      </c>
      <c r="G44" s="78">
        <v>2008</v>
      </c>
      <c r="H44" s="78">
        <v>2009</v>
      </c>
      <c r="I44" s="78">
        <v>2009</v>
      </c>
      <c r="J44" s="78">
        <v>2009</v>
      </c>
      <c r="K44" s="78">
        <v>2009</v>
      </c>
      <c r="L44" s="78">
        <v>2009</v>
      </c>
      <c r="M44" s="78">
        <v>2009</v>
      </c>
      <c r="N44" s="78">
        <v>2009</v>
      </c>
      <c r="O44" s="78">
        <v>2009</v>
      </c>
      <c r="P44" s="78">
        <v>2009</v>
      </c>
      <c r="Q44" s="78">
        <v>2009</v>
      </c>
      <c r="R44" s="78">
        <v>2009</v>
      </c>
      <c r="S44" s="78">
        <v>2009</v>
      </c>
      <c r="T44" s="78">
        <v>2010</v>
      </c>
      <c r="U44" s="78">
        <v>2010</v>
      </c>
      <c r="V44" s="78">
        <v>2010</v>
      </c>
      <c r="W44" s="78">
        <v>2010</v>
      </c>
      <c r="X44" s="78">
        <v>2010</v>
      </c>
      <c r="Y44" s="78">
        <v>2010</v>
      </c>
      <c r="Z44" s="78">
        <v>2010</v>
      </c>
      <c r="AA44" s="78">
        <v>2010</v>
      </c>
      <c r="AB44" s="78">
        <v>2010</v>
      </c>
      <c r="AC44" s="78">
        <v>2010</v>
      </c>
      <c r="AD44" s="78">
        <v>2010</v>
      </c>
      <c r="AE44" s="78">
        <v>2010</v>
      </c>
    </row>
    <row r="45" spans="1:33" ht="12">
      <c r="A45" s="49" t="s">
        <v>21</v>
      </c>
      <c r="B45" s="47" t="s">
        <v>22</v>
      </c>
      <c r="C45" s="73"/>
      <c r="D45" s="70"/>
      <c r="E45" s="79"/>
      <c r="F45" s="66">
        <f>F32*$E$68</f>
        <v>56.19837273750341</v>
      </c>
      <c r="G45" s="66">
        <f>G32*$E$68</f>
        <v>170.78180073750264</v>
      </c>
      <c r="H45" s="66">
        <f aca="true" t="shared" si="50" ref="H45:S45">H32*$E$68</f>
        <v>284.87970573749976</v>
      </c>
      <c r="I45" s="66">
        <f t="shared" si="50"/>
        <v>398.50538973750224</v>
      </c>
      <c r="J45" s="66">
        <f t="shared" si="50"/>
        <v>511.6588527375005</v>
      </c>
      <c r="K45" s="66">
        <f t="shared" si="50"/>
        <v>624.3334437375029</v>
      </c>
      <c r="L45" s="66">
        <f t="shared" si="50"/>
        <v>736.5491157375036</v>
      </c>
      <c r="M45" s="66">
        <f t="shared" si="50"/>
        <v>848.2925667375001</v>
      </c>
      <c r="N45" s="66">
        <f t="shared" si="50"/>
        <v>959.5704477375034</v>
      </c>
      <c r="O45" s="66">
        <f t="shared" si="50"/>
        <v>1056.6218397375023</v>
      </c>
      <c r="P45" s="66">
        <f t="shared" si="50"/>
        <v>1167.0284397375024</v>
      </c>
      <c r="Q45" s="66">
        <f t="shared" si="50"/>
        <v>1239.3381117375031</v>
      </c>
      <c r="R45" s="66">
        <f t="shared" si="50"/>
        <v>1348.9864977375034</v>
      </c>
      <c r="S45" s="66">
        <f t="shared" si="50"/>
        <v>1469.6223357375018</v>
      </c>
      <c r="T45" s="66">
        <f aca="true" t="shared" si="51" ref="T45:AE45">T32*$E$68</f>
        <v>2788.9346487375</v>
      </c>
      <c r="U45" s="66">
        <f t="shared" si="51"/>
        <v>2892.124913737501</v>
      </c>
      <c r="V45" s="66">
        <f t="shared" si="51"/>
        <v>2994.882863737501</v>
      </c>
      <c r="W45" s="66">
        <f t="shared" si="51"/>
        <v>-18315.5795852625</v>
      </c>
      <c r="X45" s="66">
        <f t="shared" si="51"/>
        <v>1320.7862577375024</v>
      </c>
      <c r="Y45" s="66">
        <f t="shared" si="51"/>
        <v>1320.7862577375024</v>
      </c>
      <c r="Z45" s="66">
        <f t="shared" si="51"/>
        <v>99.2037387375009</v>
      </c>
      <c r="AA45" s="66">
        <f t="shared" si="51"/>
        <v>99.2037387375009</v>
      </c>
      <c r="AB45" s="66">
        <f t="shared" si="51"/>
        <v>99.2037387375009</v>
      </c>
      <c r="AC45" s="66">
        <f t="shared" si="51"/>
        <v>99.2037387375009</v>
      </c>
      <c r="AD45" s="66">
        <f t="shared" si="51"/>
        <v>99.2037387375009</v>
      </c>
      <c r="AE45" s="66">
        <f t="shared" si="51"/>
        <v>99.2037387375009</v>
      </c>
      <c r="AG45" s="81"/>
    </row>
    <row r="46" spans="1:34" ht="12">
      <c r="A46" s="49" t="s">
        <v>23</v>
      </c>
      <c r="B46" s="47" t="s">
        <v>24</v>
      </c>
      <c r="C46" s="73"/>
      <c r="D46" s="70"/>
      <c r="E46" s="79"/>
      <c r="F46" s="66">
        <f>F33*$E$68</f>
        <v>4245.140975250066</v>
      </c>
      <c r="G46" s="66">
        <f aca="true" t="shared" si="52" ref="F46:S52">G33*$E$68</f>
        <v>11524.753589250076</v>
      </c>
      <c r="H46" s="66">
        <f t="shared" si="52"/>
        <v>18683.03866125006</v>
      </c>
      <c r="I46" s="66">
        <f t="shared" si="52"/>
        <v>25722.02474625004</v>
      </c>
      <c r="J46" s="66">
        <f t="shared" si="52"/>
        <v>32643.68719125009</v>
      </c>
      <c r="K46" s="66">
        <f t="shared" si="52"/>
        <v>39449.99469225002</v>
      </c>
      <c r="L46" s="66">
        <f t="shared" si="52"/>
        <v>46142.85608625006</v>
      </c>
      <c r="M46" s="66">
        <f t="shared" si="52"/>
        <v>52724.18021025005</v>
      </c>
      <c r="N46" s="66">
        <f t="shared" si="52"/>
        <v>59195.80939125009</v>
      </c>
      <c r="O46" s="66">
        <f t="shared" si="52"/>
        <v>65559.57930525002</v>
      </c>
      <c r="P46" s="66">
        <f t="shared" si="52"/>
        <v>71817.27907125004</v>
      </c>
      <c r="Q46" s="66">
        <f t="shared" si="52"/>
        <v>77970.69115725004</v>
      </c>
      <c r="R46" s="66">
        <f t="shared" si="52"/>
        <v>84021.54482325006</v>
      </c>
      <c r="S46" s="66">
        <f t="shared" si="52"/>
        <v>89970.22582725008</v>
      </c>
      <c r="T46" s="66">
        <f aca="true" t="shared" si="53" ref="T46:AE46">T33*$E$68</f>
        <v>90978.61054125009</v>
      </c>
      <c r="U46" s="66">
        <f t="shared" si="53"/>
        <v>96812.66821125006</v>
      </c>
      <c r="V46" s="66">
        <f t="shared" si="53"/>
        <v>102549.48826125007</v>
      </c>
      <c r="W46" s="66">
        <f t="shared" si="53"/>
        <v>-990763.6471597498</v>
      </c>
      <c r="X46" s="66">
        <f t="shared" si="53"/>
        <v>5149.823297250047</v>
      </c>
      <c r="Y46" s="66">
        <f t="shared" si="53"/>
        <v>-335.43597974996493</v>
      </c>
      <c r="Z46" s="66">
        <f t="shared" si="53"/>
        <v>9635.470529250013</v>
      </c>
      <c r="AA46" s="66">
        <f t="shared" si="53"/>
        <v>351.1068442500289</v>
      </c>
      <c r="AB46" s="66">
        <f t="shared" si="53"/>
        <v>-20457.910110749926</v>
      </c>
      <c r="AC46" s="66">
        <f t="shared" si="53"/>
        <v>-20457.910110749926</v>
      </c>
      <c r="AD46" s="66">
        <f t="shared" si="53"/>
        <v>-20457.910110749926</v>
      </c>
      <c r="AE46" s="66">
        <f t="shared" si="53"/>
        <v>-47765.851950749944</v>
      </c>
      <c r="AG46" s="81"/>
      <c r="AH46" s="66"/>
    </row>
    <row r="47" spans="1:34" ht="12">
      <c r="A47" s="49" t="s">
        <v>25</v>
      </c>
      <c r="B47" s="47" t="s">
        <v>58</v>
      </c>
      <c r="C47" s="73"/>
      <c r="D47" s="70"/>
      <c r="E47" s="79"/>
      <c r="F47" s="66">
        <f t="shared" si="52"/>
        <v>-11.13131313000002</v>
      </c>
      <c r="G47" s="66">
        <f t="shared" si="52"/>
        <v>-10.200173130000016</v>
      </c>
      <c r="H47" s="66">
        <f t="shared" si="52"/>
        <v>-9.282335130000018</v>
      </c>
      <c r="I47" s="66">
        <f t="shared" si="52"/>
        <v>-8.371148130000016</v>
      </c>
      <c r="J47" s="66">
        <f t="shared" si="52"/>
        <v>-7.466612130000006</v>
      </c>
      <c r="K47" s="66">
        <f t="shared" si="52"/>
        <v>-6.56872713000001</v>
      </c>
      <c r="L47" s="66">
        <f t="shared" si="52"/>
        <v>-5.677493130000007</v>
      </c>
      <c r="M47" s="66">
        <f t="shared" si="52"/>
        <v>-4.799561130000012</v>
      </c>
      <c r="N47" s="66">
        <f t="shared" si="52"/>
        <v>-3.921629130000017</v>
      </c>
      <c r="O47" s="66">
        <f t="shared" si="52"/>
        <v>-3.0569991300000092</v>
      </c>
      <c r="P47" s="66">
        <f t="shared" si="52"/>
        <v>-2.1923691300000017</v>
      </c>
      <c r="Q47" s="66">
        <f t="shared" si="52"/>
        <v>-1.3410411300000007</v>
      </c>
      <c r="R47" s="66">
        <f t="shared" si="52"/>
        <v>-0.49636413000001284</v>
      </c>
      <c r="S47" s="66">
        <f t="shared" si="52"/>
        <v>0.34166186999998116</v>
      </c>
      <c r="T47" s="66">
        <f aca="true" t="shared" si="54" ref="T47:AE47">T34*$E$68</f>
        <v>-0.729149130000028</v>
      </c>
      <c r="U47" s="66">
        <f t="shared" si="54"/>
        <v>0.09557486999997811</v>
      </c>
      <c r="V47" s="66">
        <f t="shared" si="54"/>
        <v>0.9136478699999903</v>
      </c>
      <c r="W47" s="66">
        <f t="shared" si="54"/>
        <v>68.48115686999999</v>
      </c>
      <c r="X47" s="66">
        <f t="shared" si="54"/>
        <v>0.5744468699999963</v>
      </c>
      <c r="Y47" s="66">
        <f t="shared" si="54"/>
        <v>0.5744468699999963</v>
      </c>
      <c r="Z47" s="66">
        <f t="shared" si="54"/>
        <v>119.75371587</v>
      </c>
      <c r="AA47" s="66">
        <f t="shared" si="54"/>
        <v>119.75371587</v>
      </c>
      <c r="AB47" s="66">
        <f t="shared" si="54"/>
        <v>119.75371587</v>
      </c>
      <c r="AC47" s="66">
        <f t="shared" si="54"/>
        <v>119.75371587</v>
      </c>
      <c r="AD47" s="66">
        <f t="shared" si="54"/>
        <v>119.75371587</v>
      </c>
      <c r="AE47" s="66">
        <f t="shared" si="54"/>
        <v>119.75371587</v>
      </c>
      <c r="AG47" s="81"/>
      <c r="AH47" s="66"/>
    </row>
    <row r="48" spans="1:34" ht="12">
      <c r="A48" s="49" t="s">
        <v>5</v>
      </c>
      <c r="B48" s="47" t="s">
        <v>26</v>
      </c>
      <c r="C48" s="73"/>
      <c r="D48" s="70"/>
      <c r="E48" s="79"/>
      <c r="F48" s="66">
        <f t="shared" si="52"/>
        <v>0.0013024875000007057</v>
      </c>
      <c r="G48" s="66">
        <f t="shared" si="52"/>
        <v>0.41366448750000373</v>
      </c>
      <c r="H48" s="66">
        <f t="shared" si="52"/>
        <v>0.8326774875000007</v>
      </c>
      <c r="I48" s="66">
        <f t="shared" si="52"/>
        <v>1.2450394875000037</v>
      </c>
      <c r="J48" s="66">
        <f t="shared" si="52"/>
        <v>1.6574014875000067</v>
      </c>
      <c r="K48" s="66">
        <f t="shared" si="52"/>
        <v>2.0631124875000157</v>
      </c>
      <c r="L48" s="66">
        <f t="shared" si="52"/>
        <v>2.4754744875</v>
      </c>
      <c r="M48" s="66">
        <f t="shared" si="52"/>
        <v>2.881185487500009</v>
      </c>
      <c r="N48" s="66">
        <f t="shared" si="52"/>
        <v>3.2802454875000056</v>
      </c>
      <c r="O48" s="66">
        <f t="shared" si="52"/>
        <v>3.6859564875000146</v>
      </c>
      <c r="P48" s="66">
        <f t="shared" si="52"/>
        <v>4.085016487500011</v>
      </c>
      <c r="Q48" s="66">
        <f t="shared" si="52"/>
        <v>4.4840764875000065</v>
      </c>
      <c r="R48" s="66">
        <f t="shared" si="52"/>
        <v>4.883136487500003</v>
      </c>
      <c r="S48" s="66">
        <f t="shared" si="52"/>
        <v>5.282196487499999</v>
      </c>
      <c r="T48" s="66">
        <f aca="true" t="shared" si="55" ref="T48:AE48">T35*$E$68</f>
        <v>5.674605487500002</v>
      </c>
      <c r="U48" s="66">
        <f t="shared" si="55"/>
        <v>6.067014487500004</v>
      </c>
      <c r="V48" s="66">
        <f t="shared" si="55"/>
        <v>6.459423487500006</v>
      </c>
      <c r="W48" s="66">
        <f t="shared" si="55"/>
        <v>-55.720775512500005</v>
      </c>
      <c r="X48" s="66">
        <f t="shared" si="55"/>
        <v>0.0013024875000007057</v>
      </c>
      <c r="Y48" s="66">
        <f t="shared" si="55"/>
        <v>0.0013024875000007057</v>
      </c>
      <c r="Z48" s="66">
        <f t="shared" si="55"/>
        <v>0.0013024875000007057</v>
      </c>
      <c r="AA48" s="66">
        <f t="shared" si="55"/>
        <v>0.0013024875000007057</v>
      </c>
      <c r="AB48" s="66">
        <f t="shared" si="55"/>
        <v>0.0013024875000007057</v>
      </c>
      <c r="AC48" s="66">
        <f t="shared" si="55"/>
        <v>0.0013024875000007057</v>
      </c>
      <c r="AD48" s="66">
        <f t="shared" si="55"/>
        <v>0.0013024875000007057</v>
      </c>
      <c r="AE48" s="66">
        <f t="shared" si="55"/>
        <v>0.0013024875000007057</v>
      </c>
      <c r="AG48" s="81"/>
      <c r="AH48" s="66"/>
    </row>
    <row r="49" spans="1:34" ht="12">
      <c r="A49" s="49" t="s">
        <v>27</v>
      </c>
      <c r="B49" s="47" t="s">
        <v>28</v>
      </c>
      <c r="C49" s="73"/>
      <c r="D49" s="70"/>
      <c r="E49" s="79"/>
      <c r="F49" s="66">
        <f t="shared" si="52"/>
        <v>0.0016904624998907139</v>
      </c>
      <c r="G49" s="66">
        <f t="shared" si="52"/>
        <v>4.983289462499897</v>
      </c>
      <c r="H49" s="66">
        <f t="shared" si="52"/>
        <v>9.944935462499922</v>
      </c>
      <c r="I49" s="66">
        <f t="shared" si="52"/>
        <v>14.893279462499807</v>
      </c>
      <c r="J49" s="66">
        <f t="shared" si="52"/>
        <v>19.81501946249987</v>
      </c>
      <c r="K49" s="66">
        <f t="shared" si="52"/>
        <v>24.716806462499946</v>
      </c>
      <c r="L49" s="66">
        <f t="shared" si="52"/>
        <v>29.5919894624999</v>
      </c>
      <c r="M49" s="66">
        <f t="shared" si="52"/>
        <v>34.453870462499864</v>
      </c>
      <c r="N49" s="66">
        <f t="shared" si="52"/>
        <v>39.295798462499846</v>
      </c>
      <c r="O49" s="66">
        <f t="shared" si="52"/>
        <v>44.11777346249984</v>
      </c>
      <c r="P49" s="66">
        <f t="shared" si="52"/>
        <v>48.91979546249986</v>
      </c>
      <c r="Q49" s="66">
        <f t="shared" si="52"/>
        <v>53.69521346249991</v>
      </c>
      <c r="R49" s="66">
        <f t="shared" si="52"/>
        <v>58.45732946249981</v>
      </c>
      <c r="S49" s="66">
        <f t="shared" si="52"/>
        <v>63.19949246249988</v>
      </c>
      <c r="T49" s="66">
        <f aca="true" t="shared" si="56" ref="T49:AE49">T36*$E$68</f>
        <v>67.92170246249982</v>
      </c>
      <c r="U49" s="66">
        <f t="shared" si="56"/>
        <v>72.61730846249993</v>
      </c>
      <c r="V49" s="66">
        <f t="shared" si="56"/>
        <v>77.29961246249991</v>
      </c>
      <c r="W49" s="66">
        <f t="shared" si="56"/>
        <v>-666.9007305375002</v>
      </c>
      <c r="X49" s="66">
        <f t="shared" si="56"/>
        <v>0.014992462499878616</v>
      </c>
      <c r="Y49" s="66">
        <f t="shared" si="56"/>
        <v>0.014992462499878616</v>
      </c>
      <c r="Z49" s="66">
        <f t="shared" si="56"/>
        <v>0.014992462499878616</v>
      </c>
      <c r="AA49" s="66">
        <f t="shared" si="56"/>
        <v>0.014992462499878616</v>
      </c>
      <c r="AB49" s="66">
        <f t="shared" si="56"/>
        <v>0.014992462499878616</v>
      </c>
      <c r="AC49" s="66">
        <f t="shared" si="56"/>
        <v>0.014992462499878616</v>
      </c>
      <c r="AD49" s="66">
        <f t="shared" si="56"/>
        <v>0.014992462499878616</v>
      </c>
      <c r="AE49" s="66">
        <f t="shared" si="56"/>
        <v>0.014992462499878616</v>
      </c>
      <c r="AG49" s="81"/>
      <c r="AH49" s="66"/>
    </row>
    <row r="50" spans="1:34" ht="12">
      <c r="A50" s="49" t="s">
        <v>6</v>
      </c>
      <c r="B50" s="47" t="s">
        <v>59</v>
      </c>
      <c r="C50" s="73"/>
      <c r="D50" s="70"/>
      <c r="E50" s="79"/>
      <c r="F50" s="66">
        <f t="shared" si="52"/>
        <v>-25.692280919999998</v>
      </c>
      <c r="G50" s="66">
        <f t="shared" si="52"/>
        <v>-25.692280919999998</v>
      </c>
      <c r="H50" s="66">
        <f t="shared" si="52"/>
        <v>-25.692280919999998</v>
      </c>
      <c r="I50" s="66">
        <f t="shared" si="52"/>
        <v>-25.692280919999998</v>
      </c>
      <c r="J50" s="66">
        <f t="shared" si="52"/>
        <v>-25.692280919999998</v>
      </c>
      <c r="K50" s="66">
        <f t="shared" si="52"/>
        <v>-25.692280919999998</v>
      </c>
      <c r="L50" s="66">
        <f t="shared" si="52"/>
        <v>-25.692280919999998</v>
      </c>
      <c r="M50" s="66">
        <f t="shared" si="52"/>
        <v>-25.692280919999998</v>
      </c>
      <c r="N50" s="66">
        <f t="shared" si="52"/>
        <v>-25.692280919999998</v>
      </c>
      <c r="O50" s="66">
        <f t="shared" si="52"/>
        <v>-25.692280919999998</v>
      </c>
      <c r="P50" s="66">
        <f t="shared" si="52"/>
        <v>-25.692280919999998</v>
      </c>
      <c r="Q50" s="66">
        <f t="shared" si="52"/>
        <v>-25.692280919999998</v>
      </c>
      <c r="R50" s="66">
        <f t="shared" si="52"/>
        <v>-25.692280919999998</v>
      </c>
      <c r="S50" s="66">
        <f t="shared" si="52"/>
        <v>-25.692280919999998</v>
      </c>
      <c r="T50" s="66">
        <f aca="true" t="shared" si="57" ref="T50:AE50">T37*$E$68</f>
        <v>-25.692280919999998</v>
      </c>
      <c r="U50" s="66">
        <f t="shared" si="57"/>
        <v>-25.692280919999998</v>
      </c>
      <c r="V50" s="66">
        <f t="shared" si="57"/>
        <v>-25.692280919999998</v>
      </c>
      <c r="W50" s="66">
        <f t="shared" si="57"/>
        <v>411.07888908000007</v>
      </c>
      <c r="X50" s="66">
        <f t="shared" si="57"/>
        <v>-28.09329192</v>
      </c>
      <c r="Y50" s="66">
        <f t="shared" si="57"/>
        <v>-28.09329192</v>
      </c>
      <c r="Z50" s="66">
        <f t="shared" si="57"/>
        <v>-28.09329192</v>
      </c>
      <c r="AA50" s="66">
        <f t="shared" si="57"/>
        <v>-28.09329192</v>
      </c>
      <c r="AB50" s="66">
        <f t="shared" si="57"/>
        <v>-26.889460919999998</v>
      </c>
      <c r="AC50" s="66">
        <f t="shared" si="57"/>
        <v>-25.68562992</v>
      </c>
      <c r="AD50" s="66">
        <f t="shared" si="57"/>
        <v>-25.68562992</v>
      </c>
      <c r="AE50" s="66">
        <f t="shared" si="57"/>
        <v>-25.68562992</v>
      </c>
      <c r="AG50" s="81"/>
      <c r="AH50" s="66"/>
    </row>
    <row r="51" spans="1:34" ht="12">
      <c r="A51" s="49" t="s">
        <v>29</v>
      </c>
      <c r="B51" s="47" t="s">
        <v>30</v>
      </c>
      <c r="C51" s="73"/>
      <c r="D51" s="70"/>
      <c r="E51" s="79"/>
      <c r="F51" s="66">
        <f t="shared" si="52"/>
        <v>25.755684404175714</v>
      </c>
      <c r="G51" s="66">
        <f t="shared" si="52"/>
        <v>642.7689544041641</v>
      </c>
      <c r="H51" s="66">
        <f t="shared" si="52"/>
        <v>1256.3569594041758</v>
      </c>
      <c r="I51" s="66">
        <f t="shared" si="52"/>
        <v>1866.533001404165</v>
      </c>
      <c r="J51" s="66">
        <f t="shared" si="52"/>
        <v>2473.3170334041697</v>
      </c>
      <c r="K51" s="66">
        <f t="shared" si="52"/>
        <v>3076.7290084041697</v>
      </c>
      <c r="L51" s="66">
        <f t="shared" si="52"/>
        <v>-504.6017065958266</v>
      </c>
      <c r="M51" s="66">
        <f t="shared" si="52"/>
        <v>740.2792654041742</v>
      </c>
      <c r="N51" s="66">
        <f t="shared" si="52"/>
        <v>1329.5711674041672</v>
      </c>
      <c r="O51" s="66">
        <f t="shared" si="52"/>
        <v>1939.3414984041658</v>
      </c>
      <c r="P51" s="66">
        <f t="shared" si="52"/>
        <v>2547.71511940418</v>
      </c>
      <c r="Q51" s="66">
        <f t="shared" si="52"/>
        <v>3149.331324404172</v>
      </c>
      <c r="R51" s="66">
        <f t="shared" si="52"/>
        <v>3748.3868944041797</v>
      </c>
      <c r="S51" s="66">
        <f t="shared" si="52"/>
        <v>4342.720254404164</v>
      </c>
      <c r="T51" s="66">
        <f aca="true" t="shared" si="58" ref="T51:AE51">T38*$E$68</f>
        <v>4937.725365404174</v>
      </c>
      <c r="U51" s="66">
        <f t="shared" si="58"/>
        <v>5527.43628040417</v>
      </c>
      <c r="V51" s="66">
        <f t="shared" si="58"/>
        <v>6113.8749034041775</v>
      </c>
      <c r="W51" s="66">
        <f t="shared" si="58"/>
        <v>-47387.21471359583</v>
      </c>
      <c r="X51" s="66">
        <f t="shared" si="58"/>
        <v>-3907.8186415958307</v>
      </c>
      <c r="Y51" s="66">
        <f t="shared" si="58"/>
        <v>-3907.8186415958307</v>
      </c>
      <c r="Z51" s="66">
        <f t="shared" si="58"/>
        <v>3758.7757564041767</v>
      </c>
      <c r="AA51" s="66">
        <f t="shared" si="58"/>
        <v>-3643.6542235958354</v>
      </c>
      <c r="AB51" s="66">
        <f t="shared" si="58"/>
        <v>-2576.062307595833</v>
      </c>
      <c r="AC51" s="66">
        <f t="shared" si="58"/>
        <v>-2576.062307595833</v>
      </c>
      <c r="AD51" s="66">
        <f t="shared" si="58"/>
        <v>-2576.062307595833</v>
      </c>
      <c r="AE51" s="66">
        <f t="shared" si="58"/>
        <v>-2361.7205305958205</v>
      </c>
      <c r="AG51" s="81"/>
      <c r="AH51" s="66"/>
    </row>
    <row r="52" spans="1:34" ht="12">
      <c r="A52" s="49" t="s">
        <v>31</v>
      </c>
      <c r="B52" s="47" t="s">
        <v>32</v>
      </c>
      <c r="C52" s="73"/>
      <c r="D52" s="70"/>
      <c r="E52" s="79"/>
      <c r="F52" s="66">
        <f t="shared" si="52"/>
        <v>-0.0005391189751322144</v>
      </c>
      <c r="G52" s="66">
        <f t="shared" si="52"/>
        <v>8.552646881024954</v>
      </c>
      <c r="H52" s="66">
        <f t="shared" si="52"/>
        <v>17.052624881024784</v>
      </c>
      <c r="I52" s="66">
        <f t="shared" si="52"/>
        <v>25.512696881024954</v>
      </c>
      <c r="J52" s="66">
        <f t="shared" si="52"/>
        <v>33.91956088102487</v>
      </c>
      <c r="K52" s="66">
        <f t="shared" si="52"/>
        <v>42.27986788102498</v>
      </c>
      <c r="L52" s="66">
        <f t="shared" si="52"/>
        <v>50.593617881024976</v>
      </c>
      <c r="M52" s="66">
        <f t="shared" si="52"/>
        <v>58.867461881025015</v>
      </c>
      <c r="N52" s="66">
        <f t="shared" si="52"/>
        <v>67.0880978810248</v>
      </c>
      <c r="O52" s="66">
        <f t="shared" si="52"/>
        <v>75.26882788102492</v>
      </c>
      <c r="P52" s="66">
        <f t="shared" si="52"/>
        <v>83.40300088102494</v>
      </c>
      <c r="Q52" s="66">
        <f t="shared" si="52"/>
        <v>91.48396588102499</v>
      </c>
      <c r="R52" s="66">
        <f t="shared" si="52"/>
        <v>99.53167588102494</v>
      </c>
      <c r="S52" s="66">
        <f t="shared" si="52"/>
        <v>107.52617788102492</v>
      </c>
      <c r="T52" s="66">
        <f aca="true" t="shared" si="59" ref="T52:AE52">T39*$E$68</f>
        <v>115.48077388102494</v>
      </c>
      <c r="U52" s="66">
        <f t="shared" si="59"/>
        <v>123.38881288102486</v>
      </c>
      <c r="V52" s="66">
        <f t="shared" si="59"/>
        <v>130.58519488102496</v>
      </c>
      <c r="W52" s="66">
        <f t="shared" si="59"/>
        <v>-1137.2949351189752</v>
      </c>
      <c r="X52" s="66">
        <f t="shared" si="59"/>
        <v>0.8906948810249646</v>
      </c>
      <c r="Y52" s="66">
        <f t="shared" si="59"/>
        <v>0.8906948810249646</v>
      </c>
      <c r="Z52" s="66">
        <f t="shared" si="59"/>
        <v>0.8906948810249646</v>
      </c>
      <c r="AA52" s="66">
        <f t="shared" si="59"/>
        <v>0.8906948810249646</v>
      </c>
      <c r="AB52" s="66">
        <f t="shared" si="59"/>
        <v>0.8906948810249646</v>
      </c>
      <c r="AC52" s="66">
        <f t="shared" si="59"/>
        <v>0.8906948810249646</v>
      </c>
      <c r="AD52" s="66">
        <f t="shared" si="59"/>
        <v>0.8906948810249646</v>
      </c>
      <c r="AE52" s="66">
        <f t="shared" si="59"/>
        <v>0.8906948810249646</v>
      </c>
      <c r="AG52" s="81"/>
      <c r="AH52" s="66"/>
    </row>
    <row r="53" spans="1:33" ht="12">
      <c r="A53" s="67"/>
      <c r="C53" s="73"/>
      <c r="D53" s="70"/>
      <c r="E53" s="68" t="s">
        <v>16</v>
      </c>
      <c r="F53" s="82">
        <f>SUM(F45:F52)</f>
        <v>4290.27389217277</v>
      </c>
      <c r="G53" s="82">
        <f>SUM(G45:G52)</f>
        <v>12316.361491172767</v>
      </c>
      <c r="H53" s="82">
        <f aca="true" t="shared" si="60" ref="H53:AE53">SUM(H45:H52)</f>
        <v>20217.13094817276</v>
      </c>
      <c r="I53" s="82">
        <f t="shared" si="60"/>
        <v>27994.650724172734</v>
      </c>
      <c r="J53" s="82">
        <f t="shared" si="60"/>
        <v>35650.89616617279</v>
      </c>
      <c r="K53" s="82">
        <f t="shared" si="60"/>
        <v>43187.85592317271</v>
      </c>
      <c r="L53" s="82">
        <f t="shared" si="60"/>
        <v>46426.09480317276</v>
      </c>
      <c r="M53" s="82">
        <f t="shared" si="60"/>
        <v>54378.46271817276</v>
      </c>
      <c r="N53" s="82">
        <f t="shared" si="60"/>
        <v>61565.00123817279</v>
      </c>
      <c r="O53" s="82">
        <f t="shared" si="60"/>
        <v>68649.8659211727</v>
      </c>
      <c r="P53" s="82">
        <f t="shared" si="60"/>
        <v>75640.54579317274</v>
      </c>
      <c r="Q53" s="82">
        <f t="shared" si="60"/>
        <v>82481.99052717275</v>
      </c>
      <c r="R53" s="82">
        <f t="shared" si="60"/>
        <v>89255.60171217275</v>
      </c>
      <c r="S53" s="82">
        <f t="shared" si="60"/>
        <v>95933.22566517277</v>
      </c>
      <c r="T53" s="82">
        <f t="shared" si="60"/>
        <v>98867.92620717277</v>
      </c>
      <c r="U53" s="82">
        <f t="shared" si="60"/>
        <v>105408.70583517276</v>
      </c>
      <c r="V53" s="82">
        <f t="shared" si="60"/>
        <v>111847.81162617277</v>
      </c>
      <c r="W53" s="82">
        <f t="shared" si="60"/>
        <v>-1057846.797853827</v>
      </c>
      <c r="X53" s="82">
        <f t="shared" si="60"/>
        <v>2536.179058172744</v>
      </c>
      <c r="Y53" s="82">
        <f t="shared" si="60"/>
        <v>-2949.0802188272683</v>
      </c>
      <c r="Z53" s="82">
        <f t="shared" si="60"/>
        <v>13586.017438172716</v>
      </c>
      <c r="AA53" s="82">
        <f t="shared" si="60"/>
        <v>-3100.776226827281</v>
      </c>
      <c r="AB53" s="82">
        <f t="shared" si="60"/>
        <v>-22840.99743482723</v>
      </c>
      <c r="AC53" s="82">
        <f t="shared" si="60"/>
        <v>-22839.79360382723</v>
      </c>
      <c r="AD53" s="82">
        <f t="shared" si="60"/>
        <v>-22839.79360382723</v>
      </c>
      <c r="AE53" s="82">
        <f t="shared" si="60"/>
        <v>-49933.393666827236</v>
      </c>
      <c r="AG53" s="81"/>
    </row>
    <row r="54" spans="1:33" ht="12">
      <c r="A54" s="67"/>
      <c r="C54" s="73"/>
      <c r="D54" s="70"/>
      <c r="E54" s="68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G54" s="81"/>
    </row>
    <row r="55" spans="1:31" ht="12">
      <c r="A55" s="67"/>
      <c r="B55" s="46" t="s">
        <v>111</v>
      </c>
      <c r="C55" s="73"/>
      <c r="D55" s="70"/>
      <c r="E55" s="79"/>
      <c r="F55" s="122" t="s">
        <v>118</v>
      </c>
      <c r="G55" s="122"/>
      <c r="H55" s="122"/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 t="s">
        <v>116</v>
      </c>
      <c r="T55" s="122"/>
      <c r="U55" s="122"/>
      <c r="V55" s="122"/>
      <c r="W55" s="122"/>
      <c r="X55" s="122"/>
      <c r="Y55" s="122"/>
      <c r="Z55" s="122"/>
      <c r="AA55" s="122"/>
      <c r="AB55" s="122"/>
      <c r="AC55" s="122"/>
      <c r="AD55" s="122"/>
      <c r="AE55" s="122"/>
    </row>
    <row r="56" spans="1:31" ht="12">
      <c r="A56" s="67"/>
      <c r="B56" s="46"/>
      <c r="C56" s="73"/>
      <c r="D56" s="70"/>
      <c r="E56" s="79"/>
      <c r="F56" s="61" t="s">
        <v>62</v>
      </c>
      <c r="G56" s="61" t="s">
        <v>63</v>
      </c>
      <c r="H56" s="61" t="s">
        <v>64</v>
      </c>
      <c r="I56" s="61" t="s">
        <v>65</v>
      </c>
      <c r="J56" s="61" t="s">
        <v>66</v>
      </c>
      <c r="K56" s="61" t="s">
        <v>67</v>
      </c>
      <c r="L56" s="61" t="s">
        <v>68</v>
      </c>
      <c r="M56" s="61" t="s">
        <v>69</v>
      </c>
      <c r="N56" s="61" t="s">
        <v>70</v>
      </c>
      <c r="O56" s="61" t="s">
        <v>71</v>
      </c>
      <c r="P56" s="61" t="s">
        <v>72</v>
      </c>
      <c r="Q56" s="61" t="s">
        <v>73</v>
      </c>
      <c r="R56" s="61" t="s">
        <v>62</v>
      </c>
      <c r="S56" s="61" t="s">
        <v>63</v>
      </c>
      <c r="T56" s="61" t="s">
        <v>64</v>
      </c>
      <c r="U56" s="61" t="s">
        <v>65</v>
      </c>
      <c r="V56" s="61" t="s">
        <v>66</v>
      </c>
      <c r="W56" s="61" t="s">
        <v>67</v>
      </c>
      <c r="X56" s="61" t="s">
        <v>68</v>
      </c>
      <c r="Y56" s="61" t="s">
        <v>69</v>
      </c>
      <c r="Z56" s="61" t="s">
        <v>70</v>
      </c>
      <c r="AA56" s="61" t="s">
        <v>71</v>
      </c>
      <c r="AB56" s="61" t="s">
        <v>72</v>
      </c>
      <c r="AC56" s="61" t="s">
        <v>73</v>
      </c>
      <c r="AD56" s="61" t="s">
        <v>62</v>
      </c>
      <c r="AE56" s="61" t="s">
        <v>63</v>
      </c>
    </row>
    <row r="57" spans="1:31" ht="12">
      <c r="A57" s="67"/>
      <c r="B57" s="46"/>
      <c r="C57" s="73"/>
      <c r="D57" s="70"/>
      <c r="E57" s="79"/>
      <c r="F57" s="78">
        <v>2008</v>
      </c>
      <c r="G57" s="78">
        <v>2008</v>
      </c>
      <c r="H57" s="78">
        <v>2009</v>
      </c>
      <c r="I57" s="78">
        <v>2009</v>
      </c>
      <c r="J57" s="78">
        <v>2009</v>
      </c>
      <c r="K57" s="78">
        <v>2009</v>
      </c>
      <c r="L57" s="78">
        <v>2009</v>
      </c>
      <c r="M57" s="78">
        <v>2009</v>
      </c>
      <c r="N57" s="78">
        <v>2009</v>
      </c>
      <c r="O57" s="78">
        <v>2009</v>
      </c>
      <c r="P57" s="78">
        <v>2009</v>
      </c>
      <c r="Q57" s="78">
        <v>2009</v>
      </c>
      <c r="R57" s="78">
        <v>2009</v>
      </c>
      <c r="S57" s="78">
        <v>2009</v>
      </c>
      <c r="T57" s="78">
        <v>2010</v>
      </c>
      <c r="U57" s="78">
        <v>2010</v>
      </c>
      <c r="V57" s="78">
        <v>2010</v>
      </c>
      <c r="W57" s="78">
        <v>2010</v>
      </c>
      <c r="X57" s="78">
        <v>2010</v>
      </c>
      <c r="Y57" s="78">
        <v>2010</v>
      </c>
      <c r="Z57" s="78">
        <v>2010</v>
      </c>
      <c r="AA57" s="78">
        <v>2010</v>
      </c>
      <c r="AB57" s="78">
        <v>2010</v>
      </c>
      <c r="AC57" s="78">
        <v>2010</v>
      </c>
      <c r="AD57" s="78">
        <v>2010</v>
      </c>
      <c r="AE57" s="78">
        <v>2010</v>
      </c>
    </row>
    <row r="58" spans="1:33" ht="12">
      <c r="A58" s="49" t="s">
        <v>21</v>
      </c>
      <c r="B58" s="47" t="s">
        <v>22</v>
      </c>
      <c r="C58" s="73"/>
      <c r="D58" s="70"/>
      <c r="E58" s="79"/>
      <c r="F58" s="66">
        <f>F32*$E$69</f>
        <v>28.297752262501714</v>
      </c>
      <c r="G58" s="66">
        <f aca="true" t="shared" si="61" ref="G58:G65">(G32*$E$69)</f>
        <v>85.99432426250132</v>
      </c>
      <c r="H58" s="66">
        <f aca="true" t="shared" si="62" ref="H58:AE58">(H32*$E$69)</f>
        <v>143.44641926249986</v>
      </c>
      <c r="I58" s="66">
        <f t="shared" si="62"/>
        <v>200.6607352625011</v>
      </c>
      <c r="J58" s="66">
        <f t="shared" si="62"/>
        <v>257.63727226250023</v>
      </c>
      <c r="K58" s="66">
        <f t="shared" si="62"/>
        <v>314.3726812625014</v>
      </c>
      <c r="L58" s="66">
        <f t="shared" si="62"/>
        <v>370.87700926250176</v>
      </c>
      <c r="M58" s="66">
        <f t="shared" si="62"/>
        <v>427.14355826250005</v>
      </c>
      <c r="N58" s="66">
        <f t="shared" si="62"/>
        <v>483.17567726250167</v>
      </c>
      <c r="O58" s="66">
        <f t="shared" si="62"/>
        <v>532.0442852625011</v>
      </c>
      <c r="P58" s="66">
        <f t="shared" si="62"/>
        <v>587.6376852625011</v>
      </c>
      <c r="Q58" s="66">
        <f t="shared" si="62"/>
        <v>624.0480132625015</v>
      </c>
      <c r="R58" s="66">
        <f t="shared" si="62"/>
        <v>679.2596272625017</v>
      </c>
      <c r="S58" s="66">
        <f t="shared" si="62"/>
        <v>740.0037892625007</v>
      </c>
      <c r="T58" s="66">
        <f t="shared" si="62"/>
        <v>1404.3214762624998</v>
      </c>
      <c r="U58" s="66">
        <f t="shared" si="62"/>
        <v>1456.2812112625004</v>
      </c>
      <c r="V58" s="66">
        <f t="shared" si="62"/>
        <v>1508.0232612625002</v>
      </c>
      <c r="W58" s="66">
        <f t="shared" si="62"/>
        <v>-9222.5042897375</v>
      </c>
      <c r="X58" s="66">
        <f t="shared" si="62"/>
        <v>665.0598672625011</v>
      </c>
      <c r="Y58" s="66">
        <f t="shared" si="62"/>
        <v>665.0598672625011</v>
      </c>
      <c r="Z58" s="66">
        <f t="shared" si="62"/>
        <v>49.95238626250045</v>
      </c>
      <c r="AA58" s="66">
        <f t="shared" si="62"/>
        <v>49.95238626250045</v>
      </c>
      <c r="AB58" s="66">
        <f t="shared" si="62"/>
        <v>49.95238626250045</v>
      </c>
      <c r="AC58" s="66">
        <f t="shared" si="62"/>
        <v>49.95238626250045</v>
      </c>
      <c r="AD58" s="66">
        <f t="shared" si="62"/>
        <v>49.95238626250045</v>
      </c>
      <c r="AE58" s="66">
        <f t="shared" si="62"/>
        <v>49.95238626250045</v>
      </c>
      <c r="AG58" s="81"/>
    </row>
    <row r="59" spans="1:34" ht="12">
      <c r="A59" s="49" t="s">
        <v>23</v>
      </c>
      <c r="B59" s="47" t="s">
        <v>24</v>
      </c>
      <c r="C59" s="73"/>
      <c r="D59" s="70"/>
      <c r="E59" s="79"/>
      <c r="F59" s="66">
        <f aca="true" t="shared" si="63" ref="F59:F65">F33*$E$69</f>
        <v>2137.5698580833664</v>
      </c>
      <c r="G59" s="66">
        <f t="shared" si="61"/>
        <v>5803.097244083371</v>
      </c>
      <c r="H59" s="66">
        <f aca="true" t="shared" si="64" ref="H59:AE59">(H33*$E$69)</f>
        <v>9407.532172083362</v>
      </c>
      <c r="I59" s="66">
        <f t="shared" si="64"/>
        <v>12951.896087083353</v>
      </c>
      <c r="J59" s="66">
        <f t="shared" si="64"/>
        <v>16437.183642083375</v>
      </c>
      <c r="K59" s="66">
        <f t="shared" si="64"/>
        <v>19864.38614108334</v>
      </c>
      <c r="L59" s="66">
        <f t="shared" si="64"/>
        <v>23234.46474708336</v>
      </c>
      <c r="M59" s="66">
        <f t="shared" si="64"/>
        <v>26548.380623083358</v>
      </c>
      <c r="N59" s="66">
        <f t="shared" si="64"/>
        <v>29807.061442083374</v>
      </c>
      <c r="O59" s="66">
        <f t="shared" si="64"/>
        <v>33011.43152808334</v>
      </c>
      <c r="P59" s="66">
        <f t="shared" si="64"/>
        <v>36162.39176208335</v>
      </c>
      <c r="Q59" s="66">
        <f t="shared" si="64"/>
        <v>39260.83967608335</v>
      </c>
      <c r="R59" s="66">
        <f t="shared" si="64"/>
        <v>42307.64601008336</v>
      </c>
      <c r="S59" s="66">
        <f t="shared" si="64"/>
        <v>45303.00500608337</v>
      </c>
      <c r="T59" s="66">
        <f t="shared" si="64"/>
        <v>45810.760292083374</v>
      </c>
      <c r="U59" s="66">
        <f t="shared" si="64"/>
        <v>48748.402622083355</v>
      </c>
      <c r="V59" s="66">
        <f t="shared" si="64"/>
        <v>51637.08257208336</v>
      </c>
      <c r="W59" s="66">
        <f t="shared" si="64"/>
        <v>-498882.4920069165</v>
      </c>
      <c r="X59" s="66">
        <f t="shared" si="64"/>
        <v>2593.107536083357</v>
      </c>
      <c r="Y59" s="66">
        <f t="shared" si="64"/>
        <v>-168.903186916649</v>
      </c>
      <c r="Z59" s="66">
        <f t="shared" si="64"/>
        <v>4851.78030408334</v>
      </c>
      <c r="AA59" s="66">
        <f t="shared" si="64"/>
        <v>176.79398908334787</v>
      </c>
      <c r="AB59" s="66">
        <f t="shared" si="64"/>
        <v>-10301.239055916629</v>
      </c>
      <c r="AC59" s="66">
        <f t="shared" si="64"/>
        <v>-10301.239055916629</v>
      </c>
      <c r="AD59" s="66">
        <f t="shared" si="64"/>
        <v>-10301.239055916629</v>
      </c>
      <c r="AE59" s="66">
        <f t="shared" si="64"/>
        <v>-24051.697215916636</v>
      </c>
      <c r="AG59" s="81"/>
      <c r="AH59" s="66"/>
    </row>
    <row r="60" spans="1:34" ht="12">
      <c r="A60" s="49" t="s">
        <v>25</v>
      </c>
      <c r="B60" s="47" t="s">
        <v>58</v>
      </c>
      <c r="C60" s="73"/>
      <c r="D60" s="70"/>
      <c r="E60" s="79"/>
      <c r="F60" s="66">
        <f t="shared" si="63"/>
        <v>-5.604986870000009</v>
      </c>
      <c r="G60" s="66">
        <f t="shared" si="61"/>
        <v>-5.136126870000007</v>
      </c>
      <c r="H60" s="66">
        <f aca="true" t="shared" si="65" ref="H60:AE60">(H34*$E$69)</f>
        <v>-4.673964870000009</v>
      </c>
      <c r="I60" s="66">
        <f t="shared" si="65"/>
        <v>-4.215151870000008</v>
      </c>
      <c r="J60" s="66">
        <f t="shared" si="65"/>
        <v>-3.7596878700000027</v>
      </c>
      <c r="K60" s="66">
        <f t="shared" si="65"/>
        <v>-3.307572870000005</v>
      </c>
      <c r="L60" s="66">
        <f t="shared" si="65"/>
        <v>-2.8588068700000036</v>
      </c>
      <c r="M60" s="66">
        <f t="shared" si="65"/>
        <v>-2.416738870000006</v>
      </c>
      <c r="N60" s="66">
        <f t="shared" si="65"/>
        <v>-1.9746708700000082</v>
      </c>
      <c r="O60" s="66">
        <f t="shared" si="65"/>
        <v>-1.5393008700000044</v>
      </c>
      <c r="P60" s="66">
        <f t="shared" si="65"/>
        <v>-1.1039308700000006</v>
      </c>
      <c r="Q60" s="66">
        <f t="shared" si="65"/>
        <v>-0.6752588700000003</v>
      </c>
      <c r="R60" s="66">
        <f t="shared" si="65"/>
        <v>-0.24993587000000644</v>
      </c>
      <c r="S60" s="66">
        <f t="shared" si="65"/>
        <v>0.1720381299999905</v>
      </c>
      <c r="T60" s="66">
        <f t="shared" si="65"/>
        <v>-0.36715087000001406</v>
      </c>
      <c r="U60" s="66">
        <f t="shared" si="65"/>
        <v>0.04812512999998897</v>
      </c>
      <c r="V60" s="66">
        <f t="shared" si="65"/>
        <v>0.460052129999995</v>
      </c>
      <c r="W60" s="66">
        <f t="shared" si="65"/>
        <v>34.482543129999996</v>
      </c>
      <c r="X60" s="66">
        <f t="shared" si="65"/>
        <v>0.2892531299999981</v>
      </c>
      <c r="Y60" s="66">
        <f t="shared" si="65"/>
        <v>0.2892531299999981</v>
      </c>
      <c r="Z60" s="66">
        <f t="shared" si="65"/>
        <v>60.29998412999999</v>
      </c>
      <c r="AA60" s="66">
        <f t="shared" si="65"/>
        <v>60.29998412999999</v>
      </c>
      <c r="AB60" s="66">
        <f t="shared" si="65"/>
        <v>60.29998412999999</v>
      </c>
      <c r="AC60" s="66">
        <f t="shared" si="65"/>
        <v>60.29998412999999</v>
      </c>
      <c r="AD60" s="66">
        <f t="shared" si="65"/>
        <v>60.29998412999999</v>
      </c>
      <c r="AE60" s="66">
        <f t="shared" si="65"/>
        <v>60.29998412999999</v>
      </c>
      <c r="AG60" s="81"/>
      <c r="AH60" s="66"/>
    </row>
    <row r="61" spans="1:34" ht="12">
      <c r="A61" s="49" t="s">
        <v>5</v>
      </c>
      <c r="B61" s="47" t="s">
        <v>26</v>
      </c>
      <c r="C61" s="73"/>
      <c r="D61" s="70"/>
      <c r="E61" s="79"/>
      <c r="F61" s="66">
        <f t="shared" si="63"/>
        <v>0.0006558458333336887</v>
      </c>
      <c r="G61" s="66">
        <f t="shared" si="61"/>
        <v>0.20829384583333518</v>
      </c>
      <c r="H61" s="66">
        <f aca="true" t="shared" si="66" ref="H61:AE61">(H35*$E$69)</f>
        <v>0.41928084583333364</v>
      </c>
      <c r="I61" s="66">
        <f t="shared" si="66"/>
        <v>0.6269188458333351</v>
      </c>
      <c r="J61" s="66">
        <f t="shared" si="66"/>
        <v>0.8345568458333367</v>
      </c>
      <c r="K61" s="66">
        <f t="shared" si="66"/>
        <v>1.0388458458333412</v>
      </c>
      <c r="L61" s="66">
        <f t="shared" si="66"/>
        <v>1.2464838458333332</v>
      </c>
      <c r="M61" s="66">
        <f t="shared" si="66"/>
        <v>1.4507728458333378</v>
      </c>
      <c r="N61" s="66">
        <f t="shared" si="66"/>
        <v>1.6517128458333359</v>
      </c>
      <c r="O61" s="66">
        <f t="shared" si="66"/>
        <v>1.8560018458333405</v>
      </c>
      <c r="P61" s="66">
        <f t="shared" si="66"/>
        <v>2.0569418458333386</v>
      </c>
      <c r="Q61" s="66">
        <f t="shared" si="66"/>
        <v>2.2578818458333365</v>
      </c>
      <c r="R61" s="66">
        <f t="shared" si="66"/>
        <v>2.458821845833335</v>
      </c>
      <c r="S61" s="66">
        <f t="shared" si="66"/>
        <v>2.6597618458333327</v>
      </c>
      <c r="T61" s="66">
        <f t="shared" si="66"/>
        <v>2.8573528458333337</v>
      </c>
      <c r="U61" s="66">
        <f t="shared" si="66"/>
        <v>3.054943845833335</v>
      </c>
      <c r="V61" s="66">
        <f t="shared" si="66"/>
        <v>3.252534845833336</v>
      </c>
      <c r="W61" s="66">
        <f t="shared" si="66"/>
        <v>-28.057266154166665</v>
      </c>
      <c r="X61" s="66">
        <f t="shared" si="66"/>
        <v>0.0006558458333336887</v>
      </c>
      <c r="Y61" s="66">
        <f t="shared" si="66"/>
        <v>0.0006558458333336887</v>
      </c>
      <c r="Z61" s="66">
        <f t="shared" si="66"/>
        <v>0.0006558458333336887</v>
      </c>
      <c r="AA61" s="66">
        <f t="shared" si="66"/>
        <v>0.0006558458333336887</v>
      </c>
      <c r="AB61" s="66">
        <f t="shared" si="66"/>
        <v>0.0006558458333336887</v>
      </c>
      <c r="AC61" s="66">
        <f t="shared" si="66"/>
        <v>0.0006558458333336887</v>
      </c>
      <c r="AD61" s="66">
        <f t="shared" si="66"/>
        <v>0.0006558458333336887</v>
      </c>
      <c r="AE61" s="66">
        <f t="shared" si="66"/>
        <v>0.0006558458333336887</v>
      </c>
      <c r="AG61" s="81"/>
      <c r="AH61" s="66"/>
    </row>
    <row r="62" spans="1:34" ht="12">
      <c r="A62" s="49" t="s">
        <v>27</v>
      </c>
      <c r="B62" s="47" t="s">
        <v>28</v>
      </c>
      <c r="C62" s="73"/>
      <c r="D62" s="70"/>
      <c r="E62" s="79"/>
      <c r="F62" s="66">
        <f t="shared" si="63"/>
        <v>0.0008512041666116374</v>
      </c>
      <c r="G62" s="66">
        <f t="shared" si="61"/>
        <v>2.5092522041666143</v>
      </c>
      <c r="H62" s="66">
        <f aca="true" t="shared" si="67" ref="H62:AE62">(H36*$E$69)</f>
        <v>5.007606204166627</v>
      </c>
      <c r="I62" s="66">
        <f t="shared" si="67"/>
        <v>7.499262204166569</v>
      </c>
      <c r="J62" s="66">
        <f t="shared" si="67"/>
        <v>9.977522204166599</v>
      </c>
      <c r="K62" s="66">
        <f t="shared" si="67"/>
        <v>12.445735204166638</v>
      </c>
      <c r="L62" s="66">
        <f t="shared" si="67"/>
        <v>14.900552204166614</v>
      </c>
      <c r="M62" s="66">
        <f t="shared" si="67"/>
        <v>17.348671204166596</v>
      </c>
      <c r="N62" s="66">
        <f t="shared" si="67"/>
        <v>19.786743204166587</v>
      </c>
      <c r="O62" s="66">
        <f t="shared" si="67"/>
        <v>22.214768204166585</v>
      </c>
      <c r="P62" s="66">
        <f t="shared" si="67"/>
        <v>24.632746204166594</v>
      </c>
      <c r="Q62" s="66">
        <f t="shared" si="67"/>
        <v>27.037328204166617</v>
      </c>
      <c r="R62" s="66">
        <f t="shared" si="67"/>
        <v>29.435212204166568</v>
      </c>
      <c r="S62" s="66">
        <f t="shared" si="67"/>
        <v>31.823049204166605</v>
      </c>
      <c r="T62" s="66">
        <f t="shared" si="67"/>
        <v>34.20083920416657</v>
      </c>
      <c r="U62" s="66">
        <f t="shared" si="67"/>
        <v>36.56523320416663</v>
      </c>
      <c r="V62" s="66">
        <f t="shared" si="67"/>
        <v>38.92292920416662</v>
      </c>
      <c r="W62" s="66">
        <f t="shared" si="67"/>
        <v>-335.80672779583335</v>
      </c>
      <c r="X62" s="66">
        <f t="shared" si="67"/>
        <v>0.007549204166605545</v>
      </c>
      <c r="Y62" s="66">
        <f t="shared" si="67"/>
        <v>0.007549204166605545</v>
      </c>
      <c r="Z62" s="66">
        <f t="shared" si="67"/>
        <v>0.007549204166605545</v>
      </c>
      <c r="AA62" s="66">
        <f t="shared" si="67"/>
        <v>0.007549204166605545</v>
      </c>
      <c r="AB62" s="66">
        <f t="shared" si="67"/>
        <v>0.007549204166605545</v>
      </c>
      <c r="AC62" s="66">
        <f t="shared" si="67"/>
        <v>0.007549204166605545</v>
      </c>
      <c r="AD62" s="66">
        <f t="shared" si="67"/>
        <v>0.007549204166605545</v>
      </c>
      <c r="AE62" s="66">
        <f t="shared" si="67"/>
        <v>0.007549204166605545</v>
      </c>
      <c r="AG62" s="81"/>
      <c r="AH62" s="66"/>
    </row>
    <row r="63" spans="1:34" ht="12">
      <c r="A63" s="49" t="s">
        <v>6</v>
      </c>
      <c r="B63" s="47" t="s">
        <v>59</v>
      </c>
      <c r="C63" s="73"/>
      <c r="D63" s="70"/>
      <c r="E63" s="79"/>
      <c r="F63" s="66">
        <f t="shared" si="63"/>
        <v>-12.936919079999997</v>
      </c>
      <c r="G63" s="66">
        <f t="shared" si="61"/>
        <v>-12.936919079999997</v>
      </c>
      <c r="H63" s="66">
        <f aca="true" t="shared" si="68" ref="H63:AE63">(H37*$E$69)</f>
        <v>-12.936919079999997</v>
      </c>
      <c r="I63" s="66">
        <f t="shared" si="68"/>
        <v>-12.936919079999997</v>
      </c>
      <c r="J63" s="66">
        <f t="shared" si="68"/>
        <v>-12.936919079999997</v>
      </c>
      <c r="K63" s="66">
        <f t="shared" si="68"/>
        <v>-12.936919079999997</v>
      </c>
      <c r="L63" s="66">
        <f t="shared" si="68"/>
        <v>-12.936919079999997</v>
      </c>
      <c r="M63" s="66">
        <f t="shared" si="68"/>
        <v>-12.936919079999997</v>
      </c>
      <c r="N63" s="66">
        <f t="shared" si="68"/>
        <v>-12.936919079999997</v>
      </c>
      <c r="O63" s="66">
        <f t="shared" si="68"/>
        <v>-12.936919079999997</v>
      </c>
      <c r="P63" s="66">
        <f t="shared" si="68"/>
        <v>-12.936919079999997</v>
      </c>
      <c r="Q63" s="66">
        <f t="shared" si="68"/>
        <v>-12.936919079999997</v>
      </c>
      <c r="R63" s="66">
        <f t="shared" si="68"/>
        <v>-12.936919079999997</v>
      </c>
      <c r="S63" s="66">
        <f t="shared" si="68"/>
        <v>-12.936919079999997</v>
      </c>
      <c r="T63" s="66">
        <f t="shared" si="68"/>
        <v>-12.936919079999997</v>
      </c>
      <c r="U63" s="66">
        <f t="shared" si="68"/>
        <v>-12.936919079999997</v>
      </c>
      <c r="V63" s="66">
        <f t="shared" si="68"/>
        <v>-12.936919079999997</v>
      </c>
      <c r="W63" s="66">
        <f t="shared" si="68"/>
        <v>206.99191092</v>
      </c>
      <c r="X63" s="66">
        <f t="shared" si="68"/>
        <v>-14.145908079999998</v>
      </c>
      <c r="Y63" s="66">
        <f t="shared" si="68"/>
        <v>-14.145908079999998</v>
      </c>
      <c r="Z63" s="66">
        <f t="shared" si="68"/>
        <v>-14.145908079999998</v>
      </c>
      <c r="AA63" s="66">
        <f t="shared" si="68"/>
        <v>-14.145908079999998</v>
      </c>
      <c r="AB63" s="66">
        <f t="shared" si="68"/>
        <v>-13.539739079999997</v>
      </c>
      <c r="AC63" s="66">
        <f t="shared" si="68"/>
        <v>-12.933570079999999</v>
      </c>
      <c r="AD63" s="66">
        <f t="shared" si="68"/>
        <v>-12.933570079999999</v>
      </c>
      <c r="AE63" s="66">
        <f t="shared" si="68"/>
        <v>-12.933570079999999</v>
      </c>
      <c r="AG63" s="81"/>
      <c r="AH63" s="66"/>
    </row>
    <row r="64" spans="1:34" ht="12">
      <c r="A64" s="49" t="s">
        <v>29</v>
      </c>
      <c r="B64" s="47" t="s">
        <v>30</v>
      </c>
      <c r="C64" s="73"/>
      <c r="D64" s="70"/>
      <c r="E64" s="79"/>
      <c r="F64" s="66">
        <f t="shared" si="63"/>
        <v>12.968844845825357</v>
      </c>
      <c r="G64" s="66">
        <f t="shared" si="61"/>
        <v>323.6555748458195</v>
      </c>
      <c r="H64" s="66">
        <f aca="true" t="shared" si="69" ref="H64:AE64">(H38*$E$69)</f>
        <v>632.6175698458253</v>
      </c>
      <c r="I64" s="66">
        <f t="shared" si="69"/>
        <v>939.8615278458199</v>
      </c>
      <c r="J64" s="66">
        <f t="shared" si="69"/>
        <v>1245.397495845822</v>
      </c>
      <c r="K64" s="66">
        <f t="shared" si="69"/>
        <v>1549.235520845822</v>
      </c>
      <c r="L64" s="66">
        <f t="shared" si="69"/>
        <v>-254.08376415417578</v>
      </c>
      <c r="M64" s="66">
        <f t="shared" si="69"/>
        <v>372.7552638458246</v>
      </c>
      <c r="N64" s="66">
        <f t="shared" si="69"/>
        <v>669.483361845821</v>
      </c>
      <c r="O64" s="66">
        <f t="shared" si="69"/>
        <v>976.5230308458202</v>
      </c>
      <c r="P64" s="66">
        <f t="shared" si="69"/>
        <v>1282.8594098458273</v>
      </c>
      <c r="Q64" s="66">
        <f t="shared" si="69"/>
        <v>1585.7932048458233</v>
      </c>
      <c r="R64" s="66">
        <f t="shared" si="69"/>
        <v>1887.4376348458272</v>
      </c>
      <c r="S64" s="66">
        <f t="shared" si="69"/>
        <v>2186.7042748458193</v>
      </c>
      <c r="T64" s="66">
        <f t="shared" si="69"/>
        <v>2486.3091638458245</v>
      </c>
      <c r="U64" s="66">
        <f t="shared" si="69"/>
        <v>2783.248248845822</v>
      </c>
      <c r="V64" s="66">
        <f t="shared" si="69"/>
        <v>3078.539625845826</v>
      </c>
      <c r="W64" s="66">
        <f t="shared" si="69"/>
        <v>-23861.040757154176</v>
      </c>
      <c r="X64" s="66">
        <f t="shared" si="69"/>
        <v>-1967.7168291541775</v>
      </c>
      <c r="Y64" s="66">
        <f t="shared" si="69"/>
        <v>-1967.7168291541775</v>
      </c>
      <c r="Z64" s="66">
        <f t="shared" si="69"/>
        <v>1892.6687728458255</v>
      </c>
      <c r="AA64" s="66">
        <f t="shared" si="69"/>
        <v>-1834.70124715418</v>
      </c>
      <c r="AB64" s="66">
        <f t="shared" si="69"/>
        <v>-1297.1331631541789</v>
      </c>
      <c r="AC64" s="66">
        <f t="shared" si="69"/>
        <v>-1297.1331631541789</v>
      </c>
      <c r="AD64" s="66">
        <f t="shared" si="69"/>
        <v>-1297.1331631541789</v>
      </c>
      <c r="AE64" s="66">
        <f t="shared" si="69"/>
        <v>-1189.2049401541726</v>
      </c>
      <c r="AG64" s="81"/>
      <c r="AH64" s="66"/>
    </row>
    <row r="65" spans="1:34" ht="12">
      <c r="A65" s="49" t="s">
        <v>31</v>
      </c>
      <c r="B65" s="47" t="s">
        <v>32</v>
      </c>
      <c r="C65" s="73"/>
      <c r="D65" s="70"/>
      <c r="E65" s="79"/>
      <c r="F65" s="66">
        <f t="shared" si="63"/>
        <v>-0.0002714643583999077</v>
      </c>
      <c r="G65" s="66">
        <f t="shared" si="61"/>
        <v>4.3065425356416425</v>
      </c>
      <c r="H65" s="66">
        <f aca="true" t="shared" si="70" ref="H65:AE65">(H39*$E$69)</f>
        <v>8.586564535641557</v>
      </c>
      <c r="I65" s="66">
        <f t="shared" si="70"/>
        <v>12.846492535641643</v>
      </c>
      <c r="J65" s="66">
        <f t="shared" si="70"/>
        <v>17.0796285356416</v>
      </c>
      <c r="K65" s="66">
        <f t="shared" si="70"/>
        <v>21.289321535641655</v>
      </c>
      <c r="L65" s="66">
        <f t="shared" si="70"/>
        <v>25.475571535641652</v>
      </c>
      <c r="M65" s="66">
        <f t="shared" si="70"/>
        <v>29.64172753564167</v>
      </c>
      <c r="N65" s="66">
        <f t="shared" si="70"/>
        <v>33.78109153564156</v>
      </c>
      <c r="O65" s="66">
        <f t="shared" si="70"/>
        <v>37.90036153564162</v>
      </c>
      <c r="P65" s="66">
        <f t="shared" si="70"/>
        <v>41.99618853564163</v>
      </c>
      <c r="Q65" s="66">
        <f t="shared" si="70"/>
        <v>46.06522353564166</v>
      </c>
      <c r="R65" s="66">
        <f t="shared" si="70"/>
        <v>50.11751353564163</v>
      </c>
      <c r="S65" s="66">
        <f t="shared" si="70"/>
        <v>54.14301153564162</v>
      </c>
      <c r="T65" s="66">
        <f t="shared" si="70"/>
        <v>58.14841553564163</v>
      </c>
      <c r="U65" s="66">
        <f t="shared" si="70"/>
        <v>62.13037653564159</v>
      </c>
      <c r="V65" s="66">
        <f t="shared" si="70"/>
        <v>65.75399453564164</v>
      </c>
      <c r="W65" s="66">
        <f t="shared" si="70"/>
        <v>-572.6658754643584</v>
      </c>
      <c r="X65" s="66">
        <f t="shared" si="70"/>
        <v>0.4484945356416488</v>
      </c>
      <c r="Y65" s="66">
        <f t="shared" si="70"/>
        <v>0.4484945356416488</v>
      </c>
      <c r="Z65" s="66">
        <f t="shared" si="70"/>
        <v>0.4484945356416488</v>
      </c>
      <c r="AA65" s="66">
        <f t="shared" si="70"/>
        <v>0.4484945356416488</v>
      </c>
      <c r="AB65" s="66">
        <f t="shared" si="70"/>
        <v>0.4484945356416488</v>
      </c>
      <c r="AC65" s="66">
        <f t="shared" si="70"/>
        <v>0.4484945356416488</v>
      </c>
      <c r="AD65" s="66">
        <f t="shared" si="70"/>
        <v>0.4484945356416488</v>
      </c>
      <c r="AE65" s="66">
        <f t="shared" si="70"/>
        <v>0.4484945356416488</v>
      </c>
      <c r="AG65" s="81"/>
      <c r="AH65" s="66"/>
    </row>
    <row r="66" spans="1:33" ht="12">
      <c r="A66" s="67"/>
      <c r="C66" s="73"/>
      <c r="D66" s="70"/>
      <c r="E66" s="68" t="s">
        <v>16</v>
      </c>
      <c r="F66" s="82">
        <f>SUM(F58:F65)</f>
        <v>2160.2957848273354</v>
      </c>
      <c r="G66" s="82">
        <f>SUM(G58:G65)</f>
        <v>6201.698185827334</v>
      </c>
      <c r="H66" s="82">
        <f aca="true" t="shared" si="71" ref="H66:S66">SUM(H58:H65)</f>
        <v>10179.998728827326</v>
      </c>
      <c r="I66" s="82">
        <f t="shared" si="71"/>
        <v>14096.238952827316</v>
      </c>
      <c r="J66" s="82">
        <f t="shared" si="71"/>
        <v>17951.41351082734</v>
      </c>
      <c r="K66" s="82">
        <f t="shared" si="71"/>
        <v>21746.52375382731</v>
      </c>
      <c r="L66" s="82">
        <f t="shared" si="71"/>
        <v>23377.084873827323</v>
      </c>
      <c r="M66" s="82">
        <f t="shared" si="71"/>
        <v>27381.36695882733</v>
      </c>
      <c r="N66" s="82">
        <f t="shared" si="71"/>
        <v>31000.02843882734</v>
      </c>
      <c r="O66" s="82">
        <f t="shared" si="71"/>
        <v>34567.4937558273</v>
      </c>
      <c r="P66" s="82">
        <f t="shared" si="71"/>
        <v>38087.533883827324</v>
      </c>
      <c r="Q66" s="82">
        <f t="shared" si="71"/>
        <v>41532.42914982732</v>
      </c>
      <c r="R66" s="82">
        <f t="shared" si="71"/>
        <v>44943.16796482732</v>
      </c>
      <c r="S66" s="82">
        <f t="shared" si="71"/>
        <v>48305.57401182733</v>
      </c>
      <c r="T66" s="82">
        <f aca="true" t="shared" si="72" ref="T66:AE66">SUM(T58:T65)</f>
        <v>49783.293469827346</v>
      </c>
      <c r="U66" s="82">
        <f t="shared" si="72"/>
        <v>53076.79384182732</v>
      </c>
      <c r="V66" s="82">
        <f t="shared" si="72"/>
        <v>56319.09805082733</v>
      </c>
      <c r="W66" s="82">
        <f t="shared" si="72"/>
        <v>-532661.0924691726</v>
      </c>
      <c r="X66" s="82">
        <f t="shared" si="72"/>
        <v>1277.050618827322</v>
      </c>
      <c r="Y66" s="82">
        <f t="shared" si="72"/>
        <v>-1484.9601041726837</v>
      </c>
      <c r="Z66" s="82">
        <f t="shared" si="72"/>
        <v>6841.012238827308</v>
      </c>
      <c r="AA66" s="82">
        <f t="shared" si="72"/>
        <v>-1561.3440961726901</v>
      </c>
      <c r="AB66" s="82">
        <f t="shared" si="72"/>
        <v>-11501.202888172666</v>
      </c>
      <c r="AC66" s="82">
        <f t="shared" si="72"/>
        <v>-11500.596719172663</v>
      </c>
      <c r="AD66" s="82">
        <f t="shared" si="72"/>
        <v>-11500.596719172663</v>
      </c>
      <c r="AE66" s="82">
        <f t="shared" si="72"/>
        <v>-25143.12665617267</v>
      </c>
      <c r="AG66" s="81"/>
    </row>
    <row r="67" spans="1:22" ht="12">
      <c r="A67" s="67"/>
      <c r="C67" s="73"/>
      <c r="D67" s="70"/>
      <c r="E67" s="79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</row>
    <row r="68" spans="1:31" ht="12">
      <c r="A68" s="67"/>
      <c r="C68" s="79" t="s">
        <v>82</v>
      </c>
      <c r="D68" s="47"/>
      <c r="E68" s="83">
        <f>'3.05 '!E36</f>
        <v>0.6651</v>
      </c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</row>
    <row r="69" spans="1:31" ht="12">
      <c r="A69" s="67"/>
      <c r="C69" s="79" t="s">
        <v>83</v>
      </c>
      <c r="D69" s="70"/>
      <c r="E69" s="84">
        <f>'3.05 '!F36</f>
        <v>0.3349</v>
      </c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</row>
    <row r="70" spans="1:22" ht="12">
      <c r="A70" s="67"/>
      <c r="C70" s="73"/>
      <c r="D70" s="70"/>
      <c r="E70" s="79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</row>
    <row r="71" spans="1:36" ht="12">
      <c r="A71" s="67"/>
      <c r="C71" s="73"/>
      <c r="D71" s="70"/>
      <c r="E71" s="79"/>
      <c r="F71" s="123" t="s">
        <v>114</v>
      </c>
      <c r="G71" s="123"/>
      <c r="H71" s="123"/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123" t="s">
        <v>114</v>
      </c>
      <c r="T71" s="123"/>
      <c r="U71" s="123"/>
      <c r="V71" s="123"/>
      <c r="W71" s="123"/>
      <c r="X71" s="123"/>
      <c r="Y71" s="123"/>
      <c r="Z71" s="123"/>
      <c r="AA71" s="123"/>
      <c r="AB71" s="123"/>
      <c r="AC71" s="123"/>
      <c r="AD71" s="123"/>
      <c r="AE71" s="123"/>
      <c r="AF71" s="91"/>
      <c r="AG71" s="91"/>
      <c r="AH71" s="91"/>
      <c r="AI71" s="91"/>
      <c r="AJ71" s="91"/>
    </row>
    <row r="72" spans="1:33" ht="12.75" thickBot="1">
      <c r="A72" s="67"/>
      <c r="C72" s="73" t="s">
        <v>84</v>
      </c>
      <c r="D72" s="70"/>
      <c r="E72" s="79"/>
      <c r="F72" s="66">
        <f>F53</f>
        <v>4290.27389217277</v>
      </c>
      <c r="G72" s="66">
        <f>F72+G53</f>
        <v>16606.635383345536</v>
      </c>
      <c r="H72" s="66">
        <f aca="true" t="shared" si="73" ref="H72:AE72">G72+H53</f>
        <v>36823.766331518294</v>
      </c>
      <c r="I72" s="66">
        <f t="shared" si="73"/>
        <v>64818.417055691025</v>
      </c>
      <c r="J72" s="66">
        <f t="shared" si="73"/>
        <v>100469.31322186382</v>
      </c>
      <c r="K72" s="66">
        <f t="shared" si="73"/>
        <v>143657.16914503655</v>
      </c>
      <c r="L72" s="66">
        <f t="shared" si="73"/>
        <v>190083.2639482093</v>
      </c>
      <c r="M72" s="66">
        <f t="shared" si="73"/>
        <v>244461.72666638205</v>
      </c>
      <c r="N72" s="66">
        <f t="shared" si="73"/>
        <v>306026.7279045548</v>
      </c>
      <c r="O72" s="66">
        <f t="shared" si="73"/>
        <v>374676.5938257275</v>
      </c>
      <c r="P72" s="66">
        <f t="shared" si="73"/>
        <v>450317.13961890026</v>
      </c>
      <c r="Q72" s="66">
        <f t="shared" si="73"/>
        <v>532799.130146073</v>
      </c>
      <c r="R72" s="66">
        <f t="shared" si="73"/>
        <v>622054.7318582457</v>
      </c>
      <c r="S72" s="66">
        <f t="shared" si="73"/>
        <v>717987.9575234185</v>
      </c>
      <c r="T72" s="66">
        <f t="shared" si="73"/>
        <v>816855.8837305913</v>
      </c>
      <c r="U72" s="66">
        <f t="shared" si="73"/>
        <v>922264.5895657641</v>
      </c>
      <c r="V72" s="66">
        <f t="shared" si="73"/>
        <v>1034112.4011919368</v>
      </c>
      <c r="W72" s="66">
        <f t="shared" si="73"/>
        <v>-23734.396661890205</v>
      </c>
      <c r="X72" s="66">
        <f t="shared" si="73"/>
        <v>-21198.21760371746</v>
      </c>
      <c r="Y72" s="66">
        <f t="shared" si="73"/>
        <v>-24147.29782254473</v>
      </c>
      <c r="Z72" s="66">
        <f t="shared" si="73"/>
        <v>-10561.280384372014</v>
      </c>
      <c r="AA72" s="66">
        <f t="shared" si="73"/>
        <v>-13662.056611199296</v>
      </c>
      <c r="AB72" s="66">
        <f t="shared" si="73"/>
        <v>-36503.054046026526</v>
      </c>
      <c r="AC72" s="66">
        <f t="shared" si="73"/>
        <v>-59342.84764985376</v>
      </c>
      <c r="AD72" s="66">
        <f t="shared" si="73"/>
        <v>-82182.64125368098</v>
      </c>
      <c r="AE72" s="66">
        <f t="shared" si="73"/>
        <v>-132116.03492050822</v>
      </c>
      <c r="AF72" s="85">
        <f>(S72+AE72+SUM(T72:AD72)*2)/24</f>
        <v>232903.08697970523</v>
      </c>
      <c r="AG72" s="92"/>
    </row>
    <row r="73" spans="1:33" ht="13.5" thickBot="1" thickTop="1">
      <c r="A73" s="67"/>
      <c r="C73" s="73" t="s">
        <v>85</v>
      </c>
      <c r="D73" s="70"/>
      <c r="E73" s="79"/>
      <c r="F73" s="66">
        <f>F66</f>
        <v>2160.2957848273354</v>
      </c>
      <c r="G73" s="66">
        <f>G66+F73</f>
        <v>8361.993970654668</v>
      </c>
      <c r="H73" s="66">
        <f aca="true" t="shared" si="74" ref="H73:AE73">H66+G73</f>
        <v>18541.992699481994</v>
      </c>
      <c r="I73" s="66">
        <f t="shared" si="74"/>
        <v>32638.23165230931</v>
      </c>
      <c r="J73" s="66">
        <f t="shared" si="74"/>
        <v>50589.64516313665</v>
      </c>
      <c r="K73" s="66">
        <f t="shared" si="74"/>
        <v>72336.16891696396</v>
      </c>
      <c r="L73" s="66">
        <f t="shared" si="74"/>
        <v>95713.25379079128</v>
      </c>
      <c r="M73" s="66">
        <f t="shared" si="74"/>
        <v>123094.62074961861</v>
      </c>
      <c r="N73" s="66">
        <f t="shared" si="74"/>
        <v>154094.64918844594</v>
      </c>
      <c r="O73" s="66">
        <f t="shared" si="74"/>
        <v>188662.14294427325</v>
      </c>
      <c r="P73" s="66">
        <f t="shared" si="74"/>
        <v>226749.67682810058</v>
      </c>
      <c r="Q73" s="66">
        <f t="shared" si="74"/>
        <v>268282.1059779279</v>
      </c>
      <c r="R73" s="66">
        <f t="shared" si="74"/>
        <v>313225.27394275524</v>
      </c>
      <c r="S73" s="66">
        <f t="shared" si="74"/>
        <v>361530.8479545826</v>
      </c>
      <c r="T73" s="66">
        <f t="shared" si="74"/>
        <v>411314.1414244099</v>
      </c>
      <c r="U73" s="66">
        <f t="shared" si="74"/>
        <v>464390.93526623724</v>
      </c>
      <c r="V73" s="66">
        <f t="shared" si="74"/>
        <v>520710.0333170646</v>
      </c>
      <c r="W73" s="66">
        <f t="shared" si="74"/>
        <v>-11951.059152107977</v>
      </c>
      <c r="X73" s="66">
        <f t="shared" si="74"/>
        <v>-10674.008533280656</v>
      </c>
      <c r="Y73" s="66">
        <f t="shared" si="74"/>
        <v>-12158.96863745334</v>
      </c>
      <c r="Z73" s="66">
        <f t="shared" si="74"/>
        <v>-5317.956398626032</v>
      </c>
      <c r="AA73" s="66">
        <f t="shared" si="74"/>
        <v>-6879.300494798722</v>
      </c>
      <c r="AB73" s="66">
        <f t="shared" si="74"/>
        <v>-18380.503382971387</v>
      </c>
      <c r="AC73" s="66">
        <f t="shared" si="74"/>
        <v>-29881.10010214405</v>
      </c>
      <c r="AD73" s="66">
        <f t="shared" si="74"/>
        <v>-41381.69682131671</v>
      </c>
      <c r="AE73" s="66">
        <f t="shared" si="74"/>
        <v>-66524.82347748938</v>
      </c>
      <c r="AG73" s="85">
        <f>(S73+AE73+SUM(T73:AD73)*2)/24</f>
        <v>117274.46072696331</v>
      </c>
    </row>
    <row r="74" spans="2:31" ht="13.5" thickBot="1" thickTop="1">
      <c r="B74" s="87"/>
      <c r="C74" s="48" t="s">
        <v>86</v>
      </c>
      <c r="E74" s="66"/>
      <c r="F74" s="88">
        <f>F40</f>
        <v>6450.569677000105</v>
      </c>
      <c r="G74" s="88">
        <f aca="true" t="shared" si="75" ref="G74:AE74">F74+G40</f>
        <v>24968.629354000208</v>
      </c>
      <c r="H74" s="88">
        <f t="shared" si="75"/>
        <v>55365.75903100029</v>
      </c>
      <c r="I74" s="88">
        <f t="shared" si="75"/>
        <v>97456.64870800034</v>
      </c>
      <c r="J74" s="88">
        <f t="shared" si="75"/>
        <v>151058.95838500047</v>
      </c>
      <c r="K74" s="88">
        <f t="shared" si="75"/>
        <v>215993.3380620005</v>
      </c>
      <c r="L74" s="88">
        <f t="shared" si="75"/>
        <v>285796.51773900056</v>
      </c>
      <c r="M74" s="88">
        <f t="shared" si="75"/>
        <v>367556.3474160007</v>
      </c>
      <c r="N74" s="88">
        <f t="shared" si="75"/>
        <v>460121.3770930008</v>
      </c>
      <c r="O74" s="88">
        <f t="shared" si="75"/>
        <v>563338.7367700008</v>
      </c>
      <c r="P74" s="88">
        <f t="shared" si="75"/>
        <v>677066.8164470008</v>
      </c>
      <c r="Q74" s="88">
        <f t="shared" si="75"/>
        <v>801081.2361240009</v>
      </c>
      <c r="R74" s="88">
        <f t="shared" si="75"/>
        <v>935280.005801001</v>
      </c>
      <c r="S74" s="88">
        <f t="shared" si="75"/>
        <v>1079518.805478001</v>
      </c>
      <c r="T74" s="88">
        <f t="shared" si="75"/>
        <v>1228170.025155001</v>
      </c>
      <c r="U74" s="88">
        <f t="shared" si="75"/>
        <v>1386655.5248320012</v>
      </c>
      <c r="V74" s="88">
        <f t="shared" si="75"/>
        <v>1554822.4345090012</v>
      </c>
      <c r="W74" s="88">
        <f t="shared" si="75"/>
        <v>-35685.45581399812</v>
      </c>
      <c r="X74" s="88">
        <f t="shared" si="75"/>
        <v>-31872.226136998055</v>
      </c>
      <c r="Y74" s="88">
        <f t="shared" si="75"/>
        <v>-36306.266459998005</v>
      </c>
      <c r="Z74" s="88">
        <f t="shared" si="75"/>
        <v>-15879.236782997981</v>
      </c>
      <c r="AA74" s="88">
        <f t="shared" si="75"/>
        <v>-20541.35710599795</v>
      </c>
      <c r="AB74" s="88">
        <f t="shared" si="75"/>
        <v>-54883.557428997854</v>
      </c>
      <c r="AC74" s="88">
        <f t="shared" si="75"/>
        <v>-89223.94775199777</v>
      </c>
      <c r="AD74" s="88">
        <f t="shared" si="75"/>
        <v>-123564.33807499768</v>
      </c>
      <c r="AE74" s="88">
        <f t="shared" si="75"/>
        <v>-198640.85839799757</v>
      </c>
    </row>
    <row r="75" spans="5:22" ht="12.75" thickTop="1"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</row>
  </sheetData>
  <sheetProtection/>
  <mergeCells count="15">
    <mergeCell ref="S55:AE55"/>
    <mergeCell ref="S71:AE71"/>
    <mergeCell ref="AF4:AG4"/>
    <mergeCell ref="AF17:AG17"/>
    <mergeCell ref="AF30:AG30"/>
    <mergeCell ref="F55:R55"/>
    <mergeCell ref="F71:R71"/>
    <mergeCell ref="S42:AE42"/>
    <mergeCell ref="F42:R42"/>
    <mergeCell ref="F3:R3"/>
    <mergeCell ref="S3:AE3"/>
    <mergeCell ref="F16:R16"/>
    <mergeCell ref="S16:AE16"/>
    <mergeCell ref="F29:R29"/>
    <mergeCell ref="S29:AE29"/>
  </mergeCells>
  <printOptions/>
  <pageMargins left="0.5" right="0" top="0.5" bottom="0.5" header="0.5" footer="0.25"/>
  <pageSetup horizontalDpi="600" verticalDpi="600" orientation="landscape" paperSize="5" scale="75" r:id="rId1"/>
  <rowBreaks count="1" manualBreakCount="1">
    <brk id="4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43"/>
  <sheetViews>
    <sheetView zoomScalePageLayoutView="0" workbookViewId="0" topLeftCell="A1">
      <selection activeCell="A1" sqref="A1:IV16384"/>
    </sheetView>
  </sheetViews>
  <sheetFormatPr defaultColWidth="9.140625" defaultRowHeight="15" customHeight="1"/>
  <cols>
    <col min="1" max="1" width="4.7109375" style="94" customWidth="1"/>
    <col min="2" max="2" width="1.7109375" style="94" customWidth="1"/>
    <col min="3" max="3" width="49.57421875" style="94" bestFit="1" customWidth="1"/>
    <col min="4" max="4" width="10.00390625" style="95" customWidth="1"/>
    <col min="5" max="5" width="14.140625" style="94" customWidth="1"/>
    <col min="6" max="6" width="16.00390625" style="94" customWidth="1"/>
    <col min="7" max="7" width="14.421875" style="94" customWidth="1"/>
    <col min="8" max="8" width="9.140625" style="94" customWidth="1"/>
    <col min="9" max="9" width="9.00390625" style="94" hidden="1" customWidth="1"/>
    <col min="10" max="11" width="9.140625" style="94" customWidth="1"/>
    <col min="12" max="12" width="12.421875" style="94" bestFit="1" customWidth="1"/>
    <col min="13" max="13" width="12.7109375" style="94" customWidth="1"/>
    <col min="14" max="14" width="12.57421875" style="94" bestFit="1" customWidth="1"/>
    <col min="15" max="16384" width="9.140625" style="94" customWidth="1"/>
  </cols>
  <sheetData>
    <row r="1" ht="15" customHeight="1">
      <c r="G1" s="96"/>
    </row>
    <row r="2" spans="1:7" ht="14.25" customHeight="1">
      <c r="A2" s="97" t="s">
        <v>33</v>
      </c>
      <c r="B2" s="97"/>
      <c r="C2" s="97"/>
      <c r="D2" s="97"/>
      <c r="E2" s="97"/>
      <c r="F2" s="97"/>
      <c r="G2" s="97"/>
    </row>
    <row r="3" spans="1:7" ht="15" customHeight="1">
      <c r="A3" s="97"/>
      <c r="B3" s="97"/>
      <c r="C3" s="97"/>
      <c r="D3" s="97"/>
      <c r="E3" s="97"/>
      <c r="F3" s="97"/>
      <c r="G3" s="97"/>
    </row>
    <row r="4" spans="1:7" ht="15" customHeight="1">
      <c r="A4" s="97" t="s">
        <v>93</v>
      </c>
      <c r="B4" s="97"/>
      <c r="C4" s="97"/>
      <c r="D4" s="97"/>
      <c r="E4" s="97"/>
      <c r="F4" s="97"/>
      <c r="G4" s="97"/>
    </row>
    <row r="5" spans="1:7" ht="15" customHeight="1">
      <c r="A5" s="97" t="s">
        <v>34</v>
      </c>
      <c r="B5" s="97"/>
      <c r="C5" s="97"/>
      <c r="D5" s="97"/>
      <c r="E5" s="97"/>
      <c r="F5" s="97"/>
      <c r="G5" s="97"/>
    </row>
    <row r="6" spans="3:4" s="98" customFormat="1" ht="15" customHeight="1">
      <c r="C6" s="99"/>
      <c r="D6" s="99"/>
    </row>
    <row r="7" spans="1:7" s="98" customFormat="1" ht="15" customHeight="1">
      <c r="A7" s="100" t="s">
        <v>35</v>
      </c>
      <c r="B7" s="100"/>
      <c r="C7" s="100" t="s">
        <v>36</v>
      </c>
      <c r="D7" s="100"/>
      <c r="E7" s="100" t="s">
        <v>7</v>
      </c>
      <c r="F7" s="100" t="s">
        <v>19</v>
      </c>
      <c r="G7" s="100" t="s">
        <v>15</v>
      </c>
    </row>
    <row r="8" s="98" customFormat="1" ht="29.25" customHeight="1">
      <c r="D8" s="99"/>
    </row>
    <row r="9" spans="1:9" s="98" customFormat="1" ht="15" customHeight="1">
      <c r="A9" s="101">
        <v>1</v>
      </c>
      <c r="B9" s="101" t="s">
        <v>37</v>
      </c>
      <c r="C9" s="102" t="s">
        <v>38</v>
      </c>
      <c r="D9" s="103">
        <v>40543</v>
      </c>
      <c r="E9" s="23">
        <v>1078501</v>
      </c>
      <c r="F9" s="23">
        <v>750811</v>
      </c>
      <c r="G9" s="23">
        <f>SUM(E9:F9)</f>
        <v>1829312</v>
      </c>
      <c r="I9" s="98" t="s">
        <v>53</v>
      </c>
    </row>
    <row r="10" spans="2:7" s="98" customFormat="1" ht="18.75" customHeight="1" thickBot="1">
      <c r="B10" s="99"/>
      <c r="C10" s="104" t="s">
        <v>39</v>
      </c>
      <c r="D10" s="99"/>
      <c r="E10" s="105">
        <f>ROUND(+E9/G9,4)</f>
        <v>0.5896</v>
      </c>
      <c r="F10" s="105">
        <f>ROUND(+F9/G9,4)</f>
        <v>0.4104</v>
      </c>
      <c r="G10" s="106">
        <f>SUM(E10:F10)</f>
        <v>1</v>
      </c>
    </row>
    <row r="11" spans="1:4" s="98" customFormat="1" ht="15" customHeight="1" thickTop="1">
      <c r="A11" s="99"/>
      <c r="B11" s="99"/>
      <c r="D11" s="103"/>
    </row>
    <row r="12" spans="1:8" s="98" customFormat="1" ht="15" customHeight="1">
      <c r="A12" s="101">
        <v>2</v>
      </c>
      <c r="B12" s="101" t="s">
        <v>37</v>
      </c>
      <c r="C12" s="102" t="s">
        <v>40</v>
      </c>
      <c r="D12" s="103">
        <v>40543</v>
      </c>
      <c r="E12" s="24">
        <v>706127</v>
      </c>
      <c r="F12" s="24">
        <v>408431</v>
      </c>
      <c r="G12" s="24">
        <f>SUM(E12:F12)</f>
        <v>1114558</v>
      </c>
      <c r="H12" s="107"/>
    </row>
    <row r="13" spans="2:7" s="98" customFormat="1" ht="18.75" customHeight="1" thickBot="1">
      <c r="B13" s="99"/>
      <c r="C13" s="104" t="s">
        <v>39</v>
      </c>
      <c r="D13" s="99"/>
      <c r="E13" s="105">
        <f>ROUND(+E12/G12,4)</f>
        <v>0.6335</v>
      </c>
      <c r="F13" s="105">
        <f>ROUND(+F12/G12,4)</f>
        <v>0.3665</v>
      </c>
      <c r="G13" s="106">
        <f>SUM(E13:F13)</f>
        <v>1</v>
      </c>
    </row>
    <row r="14" spans="1:4" s="98" customFormat="1" ht="15" customHeight="1" thickTop="1">
      <c r="A14" s="99"/>
      <c r="B14" s="99"/>
      <c r="D14" s="99"/>
    </row>
    <row r="15" spans="1:4" s="98" customFormat="1" ht="15" customHeight="1">
      <c r="A15" s="101">
        <v>3</v>
      </c>
      <c r="B15" s="101" t="s">
        <v>37</v>
      </c>
      <c r="C15" s="102" t="s">
        <v>41</v>
      </c>
      <c r="D15" s="99"/>
    </row>
    <row r="16" spans="1:7" s="98" customFormat="1" ht="15" customHeight="1">
      <c r="A16" s="99"/>
      <c r="B16" s="99"/>
      <c r="C16" s="108" t="s">
        <v>42</v>
      </c>
      <c r="D16" s="103">
        <v>40543</v>
      </c>
      <c r="E16" s="25">
        <v>3457231764</v>
      </c>
      <c r="F16" s="25">
        <v>2533527615</v>
      </c>
      <c r="G16" s="25">
        <f>SUM(E16:F16)</f>
        <v>5990759379</v>
      </c>
    </row>
    <row r="17" spans="1:7" s="98" customFormat="1" ht="15" customHeight="1">
      <c r="A17" s="99"/>
      <c r="B17" s="99"/>
      <c r="C17" s="108" t="s">
        <v>43</v>
      </c>
      <c r="D17" s="103">
        <v>40543</v>
      </c>
      <c r="E17" s="26">
        <v>425086614</v>
      </c>
      <c r="F17" s="26">
        <v>0</v>
      </c>
      <c r="G17" s="26">
        <f>SUM(E17:F17)</f>
        <v>425086614</v>
      </c>
    </row>
    <row r="18" spans="1:7" s="98" customFormat="1" ht="15" customHeight="1">
      <c r="A18" s="99"/>
      <c r="B18" s="99"/>
      <c r="C18" s="108" t="s">
        <v>44</v>
      </c>
      <c r="D18" s="103">
        <v>40543</v>
      </c>
      <c r="E18" s="26">
        <v>136171270.25833333</v>
      </c>
      <c r="F18" s="26">
        <v>47516627.65083333</v>
      </c>
      <c r="G18" s="26">
        <f>SUM(E18:F18)</f>
        <v>183687897.90916666</v>
      </c>
    </row>
    <row r="19" spans="1:7" s="98" customFormat="1" ht="15" customHeight="1">
      <c r="A19" s="99"/>
      <c r="B19" s="99"/>
      <c r="C19" s="108" t="s">
        <v>15</v>
      </c>
      <c r="D19" s="76"/>
      <c r="E19" s="27">
        <f>SUM(E16:E18)</f>
        <v>4018489648.258333</v>
      </c>
      <c r="F19" s="27">
        <f>SUM(F16:F18)</f>
        <v>2581044242.650833</v>
      </c>
      <c r="G19" s="27">
        <f>SUM(E19:F19)</f>
        <v>6599533890.909166</v>
      </c>
    </row>
    <row r="20" spans="2:7" s="98" customFormat="1" ht="18.75" customHeight="1" thickBot="1">
      <c r="B20" s="99"/>
      <c r="C20" s="104" t="s">
        <v>39</v>
      </c>
      <c r="D20" s="99"/>
      <c r="E20" s="105">
        <f>ROUND(+E19/G19,4)</f>
        <v>0.6089</v>
      </c>
      <c r="F20" s="105">
        <f>ROUND(+F19/G19,4)</f>
        <v>0.3911</v>
      </c>
      <c r="G20" s="106">
        <f>SUM(E20:F20)</f>
        <v>1</v>
      </c>
    </row>
    <row r="21" spans="1:4" s="98" customFormat="1" ht="15" customHeight="1" thickTop="1">
      <c r="A21" s="99"/>
      <c r="B21" s="99"/>
      <c r="D21" s="99"/>
    </row>
    <row r="22" spans="1:4" s="98" customFormat="1" ht="15" customHeight="1">
      <c r="A22" s="101">
        <v>4</v>
      </c>
      <c r="B22" s="101" t="s">
        <v>37</v>
      </c>
      <c r="C22" s="102" t="s">
        <v>45</v>
      </c>
      <c r="D22" s="99" t="s">
        <v>46</v>
      </c>
    </row>
    <row r="23" spans="1:7" s="98" customFormat="1" ht="15" customHeight="1">
      <c r="A23" s="99"/>
      <c r="B23" s="99"/>
      <c r="C23" s="108" t="s">
        <v>47</v>
      </c>
      <c r="D23" s="103">
        <v>40543</v>
      </c>
      <c r="E23" s="23">
        <f>+E9</f>
        <v>1078501</v>
      </c>
      <c r="F23" s="23">
        <f>+F9</f>
        <v>750811</v>
      </c>
      <c r="G23" s="23">
        <f>SUM(E23:F23)</f>
        <v>1829312</v>
      </c>
    </row>
    <row r="24" spans="1:7" s="98" customFormat="1" ht="15" customHeight="1">
      <c r="A24" s="99"/>
      <c r="B24" s="99"/>
      <c r="C24" s="104" t="s">
        <v>48</v>
      </c>
      <c r="D24" s="99"/>
      <c r="E24" s="109">
        <f>+E23/G23</f>
        <v>0.5895664599587167</v>
      </c>
      <c r="F24" s="109">
        <f>+F23/G23</f>
        <v>0.4104335400412833</v>
      </c>
      <c r="G24" s="110">
        <f>SUM(E24:F24)</f>
        <v>1</v>
      </c>
    </row>
    <row r="25" spans="1:4" s="98" customFormat="1" ht="15" customHeight="1">
      <c r="A25" s="99"/>
      <c r="B25" s="99"/>
      <c r="D25" s="99"/>
    </row>
    <row r="26" spans="1:7" s="98" customFormat="1" ht="15" customHeight="1">
      <c r="A26" s="99"/>
      <c r="B26" s="99"/>
      <c r="C26" s="98" t="s">
        <v>49</v>
      </c>
      <c r="D26" s="103">
        <v>40543</v>
      </c>
      <c r="E26" s="23">
        <v>47628712.22244404</v>
      </c>
      <c r="F26" s="23">
        <v>23754416.951529805</v>
      </c>
      <c r="G26" s="111">
        <f>SUM(E26:F26)</f>
        <v>71383129.17397384</v>
      </c>
    </row>
    <row r="27" spans="1:7" s="98" customFormat="1" ht="15" customHeight="1">
      <c r="A27" s="99"/>
      <c r="B27" s="99"/>
      <c r="C27" s="104" t="s">
        <v>48</v>
      </c>
      <c r="D27" s="99"/>
      <c r="E27" s="109">
        <f>+E26/G26</f>
        <v>0.6672264549563818</v>
      </c>
      <c r="F27" s="109">
        <f>+F26/G26</f>
        <v>0.3327735450436182</v>
      </c>
      <c r="G27" s="110">
        <f>SUM(E27:F27)</f>
        <v>1</v>
      </c>
    </row>
    <row r="28" spans="1:4" s="98" customFormat="1" ht="15" customHeight="1">
      <c r="A28" s="99"/>
      <c r="B28" s="99"/>
      <c r="D28" s="99"/>
    </row>
    <row r="29" spans="1:7" s="98" customFormat="1" ht="15" customHeight="1">
      <c r="A29" s="99"/>
      <c r="B29" s="99"/>
      <c r="C29" s="98" t="s">
        <v>50</v>
      </c>
      <c r="D29" s="103">
        <v>40543</v>
      </c>
      <c r="E29" s="23">
        <v>69836081.47239268</v>
      </c>
      <c r="F29" s="23">
        <v>27914823.18653493</v>
      </c>
      <c r="G29" s="28">
        <f>SUM(E29:F29)</f>
        <v>97750904.6589276</v>
      </c>
    </row>
    <row r="30" spans="1:7" s="98" customFormat="1" ht="15" customHeight="1">
      <c r="A30" s="99"/>
      <c r="B30" s="99"/>
      <c r="C30" s="104" t="s">
        <v>48</v>
      </c>
      <c r="D30" s="99"/>
      <c r="E30" s="109">
        <f>+E29/G29</f>
        <v>0.7144290041720298</v>
      </c>
      <c r="F30" s="109">
        <f>+F29/G29</f>
        <v>0.28557099582797024</v>
      </c>
      <c r="G30" s="110">
        <f>SUM(E30:F30)</f>
        <v>1</v>
      </c>
    </row>
    <row r="31" spans="1:4" s="98" customFormat="1" ht="15" customHeight="1">
      <c r="A31" s="99"/>
      <c r="B31" s="99"/>
      <c r="D31" s="99"/>
    </row>
    <row r="32" spans="1:7" s="98" customFormat="1" ht="15" customHeight="1">
      <c r="A32" s="99"/>
      <c r="B32" s="99"/>
      <c r="C32" s="98" t="s">
        <v>54</v>
      </c>
      <c r="D32" s="103">
        <v>40543</v>
      </c>
      <c r="E32" s="23">
        <v>3879978868.59125</v>
      </c>
      <c r="F32" s="23">
        <v>1750859729.093334</v>
      </c>
      <c r="G32" s="23">
        <f>SUM(E32:F32)</f>
        <v>5630838597.684584</v>
      </c>
    </row>
    <row r="33" spans="1:7" s="98" customFormat="1" ht="15" customHeight="1">
      <c r="A33" s="99"/>
      <c r="B33" s="99"/>
      <c r="C33" s="104" t="s">
        <v>48</v>
      </c>
      <c r="D33" s="99"/>
      <c r="E33" s="109">
        <f>+E32/G32</f>
        <v>0.6890587967104417</v>
      </c>
      <c r="F33" s="109">
        <f>+F32/G32</f>
        <v>0.3109412032895584</v>
      </c>
      <c r="G33" s="110">
        <f>SUM(E33:F33)</f>
        <v>1</v>
      </c>
    </row>
    <row r="34" spans="1:7" s="98" customFormat="1" ht="15" customHeight="1">
      <c r="A34" s="99"/>
      <c r="D34" s="99"/>
      <c r="E34" s="112"/>
      <c r="F34" s="112"/>
      <c r="G34" s="112"/>
    </row>
    <row r="35" spans="1:12" s="98" customFormat="1" ht="15" customHeight="1">
      <c r="A35" s="99"/>
      <c r="C35" s="98" t="s">
        <v>51</v>
      </c>
      <c r="D35" s="99"/>
      <c r="E35" s="113">
        <f>+E33+E30+E27+E24</f>
        <v>2.66028071579757</v>
      </c>
      <c r="F35" s="113">
        <f>+F33+F30+F27+F24</f>
        <v>1.3397192842024301</v>
      </c>
      <c r="G35" s="113">
        <f>+G33+G30+G27+G24</f>
        <v>4</v>
      </c>
      <c r="L35" s="29"/>
    </row>
    <row r="36" spans="3:12" s="98" customFormat="1" ht="18.75" customHeight="1" thickBot="1">
      <c r="C36" s="98" t="s">
        <v>39</v>
      </c>
      <c r="D36" s="99"/>
      <c r="E36" s="105">
        <f>ROUND(+E35/4,4)</f>
        <v>0.6651</v>
      </c>
      <c r="F36" s="105">
        <f>ROUND(+F35/4,4)</f>
        <v>0.3349</v>
      </c>
      <c r="G36" s="106">
        <f>+G35/4</f>
        <v>1</v>
      </c>
      <c r="L36" s="29"/>
    </row>
    <row r="37" spans="4:12" s="98" customFormat="1" ht="15" customHeight="1" thickTop="1">
      <c r="D37" s="99"/>
      <c r="L37" s="29"/>
    </row>
    <row r="38" spans="1:13" s="98" customFormat="1" ht="15" customHeight="1">
      <c r="A38" s="101">
        <v>5</v>
      </c>
      <c r="B38" s="101" t="s">
        <v>37</v>
      </c>
      <c r="C38" s="102" t="s">
        <v>55</v>
      </c>
      <c r="D38" s="99"/>
      <c r="L38" s="29"/>
      <c r="M38" s="29"/>
    </row>
    <row r="39" spans="3:12" s="98" customFormat="1" ht="15" customHeight="1">
      <c r="C39" s="104" t="s">
        <v>56</v>
      </c>
      <c r="D39" s="103">
        <v>40543</v>
      </c>
      <c r="E39" s="23">
        <v>49678351.67</v>
      </c>
      <c r="F39" s="23">
        <v>24123485.86</v>
      </c>
      <c r="G39" s="23">
        <f>SUM(E39:F39)</f>
        <v>73801837.53</v>
      </c>
      <c r="L39" s="29"/>
    </row>
    <row r="40" spans="3:13" s="98" customFormat="1" ht="15" customHeight="1">
      <c r="C40" s="98" t="s">
        <v>15</v>
      </c>
      <c r="D40" s="99"/>
      <c r="E40" s="30">
        <f>SUM(E39:E39)</f>
        <v>49678351.67</v>
      </c>
      <c r="F40" s="30">
        <f>SUM(F39:F39)</f>
        <v>24123485.86</v>
      </c>
      <c r="G40" s="30">
        <f>SUM(G39:G39)</f>
        <v>73801837.53</v>
      </c>
      <c r="L40" s="29"/>
      <c r="M40" s="29"/>
    </row>
    <row r="41" spans="3:13" s="98" customFormat="1" ht="18.75" customHeight="1" thickBot="1">
      <c r="C41" s="98" t="s">
        <v>39</v>
      </c>
      <c r="D41" s="99"/>
      <c r="E41" s="105">
        <f>ROUND(+E40/G40,4)</f>
        <v>0.6731</v>
      </c>
      <c r="F41" s="105">
        <f>ROUND(+F40/G40,4)</f>
        <v>0.3269</v>
      </c>
      <c r="G41" s="114">
        <f>SUM(E41:F41)</f>
        <v>1</v>
      </c>
      <c r="L41" s="29"/>
      <c r="M41" s="115"/>
    </row>
    <row r="42" s="98" customFormat="1" ht="15" customHeight="1" thickTop="1">
      <c r="D42" s="99"/>
    </row>
    <row r="43" s="98" customFormat="1" ht="15" customHeight="1">
      <c r="D43" s="99"/>
    </row>
  </sheetData>
  <sheetProtection/>
  <printOptions/>
  <pageMargins left="0" right="0" top="0.75" bottom="0.75" header="0.3" footer="0.3"/>
  <pageSetup horizontalDpi="600" verticalDpi="6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Puget Sound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laschu</dc:creator>
  <cp:keywords/>
  <dc:description/>
  <cp:lastModifiedBy>pwinne</cp:lastModifiedBy>
  <cp:lastPrinted>2011-03-04T17:16:24Z</cp:lastPrinted>
  <dcterms:created xsi:type="dcterms:W3CDTF">2007-01-18T20:59:32Z</dcterms:created>
  <dcterms:modified xsi:type="dcterms:W3CDTF">2011-05-19T21:14:48Z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Response</vt:lpwstr>
  </property>
  <property fmtid="{D5CDD505-2E9C-101B-9397-08002B2CF9AE}" pid="4" name="IsHighlyConfidenti">
    <vt:lpwstr>0</vt:lpwstr>
  </property>
  <property fmtid="{D5CDD505-2E9C-101B-9397-08002B2CF9AE}" pid="5" name="DocketNumb">
    <vt:lpwstr>111048</vt:lpwstr>
  </property>
  <property fmtid="{D5CDD505-2E9C-101B-9397-08002B2CF9AE}" pid="6" name="IsConfidenti">
    <vt:lpwstr>0</vt:lpwstr>
  </property>
  <property fmtid="{D5CDD505-2E9C-101B-9397-08002B2CF9AE}" pid="7" name="Dat">
    <vt:lpwstr>2011-08-18T00:00:00Z</vt:lpwstr>
  </property>
  <property fmtid="{D5CDD505-2E9C-101B-9397-08002B2CF9AE}" pid="8" name="CaseTy">
    <vt:lpwstr>Tariff Revision</vt:lpwstr>
  </property>
  <property fmtid="{D5CDD505-2E9C-101B-9397-08002B2CF9AE}" pid="9" name="OpenedDa">
    <vt:lpwstr>2011-06-13T00:00:00Z</vt:lpwstr>
  </property>
  <property fmtid="{D5CDD505-2E9C-101B-9397-08002B2CF9AE}" pid="10" name="Pref">
    <vt:lpwstr>UE</vt:lpwstr>
  </property>
  <property fmtid="{D5CDD505-2E9C-101B-9397-08002B2CF9AE}" pid="11" name="CaseCompanyNam">
    <vt:lpwstr>Puget Sound Energy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