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ate1904="1" showInkAnnotation="0" autoCompressPictures="0"/>
  <bookViews>
    <workbookView xWindow="9420" yWindow="420" windowWidth="14445" windowHeight="14640" tabRatio="500" firstSheet="1" activeTab="3"/>
  </bookViews>
  <sheets>
    <sheet name="Ex3,p1" sheetId="1" r:id="rId1"/>
    <sheet name="Ex3,p2" sheetId="2" r:id="rId2"/>
    <sheet name="Ex3,p3" sheetId="3" r:id="rId3"/>
    <sheet name="Ex3,p4" sheetId="4" r:id="rId4"/>
    <sheet name="Ex3,p5" sheetId="5" r:id="rId5"/>
  </sheets>
  <externalReferences>
    <externalReference r:id="rId6"/>
  </externalReferences>
  <definedNames>
    <definedName name="\h">#REF!</definedName>
    <definedName name="\p">#REF!</definedName>
    <definedName name="\w">#REF!</definedName>
    <definedName name="__DCF3">#REF!</definedName>
    <definedName name="_1">#REF!</definedName>
    <definedName name="_2">#REF!</definedName>
    <definedName name="_3">#REF!</definedName>
    <definedName name="_Criteria">#REF!</definedName>
    <definedName name="_Database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A">#REF!</definedName>
    <definedName name="B">#REF!</definedName>
    <definedName name="bruce">#REF!</definedName>
    <definedName name="C_">#REF!</definedName>
    <definedName name="DATA">#N/A</definedName>
    <definedName name="inputs">#REF!</definedName>
    <definedName name="N">#REF!</definedName>
    <definedName name="NAME">#N/A</definedName>
    <definedName name="_xlnm.Print_Area" localSheetId="0">'Ex3,p1'!$A$1:$H$39</definedName>
    <definedName name="_xlnm.Print_Area" localSheetId="1">'Ex3,p2'!$A$1:$H$56</definedName>
    <definedName name="_xlnm.Print_Area" localSheetId="3">'Ex3,p4'!$B$1:$H$53</definedName>
    <definedName name="_xlnm.Print_Area" localSheetId="4">'Ex3,p5'!$A$1:$H$71</definedName>
    <definedName name="START">#REF!</definedName>
    <definedName name="temp">#REF!</definedName>
    <definedName name="tv">#REF!</definedName>
    <definedName name="X">#REF!</definedName>
    <definedName name="Z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" i="2" l="1"/>
  <c r="H2" i="3"/>
  <c r="H2" i="4"/>
  <c r="E14" i="5"/>
  <c r="G14" i="5"/>
  <c r="E15" i="5"/>
  <c r="G15" i="5"/>
  <c r="E16" i="5"/>
  <c r="G16" i="5"/>
  <c r="E17" i="5"/>
  <c r="G17" i="5"/>
  <c r="E18" i="5"/>
  <c r="G18" i="5"/>
  <c r="E19" i="5"/>
  <c r="G19" i="5"/>
  <c r="E20" i="5"/>
  <c r="G20" i="5"/>
  <c r="E21" i="5"/>
  <c r="G21" i="5"/>
  <c r="E22" i="5"/>
  <c r="G22" i="5"/>
  <c r="E23" i="5"/>
  <c r="G23" i="5"/>
  <c r="E24" i="5"/>
  <c r="G24" i="5"/>
  <c r="E25" i="5"/>
  <c r="G25" i="5"/>
  <c r="E26" i="5"/>
  <c r="G26" i="5"/>
  <c r="E27" i="5"/>
  <c r="G27" i="5"/>
  <c r="G28" i="5"/>
  <c r="E29" i="5"/>
  <c r="G29" i="5"/>
  <c r="E30" i="5"/>
  <c r="G30" i="5"/>
  <c r="G31" i="5"/>
  <c r="E32" i="5"/>
  <c r="G32" i="5"/>
  <c r="E33" i="5"/>
  <c r="G33" i="5"/>
  <c r="E34" i="5"/>
  <c r="G34" i="5"/>
  <c r="E35" i="5"/>
  <c r="G35" i="5"/>
  <c r="E36" i="5"/>
  <c r="G36" i="5"/>
  <c r="E37" i="5"/>
  <c r="G37" i="5"/>
  <c r="G38" i="5"/>
  <c r="G47" i="5"/>
  <c r="E41" i="5"/>
  <c r="G41" i="5"/>
  <c r="G56" i="5"/>
  <c r="G60" i="5"/>
  <c r="E40" i="5"/>
  <c r="G40" i="5"/>
  <c r="G52" i="5"/>
  <c r="G61" i="5"/>
  <c r="G63" i="5"/>
  <c r="L65" i="5"/>
  <c r="K53" i="5"/>
  <c r="L66" i="5"/>
  <c r="K65" i="5"/>
  <c r="K51" i="5"/>
  <c r="K57" i="5"/>
  <c r="K62" i="5"/>
  <c r="C18" i="1"/>
  <c r="D18" i="1"/>
  <c r="E18" i="1"/>
  <c r="F18" i="1"/>
  <c r="G18" i="1"/>
  <c r="H18" i="1"/>
  <c r="C14" i="1"/>
  <c r="C16" i="1"/>
  <c r="C20" i="1"/>
  <c r="C22" i="1"/>
  <c r="D14" i="1"/>
  <c r="D16" i="1"/>
  <c r="D20" i="1"/>
  <c r="D22" i="1"/>
  <c r="E14" i="1"/>
  <c r="E16" i="1"/>
  <c r="E20" i="1"/>
  <c r="E22" i="1"/>
  <c r="F14" i="1"/>
  <c r="F16" i="1"/>
  <c r="F20" i="1"/>
  <c r="F22" i="1"/>
  <c r="G14" i="1"/>
  <c r="G16" i="1"/>
  <c r="G20" i="1"/>
  <c r="G22" i="1"/>
  <c r="H22" i="1"/>
  <c r="H33" i="1"/>
  <c r="F33" i="4"/>
  <c r="G33" i="4"/>
  <c r="F35" i="4"/>
  <c r="G35" i="4"/>
  <c r="F37" i="4"/>
  <c r="G37" i="4"/>
  <c r="F39" i="4"/>
  <c r="G39" i="4"/>
  <c r="G41" i="4"/>
  <c r="F16" i="4"/>
  <c r="G16" i="4"/>
  <c r="F18" i="4"/>
  <c r="G18" i="4"/>
  <c r="F20" i="4"/>
  <c r="G20" i="4"/>
  <c r="F22" i="4"/>
  <c r="G22" i="4"/>
  <c r="G24" i="4"/>
  <c r="G43" i="4"/>
  <c r="G67" i="5"/>
  <c r="F38" i="5"/>
  <c r="E38" i="5"/>
  <c r="D38" i="5"/>
  <c r="D41" i="4"/>
  <c r="D24" i="4"/>
  <c r="E6" i="4"/>
  <c r="H16" i="3"/>
  <c r="H14" i="3"/>
  <c r="C20" i="3"/>
  <c r="C27" i="3"/>
  <c r="D20" i="3"/>
  <c r="D27" i="3"/>
  <c r="E20" i="3"/>
  <c r="E27" i="3"/>
  <c r="F20" i="3"/>
  <c r="F27" i="3"/>
  <c r="G20" i="3"/>
  <c r="G27" i="3"/>
  <c r="H27" i="3"/>
  <c r="C29" i="3"/>
  <c r="D29" i="3"/>
  <c r="E29" i="3"/>
  <c r="F29" i="3"/>
  <c r="G29" i="3"/>
  <c r="H29" i="3"/>
  <c r="C31" i="3"/>
  <c r="D31" i="3"/>
  <c r="E31" i="3"/>
  <c r="F31" i="3"/>
  <c r="G31" i="3"/>
  <c r="H31" i="3"/>
  <c r="H33" i="3"/>
  <c r="D33" i="3"/>
  <c r="E33" i="3"/>
  <c r="F33" i="3"/>
  <c r="G33" i="3"/>
  <c r="C33" i="3"/>
  <c r="H20" i="3"/>
  <c r="H18" i="3"/>
  <c r="E6" i="3"/>
  <c r="D33" i="1"/>
  <c r="E33" i="1"/>
  <c r="F33" i="1"/>
  <c r="G33" i="1"/>
  <c r="C33" i="1"/>
  <c r="C29" i="1"/>
  <c r="C31" i="1"/>
  <c r="C35" i="1"/>
  <c r="C37" i="1"/>
  <c r="H14" i="1"/>
  <c r="H29" i="1"/>
  <c r="H16" i="1"/>
  <c r="H31" i="1"/>
  <c r="H20" i="1"/>
  <c r="H35" i="1"/>
  <c r="H37" i="1"/>
  <c r="D29" i="1"/>
  <c r="E29" i="1"/>
  <c r="F29" i="1"/>
  <c r="G29" i="1"/>
  <c r="D31" i="1"/>
  <c r="E31" i="1"/>
  <c r="F31" i="1"/>
  <c r="G31" i="1"/>
  <c r="D35" i="1"/>
  <c r="E35" i="1"/>
  <c r="F35" i="1"/>
  <c r="G35" i="1"/>
  <c r="D37" i="1"/>
  <c r="E37" i="1"/>
  <c r="F37" i="1"/>
  <c r="G37" i="1"/>
  <c r="E6" i="1"/>
  <c r="D49" i="2"/>
  <c r="H45" i="2"/>
  <c r="D34" i="2"/>
</calcChain>
</file>

<file path=xl/sharedStrings.xml><?xml version="1.0" encoding="utf-8"?>
<sst xmlns="http://schemas.openxmlformats.org/spreadsheetml/2006/main" count="211" uniqueCount="161">
  <si>
    <t>MGE Energy, Inc. (NYSE-MGEE)</t>
  </si>
  <si>
    <t>Westar Energy, Inc. (NYSE-WR)</t>
  </si>
  <si>
    <t>NiSource Inc. (NYSE-NI)</t>
  </si>
  <si>
    <t>Northeast Utilities (NYSE-NU)</t>
  </si>
  <si>
    <t>NorthWestern Corporation (NYSE-NWE)</t>
  </si>
  <si>
    <t>Pepco Holdings, Inc. (NYSE-POM)</t>
  </si>
  <si>
    <t>PG&amp;E Corporation (NYSE-PCG)</t>
  </si>
  <si>
    <t>Electric Company Average</t>
  </si>
  <si>
    <t>Public Service Enterprise Group (NYSE-PEG)</t>
  </si>
  <si>
    <t>SCANA Corporation (NYSE-SCG)</t>
  </si>
  <si>
    <t>SEMPRA Energy (NYSE-SRE)</t>
  </si>
  <si>
    <t>TECO Energy, Inc. (NYSE-TE)</t>
  </si>
  <si>
    <t>UIL Holdings Corporation (NYSE-UIL)</t>
  </si>
  <si>
    <t>Unitil Corporation (ASE-UTL)</t>
  </si>
  <si>
    <t>UNS Energy Corp. (NYSE-UNS)</t>
  </si>
  <si>
    <t>Vectren Corporation (NYSE-VVC)</t>
  </si>
  <si>
    <t>Wisconsin Energy Corporation (NYSE-WEC)</t>
  </si>
  <si>
    <t>Xcel Energy Inc. (NYSE-XEL)</t>
  </si>
  <si>
    <t>Combination Company Average</t>
  </si>
  <si>
    <t xml:space="preserve">OVERALL INDUSTRY AVERAGE </t>
    <phoneticPr fontId="3" type="noConversion"/>
  </si>
  <si>
    <t>ELECTRIC UTILITY INDUSTRY COMMON EQUITY RATIOS</t>
  </si>
  <si>
    <t xml:space="preserve">EQUITY </t>
  </si>
  <si>
    <t>COMBINATION GAS &amp;</t>
  </si>
  <si>
    <t>EQUITY</t>
  </si>
  <si>
    <t>ELECTRIC COMPANIES</t>
  </si>
  <si>
    <t>RATIO</t>
  </si>
  <si>
    <t>[%]</t>
    <phoneticPr fontId="3" type="noConversion"/>
  </si>
  <si>
    <t>[%]</t>
  </si>
  <si>
    <t>ALLETE, Inc. (NYSE-ALE)</t>
  </si>
  <si>
    <t>Alliant  Energy Corporation (NYSE-LNT)</t>
  </si>
  <si>
    <t>American Electric Power Co. (NYSE-AEP)</t>
  </si>
  <si>
    <t>Ameren Corporation (NYSE-AEE)</t>
  </si>
  <si>
    <t>Cleco Corporation (NYSE-CNL)</t>
  </si>
  <si>
    <t>Avista Corporation (NYSE-AVA)</t>
  </si>
  <si>
    <t>Edison International (NYSE-EIX)</t>
  </si>
  <si>
    <t>Black Hills Corporation (NYSE-BKH)</t>
  </si>
  <si>
    <t>El Paso Electric Company (NYSE-EE)</t>
  </si>
  <si>
    <t>CenterPoint Energy (NYSE-CNP)</t>
  </si>
  <si>
    <t>FirstEnergy Corporation (ASE-FE)</t>
  </si>
  <si>
    <t>Chesapeake Utilities Corporation (NYSE-CPK)</t>
  </si>
  <si>
    <t>Great Plains Energy Incorporated (NYSE-GXP)</t>
  </si>
  <si>
    <t>CMS Energy Corporation (NYSE-CMS)</t>
  </si>
  <si>
    <t>Hawaiian Electric Industries, Inc. (NYSE-HE)</t>
  </si>
  <si>
    <t>Consolidated Edison, Inc. (NYSE-ED)</t>
  </si>
  <si>
    <t>IDACORP, Inc. (NYSE-IDA)</t>
  </si>
  <si>
    <t>Dominion Resources, Inc. (NYSE-D)</t>
  </si>
  <si>
    <t>Nextera Energy (NYSE-NEE)</t>
  </si>
  <si>
    <t>DTE Energy Company (NYSE-DTE)</t>
  </si>
  <si>
    <t>OGE Energy Corp. (NYSE-OGE)</t>
  </si>
  <si>
    <t>Duke Energy Corporation (NYSE-DUK)</t>
  </si>
  <si>
    <t>Otter Tail Corporation (NDQ-OTTR)</t>
  </si>
  <si>
    <t>Pinnacle West Capital Corp. (NYSE-PNW)</t>
  </si>
  <si>
    <t>Entergy Corporation (NYSE-ETR)</t>
  </si>
  <si>
    <t>PNM Resources, Inc. (NYSE-PNM)</t>
  </si>
  <si>
    <t>Exelon Corporation (NYSE-EXC)</t>
  </si>
  <si>
    <t>Portland General Electric Company (NYSE-POR)</t>
  </si>
  <si>
    <t>Integrys Energy Group (NYSE-TEG)</t>
  </si>
  <si>
    <t>PPL Corporation (NYSE-PPL)</t>
  </si>
  <si>
    <t>MDU Resources Group, Inc. (NYSE-MDU)</t>
  </si>
  <si>
    <t>Southern Company (NYSE-SO)</t>
  </si>
  <si>
    <t>AUS Utility Reports, July 2014, pp. 5, 6.</t>
  </si>
  <si>
    <t>PACIFIC POWER &amp; LIGHT COMPANY</t>
  </si>
  <si>
    <t>COMPANY CAPITAL STRUCTURE</t>
  </si>
  <si>
    <t>Type of Capital</t>
  </si>
  <si>
    <t>Common Equity</t>
  </si>
  <si>
    <t>Preferred Stock</t>
  </si>
  <si>
    <t>Long-term Debt</t>
  </si>
  <si>
    <t>Short-term Debt</t>
  </si>
  <si>
    <t>AMOUNT (000)</t>
  </si>
  <si>
    <t>TOTAL</t>
  </si>
  <si>
    <t>PERCENTAGE</t>
  </si>
  <si>
    <t>AVERAGE</t>
  </si>
  <si>
    <t>AMOUNT (000,000)</t>
  </si>
  <si>
    <t>Empire Dist. Electric Company (NYSE-EXC)</t>
  </si>
  <si>
    <t>Cost Rate</t>
  </si>
  <si>
    <t>Wt. Average</t>
  </si>
  <si>
    <t>Pre-tax Wt. Avg.</t>
  </si>
  <si>
    <t>Percent of</t>
  </si>
  <si>
    <t>Total</t>
  </si>
  <si>
    <t>PRE-TAX OVERALL COST OF CAPITAL WITH 51.73% COMMON EQUITY RATIO</t>
  </si>
  <si>
    <t>PRE-TAX OVERALL COST OF CAPITAL WITH 49.10% COMMON EQUITY RATIO</t>
  </si>
  <si>
    <t>LEVERAGE/BETA ADJUSTMENT TO THE COST OF EQUITY CAPITAL</t>
  </si>
  <si>
    <t>STRUNK SAMPLE GROUP</t>
  </si>
  <si>
    <t>FIXED</t>
  </si>
  <si>
    <t>COMMON</t>
  </si>
  <si>
    <t>INCOME</t>
  </si>
  <si>
    <t>M/B</t>
  </si>
  <si>
    <t>MKT. VALUE</t>
  </si>
  <si>
    <t>COMPANY</t>
  </si>
  <si>
    <t>CAPITAL</t>
  </si>
  <si>
    <t>DEBT(1-t)/EQ.</t>
  </si>
  <si>
    <t>LNT</t>
  </si>
  <si>
    <t>AEP</t>
  </si>
  <si>
    <t>AVA</t>
  </si>
  <si>
    <t>BKH</t>
  </si>
  <si>
    <t>CNP</t>
  </si>
  <si>
    <t>CNL</t>
  </si>
  <si>
    <t>ED</t>
  </si>
  <si>
    <t>D</t>
  </si>
  <si>
    <t>DTE</t>
  </si>
  <si>
    <t>DUK</t>
  </si>
  <si>
    <t>EE</t>
  </si>
  <si>
    <t>IDA</t>
  </si>
  <si>
    <t>NEE</t>
  </si>
  <si>
    <t>NU</t>
  </si>
  <si>
    <t>NWE</t>
  </si>
  <si>
    <t>OGE</t>
  </si>
  <si>
    <t>POM</t>
  </si>
  <si>
    <t>PNW</t>
  </si>
  <si>
    <t>POR</t>
  </si>
  <si>
    <t>SCG</t>
  </si>
  <si>
    <t>SO</t>
  </si>
  <si>
    <t>WR</t>
  </si>
  <si>
    <t>WEC</t>
  </si>
  <si>
    <t>XEL</t>
  </si>
  <si>
    <t>AVERAGE</t>
    <phoneticPr fontId="5"/>
  </si>
  <si>
    <t>Target 1</t>
  </si>
  <si>
    <t>Target 2</t>
  </si>
  <si>
    <t>AVERAGE (LEVERED) UTILITY BETA = 0.71</t>
  </si>
  <si>
    <t>Beta (Unlevered) = Average Beta/Sample Group (1+D(1-t)/E)</t>
  </si>
  <si>
    <t>Beta (Unlevered) =</t>
  </si>
  <si>
    <t>0.71/(1+0.429)=</t>
  </si>
  <si>
    <t>51.73% Equity</t>
  </si>
  <si>
    <t>Beta (Relevered) = Beta (Unlevered)*Target 1 (1+D(1-t)/E)</t>
  </si>
  <si>
    <t>Beta (Relevered) for 51.73% Equity Ratio =</t>
  </si>
  <si>
    <t>0.497*(1.326)=</t>
  </si>
  <si>
    <t>49.10% Equity</t>
  </si>
  <si>
    <t>Beta (Relevered) for 49.10% Equity Ratio =</t>
  </si>
  <si>
    <t>0.497*(1.362)=</t>
  </si>
  <si>
    <t>IMPACT ON COST OF EQUITY CAPITAL</t>
  </si>
  <si>
    <t>Beta With 49.10% Equity</t>
  </si>
  <si>
    <t>Beta With 51.73% Equity</t>
  </si>
  <si>
    <t>[1]</t>
  </si>
  <si>
    <t xml:space="preserve">Diff. in Beta </t>
  </si>
  <si>
    <t>[2]</t>
  </si>
  <si>
    <t>Market Risk Premium (rm-rf) =</t>
  </si>
  <si>
    <t xml:space="preserve">Average Cost of equity impact = [1] x [2] = </t>
  </si>
  <si>
    <t>Notes:</t>
  </si>
  <si>
    <t>Equity Ratios and Market-to-book Ratios from AUS Utility Reports, July 2014.</t>
  </si>
  <si>
    <t>Equity Ratio Target 1</t>
  </si>
  <si>
    <t>Equity Ratio Target 2</t>
  </si>
  <si>
    <t>Arithmetric market risk premium from 2011 Ibbotson SBBI Valuation Yearbook, at 23.</t>
  </si>
  <si>
    <t>Company Requested Rate Base  (Siores Exhibit__(NCS-2)) =</t>
  </si>
  <si>
    <t>$850 Million</t>
  </si>
  <si>
    <t xml:space="preserve">Annual Rate Impact on Washington Customers = </t>
  </si>
  <si>
    <t>$1.6 Million</t>
  </si>
  <si>
    <t>Pre-tax Cost of Capital Difference with Lower Equity Ratio =</t>
  </si>
  <si>
    <t>Cost Rate†</t>
  </si>
  <si>
    <t>Page 4 of 5</t>
  </si>
  <si>
    <t>Page 5 of 5</t>
  </si>
  <si>
    <t>Beta (Relevered) = Beta (Unlevered)*Target 2 (1+D(1-t)/E)</t>
  </si>
  <si>
    <t>Page 1 of 5</t>
  </si>
  <si>
    <t>Page 2 of 5</t>
  </si>
  <si>
    <t>Page 3 of 5</t>
  </si>
  <si>
    <t>BERKSHIRE HATHAWAY ENERGY COMPANY</t>
  </si>
  <si>
    <t>PARENT COMPANY CAPITAL STRUCTURE</t>
  </si>
  <si>
    <t>a</t>
  </si>
  <si>
    <t>Exhibit No. SGH-3</t>
  </si>
  <si>
    <t>† Cost rate impact of lower common equity ratio calculated on page 5 of Exhibit No. SGH-3.</t>
  </si>
  <si>
    <t>Docket UE-140762 et al.</t>
  </si>
  <si>
    <t>RATE IMPACT OF CAPITAL STRUCTURE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</si>
</sst>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164" formatCode="##0.0"/>
    <numFmt numFmtId="165" formatCode="0.0"/>
    <numFmt numFmtId="166" formatCode="0.000"/>
    <numFmt numFmtId="167" formatCode="0.000%"/>
    <numFmt numFmtId="168" formatCode="&quot;$&quot;#,##0"/>
  </numFmts>
  <fonts count="18">
    <font>
      <sz val="10"/>
      <name val="Times"/>
    </font>
    <font>
      <b/>
      <sz val="10"/>
      <name val="Times"/>
    </font>
    <font>
      <sz val="10"/>
      <name val="Times"/>
    </font>
    <font>
      <sz val="8"/>
      <name val="Times"/>
    </font>
    <font>
      <sz val="10"/>
      <name val="Times New Roman"/>
    </font>
    <font>
      <sz val="12"/>
      <name val="Times New Roman"/>
      <family val="1"/>
    </font>
    <font>
      <sz val="12"/>
      <name val="Times"/>
    </font>
    <font>
      <b/>
      <sz val="10"/>
      <name val="Times New Roman"/>
    </font>
    <font>
      <u/>
      <sz val="10"/>
      <name val="Times New Roman"/>
    </font>
    <font>
      <u/>
      <sz val="10"/>
      <name val="Times"/>
    </font>
    <font>
      <u/>
      <sz val="10"/>
      <color theme="10"/>
      <name val="Times"/>
    </font>
    <font>
      <u/>
      <sz val="10"/>
      <color theme="11"/>
      <name val="Times"/>
    </font>
    <font>
      <u val="singleAccounting"/>
      <sz val="10"/>
      <name val="Times"/>
    </font>
    <font>
      <b/>
      <u/>
      <sz val="10"/>
      <name val="Times"/>
    </font>
    <font>
      <b/>
      <u val="singleAccounting"/>
      <sz val="10"/>
      <name val="Times"/>
    </font>
    <font>
      <sz val="10"/>
      <name val="Geneva"/>
    </font>
    <font>
      <b/>
      <sz val="12"/>
      <name val="Times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9">
    <xf numFmtId="0" fontId="0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5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9" fontId="2" fillId="0" borderId="0" xfId="1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9" fontId="4" fillId="0" borderId="0" xfId="1" applyFont="1" applyAlignment="1">
      <alignment horizontal="center"/>
    </xf>
    <xf numFmtId="0" fontId="5" fillId="0" borderId="0" xfId="0" applyFont="1"/>
    <xf numFmtId="9" fontId="5" fillId="0" borderId="0" xfId="1" applyFont="1" applyAlignment="1">
      <alignment horizontal="center"/>
    </xf>
    <xf numFmtId="0" fontId="6" fillId="0" borderId="0" xfId="0" applyFont="1"/>
    <xf numFmtId="9" fontId="7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9" fontId="8" fillId="0" borderId="0" xfId="1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0" fontId="6" fillId="0" borderId="0" xfId="0" applyFont="1" applyFill="1"/>
    <xf numFmtId="165" fontId="2" fillId="0" borderId="0" xfId="1" applyNumberFormat="1" applyFont="1" applyAlignment="1">
      <alignment horizontal="center"/>
    </xf>
    <xf numFmtId="9" fontId="9" fillId="0" borderId="0" xfId="1" applyFont="1" applyAlignment="1">
      <alignment horizontal="center"/>
    </xf>
    <xf numFmtId="9" fontId="6" fillId="0" borderId="0" xfId="1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0" xfId="1" applyNumberFormat="1" applyFont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9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2" fontId="0" fillId="0" borderId="0" xfId="0" applyNumberFormat="1"/>
    <xf numFmtId="42" fontId="12" fillId="0" borderId="0" xfId="0" applyNumberFormat="1" applyFont="1"/>
    <xf numFmtId="10" fontId="0" fillId="0" borderId="0" xfId="0" applyNumberFormat="1" applyAlignment="1">
      <alignment horizontal="center"/>
    </xf>
    <xf numFmtId="10" fontId="1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/>
    <xf numFmtId="1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10" fontId="14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0" fontId="9" fillId="0" borderId="0" xfId="0" applyNumberFormat="1" applyFont="1" applyAlignment="1">
      <alignment horizontal="center"/>
    </xf>
    <xf numFmtId="0" fontId="2" fillId="0" borderId="0" xfId="42" applyFont="1"/>
    <xf numFmtId="0" fontId="6" fillId="0" borderId="0" xfId="42" applyFont="1"/>
    <xf numFmtId="0" fontId="2" fillId="0" borderId="0" xfId="42" applyFont="1" applyAlignment="1">
      <alignment horizontal="center"/>
    </xf>
    <xf numFmtId="0" fontId="16" fillId="0" borderId="0" xfId="42" applyFont="1" applyAlignment="1">
      <alignment horizontal="center"/>
    </xf>
    <xf numFmtId="0" fontId="9" fillId="0" borderId="0" xfId="42" applyFont="1" applyAlignment="1">
      <alignment horizontal="center"/>
    </xf>
    <xf numFmtId="0" fontId="17" fillId="0" borderId="0" xfId="42" applyFont="1" applyBorder="1" applyAlignment="1">
      <alignment horizontal="center"/>
    </xf>
    <xf numFmtId="10" fontId="2" fillId="0" borderId="0" xfId="42" applyNumberFormat="1" applyFont="1" applyAlignment="1">
      <alignment horizontal="center"/>
    </xf>
    <xf numFmtId="2" fontId="2" fillId="0" borderId="0" xfId="42" applyNumberFormat="1" applyFont="1" applyAlignment="1">
      <alignment horizontal="center"/>
    </xf>
    <xf numFmtId="166" fontId="2" fillId="0" borderId="0" xfId="42" applyNumberFormat="1" applyFont="1" applyAlignment="1">
      <alignment horizontal="center"/>
    </xf>
    <xf numFmtId="10" fontId="9" fillId="0" borderId="0" xfId="42" applyNumberFormat="1" applyFont="1" applyAlignment="1">
      <alignment horizontal="center"/>
    </xf>
    <xf numFmtId="2" fontId="9" fillId="0" borderId="0" xfId="42" applyNumberFormat="1" applyFont="1" applyAlignment="1">
      <alignment horizontal="center"/>
    </xf>
    <xf numFmtId="166" fontId="9" fillId="0" borderId="0" xfId="42" applyNumberFormat="1" applyFont="1" applyAlignment="1">
      <alignment horizontal="center"/>
    </xf>
    <xf numFmtId="0" fontId="2" fillId="0" borderId="0" xfId="42" applyFont="1" applyAlignment="1">
      <alignment horizontal="right"/>
    </xf>
    <xf numFmtId="2" fontId="1" fillId="0" borderId="0" xfId="42" applyNumberFormat="1" applyFont="1" applyAlignment="1">
      <alignment horizontal="center"/>
    </xf>
    <xf numFmtId="166" fontId="1" fillId="0" borderId="0" xfId="42" applyNumberFormat="1" applyFont="1" applyAlignment="1">
      <alignment horizontal="center"/>
    </xf>
    <xf numFmtId="10" fontId="2" fillId="0" borderId="0" xfId="42" applyNumberFormat="1" applyFont="1"/>
    <xf numFmtId="0" fontId="2" fillId="0" borderId="0" xfId="42" applyFont="1" applyAlignment="1">
      <alignment horizontal="left"/>
    </xf>
    <xf numFmtId="0" fontId="2" fillId="0" borderId="1" xfId="42" applyFont="1" applyBorder="1" applyAlignment="1">
      <alignment horizontal="center"/>
    </xf>
    <xf numFmtId="166" fontId="2" fillId="0" borderId="0" xfId="42" applyNumberFormat="1" applyFont="1"/>
    <xf numFmtId="0" fontId="9" fillId="0" borderId="0" xfId="42" applyFont="1"/>
    <xf numFmtId="0" fontId="1" fillId="0" borderId="0" xfId="42" applyFont="1"/>
    <xf numFmtId="167" fontId="16" fillId="0" borderId="0" xfId="42" applyNumberFormat="1" applyFont="1" applyAlignment="1">
      <alignment horizontal="center"/>
    </xf>
    <xf numFmtId="0" fontId="0" fillId="0" borderId="0" xfId="42" applyFont="1" applyAlignment="1">
      <alignment horizontal="right"/>
    </xf>
    <xf numFmtId="0" fontId="4" fillId="0" borderId="0" xfId="0" applyFont="1" applyBorder="1"/>
    <xf numFmtId="168" fontId="1" fillId="0" borderId="0" xfId="0" applyNumberFormat="1" applyFont="1" applyAlignment="1">
      <alignment horizontal="center"/>
    </xf>
    <xf numFmtId="0" fontId="0" fillId="0" borderId="0" xfId="42" applyFont="1" applyAlignment="1">
      <alignment horizontal="left"/>
    </xf>
    <xf numFmtId="0" fontId="1" fillId="0" borderId="1" xfId="42" applyFont="1" applyBorder="1" applyAlignment="1">
      <alignment horizontal="center"/>
    </xf>
    <xf numFmtId="0" fontId="0" fillId="0" borderId="0" xfId="42" applyFont="1"/>
  </cellXfs>
  <cellStyles count="69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Normal" xfId="0" builtinId="0"/>
    <cellStyle name="Normal 2" xfId="42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pStructure/PC-2(CapStruc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-2"/>
    </sheetNames>
    <sheetDataSet>
      <sheetData sheetId="0">
        <row r="8">
          <cell r="E8">
            <v>7255800000</v>
          </cell>
          <cell r="F8">
            <v>6842300000</v>
          </cell>
          <cell r="G8">
            <v>6852374000</v>
          </cell>
          <cell r="H8">
            <v>7052374000</v>
          </cell>
          <cell r="I8">
            <v>6810029000</v>
          </cell>
        </row>
        <row r="9">
          <cell r="F9">
            <v>8616719</v>
          </cell>
          <cell r="G9">
            <v>9493050</v>
          </cell>
          <cell r="H9">
            <v>2</v>
          </cell>
          <cell r="I9">
            <v>29859008</v>
          </cell>
        </row>
        <row r="11">
          <cell r="E11">
            <v>2397600</v>
          </cell>
          <cell r="F11">
            <v>2397600</v>
          </cell>
          <cell r="G11">
            <v>36542300</v>
          </cell>
          <cell r="H11">
            <v>36542300</v>
          </cell>
          <cell r="I11">
            <v>40733100</v>
          </cell>
        </row>
        <row r="15">
          <cell r="E15">
            <v>7440325044</v>
          </cell>
          <cell r="F15">
            <v>7785143897</v>
          </cell>
          <cell r="G15">
            <v>7644752260</v>
          </cell>
          <cell r="H15">
            <v>7428227363</v>
          </cell>
          <cell r="I15">
            <v>7612954188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7"/>
  <sheetViews>
    <sheetView workbookViewId="0">
      <selection activeCell="H1" sqref="H1"/>
    </sheetView>
  </sheetViews>
  <sheetFormatPr defaultColWidth="12" defaultRowHeight="12.75"/>
  <cols>
    <col min="1" max="1" width="7.33203125" customWidth="1"/>
    <col min="2" max="2" width="12.33203125" customWidth="1"/>
    <col min="3" max="7" width="11" customWidth="1"/>
  </cols>
  <sheetData>
    <row r="1" spans="1:8">
      <c r="H1" s="31" t="s">
        <v>159</v>
      </c>
    </row>
    <row r="2" spans="1:8">
      <c r="H2" s="31" t="s">
        <v>157</v>
      </c>
    </row>
    <row r="3" spans="1:8">
      <c r="H3" s="31" t="s">
        <v>151</v>
      </c>
    </row>
    <row r="6" spans="1:8">
      <c r="E6" s="24" t="str">
        <f>'Ex3,p2'!E5</f>
        <v>PACIFIC POWER &amp; LIGHT COMPANY</v>
      </c>
    </row>
    <row r="8" spans="1:8">
      <c r="E8" s="26" t="s">
        <v>62</v>
      </c>
    </row>
    <row r="10" spans="1:8">
      <c r="A10" s="25" t="s">
        <v>68</v>
      </c>
    </row>
    <row r="12" spans="1:8">
      <c r="B12" s="32" t="s">
        <v>63</v>
      </c>
      <c r="C12" s="33">
        <v>39902</v>
      </c>
      <c r="D12" s="33">
        <v>39993</v>
      </c>
      <c r="E12" s="33">
        <v>40085</v>
      </c>
      <c r="F12" s="33">
        <v>40177</v>
      </c>
      <c r="G12" s="33">
        <v>40249</v>
      </c>
      <c r="H12" s="34" t="s">
        <v>71</v>
      </c>
    </row>
    <row r="14" spans="1:8">
      <c r="B14" t="s">
        <v>64</v>
      </c>
      <c r="C14" s="27">
        <f>'[1]PC-2'!$I$15/1000</f>
        <v>7612954.1880000001</v>
      </c>
      <c r="D14" s="27">
        <f>'[1]PC-2'!$H$15/1000</f>
        <v>7428227.3629999999</v>
      </c>
      <c r="E14" s="27">
        <f>'[1]PC-2'!$G$15/1000</f>
        <v>7644752.2599999998</v>
      </c>
      <c r="F14" s="27">
        <f>'[1]PC-2'!$F$15/1000</f>
        <v>7785143.8969999999</v>
      </c>
      <c r="G14" s="27">
        <f>'[1]PC-2'!$E$15/1000</f>
        <v>7440325.0439999998</v>
      </c>
      <c r="H14" s="27">
        <f>AVERAGE(C14:G14)</f>
        <v>7582280.5503999991</v>
      </c>
    </row>
    <row r="15" spans="1:8">
      <c r="C15" s="27"/>
      <c r="D15" s="27"/>
      <c r="E15" s="27"/>
      <c r="F15" s="27"/>
      <c r="G15" s="27"/>
      <c r="H15" s="27"/>
    </row>
    <row r="16" spans="1:8">
      <c r="B16" t="s">
        <v>65</v>
      </c>
      <c r="C16" s="27">
        <f>'[1]PC-2'!$I$11/1000</f>
        <v>40733.1</v>
      </c>
      <c r="D16" s="27">
        <f>'[1]PC-2'!$H$11/1000</f>
        <v>36542.300000000003</v>
      </c>
      <c r="E16" s="27">
        <f>'[1]PC-2'!$G$11/1000</f>
        <v>36542.300000000003</v>
      </c>
      <c r="F16" s="27">
        <f>'[1]PC-2'!$F$11/1000</f>
        <v>2397.6</v>
      </c>
      <c r="G16" s="27">
        <f>'[1]PC-2'!$E$11/1000</f>
        <v>2397.6</v>
      </c>
      <c r="H16" s="27">
        <f t="shared" ref="H16:H22" si="0">AVERAGE(C16:G16)</f>
        <v>23722.58</v>
      </c>
    </row>
    <row r="17" spans="1:8">
      <c r="C17" s="27"/>
      <c r="D17" s="27"/>
      <c r="E17" s="27"/>
      <c r="F17" s="27"/>
      <c r="G17" s="27"/>
      <c r="H17" s="27"/>
    </row>
    <row r="18" spans="1:8">
      <c r="B18" t="s">
        <v>66</v>
      </c>
      <c r="C18" s="27">
        <f>'[1]PC-2'!$I$8/1000</f>
        <v>6810029</v>
      </c>
      <c r="D18" s="27">
        <f>'[1]PC-2'!$H$8/1000</f>
        <v>7052374</v>
      </c>
      <c r="E18" s="27">
        <f>'[1]PC-2'!$G$8/1000</f>
        <v>6852374</v>
      </c>
      <c r="F18" s="27">
        <f>'[1]PC-2'!$F$8/1000</f>
        <v>6842300</v>
      </c>
      <c r="G18" s="27">
        <f>'[1]PC-2'!$E$8/1000</f>
        <v>7255800</v>
      </c>
      <c r="H18" s="27">
        <f t="shared" si="0"/>
        <v>6962575.4000000004</v>
      </c>
    </row>
    <row r="19" spans="1:8">
      <c r="C19" s="27"/>
      <c r="D19" s="27"/>
      <c r="E19" s="27"/>
      <c r="F19" s="27"/>
      <c r="G19" s="27"/>
      <c r="H19" s="27"/>
    </row>
    <row r="20" spans="1:8" ht="15">
      <c r="B20" t="s">
        <v>67</v>
      </c>
      <c r="C20" s="28">
        <f>'[1]PC-2'!$I$9/1000</f>
        <v>29859.008000000002</v>
      </c>
      <c r="D20" s="28">
        <f>'[1]PC-2'!$H$9/1000</f>
        <v>2E-3</v>
      </c>
      <c r="E20" s="28">
        <f>'[1]PC-2'!$G$9/1000</f>
        <v>9493.0499999999993</v>
      </c>
      <c r="F20" s="28">
        <f>'[1]PC-2'!$F$9/1000</f>
        <v>8616.7189999999991</v>
      </c>
      <c r="G20" s="28">
        <f>0</f>
        <v>0</v>
      </c>
      <c r="H20" s="28">
        <f t="shared" si="0"/>
        <v>9593.755799999999</v>
      </c>
    </row>
    <row r="21" spans="1:8">
      <c r="C21" s="27"/>
      <c r="D21" s="27"/>
      <c r="E21" s="27"/>
      <c r="F21" s="27"/>
      <c r="G21" s="27"/>
      <c r="H21" s="27"/>
    </row>
    <row r="22" spans="1:8">
      <c r="B22" t="s">
        <v>69</v>
      </c>
      <c r="C22" s="27">
        <f>C14+C16+C18+C20</f>
        <v>14493575.295999998</v>
      </c>
      <c r="D22" s="27">
        <f>D14+D16+D18+D20</f>
        <v>14517143.664999999</v>
      </c>
      <c r="E22" s="27">
        <f>E14+E16+E18+E20</f>
        <v>14543161.609999999</v>
      </c>
      <c r="F22" s="27">
        <f>F14+F16+F18+F20</f>
        <v>14638458.216</v>
      </c>
      <c r="G22" s="27">
        <f>G14+G16+G18+G20</f>
        <v>14698522.643999999</v>
      </c>
      <c r="H22" s="27">
        <f t="shared" si="0"/>
        <v>14578172.286199998</v>
      </c>
    </row>
    <row r="25" spans="1:8">
      <c r="A25" s="25" t="s">
        <v>70</v>
      </c>
    </row>
    <row r="27" spans="1:8">
      <c r="B27" s="32" t="s">
        <v>63</v>
      </c>
      <c r="C27" s="33">
        <v>39902</v>
      </c>
      <c r="D27" s="33">
        <v>39993</v>
      </c>
      <c r="E27" s="33">
        <v>40085</v>
      </c>
      <c r="F27" s="33">
        <v>40177</v>
      </c>
      <c r="G27" s="33">
        <v>40249</v>
      </c>
      <c r="H27" s="35" t="s">
        <v>71</v>
      </c>
    </row>
    <row r="28" spans="1:8">
      <c r="H28" s="25"/>
    </row>
    <row r="29" spans="1:8">
      <c r="B29" t="s">
        <v>64</v>
      </c>
      <c r="C29" s="29">
        <f>C14/C22</f>
        <v>0.52526405890346861</v>
      </c>
      <c r="D29" s="29">
        <f t="shared" ref="D29:G29" si="1">D14/D22</f>
        <v>0.51168656413513558</v>
      </c>
      <c r="E29" s="29">
        <f t="shared" si="1"/>
        <v>0.52565958249019284</v>
      </c>
      <c r="F29" s="29">
        <f t="shared" si="1"/>
        <v>0.53182813258917871</v>
      </c>
      <c r="G29" s="29">
        <f t="shared" si="1"/>
        <v>0.5061954336640202</v>
      </c>
      <c r="H29" s="36">
        <f t="shared" ref="H29" si="2">H14/H22</f>
        <v>0.52011187695850902</v>
      </c>
    </row>
    <row r="30" spans="1:8">
      <c r="C30" s="29"/>
      <c r="D30" s="29"/>
      <c r="E30" s="29"/>
      <c r="F30" s="29"/>
      <c r="G30" s="29"/>
      <c r="H30" s="36"/>
    </row>
    <row r="31" spans="1:8">
      <c r="B31" t="s">
        <v>65</v>
      </c>
      <c r="C31" s="29">
        <f>C16/C22</f>
        <v>2.8104245617878495E-3</v>
      </c>
      <c r="D31" s="29">
        <f t="shared" ref="D31:G31" si="3">D16/D22</f>
        <v>2.5171825011349436E-3</v>
      </c>
      <c r="E31" s="29">
        <f t="shared" si="3"/>
        <v>2.5126792220250935E-3</v>
      </c>
      <c r="F31" s="29">
        <f t="shared" si="3"/>
        <v>1.6378774080042091E-4</v>
      </c>
      <c r="G31" s="29">
        <f t="shared" si="3"/>
        <v>1.6311843428555117E-4</v>
      </c>
      <c r="H31" s="36">
        <f t="shared" ref="H31" si="4">H16/H22</f>
        <v>1.6272670904332973E-3</v>
      </c>
    </row>
    <row r="32" spans="1:8">
      <c r="C32" s="29"/>
      <c r="D32" s="29"/>
      <c r="E32" s="29"/>
      <c r="F32" s="29"/>
      <c r="G32" s="29"/>
      <c r="H32" s="36"/>
    </row>
    <row r="33" spans="2:8">
      <c r="B33" t="s">
        <v>66</v>
      </c>
      <c r="C33" s="29">
        <f>C18/C22</f>
        <v>0.46986536178409077</v>
      </c>
      <c r="D33" s="29">
        <f t="shared" ref="D33:G33" si="5">D18/D22</f>
        <v>0.48579625322596132</v>
      </c>
      <c r="E33" s="29">
        <f t="shared" si="5"/>
        <v>0.47117498820120723</v>
      </c>
      <c r="F33" s="29">
        <f t="shared" si="5"/>
        <v>0.46741944397677682</v>
      </c>
      <c r="G33" s="29">
        <f t="shared" si="5"/>
        <v>0.49364144790169434</v>
      </c>
      <c r="H33" s="36">
        <f>H18/H22</f>
        <v>0.47760276551203334</v>
      </c>
    </row>
    <row r="34" spans="2:8">
      <c r="C34" s="29"/>
      <c r="D34" s="29"/>
      <c r="E34" s="29"/>
      <c r="F34" s="29"/>
      <c r="G34" s="29"/>
      <c r="H34" s="36"/>
    </row>
    <row r="35" spans="2:8" ht="15">
      <c r="B35" t="s">
        <v>67</v>
      </c>
      <c r="C35" s="30">
        <f>C20/C22</f>
        <v>2.0601547506529064E-3</v>
      </c>
      <c r="D35" s="30">
        <f t="shared" ref="D35:G35" si="6">D20/D22</f>
        <v>1.3776814820823778E-10</v>
      </c>
      <c r="E35" s="30">
        <f t="shared" si="6"/>
        <v>6.5275008657488193E-4</v>
      </c>
      <c r="F35" s="30">
        <f t="shared" si="6"/>
        <v>5.8863569324410329E-4</v>
      </c>
      <c r="G35" s="30">
        <f t="shared" si="6"/>
        <v>0</v>
      </c>
      <c r="H35" s="38">
        <f t="shared" ref="H35" si="7">H20/H22</f>
        <v>6.5809043902448924E-4</v>
      </c>
    </row>
    <row r="36" spans="2:8">
      <c r="C36" s="29"/>
      <c r="D36" s="29"/>
      <c r="E36" s="29"/>
      <c r="F36" s="29"/>
      <c r="G36" s="29"/>
      <c r="H36" s="36"/>
    </row>
    <row r="37" spans="2:8">
      <c r="B37" t="s">
        <v>69</v>
      </c>
      <c r="C37" s="29">
        <f>C29+C31+C33+C35</f>
        <v>1</v>
      </c>
      <c r="D37" s="29">
        <f t="shared" ref="D37:G37" si="8">D29+D31+D33+D35</f>
        <v>1</v>
      </c>
      <c r="E37" s="29">
        <f t="shared" si="8"/>
        <v>1.0000000000000002</v>
      </c>
      <c r="F37" s="29">
        <f t="shared" si="8"/>
        <v>1</v>
      </c>
      <c r="G37" s="29">
        <f t="shared" si="8"/>
        <v>1</v>
      </c>
      <c r="H37" s="36">
        <f t="shared" ref="H37" si="9">H29+H31+H33+H35</f>
        <v>1.0000000000000002</v>
      </c>
    </row>
  </sheetData>
  <phoneticPr fontId="3" type="noConversion"/>
  <pageMargins left="0.75" right="0.75" top="1" bottom="1" header="0.5" footer="0.5"/>
  <pageSetup scale="98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H1" sqref="H1"/>
    </sheetView>
  </sheetViews>
  <sheetFormatPr defaultColWidth="11.5" defaultRowHeight="15.75"/>
  <cols>
    <col min="1" max="1" width="3.6640625" style="8" customWidth="1"/>
    <col min="2" max="2" width="26.6640625" style="8" customWidth="1"/>
    <col min="3" max="3" width="6.6640625" style="8" customWidth="1"/>
    <col min="4" max="4" width="9.83203125" style="18" customWidth="1"/>
    <col min="5" max="5" width="2.6640625" style="18" customWidth="1"/>
    <col min="6" max="6" width="21.6640625" style="8" customWidth="1"/>
    <col min="7" max="7" width="11.33203125" style="8" customWidth="1"/>
    <col min="8" max="8" width="11.5" style="18"/>
    <col min="9" max="16384" width="11.5" style="8"/>
  </cols>
  <sheetData>
    <row r="1" spans="1:10" s="1" customFormat="1" ht="12.75">
      <c r="D1" s="2"/>
      <c r="E1" s="2"/>
      <c r="H1" s="31" t="s">
        <v>159</v>
      </c>
    </row>
    <row r="2" spans="1:10" s="1" customFormat="1" ht="12.75">
      <c r="A2" s="4"/>
      <c r="B2" s="4"/>
      <c r="C2" s="4"/>
      <c r="D2" s="5"/>
      <c r="E2" s="5"/>
      <c r="F2" s="4"/>
      <c r="G2" s="4"/>
      <c r="H2" s="3" t="str">
        <f>'Ex3,p1'!H2</f>
        <v>Exhibit No. SGH-3</v>
      </c>
    </row>
    <row r="3" spans="1:10" s="1" customFormat="1" ht="12.75">
      <c r="A3" s="4"/>
      <c r="B3" s="4"/>
      <c r="C3" s="4"/>
      <c r="D3" s="5"/>
      <c r="E3" s="5"/>
      <c r="F3" s="4"/>
      <c r="G3" s="4"/>
      <c r="H3" s="23" t="s">
        <v>152</v>
      </c>
    </row>
    <row r="4" spans="1:10">
      <c r="A4" s="6"/>
      <c r="B4" s="6"/>
      <c r="C4" s="6"/>
      <c r="D4" s="7"/>
      <c r="E4" s="7"/>
      <c r="F4" s="6"/>
      <c r="G4" s="6"/>
      <c r="H4" s="7"/>
    </row>
    <row r="5" spans="1:10">
      <c r="A5" s="6"/>
      <c r="B5" s="6"/>
      <c r="C5" s="6"/>
      <c r="D5" s="7"/>
      <c r="E5" s="9" t="s">
        <v>61</v>
      </c>
      <c r="F5" s="6"/>
      <c r="G5" s="6"/>
      <c r="H5" s="7"/>
    </row>
    <row r="6" spans="1:10">
      <c r="A6" s="6"/>
      <c r="B6" s="6"/>
      <c r="C6" s="6"/>
      <c r="D6" s="7"/>
      <c r="E6" s="9" t="s">
        <v>20</v>
      </c>
      <c r="F6" s="6"/>
      <c r="G6" s="6"/>
      <c r="H6" s="7"/>
    </row>
    <row r="7" spans="1:10">
      <c r="A7" s="6"/>
      <c r="B7" s="6"/>
      <c r="C7" s="6"/>
      <c r="D7" s="7"/>
      <c r="E7" s="7"/>
      <c r="F7" s="6"/>
      <c r="G7" s="6"/>
      <c r="H7" s="7"/>
    </row>
    <row r="8" spans="1:10">
      <c r="A8" s="4"/>
      <c r="B8" s="10"/>
      <c r="C8" s="10"/>
      <c r="D8" s="5" t="s">
        <v>21</v>
      </c>
      <c r="E8" s="5"/>
      <c r="F8" s="11" t="s">
        <v>22</v>
      </c>
      <c r="G8" s="11"/>
      <c r="H8" s="5" t="s">
        <v>23</v>
      </c>
    </row>
    <row r="9" spans="1:10">
      <c r="A9" s="4"/>
      <c r="B9" s="10" t="s">
        <v>24</v>
      </c>
      <c r="C9" s="10"/>
      <c r="D9" s="12" t="s">
        <v>25</v>
      </c>
      <c r="E9" s="12"/>
      <c r="F9" s="10" t="s">
        <v>24</v>
      </c>
      <c r="G9" s="10"/>
      <c r="H9" s="12" t="s">
        <v>25</v>
      </c>
    </row>
    <row r="10" spans="1:10">
      <c r="A10" s="4"/>
      <c r="B10" s="4"/>
      <c r="C10" s="4"/>
      <c r="D10" s="5" t="s">
        <v>26</v>
      </c>
      <c r="E10" s="5"/>
      <c r="F10" s="4"/>
      <c r="G10" s="4"/>
      <c r="H10" s="5" t="s">
        <v>27</v>
      </c>
    </row>
    <row r="11" spans="1:10">
      <c r="A11" s="4"/>
      <c r="B11" s="4"/>
      <c r="C11" s="4"/>
      <c r="D11" s="5"/>
      <c r="E11" s="5"/>
      <c r="F11" s="4"/>
      <c r="G11" s="4"/>
      <c r="H11" s="5"/>
    </row>
    <row r="12" spans="1:10">
      <c r="A12" s="4"/>
      <c r="B12" s="13" t="s">
        <v>28</v>
      </c>
      <c r="C12" s="14"/>
      <c r="D12" s="22">
        <v>53.5</v>
      </c>
      <c r="E12" s="2"/>
      <c r="F12" s="13" t="s">
        <v>29</v>
      </c>
      <c r="G12" s="14"/>
      <c r="H12" s="22">
        <v>48.4</v>
      </c>
    </row>
    <row r="13" spans="1:10" ht="11.1" customHeight="1">
      <c r="A13" s="4"/>
      <c r="B13" s="13" t="s">
        <v>30</v>
      </c>
      <c r="C13" s="14"/>
      <c r="D13" s="22">
        <v>45.8</v>
      </c>
      <c r="E13" s="2"/>
      <c r="F13" s="13" t="s">
        <v>31</v>
      </c>
      <c r="G13" s="14"/>
      <c r="H13" s="22">
        <v>49.2</v>
      </c>
      <c r="J13" s="15"/>
    </row>
    <row r="14" spans="1:10" ht="11.1" customHeight="1">
      <c r="A14" s="4"/>
      <c r="B14" s="13" t="s">
        <v>32</v>
      </c>
      <c r="C14" s="14"/>
      <c r="D14" s="22">
        <v>54.5</v>
      </c>
      <c r="E14" s="2"/>
      <c r="F14" s="13" t="s">
        <v>33</v>
      </c>
      <c r="G14" s="14"/>
      <c r="H14" s="22">
        <v>45.8</v>
      </c>
      <c r="J14" s="15"/>
    </row>
    <row r="15" spans="1:10" ht="11.1" customHeight="1">
      <c r="A15" s="4"/>
      <c r="B15" s="13" t="s">
        <v>34</v>
      </c>
      <c r="C15" s="14"/>
      <c r="D15" s="22">
        <v>43.3</v>
      </c>
      <c r="E15" s="2"/>
      <c r="F15" s="13" t="s">
        <v>35</v>
      </c>
      <c r="G15" s="14"/>
      <c r="H15" s="22">
        <v>47.2</v>
      </c>
      <c r="J15" s="15"/>
    </row>
    <row r="16" spans="1:10" ht="11.1" customHeight="1">
      <c r="A16" s="4"/>
      <c r="B16" s="13" t="s">
        <v>36</v>
      </c>
      <c r="C16" s="14"/>
      <c r="D16" s="22">
        <v>47.6</v>
      </c>
      <c r="E16" s="2"/>
      <c r="F16" s="13" t="s">
        <v>37</v>
      </c>
      <c r="G16" s="14"/>
      <c r="H16" s="22">
        <v>34</v>
      </c>
      <c r="J16" s="15"/>
    </row>
    <row r="17" spans="1:10" ht="11.1" customHeight="1">
      <c r="A17" s="4"/>
      <c r="B17" s="13" t="s">
        <v>38</v>
      </c>
      <c r="C17" s="14"/>
      <c r="D17" s="22">
        <v>37.200000000000003</v>
      </c>
      <c r="E17" s="2"/>
      <c r="F17" s="13" t="s">
        <v>39</v>
      </c>
      <c r="G17" s="14"/>
      <c r="H17" s="22">
        <v>58.1</v>
      </c>
      <c r="J17" s="15"/>
    </row>
    <row r="18" spans="1:10" ht="11.1" customHeight="1">
      <c r="A18" s="4"/>
      <c r="B18" s="13" t="s">
        <v>40</v>
      </c>
      <c r="C18" s="14"/>
      <c r="D18" s="22">
        <v>46.8</v>
      </c>
      <c r="E18" s="2"/>
      <c r="F18" s="13" t="s">
        <v>41</v>
      </c>
      <c r="G18" s="14"/>
      <c r="H18" s="22">
        <v>30.2</v>
      </c>
      <c r="J18" s="15"/>
    </row>
    <row r="19" spans="1:10" ht="11.1" customHeight="1">
      <c r="A19" s="4"/>
      <c r="B19" s="13" t="s">
        <v>42</v>
      </c>
      <c r="C19" s="14"/>
      <c r="D19" s="22">
        <v>47.8</v>
      </c>
      <c r="E19" s="2"/>
      <c r="F19" s="13" t="s">
        <v>43</v>
      </c>
      <c r="G19" s="14"/>
      <c r="H19" s="22">
        <v>49.9</v>
      </c>
      <c r="J19" s="15"/>
    </row>
    <row r="20" spans="1:10" ht="11.1" customHeight="1">
      <c r="A20" s="4"/>
      <c r="B20" s="13" t="s">
        <v>44</v>
      </c>
      <c r="C20" s="14"/>
      <c r="D20" s="22">
        <v>52.7</v>
      </c>
      <c r="E20" s="2"/>
      <c r="F20" s="13" t="s">
        <v>45</v>
      </c>
      <c r="G20" s="14"/>
      <c r="H20" s="22">
        <v>33.299999999999997</v>
      </c>
      <c r="J20" s="15"/>
    </row>
    <row r="21" spans="1:10" ht="11.1" customHeight="1">
      <c r="A21" s="4"/>
      <c r="B21" s="13" t="s">
        <v>46</v>
      </c>
      <c r="C21" s="14"/>
      <c r="D21" s="22">
        <v>38.1</v>
      </c>
      <c r="E21" s="2"/>
      <c r="F21" s="13" t="s">
        <v>47</v>
      </c>
      <c r="G21" s="14"/>
      <c r="H21" s="22">
        <v>49.2</v>
      </c>
      <c r="J21" s="15"/>
    </row>
    <row r="22" spans="1:10" ht="11.1" customHeight="1">
      <c r="A22" s="4"/>
      <c r="B22" s="13" t="s">
        <v>48</v>
      </c>
      <c r="C22" s="14"/>
      <c r="D22" s="22">
        <v>50.1</v>
      </c>
      <c r="E22" s="2"/>
      <c r="F22" s="13" t="s">
        <v>49</v>
      </c>
      <c r="G22" s="14"/>
      <c r="H22" s="22">
        <v>49.4</v>
      </c>
      <c r="J22" s="15"/>
    </row>
    <row r="23" spans="1:10" ht="11.1" customHeight="1">
      <c r="A23" s="4"/>
      <c r="B23" s="13" t="s">
        <v>50</v>
      </c>
      <c r="C23" s="14"/>
      <c r="D23" s="22">
        <v>51.8</v>
      </c>
      <c r="E23" s="2"/>
      <c r="F23" s="39" t="s">
        <v>73</v>
      </c>
      <c r="G23" s="14"/>
      <c r="H23" s="22">
        <v>50.5</v>
      </c>
      <c r="J23" s="15"/>
    </row>
    <row r="24" spans="1:10" ht="11.1" customHeight="1">
      <c r="A24" s="4"/>
      <c r="B24" s="13" t="s">
        <v>51</v>
      </c>
      <c r="C24" s="14"/>
      <c r="D24" s="22">
        <v>53</v>
      </c>
      <c r="E24" s="2"/>
      <c r="F24" s="13" t="s">
        <v>52</v>
      </c>
      <c r="G24" s="14"/>
      <c r="H24" s="22">
        <v>41.5</v>
      </c>
      <c r="J24" s="15"/>
    </row>
    <row r="25" spans="1:10" ht="11.1" customHeight="1">
      <c r="A25" s="4"/>
      <c r="B25" s="13" t="s">
        <v>53</v>
      </c>
      <c r="C25" s="14"/>
      <c r="D25" s="22">
        <v>45</v>
      </c>
      <c r="E25" s="2"/>
      <c r="F25" s="13" t="s">
        <v>54</v>
      </c>
      <c r="G25" s="14"/>
      <c r="H25" s="22">
        <v>51.1</v>
      </c>
    </row>
    <row r="26" spans="1:10" ht="11.1" customHeight="1">
      <c r="A26" s="4"/>
      <c r="B26" s="13" t="s">
        <v>55</v>
      </c>
      <c r="C26" s="14"/>
      <c r="D26" s="22">
        <v>49.2</v>
      </c>
      <c r="E26" s="2"/>
      <c r="F26" s="13" t="s">
        <v>56</v>
      </c>
      <c r="G26" s="14"/>
      <c r="H26" s="22">
        <v>49.8</v>
      </c>
      <c r="J26" s="15"/>
    </row>
    <row r="27" spans="1:10" ht="11.1" customHeight="1">
      <c r="A27" s="4"/>
      <c r="B27" s="13" t="s">
        <v>57</v>
      </c>
      <c r="C27" s="14"/>
      <c r="D27" s="22">
        <v>36.200000000000003</v>
      </c>
      <c r="E27" s="2"/>
      <c r="F27" s="13" t="s">
        <v>58</v>
      </c>
      <c r="G27" s="14"/>
      <c r="H27" s="22">
        <v>57.1</v>
      </c>
      <c r="J27" s="15"/>
    </row>
    <row r="28" spans="1:10" ht="11.1" customHeight="1">
      <c r="A28" s="4"/>
      <c r="B28" s="13" t="s">
        <v>59</v>
      </c>
      <c r="C28" s="14"/>
      <c r="D28" s="22">
        <v>45.2</v>
      </c>
      <c r="E28" s="2"/>
      <c r="F28" s="13" t="s">
        <v>0</v>
      </c>
      <c r="G28" s="14"/>
      <c r="H28" s="22">
        <v>61.2</v>
      </c>
      <c r="J28" s="15"/>
    </row>
    <row r="29" spans="1:10" ht="11.1" customHeight="1">
      <c r="A29" s="4"/>
      <c r="B29" s="13" t="s">
        <v>1</v>
      </c>
      <c r="C29" s="14"/>
      <c r="D29" s="22">
        <v>46.2</v>
      </c>
      <c r="E29" s="2"/>
      <c r="F29" s="13" t="s">
        <v>2</v>
      </c>
      <c r="G29" s="14"/>
      <c r="H29" s="22">
        <v>40.1</v>
      </c>
      <c r="J29" s="15"/>
    </row>
    <row r="30" spans="1:10" ht="11.1" customHeight="1">
      <c r="A30" s="4"/>
      <c r="B30"/>
      <c r="C30"/>
      <c r="D30" s="22"/>
      <c r="E30" s="2"/>
      <c r="F30" s="13" t="s">
        <v>3</v>
      </c>
      <c r="G30" s="14"/>
      <c r="H30" s="22">
        <v>50.8</v>
      </c>
      <c r="J30" s="15"/>
    </row>
    <row r="31" spans="1:10" ht="11.1" customHeight="1">
      <c r="A31" s="4"/>
      <c r="B31"/>
      <c r="C31"/>
      <c r="D31"/>
      <c r="E31" s="2"/>
      <c r="F31" s="13" t="s">
        <v>4</v>
      </c>
      <c r="G31" s="14"/>
      <c r="H31" s="22">
        <v>45.8</v>
      </c>
      <c r="J31" s="15"/>
    </row>
    <row r="32" spans="1:10" ht="11.1" customHeight="1">
      <c r="A32" s="4"/>
      <c r="B32"/>
      <c r="C32"/>
      <c r="D32"/>
      <c r="E32" s="2"/>
      <c r="F32" s="13" t="s">
        <v>5</v>
      </c>
      <c r="G32" s="14"/>
      <c r="H32" s="22">
        <v>43.3</v>
      </c>
    </row>
    <row r="33" spans="1:8" ht="11.1" customHeight="1">
      <c r="A33" s="4"/>
      <c r="B33" s="1"/>
      <c r="C33" s="1"/>
      <c r="D33" s="2"/>
      <c r="E33" s="2"/>
      <c r="F33" s="13" t="s">
        <v>6</v>
      </c>
      <c r="G33" s="14"/>
      <c r="H33" s="22">
        <v>49.2</v>
      </c>
    </row>
    <row r="34" spans="1:8" ht="11.1" customHeight="1">
      <c r="A34" s="4"/>
      <c r="B34" s="3" t="s">
        <v>7</v>
      </c>
      <c r="C34" s="1"/>
      <c r="D34" s="16">
        <f>AVERAGE(D12:D29)</f>
        <v>46.8888888888889</v>
      </c>
      <c r="E34" s="2"/>
      <c r="F34" s="13" t="s">
        <v>8</v>
      </c>
      <c r="G34" s="14"/>
      <c r="H34" s="22">
        <v>58.6</v>
      </c>
    </row>
    <row r="35" spans="1:8" ht="11.1" customHeight="1">
      <c r="A35" s="4"/>
      <c r="B35" s="3"/>
      <c r="C35" s="1"/>
      <c r="D35" s="16"/>
      <c r="E35" s="2"/>
      <c r="F35" s="13" t="s">
        <v>9</v>
      </c>
      <c r="G35" s="14"/>
      <c r="H35" s="22">
        <v>44.5</v>
      </c>
    </row>
    <row r="36" spans="1:8" ht="11.1" customHeight="1">
      <c r="A36" s="4"/>
      <c r="B36" s="3"/>
      <c r="C36" s="1"/>
      <c r="D36" s="16"/>
      <c r="E36" s="2"/>
      <c r="F36" s="13" t="s">
        <v>10</v>
      </c>
      <c r="G36" s="14"/>
      <c r="H36" s="22">
        <v>44.5</v>
      </c>
    </row>
    <row r="37" spans="1:8" ht="11.1" customHeight="1">
      <c r="A37" s="4"/>
      <c r="B37" s="1"/>
      <c r="C37" s="1"/>
      <c r="D37" s="16"/>
      <c r="E37" s="2"/>
      <c r="F37" s="13" t="s">
        <v>11</v>
      </c>
      <c r="G37" s="14"/>
      <c r="H37" s="22">
        <v>44.2</v>
      </c>
    </row>
    <row r="38" spans="1:8" ht="11.1" customHeight="1">
      <c r="A38" s="4"/>
      <c r="B38" s="1"/>
      <c r="C38" s="1"/>
      <c r="D38" s="16"/>
      <c r="E38" s="2"/>
      <c r="F38" s="13" t="s">
        <v>12</v>
      </c>
      <c r="G38" s="14"/>
      <c r="H38" s="22">
        <v>44.4</v>
      </c>
    </row>
    <row r="39" spans="1:8" ht="11.1" customHeight="1">
      <c r="A39" s="4"/>
      <c r="B39" s="1"/>
      <c r="C39" s="1"/>
      <c r="D39" s="16"/>
      <c r="E39" s="2"/>
      <c r="F39" s="13" t="s">
        <v>13</v>
      </c>
      <c r="G39" s="14"/>
      <c r="H39" s="22">
        <v>44.1</v>
      </c>
    </row>
    <row r="40" spans="1:8" ht="11.1" customHeight="1">
      <c r="A40" s="4"/>
      <c r="B40" s="1"/>
      <c r="C40" s="1"/>
      <c r="D40" s="16"/>
      <c r="E40" s="17"/>
      <c r="F40" s="13" t="s">
        <v>14</v>
      </c>
      <c r="G40" s="14"/>
      <c r="H40" s="22">
        <v>36.9</v>
      </c>
    </row>
    <row r="41" spans="1:8" ht="11.1" customHeight="1">
      <c r="A41" s="4"/>
      <c r="B41" s="1"/>
      <c r="C41" s="1"/>
      <c r="D41" s="16"/>
      <c r="E41" s="2"/>
      <c r="F41" s="13" t="s">
        <v>15</v>
      </c>
      <c r="G41" s="14"/>
      <c r="H41" s="22">
        <v>46.3</v>
      </c>
    </row>
    <row r="42" spans="1:8" ht="11.1" customHeight="1">
      <c r="A42" s="4"/>
      <c r="E42" s="2"/>
      <c r="F42" s="13" t="s">
        <v>16</v>
      </c>
      <c r="G42" s="14"/>
      <c r="H42" s="22">
        <v>45.8</v>
      </c>
    </row>
    <row r="43" spans="1:8" ht="11.1" customHeight="1">
      <c r="A43" s="4"/>
      <c r="B43" s="1"/>
      <c r="C43" s="1"/>
      <c r="D43" s="2"/>
      <c r="E43" s="2"/>
      <c r="F43" s="13" t="s">
        <v>17</v>
      </c>
      <c r="G43" s="14"/>
      <c r="H43" s="22">
        <v>44.3</v>
      </c>
    </row>
    <row r="44" spans="1:8" ht="11.1" customHeight="1">
      <c r="A44" s="4"/>
      <c r="B44" s="1"/>
      <c r="C44" s="1"/>
      <c r="D44" s="2"/>
      <c r="E44" s="2"/>
      <c r="F44" s="1"/>
      <c r="G44" s="1"/>
      <c r="H44" s="2"/>
    </row>
    <row r="45" spans="1:8" ht="11.1" customHeight="1">
      <c r="A45" s="4"/>
      <c r="B45" s="1"/>
      <c r="C45" s="1"/>
      <c r="D45" s="2"/>
      <c r="E45" s="2"/>
      <c r="F45" s="3" t="s">
        <v>18</v>
      </c>
      <c r="G45" s="1"/>
      <c r="H45" s="16">
        <f>AVERAGE(H12:H43)</f>
        <v>46.521874999999994</v>
      </c>
    </row>
    <row r="46" spans="1:8" ht="11.1" customHeight="1">
      <c r="A46" s="4"/>
      <c r="B46" s="1"/>
      <c r="C46" s="1"/>
      <c r="D46" s="2"/>
      <c r="E46" s="2"/>
      <c r="F46" s="1"/>
      <c r="G46" s="1"/>
      <c r="H46" s="2"/>
    </row>
    <row r="47" spans="1:8" ht="11.1" customHeight="1">
      <c r="A47" s="4"/>
      <c r="B47" s="1"/>
      <c r="C47" s="1"/>
      <c r="D47" s="2"/>
      <c r="E47" s="2"/>
      <c r="F47" s="19"/>
      <c r="G47" s="4"/>
      <c r="H47" s="5"/>
    </row>
    <row r="48" spans="1:8" ht="11.1" customHeight="1">
      <c r="A48" s="4"/>
      <c r="B48" s="1"/>
      <c r="C48" s="1"/>
      <c r="D48" s="2"/>
      <c r="E48" s="2"/>
      <c r="F48" s="19"/>
      <c r="G48" s="4"/>
      <c r="H48" s="5"/>
    </row>
    <row r="49" spans="1:5" ht="11.1" customHeight="1">
      <c r="A49" s="4"/>
      <c r="B49" s="20" t="s">
        <v>19</v>
      </c>
      <c r="C49" s="1"/>
      <c r="D49" s="21">
        <f>AVERAGE(D12:D29,H12:H43)</f>
        <v>46.654000000000003</v>
      </c>
      <c r="E49" s="2"/>
    </row>
    <row r="50" spans="1:5" ht="11.1" customHeight="1">
      <c r="A50" s="4"/>
      <c r="B50" s="4"/>
      <c r="C50" s="4"/>
      <c r="D50" s="5"/>
      <c r="E50" s="5"/>
    </row>
    <row r="51" spans="1:5" ht="11.1" customHeight="1">
      <c r="A51" s="4"/>
      <c r="B51" s="4"/>
      <c r="C51" s="4"/>
      <c r="D51" s="5"/>
      <c r="E51" s="5"/>
    </row>
    <row r="52" spans="1:5" ht="11.1" customHeight="1">
      <c r="A52" s="4"/>
      <c r="B52" s="6"/>
      <c r="C52" s="6"/>
      <c r="D52" s="7"/>
      <c r="E52" s="5"/>
    </row>
    <row r="53" spans="1:5" ht="11.1" customHeight="1">
      <c r="A53" s="4"/>
      <c r="B53" s="6"/>
      <c r="C53" s="6"/>
      <c r="D53" s="7"/>
      <c r="E53" s="5"/>
    </row>
    <row r="54" spans="1:5" ht="11.1" customHeight="1">
      <c r="A54" s="4"/>
      <c r="B54" s="6"/>
      <c r="C54" s="6"/>
      <c r="D54" s="7"/>
      <c r="E54" s="5"/>
    </row>
    <row r="55" spans="1:5" ht="11.1" customHeight="1">
      <c r="A55" s="4"/>
      <c r="E55" s="5"/>
    </row>
    <row r="56" spans="1:5" ht="11.1" customHeight="1">
      <c r="A56" s="4" t="s">
        <v>60</v>
      </c>
      <c r="E56" s="5"/>
    </row>
    <row r="57" spans="1:5" ht="11.1" customHeight="1">
      <c r="E57" s="2"/>
    </row>
    <row r="58" spans="1:5" ht="11.1" customHeight="1">
      <c r="E58" s="2"/>
    </row>
    <row r="59" spans="1:5" ht="11.1" customHeight="1">
      <c r="A59" s="1"/>
      <c r="E59" s="2"/>
    </row>
    <row r="60" spans="1:5" ht="11.1" customHeight="1">
      <c r="A60" s="1"/>
    </row>
    <row r="61" spans="1:5" ht="11.1" customHeight="1">
      <c r="A61" s="1"/>
    </row>
  </sheetData>
  <phoneticPr fontId="3" type="noConversion"/>
  <printOptions horizontalCentered="1"/>
  <pageMargins left="0.25" right="0.25" top="0.68" bottom="0.46" header="0.23" footer="0.46"/>
  <pageSetup orientation="portrait" horizontalDpi="4294967293" verticalDpi="4294967293"/>
  <headerFooter>
    <oddHeader>&amp;C&amp;"Times,Regular"&amp;10_x000D_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G37" sqref="G37"/>
    </sheetView>
  </sheetViews>
  <sheetFormatPr defaultColWidth="12" defaultRowHeight="12.75"/>
  <cols>
    <col min="1" max="1" width="6.83203125" customWidth="1"/>
    <col min="2" max="2" width="13.6640625" customWidth="1"/>
    <col min="3" max="7" width="10" customWidth="1"/>
  </cols>
  <sheetData>
    <row r="1" spans="1:8">
      <c r="H1" s="31" t="s">
        <v>159</v>
      </c>
    </row>
    <row r="2" spans="1:8">
      <c r="H2" s="31" t="str">
        <f>'Ex3,p1'!H2</f>
        <v>Exhibit No. SGH-3</v>
      </c>
    </row>
    <row r="3" spans="1:8">
      <c r="H3" s="31" t="s">
        <v>153</v>
      </c>
    </row>
    <row r="6" spans="1:8">
      <c r="E6" s="24" t="str">
        <f>'Ex3,p2'!E5</f>
        <v>PACIFIC POWER &amp; LIGHT COMPANY</v>
      </c>
    </row>
    <row r="7" spans="1:8">
      <c r="E7" s="26" t="s">
        <v>154</v>
      </c>
    </row>
    <row r="8" spans="1:8">
      <c r="E8" s="26" t="s">
        <v>155</v>
      </c>
    </row>
    <row r="10" spans="1:8">
      <c r="A10" s="25" t="s">
        <v>72</v>
      </c>
    </row>
    <row r="12" spans="1:8">
      <c r="B12" s="32" t="s">
        <v>63</v>
      </c>
      <c r="C12" s="33">
        <v>39902</v>
      </c>
      <c r="D12" s="33">
        <v>39993</v>
      </c>
      <c r="E12" s="33">
        <v>40085</v>
      </c>
      <c r="F12" s="33">
        <v>40177</v>
      </c>
      <c r="G12" s="33">
        <v>40249</v>
      </c>
      <c r="H12" s="34" t="s">
        <v>71</v>
      </c>
    </row>
    <row r="14" spans="1:8">
      <c r="B14" t="s">
        <v>64</v>
      </c>
      <c r="C14" s="27">
        <v>16226</v>
      </c>
      <c r="D14" s="27">
        <v>16524</v>
      </c>
      <c r="E14" s="27">
        <v>17813</v>
      </c>
      <c r="F14" s="27">
        <v>18816</v>
      </c>
      <c r="G14" s="27">
        <v>19538</v>
      </c>
      <c r="H14" s="27">
        <f>AVERAGE(C14:G14)</f>
        <v>17783.400000000001</v>
      </c>
    </row>
    <row r="15" spans="1:8">
      <c r="C15" s="27"/>
      <c r="D15" s="27"/>
      <c r="E15" s="27"/>
      <c r="F15" s="27"/>
      <c r="G15" s="27"/>
      <c r="H15" s="27"/>
    </row>
    <row r="16" spans="1:8">
      <c r="B16" t="s">
        <v>66</v>
      </c>
      <c r="C16" s="27">
        <v>20487</v>
      </c>
      <c r="D16" s="27">
        <v>21934</v>
      </c>
      <c r="E16" s="27">
        <v>22792</v>
      </c>
      <c r="F16" s="27">
        <v>32012</v>
      </c>
      <c r="G16" s="27">
        <v>32185</v>
      </c>
      <c r="H16" s="27">
        <f t="shared" ref="H16:H20" si="0">AVERAGE(C16:G16)</f>
        <v>25882</v>
      </c>
    </row>
    <row r="17" spans="1:8">
      <c r="C17" s="27"/>
      <c r="D17" s="27"/>
      <c r="E17" s="27"/>
      <c r="F17" s="27"/>
      <c r="G17" s="27"/>
      <c r="H17" s="27"/>
    </row>
    <row r="18" spans="1:8" ht="15">
      <c r="B18" t="s">
        <v>67</v>
      </c>
      <c r="C18" s="28">
        <v>451</v>
      </c>
      <c r="D18" s="28">
        <v>47</v>
      </c>
      <c r="E18" s="28">
        <v>158</v>
      </c>
      <c r="F18" s="28">
        <v>232</v>
      </c>
      <c r="G18" s="28">
        <v>211</v>
      </c>
      <c r="H18" s="28">
        <f t="shared" si="0"/>
        <v>219.8</v>
      </c>
    </row>
    <row r="19" spans="1:8">
      <c r="C19" s="27"/>
      <c r="D19" s="27"/>
      <c r="E19" s="27"/>
      <c r="F19" s="27"/>
      <c r="G19" s="27"/>
      <c r="H19" s="27"/>
    </row>
    <row r="20" spans="1:8">
      <c r="B20" t="s">
        <v>69</v>
      </c>
      <c r="C20" s="27">
        <f>C14+C16+C18</f>
        <v>37164</v>
      </c>
      <c r="D20" s="27">
        <f>D14+D16+D18</f>
        <v>38505</v>
      </c>
      <c r="E20" s="27">
        <f>E14+E16+E18</f>
        <v>40763</v>
      </c>
      <c r="F20" s="27">
        <f>F14+F16+F18</f>
        <v>51060</v>
      </c>
      <c r="G20" s="27">
        <f>G14+G16+G18</f>
        <v>51934</v>
      </c>
      <c r="H20" s="27">
        <f t="shared" si="0"/>
        <v>43885.2</v>
      </c>
    </row>
    <row r="23" spans="1:8">
      <c r="A23" s="25" t="s">
        <v>70</v>
      </c>
    </row>
    <row r="25" spans="1:8">
      <c r="B25" s="32" t="s">
        <v>63</v>
      </c>
      <c r="C25" s="33">
        <v>39902</v>
      </c>
      <c r="D25" s="33">
        <v>39993</v>
      </c>
      <c r="E25" s="33">
        <v>40085</v>
      </c>
      <c r="F25" s="33">
        <v>40177</v>
      </c>
      <c r="G25" s="33">
        <v>40249</v>
      </c>
      <c r="H25" s="35" t="s">
        <v>71</v>
      </c>
    </row>
    <row r="26" spans="1:8">
      <c r="H26" s="25"/>
    </row>
    <row r="27" spans="1:8">
      <c r="B27" t="s">
        <v>64</v>
      </c>
      <c r="C27" s="29">
        <f>C14/C20</f>
        <v>0.43660531697341515</v>
      </c>
      <c r="D27" s="29">
        <f>D14/D20</f>
        <v>0.4291390728476821</v>
      </c>
      <c r="E27" s="29">
        <f>E14/E20</f>
        <v>0.43698942668596519</v>
      </c>
      <c r="F27" s="29">
        <f>F14/F20</f>
        <v>0.36850763807285547</v>
      </c>
      <c r="G27" s="29">
        <f>G14/G20</f>
        <v>0.37620826433550275</v>
      </c>
      <c r="H27" s="36">
        <f>AVERAGE(C27:G27)</f>
        <v>0.40948994378308418</v>
      </c>
    </row>
    <row r="28" spans="1:8">
      <c r="C28" s="29"/>
      <c r="D28" s="29"/>
      <c r="E28" s="29"/>
      <c r="F28" s="29"/>
      <c r="G28" s="29"/>
      <c r="H28" s="36"/>
    </row>
    <row r="29" spans="1:8">
      <c r="B29" t="s">
        <v>66</v>
      </c>
      <c r="C29" s="29">
        <f>C16/C20</f>
        <v>0.55125928317726836</v>
      </c>
      <c r="D29" s="29">
        <f>D16/D20</f>
        <v>0.56964030645370733</v>
      </c>
      <c r="E29" s="29">
        <f>E16/E20</f>
        <v>0.55913450923631725</v>
      </c>
      <c r="F29" s="29">
        <f>F16/F20</f>
        <v>0.62694868781825308</v>
      </c>
      <c r="G29" s="29">
        <f>G16/G20</f>
        <v>0.61972888666384252</v>
      </c>
      <c r="H29" s="36">
        <f t="shared" ref="H29:H31" si="1">AVERAGE(C29:G29)</f>
        <v>0.58534233466987773</v>
      </c>
    </row>
    <row r="30" spans="1:8">
      <c r="C30" s="29"/>
      <c r="D30" s="29"/>
      <c r="E30" s="29"/>
      <c r="F30" s="29"/>
      <c r="G30" s="29"/>
      <c r="H30" s="36"/>
    </row>
    <row r="31" spans="1:8" ht="15">
      <c r="B31" t="s">
        <v>67</v>
      </c>
      <c r="C31" s="30">
        <f>C18/C20</f>
        <v>1.2135399849316542E-2</v>
      </c>
      <c r="D31" s="30">
        <f>D18/D20</f>
        <v>1.22062069861057E-3</v>
      </c>
      <c r="E31" s="30">
        <f>E18/E20</f>
        <v>3.8760640777175379E-3</v>
      </c>
      <c r="F31" s="30">
        <f>F18/F20</f>
        <v>4.5436741088915001E-3</v>
      </c>
      <c r="G31" s="30">
        <f>G18/G20</f>
        <v>4.0628490006546772E-3</v>
      </c>
      <c r="H31" s="37">
        <f t="shared" si="1"/>
        <v>5.1677215470381666E-3</v>
      </c>
    </row>
    <row r="32" spans="1:8">
      <c r="C32" s="29"/>
      <c r="D32" s="29"/>
      <c r="E32" s="29"/>
      <c r="F32" s="29"/>
      <c r="G32" s="29"/>
      <c r="H32" s="36"/>
    </row>
    <row r="33" spans="2:8">
      <c r="B33" t="s">
        <v>69</v>
      </c>
      <c r="C33" s="29">
        <f>C27+C29+C31</f>
        <v>1</v>
      </c>
      <c r="D33" s="29">
        <f t="shared" ref="D33:G33" si="2">D27+D29+D31</f>
        <v>1</v>
      </c>
      <c r="E33" s="29">
        <f t="shared" si="2"/>
        <v>1</v>
      </c>
      <c r="F33" s="29">
        <f t="shared" si="2"/>
        <v>1</v>
      </c>
      <c r="G33" s="29">
        <f t="shared" si="2"/>
        <v>1</v>
      </c>
      <c r="H33" s="36">
        <f>H27+H29+H31</f>
        <v>1.0000000000000002</v>
      </c>
    </row>
  </sheetData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3"/>
  <sheetViews>
    <sheetView tabSelected="1" workbookViewId="0">
      <selection activeCell="E8" sqref="E8"/>
    </sheetView>
  </sheetViews>
  <sheetFormatPr defaultColWidth="12" defaultRowHeight="12.75"/>
  <cols>
    <col min="3" max="3" width="12.33203125" customWidth="1"/>
    <col min="4" max="4" width="11.33203125" customWidth="1"/>
    <col min="7" max="7" width="12.33203125" bestFit="1" customWidth="1"/>
  </cols>
  <sheetData>
    <row r="1" spans="2:8">
      <c r="H1" s="31" t="s">
        <v>159</v>
      </c>
    </row>
    <row r="2" spans="2:8">
      <c r="H2" s="31" t="str">
        <f>'Ex3,p5'!H2</f>
        <v>Exhibit No. SGH-3</v>
      </c>
    </row>
    <row r="3" spans="2:8">
      <c r="H3" s="31" t="s">
        <v>148</v>
      </c>
    </row>
    <row r="6" spans="2:8">
      <c r="E6" s="24" t="str">
        <f>'Ex3,p2'!E5</f>
        <v>PACIFIC POWER &amp; LIGHT COMPANY</v>
      </c>
    </row>
    <row r="8" spans="2:8">
      <c r="E8" s="26" t="s">
        <v>160</v>
      </c>
    </row>
    <row r="11" spans="2:8">
      <c r="B11" t="s">
        <v>79</v>
      </c>
    </row>
    <row r="13" spans="2:8">
      <c r="D13" s="40" t="s">
        <v>77</v>
      </c>
      <c r="E13" s="40"/>
      <c r="F13" s="40" t="s">
        <v>75</v>
      </c>
      <c r="G13" s="40" t="s">
        <v>76</v>
      </c>
    </row>
    <row r="14" spans="2:8">
      <c r="C14" s="32" t="s">
        <v>63</v>
      </c>
      <c r="D14" s="34" t="s">
        <v>78</v>
      </c>
      <c r="E14" s="34" t="s">
        <v>74</v>
      </c>
      <c r="F14" s="34" t="s">
        <v>74</v>
      </c>
      <c r="G14" s="34" t="s">
        <v>74</v>
      </c>
    </row>
    <row r="16" spans="2:8">
      <c r="C16" t="s">
        <v>64</v>
      </c>
      <c r="D16" s="29">
        <v>0.51729999999999998</v>
      </c>
      <c r="E16" s="29">
        <v>0.1</v>
      </c>
      <c r="F16" s="29">
        <f>D16*E16</f>
        <v>5.1729999999999998E-2</v>
      </c>
      <c r="G16" s="29">
        <f>F16/0.65</f>
        <v>7.9584615384615379E-2</v>
      </c>
    </row>
    <row r="17" spans="2:7">
      <c r="D17" s="29"/>
      <c r="E17" s="29"/>
      <c r="F17" s="29"/>
      <c r="G17" s="29"/>
    </row>
    <row r="18" spans="2:7">
      <c r="C18" t="s">
        <v>65</v>
      </c>
      <c r="D18" s="29">
        <v>2.0000000000000001E-4</v>
      </c>
      <c r="E18" s="29">
        <v>6.7500000000000004E-2</v>
      </c>
      <c r="F18" s="29">
        <f>D18*E18</f>
        <v>1.3500000000000001E-5</v>
      </c>
      <c r="G18" s="29">
        <f>F18/0.65</f>
        <v>2.0769230769230772E-5</v>
      </c>
    </row>
    <row r="19" spans="2:7">
      <c r="D19" s="29"/>
      <c r="E19" s="29"/>
      <c r="F19" s="29"/>
      <c r="G19" s="29"/>
    </row>
    <row r="20" spans="2:7">
      <c r="C20" t="s">
        <v>66</v>
      </c>
      <c r="D20" s="29">
        <v>0.48060000000000003</v>
      </c>
      <c r="E20" s="29">
        <v>5.1900000000000002E-2</v>
      </c>
      <c r="F20" s="29">
        <f>D20*E20</f>
        <v>2.4943140000000003E-2</v>
      </c>
      <c r="G20" s="29">
        <f>F20</f>
        <v>2.4943140000000003E-2</v>
      </c>
    </row>
    <row r="21" spans="2:7">
      <c r="D21" s="29"/>
      <c r="E21" s="29"/>
      <c r="F21" s="29"/>
      <c r="G21" s="29"/>
    </row>
    <row r="22" spans="2:7">
      <c r="C22" t="s">
        <v>67</v>
      </c>
      <c r="D22" s="41">
        <v>1.9E-3</v>
      </c>
      <c r="E22" s="41">
        <v>1.7299999999999999E-2</v>
      </c>
      <c r="F22" s="41">
        <f>D22*E22</f>
        <v>3.2870000000000002E-5</v>
      </c>
      <c r="G22" s="41">
        <f>F22</f>
        <v>3.2870000000000002E-5</v>
      </c>
    </row>
    <row r="23" spans="2:7">
      <c r="D23" s="29"/>
      <c r="E23" s="29"/>
      <c r="F23" s="29"/>
      <c r="G23" s="29"/>
    </row>
    <row r="24" spans="2:7">
      <c r="C24" t="s">
        <v>69</v>
      </c>
      <c r="D24" s="29">
        <f>D16+D18+D20+D22</f>
        <v>1</v>
      </c>
      <c r="E24" s="29"/>
      <c r="F24" s="29"/>
      <c r="G24" s="36">
        <f>G16+G18+G20+G22</f>
        <v>0.10458139461538461</v>
      </c>
    </row>
    <row r="28" spans="2:7">
      <c r="B28" t="s">
        <v>80</v>
      </c>
    </row>
    <row r="30" spans="2:7">
      <c r="D30" s="40" t="s">
        <v>77</v>
      </c>
      <c r="E30" s="40"/>
      <c r="F30" s="40" t="s">
        <v>75</v>
      </c>
      <c r="G30" s="40" t="s">
        <v>76</v>
      </c>
    </row>
    <row r="31" spans="2:7">
      <c r="C31" s="32" t="s">
        <v>63</v>
      </c>
      <c r="D31" s="34" t="s">
        <v>78</v>
      </c>
      <c r="E31" s="34" t="s">
        <v>147</v>
      </c>
      <c r="F31" s="34" t="s">
        <v>74</v>
      </c>
      <c r="G31" s="34" t="s">
        <v>74</v>
      </c>
    </row>
    <row r="33" spans="3:7">
      <c r="C33" t="s">
        <v>64</v>
      </c>
      <c r="D33" s="29">
        <v>0.49099999999999999</v>
      </c>
      <c r="E33" s="29">
        <v>0.1011</v>
      </c>
      <c r="F33" s="29">
        <f>D33*E33</f>
        <v>4.96401E-2</v>
      </c>
      <c r="G33" s="29">
        <f>F33/0.65</f>
        <v>7.6369384615384617E-2</v>
      </c>
    </row>
    <row r="34" spans="3:7">
      <c r="D34" s="29"/>
      <c r="E34" s="29"/>
      <c r="F34" s="29"/>
      <c r="G34" s="29"/>
    </row>
    <row r="35" spans="3:7">
      <c r="C35" t="s">
        <v>65</v>
      </c>
      <c r="D35" s="29">
        <v>2.0000000000000001E-4</v>
      </c>
      <c r="E35" s="29">
        <v>6.7500000000000004E-2</v>
      </c>
      <c r="F35" s="29">
        <f>D35*E35</f>
        <v>1.3500000000000001E-5</v>
      </c>
      <c r="G35" s="29">
        <f>F35/0.65</f>
        <v>2.0769230769230772E-5</v>
      </c>
    </row>
    <row r="36" spans="3:7">
      <c r="D36" s="29"/>
      <c r="E36" s="29"/>
      <c r="F36" s="29"/>
      <c r="G36" s="29"/>
    </row>
    <row r="37" spans="3:7">
      <c r="C37" t="s">
        <v>66</v>
      </c>
      <c r="D37" s="29">
        <v>0.50690000000000002</v>
      </c>
      <c r="E37" s="29">
        <v>5.1900000000000002E-2</v>
      </c>
      <c r="F37" s="29">
        <f>D37*E37</f>
        <v>2.6308110000000003E-2</v>
      </c>
      <c r="G37" s="29">
        <f>F37</f>
        <v>2.6308110000000003E-2</v>
      </c>
    </row>
    <row r="38" spans="3:7">
      <c r="D38" s="29"/>
      <c r="E38" s="29"/>
      <c r="F38" s="29"/>
      <c r="G38" s="29"/>
    </row>
    <row r="39" spans="3:7">
      <c r="C39" t="s">
        <v>67</v>
      </c>
      <c r="D39" s="41">
        <v>1.9E-3</v>
      </c>
      <c r="E39" s="41">
        <v>1.7299999999999999E-2</v>
      </c>
      <c r="F39" s="41">
        <f>D39*E39</f>
        <v>3.2870000000000002E-5</v>
      </c>
      <c r="G39" s="41">
        <f>F39</f>
        <v>3.2870000000000002E-5</v>
      </c>
    </row>
    <row r="40" spans="3:7">
      <c r="D40" s="29"/>
      <c r="E40" s="29"/>
      <c r="F40" s="29"/>
      <c r="G40" s="29"/>
    </row>
    <row r="41" spans="3:7">
      <c r="C41" t="s">
        <v>69</v>
      </c>
      <c r="D41" s="29">
        <f>D33+D35+D37+D39</f>
        <v>1</v>
      </c>
      <c r="E41" s="29"/>
      <c r="F41" s="29"/>
      <c r="G41" s="36">
        <f>G33+G35+G37+G39</f>
        <v>0.10273113384615386</v>
      </c>
    </row>
    <row r="43" spans="3:7">
      <c r="F43" s="31" t="s">
        <v>146</v>
      </c>
      <c r="G43" s="36">
        <f>G24-G41</f>
        <v>1.8502607692307549E-3</v>
      </c>
    </row>
    <row r="46" spans="3:7">
      <c r="F46" s="31" t="s">
        <v>142</v>
      </c>
      <c r="G46" s="26" t="s">
        <v>143</v>
      </c>
    </row>
    <row r="49" spans="2:7">
      <c r="F49" s="31" t="s">
        <v>144</v>
      </c>
      <c r="G49" s="66" t="s">
        <v>145</v>
      </c>
    </row>
    <row r="53" spans="2:7">
      <c r="B53" t="s">
        <v>158</v>
      </c>
    </row>
  </sheetData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71"/>
  <sheetViews>
    <sheetView workbookViewId="0">
      <selection activeCell="B14" sqref="B14"/>
    </sheetView>
  </sheetViews>
  <sheetFormatPr defaultColWidth="10.83203125" defaultRowHeight="12.75"/>
  <cols>
    <col min="1" max="1" width="15.5" style="42" customWidth="1"/>
    <col min="2" max="2" width="9.6640625" style="42" customWidth="1"/>
    <col min="3" max="3" width="12.1640625" style="42" customWidth="1"/>
    <col min="4" max="4" width="10.83203125" style="42" customWidth="1"/>
    <col min="5" max="5" width="12.5" style="42" customWidth="1"/>
    <col min="6" max="6" width="5.6640625" style="42" customWidth="1"/>
    <col min="7" max="7" width="14.5" style="42" customWidth="1"/>
    <col min="8" max="8" width="15.6640625" style="42" customWidth="1"/>
    <col min="9" max="16384" width="10.83203125" style="42"/>
  </cols>
  <sheetData>
    <row r="1" spans="1:8" ht="15.75">
      <c r="A1" s="69" t="s">
        <v>156</v>
      </c>
      <c r="E1" s="43"/>
      <c r="F1" s="43"/>
      <c r="G1" s="43"/>
      <c r="H1" s="31" t="s">
        <v>159</v>
      </c>
    </row>
    <row r="2" spans="1:8" ht="15.75">
      <c r="E2" s="43"/>
      <c r="F2" s="43"/>
      <c r="G2" s="43"/>
      <c r="H2" s="64" t="s">
        <v>157</v>
      </c>
    </row>
    <row r="3" spans="1:8" ht="15.75">
      <c r="E3" s="43"/>
      <c r="F3" s="43"/>
      <c r="G3" s="43"/>
      <c r="H3" s="64" t="s">
        <v>149</v>
      </c>
    </row>
    <row r="4" spans="1:8" ht="15.75">
      <c r="E4" s="43"/>
      <c r="F4" s="43"/>
      <c r="G4" s="43"/>
      <c r="H4" s="43"/>
    </row>
    <row r="5" spans="1:8" ht="15.75">
      <c r="E5" s="45" t="s">
        <v>61</v>
      </c>
      <c r="F5" s="43"/>
      <c r="G5" s="43"/>
      <c r="H5" s="43"/>
    </row>
    <row r="6" spans="1:8" ht="15.75">
      <c r="E6" s="43"/>
      <c r="F6" s="43"/>
      <c r="G6" s="43"/>
      <c r="H6" s="43"/>
    </row>
    <row r="7" spans="1:8" ht="15.75">
      <c r="E7" s="45" t="s">
        <v>81</v>
      </c>
      <c r="F7" s="43"/>
      <c r="G7" s="43"/>
      <c r="H7" s="43"/>
    </row>
    <row r="8" spans="1:8">
      <c r="E8" s="44" t="s">
        <v>82</v>
      </c>
    </row>
    <row r="10" spans="1:8">
      <c r="B10" s="44"/>
      <c r="D10" s="44"/>
      <c r="E10" s="44" t="s">
        <v>83</v>
      </c>
      <c r="F10" s="44"/>
      <c r="H10" s="44"/>
    </row>
    <row r="11" spans="1:8">
      <c r="B11" s="44"/>
      <c r="D11" s="44" t="s">
        <v>84</v>
      </c>
      <c r="E11" s="44" t="s">
        <v>85</v>
      </c>
      <c r="F11" s="44" t="s">
        <v>86</v>
      </c>
      <c r="G11" s="44" t="s">
        <v>87</v>
      </c>
      <c r="H11" s="44"/>
    </row>
    <row r="12" spans="1:8">
      <c r="C12" s="46" t="s">
        <v>88</v>
      </c>
      <c r="D12" s="46" t="s">
        <v>23</v>
      </c>
      <c r="E12" s="46" t="s">
        <v>89</v>
      </c>
      <c r="F12" s="46" t="s">
        <v>25</v>
      </c>
      <c r="G12" s="46" t="s">
        <v>90</v>
      </c>
      <c r="H12" s="46"/>
    </row>
    <row r="13" spans="1:8">
      <c r="B13" s="46"/>
      <c r="D13" s="46"/>
      <c r="E13" s="46"/>
      <c r="F13" s="46"/>
      <c r="G13" s="46"/>
      <c r="H13" s="44"/>
    </row>
    <row r="14" spans="1:8" ht="15">
      <c r="B14" s="46"/>
      <c r="C14" s="47" t="s">
        <v>91</v>
      </c>
      <c r="D14" s="48">
        <v>0.48399999999999999</v>
      </c>
      <c r="E14" s="48">
        <f t="shared" ref="E14:E26" si="0">1-D14</f>
        <v>0.51600000000000001</v>
      </c>
      <c r="F14" s="49">
        <v>1.8660000000000001</v>
      </c>
      <c r="G14" s="50">
        <f t="shared" ref="G14:G37" si="1">E14*(1-0.35)/(D14*F14)</f>
        <v>0.37136934973824776</v>
      </c>
      <c r="H14" s="44"/>
    </row>
    <row r="15" spans="1:8" ht="15">
      <c r="B15" s="46"/>
      <c r="C15" s="47" t="s">
        <v>92</v>
      </c>
      <c r="D15" s="48">
        <v>0.45800000000000002</v>
      </c>
      <c r="E15" s="48">
        <f t="shared" si="0"/>
        <v>0.54200000000000004</v>
      </c>
      <c r="F15" s="49">
        <v>1.62</v>
      </c>
      <c r="G15" s="50">
        <f t="shared" si="1"/>
        <v>0.47482344061674486</v>
      </c>
      <c r="H15" s="44"/>
    </row>
    <row r="16" spans="1:8" ht="15">
      <c r="B16" s="46"/>
      <c r="C16" s="47" t="s">
        <v>93</v>
      </c>
      <c r="D16" s="48">
        <v>0.45800000000000002</v>
      </c>
      <c r="E16" s="48">
        <f t="shared" si="0"/>
        <v>0.54200000000000004</v>
      </c>
      <c r="F16" s="49">
        <v>1.472</v>
      </c>
      <c r="G16" s="50">
        <f t="shared" si="1"/>
        <v>0.52256384089614594</v>
      </c>
      <c r="H16" s="44"/>
    </row>
    <row r="17" spans="2:8" ht="15">
      <c r="B17" s="46"/>
      <c r="C17" s="47" t="s">
        <v>94</v>
      </c>
      <c r="D17" s="48">
        <v>0.47199999999999998</v>
      </c>
      <c r="E17" s="48">
        <f t="shared" si="0"/>
        <v>0.52800000000000002</v>
      </c>
      <c r="F17" s="49">
        <v>2.0110000000000001</v>
      </c>
      <c r="G17" s="50">
        <f t="shared" si="1"/>
        <v>0.36157068327588093</v>
      </c>
      <c r="H17" s="44"/>
    </row>
    <row r="18" spans="2:8" ht="15">
      <c r="B18" s="46"/>
      <c r="C18" s="47" t="s">
        <v>95</v>
      </c>
      <c r="D18" s="48">
        <v>0.34</v>
      </c>
      <c r="E18" s="48">
        <f t="shared" si="0"/>
        <v>0.65999999999999992</v>
      </c>
      <c r="F18" s="49">
        <v>2.3929999999999998</v>
      </c>
      <c r="G18" s="50">
        <f t="shared" si="1"/>
        <v>0.52727317420909015</v>
      </c>
      <c r="H18" s="44"/>
    </row>
    <row r="19" spans="2:8" ht="15">
      <c r="B19" s="46"/>
      <c r="C19" s="47" t="s">
        <v>96</v>
      </c>
      <c r="D19" s="48">
        <v>0.54500000000000004</v>
      </c>
      <c r="E19" s="48">
        <f t="shared" si="0"/>
        <v>0.45499999999999996</v>
      </c>
      <c r="F19" s="49">
        <v>2.2050000000000001</v>
      </c>
      <c r="G19" s="50">
        <f t="shared" si="1"/>
        <v>0.24610455803116346</v>
      </c>
      <c r="H19" s="44"/>
    </row>
    <row r="20" spans="2:8" ht="15">
      <c r="B20" s="46"/>
      <c r="C20" s="47" t="s">
        <v>97</v>
      </c>
      <c r="D20" s="48">
        <v>0.499</v>
      </c>
      <c r="E20" s="48">
        <f t="shared" si="0"/>
        <v>0.501</v>
      </c>
      <c r="F20" s="49">
        <v>1.3380000000000001</v>
      </c>
      <c r="G20" s="50">
        <f t="shared" si="1"/>
        <v>0.48774679403650345</v>
      </c>
      <c r="H20" s="44"/>
    </row>
    <row r="21" spans="2:8" ht="15">
      <c r="B21" s="46"/>
      <c r="C21" s="47" t="s">
        <v>98</v>
      </c>
      <c r="D21" s="48">
        <v>0.33300000000000002</v>
      </c>
      <c r="E21" s="48">
        <f t="shared" si="0"/>
        <v>0.66700000000000004</v>
      </c>
      <c r="F21" s="49">
        <v>3.5009999999999999</v>
      </c>
      <c r="G21" s="50">
        <f t="shared" si="1"/>
        <v>0.37188002055182862</v>
      </c>
      <c r="H21" s="44"/>
    </row>
    <row r="22" spans="2:8" ht="15">
      <c r="B22" s="46"/>
      <c r="C22" s="47" t="s">
        <v>99</v>
      </c>
      <c r="D22" s="48">
        <v>0.49199999999999999</v>
      </c>
      <c r="E22" s="48">
        <f t="shared" si="0"/>
        <v>0.50800000000000001</v>
      </c>
      <c r="F22" s="49">
        <v>1.6930000000000001</v>
      </c>
      <c r="G22" s="50">
        <f t="shared" si="1"/>
        <v>0.39641949874903354</v>
      </c>
      <c r="H22" s="44"/>
    </row>
    <row r="23" spans="2:8" ht="15">
      <c r="B23" s="46"/>
      <c r="C23" s="47" t="s">
        <v>100</v>
      </c>
      <c r="D23" s="48">
        <v>0.49399999999999999</v>
      </c>
      <c r="E23" s="48">
        <f t="shared" si="0"/>
        <v>0.50600000000000001</v>
      </c>
      <c r="F23" s="49">
        <v>1.256</v>
      </c>
      <c r="G23" s="50">
        <f t="shared" si="1"/>
        <v>0.53008716057660077</v>
      </c>
      <c r="H23" s="44"/>
    </row>
    <row r="24" spans="2:8" ht="15">
      <c r="B24" s="46"/>
      <c r="C24" s="47" t="s">
        <v>101</v>
      </c>
      <c r="D24" s="48">
        <v>0.47599999999999998</v>
      </c>
      <c r="E24" s="48">
        <f t="shared" si="0"/>
        <v>0.52400000000000002</v>
      </c>
      <c r="F24" s="49">
        <v>1.643</v>
      </c>
      <c r="G24" s="50">
        <f t="shared" si="1"/>
        <v>0.43551200151393488</v>
      </c>
      <c r="H24" s="44"/>
    </row>
    <row r="25" spans="2:8" ht="15">
      <c r="B25" s="46"/>
      <c r="C25" s="47" t="s">
        <v>102</v>
      </c>
      <c r="D25" s="48">
        <v>0.52700000000000002</v>
      </c>
      <c r="E25" s="48">
        <f t="shared" si="0"/>
        <v>0.47299999999999998</v>
      </c>
      <c r="F25" s="49">
        <v>1.5549999999999999</v>
      </c>
      <c r="G25" s="50">
        <f t="shared" si="1"/>
        <v>0.3751746523731368</v>
      </c>
      <c r="H25" s="44"/>
    </row>
    <row r="26" spans="2:8" ht="15">
      <c r="B26" s="46"/>
      <c r="C26" s="47" t="s">
        <v>103</v>
      </c>
      <c r="D26" s="48">
        <v>0.38100000000000001</v>
      </c>
      <c r="E26" s="48">
        <f t="shared" si="0"/>
        <v>0.61899999999999999</v>
      </c>
      <c r="F26" s="49">
        <v>2.4009999999999998</v>
      </c>
      <c r="G26" s="50">
        <f t="shared" si="1"/>
        <v>0.43983204723316294</v>
      </c>
      <c r="H26" s="44"/>
    </row>
    <row r="27" spans="2:8" ht="15">
      <c r="C27" s="47" t="s">
        <v>104</v>
      </c>
      <c r="D27" s="48">
        <v>0.50800000000000001</v>
      </c>
      <c r="E27" s="48">
        <f>1-D27</f>
        <v>0.49199999999999999</v>
      </c>
      <c r="F27" s="49">
        <v>1.5089999999999999</v>
      </c>
      <c r="G27" s="50">
        <f t="shared" si="1"/>
        <v>0.41718194768397499</v>
      </c>
      <c r="H27" s="49"/>
    </row>
    <row r="28" spans="2:8" ht="15">
      <c r="C28" s="47" t="s">
        <v>105</v>
      </c>
      <c r="D28" s="48">
        <v>0.45800000000000002</v>
      </c>
      <c r="E28" s="48">
        <v>0.52</v>
      </c>
      <c r="F28" s="49">
        <v>2.0289999999999999</v>
      </c>
      <c r="G28" s="50">
        <f t="shared" si="1"/>
        <v>0.36372166898745484</v>
      </c>
      <c r="H28" s="49"/>
    </row>
    <row r="29" spans="2:8" ht="15">
      <c r="C29" s="47" t="s">
        <v>106</v>
      </c>
      <c r="D29" s="48">
        <v>0.501</v>
      </c>
      <c r="E29" s="48">
        <f t="shared" ref="E29:E37" si="2">1-D29</f>
        <v>0.499</v>
      </c>
      <c r="F29" s="49">
        <v>2.4540000000000002</v>
      </c>
      <c r="G29" s="50">
        <f t="shared" si="1"/>
        <v>0.26381629568898063</v>
      </c>
      <c r="H29" s="49"/>
    </row>
    <row r="30" spans="2:8" ht="15">
      <c r="C30" s="47" t="s">
        <v>107</v>
      </c>
      <c r="D30" s="48">
        <v>0.433</v>
      </c>
      <c r="E30" s="48">
        <f t="shared" si="2"/>
        <v>0.56699999999999995</v>
      </c>
      <c r="F30" s="49">
        <v>1.589</v>
      </c>
      <c r="G30" s="50">
        <f t="shared" si="1"/>
        <v>0.53565433254316264</v>
      </c>
      <c r="H30" s="49"/>
    </row>
    <row r="31" spans="2:8" ht="15">
      <c r="C31" s="47" t="s">
        <v>108</v>
      </c>
      <c r="D31" s="48">
        <v>0.53</v>
      </c>
      <c r="E31" s="48">
        <v>0.56000000000000005</v>
      </c>
      <c r="F31" s="49">
        <v>1.4670000000000001</v>
      </c>
      <c r="G31" s="50">
        <f t="shared" si="1"/>
        <v>0.46816118120667261</v>
      </c>
      <c r="H31" s="49"/>
    </row>
    <row r="32" spans="2:8" ht="15">
      <c r="C32" s="47" t="s">
        <v>109</v>
      </c>
      <c r="D32" s="48">
        <v>0.49199999999999999</v>
      </c>
      <c r="E32" s="48">
        <f t="shared" si="2"/>
        <v>0.50800000000000001</v>
      </c>
      <c r="F32" s="49">
        <v>1.4279999999999999</v>
      </c>
      <c r="G32" s="50">
        <f t="shared" si="1"/>
        <v>0.4699847418642254</v>
      </c>
      <c r="H32" s="49"/>
    </row>
    <row r="33" spans="2:10" ht="15">
      <c r="C33" s="47" t="s">
        <v>110</v>
      </c>
      <c r="D33" s="48">
        <v>0.44500000000000001</v>
      </c>
      <c r="E33" s="48">
        <f t="shared" si="2"/>
        <v>0.55499999999999994</v>
      </c>
      <c r="F33" s="49">
        <v>1.548</v>
      </c>
      <c r="G33" s="50">
        <f t="shared" si="1"/>
        <v>0.52369131608744879</v>
      </c>
      <c r="H33" s="49"/>
    </row>
    <row r="34" spans="2:10" ht="15">
      <c r="C34" s="47" t="s">
        <v>111</v>
      </c>
      <c r="D34" s="48">
        <v>0.45200000000000001</v>
      </c>
      <c r="E34" s="48">
        <f t="shared" si="2"/>
        <v>0.54800000000000004</v>
      </c>
      <c r="F34" s="49">
        <v>1.988</v>
      </c>
      <c r="G34" s="50">
        <f t="shared" si="1"/>
        <v>0.39640497854382933</v>
      </c>
      <c r="H34" s="49"/>
    </row>
    <row r="35" spans="2:10" ht="15">
      <c r="C35" s="47" t="s">
        <v>112</v>
      </c>
      <c r="D35" s="48">
        <v>0.46200000000000002</v>
      </c>
      <c r="E35" s="48">
        <f t="shared" si="2"/>
        <v>0.53800000000000003</v>
      </c>
      <c r="F35" s="49">
        <v>1.548</v>
      </c>
      <c r="G35" s="50">
        <f t="shared" si="1"/>
        <v>0.48897054711008198</v>
      </c>
      <c r="H35" s="49"/>
    </row>
    <row r="36" spans="2:10" ht="15">
      <c r="C36" s="47" t="s">
        <v>113</v>
      </c>
      <c r="D36" s="48">
        <v>0.45800000000000002</v>
      </c>
      <c r="E36" s="48">
        <f t="shared" si="2"/>
        <v>0.54200000000000004</v>
      </c>
      <c r="F36" s="49">
        <v>2.4300000000000002</v>
      </c>
      <c r="G36" s="50">
        <f t="shared" si="1"/>
        <v>0.31654896041116326</v>
      </c>
      <c r="H36" s="49"/>
    </row>
    <row r="37" spans="2:10" ht="15">
      <c r="C37" s="47" t="s">
        <v>114</v>
      </c>
      <c r="D37" s="51">
        <v>0.443</v>
      </c>
      <c r="E37" s="51">
        <f t="shared" si="2"/>
        <v>0.55699999999999994</v>
      </c>
      <c r="F37" s="52">
        <v>1.6240000000000001</v>
      </c>
      <c r="G37" s="53">
        <f t="shared" si="1"/>
        <v>0.50324422600051144</v>
      </c>
      <c r="H37" s="49"/>
    </row>
    <row r="38" spans="2:10">
      <c r="C38" s="44" t="s">
        <v>115</v>
      </c>
      <c r="D38" s="48">
        <f>AVERAGE(D14:D37)</f>
        <v>0.46420833333333333</v>
      </c>
      <c r="E38" s="48">
        <f>AVERAGE(E14:E37)</f>
        <v>0.53862500000000002</v>
      </c>
      <c r="F38" s="55">
        <f>AVERAGE(F14:F37)</f>
        <v>1.8570000000000002</v>
      </c>
      <c r="G38" s="56">
        <f>AVERAGE(G14:G37)</f>
        <v>0.42865572574704086</v>
      </c>
      <c r="H38" s="55"/>
      <c r="I38" s="57"/>
      <c r="J38" s="42">
        <v>0.71</v>
      </c>
    </row>
    <row r="39" spans="2:10">
      <c r="B39" s="44"/>
      <c r="C39" s="48"/>
      <c r="D39" s="48"/>
      <c r="E39" s="48"/>
      <c r="F39" s="49"/>
      <c r="G39" s="56"/>
      <c r="H39" s="49"/>
      <c r="I39" s="57"/>
    </row>
    <row r="40" spans="2:10">
      <c r="B40" s="58"/>
      <c r="C40" s="64" t="s">
        <v>139</v>
      </c>
      <c r="D40" s="48">
        <v>0.51729999999999998</v>
      </c>
      <c r="E40" s="48">
        <f>1-D40</f>
        <v>0.48270000000000002</v>
      </c>
      <c r="F40" s="49">
        <v>1.86</v>
      </c>
      <c r="G40" s="56">
        <f>E40*(1-0.35)/(D40*F40)</f>
        <v>0.32608831214182826</v>
      </c>
      <c r="H40" s="55"/>
      <c r="I40" s="57"/>
    </row>
    <row r="41" spans="2:10">
      <c r="B41" s="58"/>
      <c r="C41" s="64" t="s">
        <v>140</v>
      </c>
      <c r="D41" s="48">
        <v>0.49099999999999999</v>
      </c>
      <c r="E41" s="48">
        <f>1-D41</f>
        <v>0.50900000000000001</v>
      </c>
      <c r="F41" s="49">
        <v>1.86</v>
      </c>
      <c r="G41" s="56">
        <f>E41*(1-0.35)/(D41*F41)</f>
        <v>0.36227361320981977</v>
      </c>
    </row>
    <row r="43" spans="2:10">
      <c r="E43" s="46" t="s">
        <v>118</v>
      </c>
    </row>
    <row r="45" spans="2:10">
      <c r="D45" s="42" t="s">
        <v>119</v>
      </c>
    </row>
    <row r="46" spans="2:10">
      <c r="G46" s="54"/>
    </row>
    <row r="47" spans="2:10">
      <c r="D47" s="54" t="s">
        <v>120</v>
      </c>
      <c r="E47" s="44" t="s">
        <v>121</v>
      </c>
      <c r="G47" s="56">
        <f>J38/(1+G38)</f>
        <v>0.49697067474302986</v>
      </c>
      <c r="H47" s="55"/>
    </row>
    <row r="48" spans="2:10">
      <c r="D48" s="54"/>
      <c r="E48" s="49"/>
      <c r="F48" s="55"/>
      <c r="H48" s="55"/>
    </row>
    <row r="49" spans="2:12">
      <c r="D49" s="54"/>
      <c r="E49" s="49"/>
      <c r="F49" s="55"/>
      <c r="H49" s="55"/>
    </row>
    <row r="50" spans="2:12">
      <c r="B50" s="68" t="s">
        <v>116</v>
      </c>
      <c r="C50" s="59" t="s">
        <v>122</v>
      </c>
      <c r="D50" s="58" t="s">
        <v>123</v>
      </c>
      <c r="E50" s="49"/>
      <c r="F50" s="55"/>
      <c r="H50" s="55"/>
    </row>
    <row r="51" spans="2:12">
      <c r="D51" s="54"/>
      <c r="E51" s="49"/>
      <c r="F51" s="55"/>
      <c r="H51" s="55"/>
      <c r="K51" s="42">
        <f>0.108/2.63</f>
        <v>4.1064638783269963E-2</v>
      </c>
    </row>
    <row r="52" spans="2:12">
      <c r="D52" s="54" t="s">
        <v>124</v>
      </c>
      <c r="E52" s="49" t="s">
        <v>125</v>
      </c>
      <c r="G52" s="56">
        <f>G47*(1+G40)</f>
        <v>0.65902700325397001</v>
      </c>
      <c r="H52" s="55"/>
    </row>
    <row r="53" spans="2:12">
      <c r="G53" s="54"/>
      <c r="K53" s="42">
        <f>51.73-49.1</f>
        <v>2.6299999999999955</v>
      </c>
    </row>
    <row r="54" spans="2:12">
      <c r="B54" s="68" t="s">
        <v>117</v>
      </c>
      <c r="C54" s="59" t="s">
        <v>126</v>
      </c>
      <c r="D54" s="67" t="s">
        <v>150</v>
      </c>
      <c r="E54" s="49"/>
      <c r="F54" s="55"/>
    </row>
    <row r="55" spans="2:12">
      <c r="D55" s="54"/>
      <c r="E55" s="49"/>
      <c r="F55" s="55"/>
    </row>
    <row r="56" spans="2:12">
      <c r="D56" s="54" t="s">
        <v>127</v>
      </c>
      <c r="E56" s="49" t="s">
        <v>128</v>
      </c>
      <c r="G56" s="56">
        <f>G47*(1+G41)</f>
        <v>0.6770100367415095</v>
      </c>
      <c r="L56" s="60"/>
    </row>
    <row r="57" spans="2:12">
      <c r="G57" s="54"/>
      <c r="K57" s="42">
        <f>0.1008/(51.73-49.1)</f>
        <v>3.8326996197718698E-2</v>
      </c>
    </row>
    <row r="58" spans="2:12">
      <c r="D58" s="61" t="s">
        <v>129</v>
      </c>
    </row>
    <row r="59" spans="2:12">
      <c r="E59" s="49"/>
    </row>
    <row r="60" spans="2:12">
      <c r="D60" s="42" t="s">
        <v>130</v>
      </c>
      <c r="G60" s="50">
        <f>G56</f>
        <v>0.6770100367415095</v>
      </c>
      <c r="H60" s="50"/>
    </row>
    <row r="61" spans="2:12">
      <c r="D61" s="42" t="s">
        <v>131</v>
      </c>
      <c r="G61" s="53">
        <f>G52</f>
        <v>0.65902700325397001</v>
      </c>
      <c r="H61" s="53"/>
    </row>
    <row r="62" spans="2:12">
      <c r="G62" s="50"/>
      <c r="H62" s="50"/>
      <c r="K62" s="42">
        <f>0.06*0.018</f>
        <v>1.0799999999999998E-3</v>
      </c>
    </row>
    <row r="63" spans="2:12">
      <c r="C63" s="54" t="s">
        <v>132</v>
      </c>
      <c r="D63" s="42" t="s">
        <v>133</v>
      </c>
      <c r="G63" s="50">
        <f>ABS(G60-G61)</f>
        <v>1.798303348753949E-2</v>
      </c>
      <c r="H63" s="50"/>
    </row>
    <row r="64" spans="2:12">
      <c r="C64" s="54"/>
      <c r="H64" s="44"/>
    </row>
    <row r="65" spans="2:12">
      <c r="C65" s="54" t="s">
        <v>134</v>
      </c>
      <c r="D65" s="42" t="s">
        <v>135</v>
      </c>
      <c r="G65" s="48">
        <v>0.06</v>
      </c>
      <c r="H65" s="44"/>
      <c r="K65" s="42">
        <f>G63*0.06</f>
        <v>1.0789820092523693E-3</v>
      </c>
      <c r="L65" s="42">
        <f>G63*0.065</f>
        <v>1.168897176690067E-3</v>
      </c>
    </row>
    <row r="66" spans="2:12">
      <c r="L66" s="42">
        <f>L65/K53</f>
        <v>4.4444759569964602E-4</v>
      </c>
    </row>
    <row r="67" spans="2:12" ht="15.75">
      <c r="E67" s="62"/>
      <c r="F67" s="54" t="s">
        <v>136</v>
      </c>
      <c r="G67" s="63">
        <f>K65</f>
        <v>1.0789820092523693E-3</v>
      </c>
    </row>
    <row r="69" spans="2:12">
      <c r="B69" s="42" t="s">
        <v>137</v>
      </c>
    </row>
    <row r="70" spans="2:12">
      <c r="B70" s="42" t="s">
        <v>138</v>
      </c>
    </row>
    <row r="71" spans="2:12">
      <c r="B71" s="65" t="s">
        <v>141</v>
      </c>
    </row>
  </sheetData>
  <phoneticPr fontId="3" type="noConversion"/>
  <pageMargins left="0.75" right="0.75" top="1" bottom="1" header="0.5" footer="0.5"/>
  <pageSetup scale="7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2014-10-10T07:00:00+00:00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220FD95-3F2F-459D-A213-90FD90CEB819}"/>
</file>

<file path=customXml/itemProps2.xml><?xml version="1.0" encoding="utf-8"?>
<ds:datastoreItem xmlns:ds="http://schemas.openxmlformats.org/officeDocument/2006/customXml" ds:itemID="{82804F0E-083F-43DB-BDAA-B6978B033200}"/>
</file>

<file path=customXml/itemProps3.xml><?xml version="1.0" encoding="utf-8"?>
<ds:datastoreItem xmlns:ds="http://schemas.openxmlformats.org/officeDocument/2006/customXml" ds:itemID="{1E81DF56-13BA-4910-842D-EB4B20296822}"/>
</file>

<file path=customXml/itemProps4.xml><?xml version="1.0" encoding="utf-8"?>
<ds:datastoreItem xmlns:ds="http://schemas.openxmlformats.org/officeDocument/2006/customXml" ds:itemID="{27B734AE-0DB1-4606-9370-62E51EE4B3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Ex3,p1</vt:lpstr>
      <vt:lpstr>Ex3,p2</vt:lpstr>
      <vt:lpstr>Ex3,p3</vt:lpstr>
      <vt:lpstr>Ex3,p4</vt:lpstr>
      <vt:lpstr>Ex3,p5</vt:lpstr>
      <vt:lpstr>'Ex3,p1'!Print_Area</vt:lpstr>
      <vt:lpstr>'Ex3,p2'!Print_Area</vt:lpstr>
      <vt:lpstr>'Ex3,p4'!Print_Area</vt:lpstr>
      <vt:lpstr>'Ex3,p5'!Print_Area</vt:lpstr>
    </vt:vector>
  </TitlesOfParts>
  <Company>Hill Associates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Hill</dc:creator>
  <cp:lastModifiedBy>Mak, Chanda (ATG)</cp:lastModifiedBy>
  <cp:lastPrinted>2014-10-03T19:46:24Z</cp:lastPrinted>
  <dcterms:created xsi:type="dcterms:W3CDTF">2014-05-22T20:12:06Z</dcterms:created>
  <dcterms:modified xsi:type="dcterms:W3CDTF">2014-10-06T21:05:02Z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