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80" activeTab="4"/>
  </bookViews>
  <sheets>
    <sheet name="Summary" sheetId="1" r:id="rId1"/>
    <sheet name="FIT" sheetId="4" r:id="rId2"/>
    <sheet name="Revenue Update" sheetId="3" r:id="rId3"/>
    <sheet name="Labor" sheetId="5" r:id="rId4"/>
    <sheet name="Pension" sheetId="6" r:id="rId5"/>
    <sheet name="Insurance" sheetId="7" r:id="rId6"/>
    <sheet name="Prop Tax" sheetId="8" r:id="rId7"/>
    <sheet name="Plant Update" sheetId="2" r:id="rId8"/>
  </sheets>
  <externalReferences>
    <externalReference r:id="rId9"/>
  </externalReferences>
  <definedNames>
    <definedName name="_xlnm.Print_Area" localSheetId="1">FIT!$C$1:$N$62</definedName>
    <definedName name="_xlnm.Print_Area" localSheetId="5">Insurance!$B$1:$M$41</definedName>
    <definedName name="_xlnm.Print_Area" localSheetId="3">Labor!$B$1:$N$40</definedName>
    <definedName name="_xlnm.Print_Area" localSheetId="7">'Plant Update'!$A$1:$W$57</definedName>
    <definedName name="_xlnm.Print_Area" localSheetId="6">'Prop Tax'!$B$1:$M$41</definedName>
    <definedName name="_xlnm.Print_Area" localSheetId="2">'Revenue Update'!$B$1:$O$68</definedName>
    <definedName name="_xlnm.Print_Area" localSheetId="0">Summary!$C$1:$W$51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M37" i="1"/>
  <c r="M38" i="1"/>
  <c r="M39" i="1"/>
  <c r="M40" i="1"/>
  <c r="M51" i="1" s="1"/>
  <c r="M41" i="1"/>
  <c r="S41" i="1"/>
  <c r="M43" i="1"/>
  <c r="M44" i="1"/>
  <c r="M45" i="1"/>
  <c r="M46" i="1"/>
  <c r="M47" i="1"/>
  <c r="M48" i="1"/>
  <c r="S48" i="1"/>
  <c r="I51" i="1"/>
  <c r="K51" i="1"/>
  <c r="L36" i="8"/>
  <c r="J36" i="8"/>
  <c r="L32" i="8"/>
  <c r="J32" i="8"/>
  <c r="O36" i="1"/>
  <c r="L33" i="7"/>
  <c r="J33" i="7"/>
  <c r="L29" i="7"/>
  <c r="J29" i="7"/>
  <c r="O35" i="1"/>
  <c r="L26" i="6"/>
  <c r="L21" i="6"/>
  <c r="L30" i="6" s="1"/>
  <c r="J21" i="6"/>
  <c r="J26" i="6" s="1"/>
  <c r="O33" i="1"/>
  <c r="K32" i="5"/>
  <c r="M28" i="5"/>
  <c r="M32" i="5" s="1"/>
  <c r="K28" i="5"/>
  <c r="K48" i="3"/>
  <c r="K32" i="3"/>
  <c r="K24" i="3"/>
  <c r="X34" i="3"/>
  <c r="X38" i="3"/>
  <c r="X33" i="3"/>
  <c r="X32" i="3"/>
  <c r="S37" i="1" l="1"/>
  <c r="J30" i="6"/>
  <c r="V38" i="3" l="1"/>
  <c r="I37" i="4"/>
  <c r="W48" i="1"/>
  <c r="W45" i="1"/>
  <c r="W44" i="1"/>
  <c r="W43" i="1"/>
  <c r="W41" i="1"/>
  <c r="W29" i="1"/>
  <c r="W23" i="1"/>
  <c r="W10" i="1"/>
  <c r="S23" i="1" l="1"/>
  <c r="S29" i="1"/>
  <c r="S10" i="1"/>
  <c r="Q31" i="1"/>
  <c r="W37" i="1" l="1"/>
  <c r="S36" i="1" l="1"/>
  <c r="W36" i="1" s="1"/>
  <c r="S33" i="1" l="1"/>
  <c r="W33" i="1" s="1"/>
  <c r="S35" i="1" l="1"/>
  <c r="W35" i="1" s="1"/>
  <c r="K52" i="4" l="1"/>
  <c r="K51" i="4"/>
  <c r="K50" i="4"/>
  <c r="K49" i="4"/>
  <c r="K48" i="4"/>
  <c r="K53" i="4"/>
  <c r="I53" i="4"/>
  <c r="K46" i="4"/>
  <c r="K58" i="4" s="1"/>
  <c r="K35" i="4"/>
  <c r="I35" i="4"/>
  <c r="I18" i="4"/>
  <c r="I23" i="4" s="1"/>
  <c r="I25" i="4" s="1"/>
  <c r="K59" i="4" l="1"/>
  <c r="K14" i="4" s="1"/>
  <c r="K18" i="4" s="1"/>
  <c r="K23" i="4" s="1"/>
  <c r="K25" i="4" s="1"/>
  <c r="K37" i="4" s="1"/>
  <c r="O19" i="1" s="1"/>
  <c r="K60" i="4"/>
  <c r="K57" i="4"/>
  <c r="K61" i="4"/>
  <c r="K62" i="4" s="1"/>
  <c r="S19" i="1" l="1"/>
  <c r="M35" i="2"/>
  <c r="W19" i="1" l="1"/>
  <c r="M41" i="2"/>
  <c r="I49" i="2"/>
  <c r="K49" i="2"/>
  <c r="M48" i="2"/>
  <c r="M43" i="2" s="1"/>
  <c r="M47" i="2"/>
  <c r="M42" i="2" s="1"/>
  <c r="M46" i="2"/>
  <c r="M49" i="2" s="1"/>
  <c r="I42" i="2"/>
  <c r="Q35" i="2"/>
  <c r="O35" i="2"/>
  <c r="O30" i="2"/>
  <c r="O29" i="2"/>
  <c r="O28" i="2"/>
  <c r="O23" i="2"/>
  <c r="O22" i="2"/>
  <c r="AD36" i="2"/>
  <c r="AD35" i="2"/>
  <c r="AD34" i="2"/>
  <c r="AD31" i="2"/>
  <c r="AD30" i="2"/>
  <c r="AD26" i="2"/>
  <c r="O24" i="2" s="1"/>
  <c r="O47" i="2" l="1"/>
  <c r="O46" i="2"/>
  <c r="Q46" i="2" s="1"/>
  <c r="O48" i="2"/>
  <c r="Q48" i="2" s="1"/>
  <c r="Q47" i="2"/>
  <c r="O31" i="2"/>
  <c r="O25" i="2"/>
  <c r="M25" i="2"/>
  <c r="K25" i="2"/>
  <c r="M30" i="2"/>
  <c r="Q30" i="2" s="1"/>
  <c r="M29" i="2"/>
  <c r="Q29" i="2" s="1"/>
  <c r="M28" i="2"/>
  <c r="Q28" i="2" s="1"/>
  <c r="M24" i="2"/>
  <c r="Q24" i="2" s="1"/>
  <c r="M23" i="2"/>
  <c r="Q23" i="2" s="1"/>
  <c r="M22" i="2"/>
  <c r="Q22" i="2" s="1"/>
  <c r="Q25" i="2" s="1"/>
  <c r="K33" i="2"/>
  <c r="K37" i="2" s="1"/>
  <c r="K31" i="2"/>
  <c r="I37" i="2"/>
  <c r="I33" i="2"/>
  <c r="I31" i="2"/>
  <c r="I25" i="2"/>
  <c r="O49" i="2" l="1"/>
  <c r="Q49" i="2"/>
  <c r="Q51" i="2" s="1"/>
  <c r="Q53" i="2" s="1"/>
  <c r="O42" i="1" s="1"/>
  <c r="O51" i="1" s="1"/>
  <c r="Q31" i="2"/>
  <c r="Q33" i="2" s="1"/>
  <c r="Q37" i="2" s="1"/>
  <c r="Q42" i="1" s="1"/>
  <c r="O33" i="2"/>
  <c r="O37" i="2" s="1"/>
  <c r="M31" i="2"/>
  <c r="M33" i="2" s="1"/>
  <c r="M37" i="2" s="1"/>
  <c r="S42" i="1" l="1"/>
  <c r="Q51" i="1"/>
  <c r="V34" i="3"/>
  <c r="K45" i="3"/>
  <c r="K20" i="3"/>
  <c r="K27" i="3" s="1"/>
  <c r="K37" i="3" s="1"/>
  <c r="K58" i="3" s="1"/>
  <c r="S51" i="1" l="1"/>
  <c r="W42" i="1"/>
  <c r="K60" i="3"/>
  <c r="K59" i="3"/>
  <c r="K64" i="3" l="1"/>
  <c r="K66" i="3" s="1"/>
  <c r="K68" i="3" s="1"/>
  <c r="O24" i="1" s="1"/>
  <c r="S24" i="1" l="1"/>
  <c r="O31" i="1"/>
  <c r="M36" i="1"/>
  <c r="M35" i="1"/>
  <c r="M34" i="1"/>
  <c r="M33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31" i="1"/>
  <c r="I31" i="1"/>
  <c r="W24" i="1" l="1"/>
  <c r="W31" i="1" s="1"/>
  <c r="W51" i="1" s="1"/>
  <c r="S31" i="1"/>
  <c r="M31" i="1"/>
</calcChain>
</file>

<file path=xl/sharedStrings.xml><?xml version="1.0" encoding="utf-8"?>
<sst xmlns="http://schemas.openxmlformats.org/spreadsheetml/2006/main" count="440" uniqueCount="284">
  <si>
    <t>Avista</t>
  </si>
  <si>
    <t>ROR</t>
  </si>
  <si>
    <t>Tax factor</t>
  </si>
  <si>
    <t>Schedule No. 1</t>
  </si>
  <si>
    <t>Public</t>
  </si>
  <si>
    <t>Revenue</t>
  </si>
  <si>
    <t>Counsel</t>
  </si>
  <si>
    <t>Public Counsel Position</t>
  </si>
  <si>
    <t>Requirement</t>
  </si>
  <si>
    <t>Adj't. No.</t>
  </si>
  <si>
    <t>Avista Adjustments - Original Filing</t>
  </si>
  <si>
    <t>Pubic Counsel Adjustments</t>
  </si>
  <si>
    <t>Relative to the Company's</t>
  </si>
  <si>
    <t>Impact</t>
  </si>
  <si>
    <t>Designation</t>
  </si>
  <si>
    <t>Adjustment Description</t>
  </si>
  <si>
    <t>NOI</t>
  </si>
  <si>
    <t>Rate Base</t>
  </si>
  <si>
    <t>Rev Req't</t>
  </si>
  <si>
    <t>Original Filed Position</t>
  </si>
  <si>
    <t>Diffference</t>
  </si>
  <si>
    <t>Restating adjustments</t>
  </si>
  <si>
    <t>Deferred FIT Rate Base</t>
  </si>
  <si>
    <t>Docket No. UG-140189</t>
  </si>
  <si>
    <t>Exhibit No. JRD-3</t>
  </si>
  <si>
    <t>Per Results Report</t>
  </si>
  <si>
    <t>Deferred Debits and Credits</t>
  </si>
  <si>
    <t>Working Capital</t>
  </si>
  <si>
    <t>Eliminate B &amp; O Taxes</t>
  </si>
  <si>
    <t>Restate 2013 Property Tax</t>
  </si>
  <si>
    <t>Uncollectible Expense</t>
  </si>
  <si>
    <t>Regulatory Expense</t>
  </si>
  <si>
    <t>Injuries and Damages</t>
  </si>
  <si>
    <t>FIT / DFIT Expense</t>
  </si>
  <si>
    <t>Office Space Charges to Subs</t>
  </si>
  <si>
    <t>Restate Excise Taxes</t>
  </si>
  <si>
    <t>Net Gains/Losses</t>
  </si>
  <si>
    <t>2013 Revenue Normalization &amp; Gas Cost Adjust</t>
  </si>
  <si>
    <t>Restate Atmospheric Testing</t>
  </si>
  <si>
    <t>Misc Restating Adjustments</t>
  </si>
  <si>
    <t>Restating Incentive Adjustment</t>
  </si>
  <si>
    <t>Restate Debt Interest</t>
  </si>
  <si>
    <t>Restate June 30 2013 Capital EOP</t>
  </si>
  <si>
    <t xml:space="preserve">     Restated Total</t>
  </si>
  <si>
    <t>Pro Forma Adjustments</t>
  </si>
  <si>
    <t>Attrition Components</t>
  </si>
  <si>
    <t>Remaining Pro Forma Adjustments</t>
  </si>
  <si>
    <t>Pro Forma Labor Non-Exec</t>
  </si>
  <si>
    <t>Pro Forma Labor Exec</t>
  </si>
  <si>
    <t>Pro Forma Employee Benefits</t>
  </si>
  <si>
    <t>Pro Forma Insurance</t>
  </si>
  <si>
    <t>Pro Forma Property Tax</t>
  </si>
  <si>
    <t>Pro Forma Information Tech/Serv Exp</t>
  </si>
  <si>
    <t>Planned Capital Add Dec 2013 EOP</t>
  </si>
  <si>
    <t>Planned Capital Add 2014 EOP</t>
  </si>
  <si>
    <t>Planned Capital Add 2015 AMA</t>
  </si>
  <si>
    <t>Reconcile Pro Forma To Attrition</t>
  </si>
  <si>
    <t>O&amp;M Offsets</t>
  </si>
  <si>
    <t>Revenue Normalization 2014</t>
  </si>
  <si>
    <t>Planned</t>
  </si>
  <si>
    <t>Restated</t>
  </si>
  <si>
    <t>Capital</t>
  </si>
  <si>
    <t>Estimated</t>
  </si>
  <si>
    <t>Actual</t>
  </si>
  <si>
    <t>WA Juris</t>
  </si>
  <si>
    <t>June 30, 2013</t>
  </si>
  <si>
    <t>Additions</t>
  </si>
  <si>
    <t>Dec 2013</t>
  </si>
  <si>
    <t xml:space="preserve">EOP </t>
  </si>
  <si>
    <t>Adjustment</t>
  </si>
  <si>
    <t>EOP</t>
  </si>
  <si>
    <t>July 2013 thru</t>
  </si>
  <si>
    <t>Balance</t>
  </si>
  <si>
    <t>to Update</t>
  </si>
  <si>
    <t>Balances</t>
  </si>
  <si>
    <t>@ 3/31/14</t>
  </si>
  <si>
    <t>for Actual</t>
  </si>
  <si>
    <t>Col. a Plus</t>
  </si>
  <si>
    <t>(Response</t>
  </si>
  <si>
    <t>EOP Plant</t>
  </si>
  <si>
    <t>"Restated TOTAL")</t>
  </si>
  <si>
    <t>Proforma Adj 4.00</t>
  </si>
  <si>
    <t>Col. b</t>
  </si>
  <si>
    <t>to PC 200</t>
  </si>
  <si>
    <t>(a)</t>
  </si>
  <si>
    <t>(b)</t>
  </si>
  <si>
    <t>(c)</t>
  </si>
  <si>
    <t>(d)</t>
  </si>
  <si>
    <t>(e)</t>
  </si>
  <si>
    <t>PLANT IN SERVICE</t>
  </si>
  <si>
    <t>Number of Months From June 2013 (Historic TY End)</t>
  </si>
  <si>
    <t>Through December 2015 (End of Rate Year)</t>
  </si>
  <si>
    <t>Number of Months from Test Year End of Period</t>
  </si>
  <si>
    <t>(June 2013) Through Public Counsel's Proposed</t>
  </si>
  <si>
    <t>Plant Update (March 2014 EOP)</t>
  </si>
  <si>
    <t>Number of Post Test Year Months Through March 2014</t>
  </si>
  <si>
    <t>as a Percentage of Number of Post Test Year</t>
  </si>
  <si>
    <t>Months Through Rate Year End December 2015</t>
  </si>
  <si>
    <t>Company Developed Revenue Growth Factor to Consider</t>
  </si>
  <si>
    <t>Revenue Growth From Historic Test Year End Through</t>
  </si>
  <si>
    <t>End of 2015 Rate Year</t>
  </si>
  <si>
    <t>Escalation Factor to Consider Revenue Growth from</t>
  </si>
  <si>
    <t>June 2013 Through March 2014</t>
  </si>
  <si>
    <t>June 2013 Revenue Base to Apply Revenue</t>
  </si>
  <si>
    <t>Escalation Factor (Weather Normalized Historic</t>
  </si>
  <si>
    <t xml:space="preserve">Test Year Sales Reflecting 2014 Approved WA </t>
  </si>
  <si>
    <t>Retail Base Rates)</t>
  </si>
  <si>
    <t>Revenue Growth from Test Year End through</t>
  </si>
  <si>
    <t xml:space="preserve">March 2014 - Consist with Public Counsel's Net </t>
  </si>
  <si>
    <t>Plant Update Adjustment</t>
  </si>
  <si>
    <t>be Synchronized with Revenue Growth Adjustment</t>
  </si>
  <si>
    <t xml:space="preserve">Avista's Adjustment to Reflect Revenue Growth </t>
  </si>
  <si>
    <t>from the Test Year Through the 2015 Rate Year</t>
  </si>
  <si>
    <t>Adjustment to Synchronize Power Supply Expense With</t>
  </si>
  <si>
    <t>Public Counsel's Revenue Growth Adjustment</t>
  </si>
  <si>
    <t>Other Revenue Related Expenses:</t>
  </si>
  <si>
    <t>Uncollectibles as a % of Revenues</t>
  </si>
  <si>
    <t>WUTC Fees as a % of Revenues</t>
  </si>
  <si>
    <t>Washington Excise Tax as a % of Revenues</t>
  </si>
  <si>
    <t xml:space="preserve">Adjustment to Synchronize Revenue Related </t>
  </si>
  <si>
    <t>Expenses with Public Counsel's Revenue</t>
  </si>
  <si>
    <t>Growth Adjustment:</t>
  </si>
  <si>
    <t>Subtotal:  Public Counsel's Revenue Growth</t>
  </si>
  <si>
    <t>Adjustment Net of Related Power Supply and Gross</t>
  </si>
  <si>
    <t>Revenue Related Expenses</t>
  </si>
  <si>
    <t>Less: Federal Income Tax Expense @ 35%</t>
  </si>
  <si>
    <t>Adjustment to Net Operating Income</t>
  </si>
  <si>
    <t>Total General Business</t>
  </si>
  <si>
    <t>Total Transportation</t>
  </si>
  <si>
    <t>Total Base Revenues</t>
  </si>
  <si>
    <t>June 2013 Escalation Base per Company</t>
  </si>
  <si>
    <t>Adjustment to Reflect Washington Retail Gas</t>
  </si>
  <si>
    <t xml:space="preserve">Avista's City Gate Purchases Adjustment Posted to </t>
  </si>
  <si>
    <t>City Gate Purchases as a Percent of Gross Revenues</t>
  </si>
  <si>
    <t>Revenue Update Through March 2014</t>
  </si>
  <si>
    <t>Underground Storage</t>
  </si>
  <si>
    <t>Distribution Plant</t>
  </si>
  <si>
    <t>General Plant</t>
  </si>
  <si>
    <t>(Per Exh. EMA-5,</t>
  </si>
  <si>
    <t>Total Plant in Service</t>
  </si>
  <si>
    <t>ACCUMULATED DEPRECIATION/AMORT</t>
  </si>
  <si>
    <t>Total Accumulated Depreciation/Amortization</t>
  </si>
  <si>
    <t>NET PLANT</t>
  </si>
  <si>
    <t>ACCUMULATED DEFERRED INCOME TAXES</t>
  </si>
  <si>
    <t>NET PLANT AFTER ADIT</t>
  </si>
  <si>
    <t>Intangible</t>
  </si>
  <si>
    <t>General</t>
  </si>
  <si>
    <t>Total General</t>
  </si>
  <si>
    <t>Calculated Composite Depreciation Rate</t>
  </si>
  <si>
    <t>DEPRECIATION EXPENSE</t>
  </si>
  <si>
    <t>Federal Income Tax Expense Calculated @ 35%</t>
  </si>
  <si>
    <t>Data from PC 200</t>
  </si>
  <si>
    <t>Actual Capital Additions March 2014 EOP</t>
  </si>
  <si>
    <t>Taxable NOI per Results</t>
  </si>
  <si>
    <t>Schedule M Reallocations and Adjustments</t>
  </si>
  <si>
    <t xml:space="preserve">Injuries and Damages  </t>
  </si>
  <si>
    <t xml:space="preserve">Elim Orig Sch M </t>
  </si>
  <si>
    <t>Reallocated Taxable NOI</t>
  </si>
  <si>
    <t>FIT Normal Accrual per Results</t>
  </si>
  <si>
    <t>Adjusted FIT Normal Accrual</t>
  </si>
  <si>
    <t>Current FIT Adjustment</t>
  </si>
  <si>
    <t>Deferred FIT Adjustment</t>
  </si>
  <si>
    <t>Elim Orig Alloc</t>
  </si>
  <si>
    <t>Total Deferred FIT Adjustment</t>
  </si>
  <si>
    <t>Net FIT/DFIT Adj</t>
  </si>
  <si>
    <t>Washington</t>
  </si>
  <si>
    <t>Per</t>
  </si>
  <si>
    <t xml:space="preserve"> Avista</t>
  </si>
  <si>
    <t>Washington Jurisdictional</t>
  </si>
  <si>
    <t>(1)</t>
  </si>
  <si>
    <t>Allocation of 401-K Dividend Deduction:</t>
  </si>
  <si>
    <t>Total Avista 401-K Dividend Deduction</t>
  </si>
  <si>
    <t>Allocation to Utility Operations (Per Avista Adjustment 3.04)</t>
  </si>
  <si>
    <t>401-K Dividend Deduction Allocated to Utility Operations</t>
  </si>
  <si>
    <t>Washington Electric O&amp;M Labor</t>
  </si>
  <si>
    <t>Idaho Electric O&amp;M Labor</t>
  </si>
  <si>
    <t>Washington Gas O&amp;M Labor</t>
  </si>
  <si>
    <t>Idaho Gas O&amp;M Labor</t>
  </si>
  <si>
    <t>Oregon Gas O&amp;M Labor</t>
  </si>
  <si>
    <t>401-K Dividend Deduction Allocated to Each</t>
  </si>
  <si>
    <t>Avista Utility Operation:</t>
  </si>
  <si>
    <t xml:space="preserve">Washington Electric </t>
  </si>
  <si>
    <t xml:space="preserve">Idaho Electric </t>
  </si>
  <si>
    <t xml:space="preserve">Washington Gas </t>
  </si>
  <si>
    <t xml:space="preserve">Idaho Gas </t>
  </si>
  <si>
    <t xml:space="preserve">Oregon Gas </t>
  </si>
  <si>
    <t>Total Utility Operations</t>
  </si>
  <si>
    <t>401-K Dividend Deduction</t>
  </si>
  <si>
    <t>Retail</t>
  </si>
  <si>
    <t>Electric</t>
  </si>
  <si>
    <t>Operations</t>
  </si>
  <si>
    <t>Gas</t>
  </si>
  <si>
    <t>Federal Income Tax Rate</t>
  </si>
  <si>
    <t>Reduction in Related Federal Income Tax Expense</t>
  </si>
  <si>
    <t>Annualized Impact of Wage Increases Granted</t>
  </si>
  <si>
    <t>Through March 2014</t>
  </si>
  <si>
    <t xml:space="preserve">Adjustment to Net Operating Income to Reflect </t>
  </si>
  <si>
    <t>Adjustment to Annual Pensions and Benefits Costs</t>
  </si>
  <si>
    <t>Insurance Expense Adjustment to Reflect 2014</t>
  </si>
  <si>
    <t>Estimated Insurance Expense (Per "Public</t>
  </si>
  <si>
    <t>Counsel 2014 PF Insurance Adj.xlsx")</t>
  </si>
  <si>
    <t>Annualized Impact of 2014 Proforma Insurance</t>
  </si>
  <si>
    <t>Expense</t>
  </si>
  <si>
    <t>Property Tax Expense Adjustment to Reflect</t>
  </si>
  <si>
    <t>Estimated 2014 Property Tax Expense Based</t>
  </si>
  <si>
    <t>Upon 2013 EOP Plant Values (Per "Public</t>
  </si>
  <si>
    <t>Counsel Proforma Property Tax ADJ.xlsx")</t>
  </si>
  <si>
    <t>Annualized Impact of 2014 Proforma Property Tax</t>
  </si>
  <si>
    <t>Public Counsel</t>
  </si>
  <si>
    <t>PC-G.2.10 A</t>
  </si>
  <si>
    <t>PC-G.4.00 A</t>
  </si>
  <si>
    <t>PC Neutral in Direct</t>
  </si>
  <si>
    <t>PC Modified</t>
  </si>
  <si>
    <t>PC Support</t>
  </si>
  <si>
    <t>PC Incremental</t>
  </si>
  <si>
    <t>PC Oppose</t>
  </si>
  <si>
    <t>Reflects PC COC</t>
  </si>
  <si>
    <t xml:space="preserve">PC-G.3.00 </t>
  </si>
  <si>
    <t xml:space="preserve">PC-G.3.02 </t>
  </si>
  <si>
    <t xml:space="preserve">PC-G.3.03 </t>
  </si>
  <si>
    <t xml:space="preserve">PC-G.3.04 </t>
  </si>
  <si>
    <t>Page 1 of 8</t>
  </si>
  <si>
    <t>SUMMARY OF PUBLIC COUNSEL GAS ADJUSTMENTS</t>
  </si>
  <si>
    <t>AND COMPARISON TO AVISTA'S DIRECT FILING GAS ADJUSTMENTS</t>
  </si>
  <si>
    <t>Avista Corporation</t>
  </si>
  <si>
    <t>Adjustment to Restate FIT/DFIT/ITC/PTC Expense</t>
  </si>
  <si>
    <t>Electric Docket No. UG-140189</t>
  </si>
  <si>
    <t>Line</t>
  </si>
  <si>
    <t>No.</t>
  </si>
  <si>
    <t>Description:</t>
  </si>
  <si>
    <t>Page 2 of 8</t>
  </si>
  <si>
    <t>Schedule No. 2</t>
  </si>
  <si>
    <t>Exhibit JRD-3</t>
  </si>
  <si>
    <t>PC-G.2.06</t>
  </si>
  <si>
    <t>Description</t>
  </si>
  <si>
    <t>Amount</t>
  </si>
  <si>
    <t>Reference</t>
  </si>
  <si>
    <t>Adjust Revenues for Post Test Year Growth Thru March 2014</t>
  </si>
  <si>
    <t>Page 3 of 8</t>
  </si>
  <si>
    <t>Schedule No. 3</t>
  </si>
  <si>
    <t>Line 5 / Line 2</t>
  </si>
  <si>
    <t>Exh. No.__(EMA-2)</t>
  </si>
  <si>
    <t>Page 10 of 10</t>
  </si>
  <si>
    <t>Line 8 X Line 11</t>
  </si>
  <si>
    <t>Page 4 of 10</t>
  </si>
  <si>
    <t>Line 13 X Line 21</t>
  </si>
  <si>
    <t>Line 23 / Line 25</t>
  </si>
  <si>
    <t>Line 21 X Line 26</t>
  </si>
  <si>
    <t>Co. Spreadsheet:</t>
  </si>
  <si>
    <t>Attrition Analysis.xlsx"</t>
  </si>
  <si>
    <t>Line 21 X Line 30</t>
  </si>
  <si>
    <t>Line 21 X Line 31</t>
  </si>
  <si>
    <t>Line 21 X Line 32</t>
  </si>
  <si>
    <t>Line 21 Less</t>
  </si>
  <si>
    <t>Lines 28, 36, 37 ,38</t>
  </si>
  <si>
    <t>Line 50 X 35%</t>
  </si>
  <si>
    <t>Line 50 - Line 51</t>
  </si>
  <si>
    <t>Exh. No.__(EMA-3)</t>
  </si>
  <si>
    <t>Calculated From</t>
  </si>
  <si>
    <t>"2015 Gas</t>
  </si>
  <si>
    <t>Page 4 of 8</t>
  </si>
  <si>
    <t>Schedule No. 4</t>
  </si>
  <si>
    <t>Pro Forma Non-Executive Labor Adjustment</t>
  </si>
  <si>
    <t>Non-Executive Labor Adjustment to Annualize Wages</t>
  </si>
  <si>
    <t>Wages for Increases Granted Through March 2014 (Per</t>
  </si>
  <si>
    <t>"PC Labor &amp; Employee Retirements Benefits Adjt.xlsx")</t>
  </si>
  <si>
    <t>Gas Docket No. UG-140189</t>
  </si>
  <si>
    <t>Page 5 of 8</t>
  </si>
  <si>
    <t>Schedule No. 5</t>
  </si>
  <si>
    <t>Calculated by Reflecting Total Avista 2014 Updated</t>
  </si>
  <si>
    <t>Pension Costs    (Per "PC Labor &amp; Employee</t>
  </si>
  <si>
    <t>Retirement Benefits Adjt.xlsx")</t>
  </si>
  <si>
    <t>Page 6 of 8</t>
  </si>
  <si>
    <t>Schedule No. 6</t>
  </si>
  <si>
    <t>Pro Forma Insurance Expense</t>
  </si>
  <si>
    <t>Page 7 of 8</t>
  </si>
  <si>
    <t>Schedule No. 7</t>
  </si>
  <si>
    <t>Pro Forma Property Tax Expense</t>
  </si>
  <si>
    <t>Adjustment to Reflect Actual Capital Additions Through Period Ending March 31, 2014 (Net Plant After Deferred Income Taxes)</t>
  </si>
  <si>
    <t>(Col. d - Col. c)</t>
  </si>
  <si>
    <t>Page 8 of 8</t>
  </si>
  <si>
    <t>Schedule No. 8</t>
  </si>
  <si>
    <t>Total Restating &amp; Pro Forma Total</t>
  </si>
  <si>
    <t xml:space="preserve">  Exhibit No. JRD-3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</si>
</sst>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  <numFmt numFmtId="168" formatCode="_(* #,##0.0_);_(* \(#,##0.0\);_(* &quot;-&quot;??_);_(@_)"/>
    <numFmt numFmtId="169" formatCode="0.000000%"/>
    <numFmt numFmtId="170" formatCode="#,##0\ ;\(#,##0\)"/>
    <numFmt numFmtId="171" formatCode="&quot;(&quot;0&quot;)&quot;"/>
  </numFmts>
  <fonts count="1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Arial"/>
      <family val="2"/>
    </font>
    <font>
      <sz val="10"/>
      <name val="Geneva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Geneva"/>
    </font>
    <font>
      <sz val="10"/>
      <color indexed="12"/>
      <name val="Geneva"/>
    </font>
    <font>
      <b/>
      <sz val="12"/>
      <name val="Times New Roman"/>
      <family val="1"/>
    </font>
    <font>
      <sz val="12"/>
      <color theme="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1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64" fontId="3" fillId="0" borderId="0" xfId="1" applyNumberFormat="1" applyFont="1" applyFill="1" applyBorder="1" applyAlignment="1">
      <alignment horizontal="left"/>
    </xf>
    <xf numFmtId="15" fontId="0" fillId="0" borderId="0" xfId="0" quotePrefix="1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quotePrefix="1"/>
    <xf numFmtId="165" fontId="0" fillId="0" borderId="0" xfId="3" applyNumberFormat="1" applyFont="1"/>
    <xf numFmtId="10" fontId="0" fillId="0" borderId="0" xfId="3" applyNumberFormat="1" applyFont="1"/>
    <xf numFmtId="166" fontId="0" fillId="0" borderId="0" xfId="2" applyNumberFormat="1" applyFont="1"/>
    <xf numFmtId="166" fontId="0" fillId="0" borderId="0" xfId="0" applyNumberFormat="1"/>
    <xf numFmtId="164" fontId="0" fillId="0" borderId="0" xfId="1" applyNumberFormat="1" applyFont="1"/>
    <xf numFmtId="167" fontId="0" fillId="0" borderId="0" xfId="3" applyNumberFormat="1" applyFont="1"/>
    <xf numFmtId="164" fontId="0" fillId="0" borderId="0" xfId="0" applyNumberFormat="1"/>
    <xf numFmtId="164" fontId="0" fillId="0" borderId="1" xfId="1" applyNumberFormat="1" applyFont="1" applyBorder="1"/>
    <xf numFmtId="168" fontId="0" fillId="0" borderId="0" xfId="1" applyNumberFormat="1" applyFont="1"/>
    <xf numFmtId="37" fontId="6" fillId="0" borderId="0" xfId="4" applyNumberFormat="1" applyFont="1"/>
    <xf numFmtId="37" fontId="7" fillId="0" borderId="0" xfId="4" applyNumberFormat="1" applyFont="1"/>
    <xf numFmtId="37" fontId="7" fillId="0" borderId="0" xfId="4" applyNumberFormat="1" applyFont="1" applyBorder="1"/>
    <xf numFmtId="166" fontId="0" fillId="0" borderId="2" xfId="2" applyNumberFormat="1" applyFont="1" applyBorder="1"/>
    <xf numFmtId="166" fontId="0" fillId="0" borderId="4" xfId="2" applyNumberFormat="1" applyFont="1" applyBorder="1"/>
    <xf numFmtId="169" fontId="0" fillId="0" borderId="0" xfId="3" applyNumberFormat="1" applyFont="1"/>
    <xf numFmtId="41" fontId="7" fillId="0" borderId="0" xfId="4" applyNumberFormat="1" applyFont="1" applyFill="1"/>
    <xf numFmtId="0" fontId="4" fillId="0" borderId="1" xfId="0" applyFont="1" applyBorder="1"/>
    <xf numFmtId="166" fontId="0" fillId="0" borderId="4" xfId="0" applyNumberFormat="1" applyBorder="1"/>
    <xf numFmtId="170" fontId="0" fillId="0" borderId="0" xfId="0" applyNumberFormat="1"/>
    <xf numFmtId="171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0" fontId="8" fillId="0" borderId="0" xfId="0" applyNumberFormat="1" applyFont="1"/>
    <xf numFmtId="171" fontId="0" fillId="0" borderId="0" xfId="0" applyNumberFormat="1" applyAlignment="1">
      <alignment horizontal="left"/>
    </xf>
    <xf numFmtId="171" fontId="8" fillId="0" borderId="0" xfId="0" applyNumberFormat="1" applyFont="1" applyAlignment="1">
      <alignment horizontal="left"/>
    </xf>
    <xf numFmtId="0" fontId="0" fillId="0" borderId="0" xfId="0" applyFill="1"/>
    <xf numFmtId="170" fontId="0" fillId="0" borderId="1" xfId="0" applyNumberFormat="1" applyBorder="1"/>
    <xf numFmtId="0" fontId="8" fillId="0" borderId="1" xfId="0" applyFont="1" applyBorder="1" applyAlignment="1">
      <alignment horizontal="center"/>
    </xf>
    <xf numFmtId="170" fontId="0" fillId="0" borderId="0" xfId="0" applyNumberFormat="1" applyFill="1"/>
    <xf numFmtId="171" fontId="0" fillId="0" borderId="0" xfId="0" applyNumberFormat="1" applyBorder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quotePrefix="1" applyNumberFormat="1" applyFill="1" applyAlignment="1">
      <alignment horizontal="center"/>
    </xf>
    <xf numFmtId="171" fontId="0" fillId="0" borderId="0" xfId="0" applyNumberFormat="1" applyFill="1" applyAlignment="1">
      <alignment horizontal="left"/>
    </xf>
    <xf numFmtId="165" fontId="0" fillId="0" borderId="1" xfId="3" applyNumberFormat="1" applyFont="1" applyBorder="1"/>
    <xf numFmtId="164" fontId="0" fillId="0" borderId="6" xfId="0" applyNumberFormat="1" applyBorder="1"/>
    <xf numFmtId="10" fontId="0" fillId="0" borderId="6" xfId="0" applyNumberFormat="1" applyBorder="1"/>
    <xf numFmtId="164" fontId="0" fillId="0" borderId="6" xfId="1" applyNumberFormat="1" applyFon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12" fillId="0" borderId="0" xfId="0" applyNumberFormat="1" applyFont="1" applyAlignment="1">
      <alignment horizontal="center"/>
    </xf>
    <xf numFmtId="3" fontId="12" fillId="0" borderId="0" xfId="0" applyNumberFormat="1" applyFont="1"/>
    <xf numFmtId="5" fontId="12" fillId="0" borderId="0" xfId="0" applyNumberFormat="1" applyFont="1"/>
    <xf numFmtId="164" fontId="12" fillId="0" borderId="0" xfId="1" applyNumberFormat="1" applyFont="1" applyFill="1" applyBorder="1" applyAlignment="1">
      <alignment horizontal="left"/>
    </xf>
    <xf numFmtId="164" fontId="11" fillId="0" borderId="0" xfId="1" applyNumberFormat="1" applyFont="1" applyBorder="1" applyAlignment="1">
      <alignment horizontal="center"/>
    </xf>
    <xf numFmtId="37" fontId="12" fillId="0" borderId="0" xfId="0" applyNumberFormat="1" applyFont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4" fontId="12" fillId="0" borderId="0" xfId="0" quotePrefix="1" applyNumberFormat="1" applyFont="1" applyFill="1" applyBorder="1" applyAlignment="1">
      <alignment horizontal="center"/>
    </xf>
    <xf numFmtId="37" fontId="12" fillId="0" borderId="0" xfId="0" applyNumberFormat="1" applyFont="1" applyFill="1"/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37" fontId="12" fillId="0" borderId="0" xfId="0" applyNumberFormat="1" applyFont="1" applyBorder="1"/>
    <xf numFmtId="0" fontId="12" fillId="0" borderId="0" xfId="0" applyFont="1"/>
    <xf numFmtId="5" fontId="12" fillId="0" borderId="3" xfId="0" applyNumberFormat="1" applyFont="1" applyBorder="1"/>
    <xf numFmtId="5" fontId="12" fillId="0" borderId="0" xfId="0" applyNumberFormat="1" applyFont="1" applyBorder="1"/>
    <xf numFmtId="0" fontId="10" fillId="0" borderId="0" xfId="0" applyFont="1" applyFill="1" applyAlignment="1">
      <alignment horizontal="left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/>
    <xf numFmtId="3" fontId="12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2" xfId="0" applyFont="1" applyBorder="1" applyAlignment="1">
      <alignment horizontal="center"/>
    </xf>
    <xf numFmtId="6" fontId="0" fillId="0" borderId="0" xfId="2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170" fontId="0" fillId="0" borderId="0" xfId="0" applyNumberFormat="1" applyFill="1" applyAlignment="1">
      <alignment horizontal="center"/>
    </xf>
    <xf numFmtId="170" fontId="8" fillId="0" borderId="5" xfId="0" applyNumberFormat="1" applyFont="1" applyFill="1" applyBorder="1"/>
    <xf numFmtId="170" fontId="8" fillId="0" borderId="2" xfId="0" applyNumberFormat="1" applyFont="1" applyFill="1" applyBorder="1" applyAlignment="1">
      <alignment horizontal="center"/>
    </xf>
    <xf numFmtId="171" fontId="0" fillId="0" borderId="0" xfId="0" applyNumberFormat="1" applyFill="1" applyAlignment="1">
      <alignment horizontal="center"/>
    </xf>
    <xf numFmtId="170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170" fontId="8" fillId="0" borderId="7" xfId="0" applyNumberFormat="1" applyFont="1" applyFill="1" applyBorder="1"/>
    <xf numFmtId="170" fontId="5" fillId="0" borderId="0" xfId="0" applyNumberFormat="1" applyFont="1"/>
    <xf numFmtId="0" fontId="14" fillId="0" borderId="0" xfId="0" applyFont="1"/>
    <xf numFmtId="170" fontId="5" fillId="0" borderId="1" xfId="0" applyNumberFormat="1" applyFont="1" applyBorder="1"/>
    <xf numFmtId="170" fontId="9" fillId="0" borderId="0" xfId="0" applyNumberFormat="1" applyFont="1" applyFill="1" applyBorder="1"/>
    <xf numFmtId="171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1" xfId="0" applyBorder="1"/>
    <xf numFmtId="170" fontId="8" fillId="0" borderId="1" xfId="0" applyNumberFormat="1" applyFont="1" applyFill="1" applyBorder="1"/>
    <xf numFmtId="170" fontId="8" fillId="0" borderId="4" xfId="0" applyNumberFormat="1" applyFont="1" applyFill="1" applyBorder="1"/>
    <xf numFmtId="10" fontId="0" fillId="0" borderId="1" xfId="3" applyNumberFormat="1" applyFont="1" applyBorder="1"/>
    <xf numFmtId="166" fontId="0" fillId="0" borderId="1" xfId="2" applyNumberFormat="1" applyFont="1" applyBorder="1"/>
    <xf numFmtId="4" fontId="12" fillId="0" borderId="0" xfId="0" quotePrefix="1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center"/>
    </xf>
    <xf numFmtId="166" fontId="12" fillId="0" borderId="0" xfId="2" applyNumberFormat="1" applyFont="1" applyFill="1" applyBorder="1" applyAlignment="1">
      <alignment horizontal="left"/>
    </xf>
    <xf numFmtId="166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textRotation="180" readingOrder="2"/>
    </xf>
    <xf numFmtId="0" fontId="0" fillId="0" borderId="0" xfId="0" applyAlignment="1">
      <alignment horizontal="center" textRotation="180" readingOrder="2"/>
    </xf>
  </cellXfs>
  <cellStyles count="5">
    <cellStyle name="Comma" xfId="1" builtinId="3"/>
    <cellStyle name="Currency" xfId="2" builtinId="4"/>
    <cellStyle name="Normal" xfId="0" builtinId="0"/>
    <cellStyle name="Normal_WAGas6_9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%20Dittmer/Google%20Drive/Current%20Jobs/Current%20Jobs/Avista%202014%20GRC/Electronic%20WPs/Pro%20Forma%202013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LEAD SHEETS-DO NOT ENTER"/>
      <sheetName val="ADJ SUMMARY"/>
      <sheetName val="DEBT CALC"/>
      <sheetName val="ROO INPUT"/>
      <sheetName val="Recap Summary-for sttlmt d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F4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7"/>
  <sheetViews>
    <sheetView topLeftCell="A21" workbookViewId="0">
      <selection activeCell="G52" sqref="G52"/>
    </sheetView>
  </sheetViews>
  <sheetFormatPr defaultRowHeight="14.25"/>
  <cols>
    <col min="4" max="4" width="1.625" customWidth="1"/>
    <col min="5" max="5" width="11.375" bestFit="1" customWidth="1"/>
    <col min="6" max="6" width="1.625" customWidth="1"/>
    <col min="7" max="7" width="33.375" customWidth="1"/>
    <col min="8" max="8" width="3.625" customWidth="1"/>
    <col min="9" max="9" width="10" customWidth="1"/>
    <col min="10" max="10" width="1.625" customWidth="1"/>
    <col min="11" max="11" width="10.125" bestFit="1" customWidth="1"/>
    <col min="12" max="12" width="1.625" customWidth="1"/>
    <col min="13" max="13" width="10.125" bestFit="1" customWidth="1"/>
    <col min="15" max="15" width="10.125" bestFit="1" customWidth="1"/>
    <col min="16" max="16" width="1.625" customWidth="1"/>
    <col min="18" max="18" width="1.625" customWidth="1"/>
    <col min="19" max="19" width="10.125" bestFit="1" customWidth="1"/>
    <col min="20" max="20" width="2.625" customWidth="1"/>
    <col min="21" max="21" width="19" bestFit="1" customWidth="1"/>
    <col min="22" max="22" width="2.625" customWidth="1"/>
    <col min="23" max="23" width="10.375" bestFit="1" customWidth="1"/>
  </cols>
  <sheetData>
    <row r="1" spans="3:30" ht="30">
      <c r="U1" s="85"/>
      <c r="V1" s="1"/>
      <c r="W1" s="1"/>
      <c r="AB1" t="s">
        <v>0</v>
      </c>
      <c r="AD1" s="47" t="s">
        <v>208</v>
      </c>
    </row>
    <row r="2" spans="3:30" ht="20.25">
      <c r="I2" s="86" t="s">
        <v>222</v>
      </c>
      <c r="U2" s="85" t="s">
        <v>24</v>
      </c>
      <c r="V2" s="1"/>
      <c r="W2" s="1"/>
      <c r="Z2" t="s">
        <v>1</v>
      </c>
      <c r="AB2">
        <v>7.7100000000000002E-2</v>
      </c>
      <c r="AD2">
        <v>7.0499999999999993E-2</v>
      </c>
    </row>
    <row r="3" spans="3:30" ht="20.25">
      <c r="I3" s="86" t="s">
        <v>223</v>
      </c>
      <c r="U3" s="85" t="s">
        <v>221</v>
      </c>
      <c r="V3" s="1"/>
      <c r="W3" s="1"/>
      <c r="Z3" t="s">
        <v>2</v>
      </c>
      <c r="AB3">
        <v>0.62087999999999999</v>
      </c>
      <c r="AD3">
        <v>0.62073999999999996</v>
      </c>
    </row>
    <row r="4" spans="3:30" ht="20.25">
      <c r="I4" s="86" t="s">
        <v>23</v>
      </c>
      <c r="U4" s="85" t="s">
        <v>3</v>
      </c>
    </row>
    <row r="5" spans="3:30" ht="15.75">
      <c r="C5" s="77"/>
      <c r="D5" s="77"/>
      <c r="E5" s="78" t="s">
        <v>4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9" t="s">
        <v>5</v>
      </c>
    </row>
    <row r="6" spans="3:30" ht="15.75">
      <c r="C6" s="78" t="s">
        <v>0</v>
      </c>
      <c r="D6" s="78"/>
      <c r="E6" s="78" t="s">
        <v>6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8" t="s">
        <v>7</v>
      </c>
      <c r="V6" s="77"/>
      <c r="W6" s="79" t="s">
        <v>8</v>
      </c>
    </row>
    <row r="7" spans="3:30" ht="15.75">
      <c r="C7" s="78" t="s">
        <v>9</v>
      </c>
      <c r="D7" s="78"/>
      <c r="E7" s="78" t="s">
        <v>9</v>
      </c>
      <c r="F7" s="77"/>
      <c r="G7" s="77"/>
      <c r="H7" s="77"/>
      <c r="I7" s="80"/>
      <c r="J7" s="80"/>
      <c r="K7" s="81" t="s">
        <v>10</v>
      </c>
      <c r="L7" s="80"/>
      <c r="M7" s="80"/>
      <c r="N7" s="77"/>
      <c r="O7" s="80"/>
      <c r="P7" s="80"/>
      <c r="Q7" s="81" t="s">
        <v>11</v>
      </c>
      <c r="R7" s="80"/>
      <c r="S7" s="80"/>
      <c r="T7" s="77"/>
      <c r="U7" s="78" t="s">
        <v>12</v>
      </c>
      <c r="V7" s="77"/>
      <c r="W7" s="79" t="s">
        <v>13</v>
      </c>
    </row>
    <row r="8" spans="3:30" ht="15.75">
      <c r="C8" s="81" t="s">
        <v>14</v>
      </c>
      <c r="D8" s="78"/>
      <c r="E8" s="81" t="s">
        <v>14</v>
      </c>
      <c r="F8" s="77"/>
      <c r="G8" s="80" t="s">
        <v>15</v>
      </c>
      <c r="H8" s="82"/>
      <c r="I8" s="83" t="s">
        <v>16</v>
      </c>
      <c r="J8" s="78"/>
      <c r="K8" s="83" t="s">
        <v>17</v>
      </c>
      <c r="L8" s="78"/>
      <c r="M8" s="83" t="s">
        <v>18</v>
      </c>
      <c r="N8" s="77"/>
      <c r="O8" s="83" t="s">
        <v>16</v>
      </c>
      <c r="P8" s="78"/>
      <c r="Q8" s="83" t="s">
        <v>17</v>
      </c>
      <c r="R8" s="78"/>
      <c r="S8" s="83" t="s">
        <v>18</v>
      </c>
      <c r="T8" s="77"/>
      <c r="U8" s="81" t="s">
        <v>19</v>
      </c>
      <c r="V8" s="82"/>
      <c r="W8" s="81" t="s">
        <v>20</v>
      </c>
    </row>
    <row r="9" spans="3:30" ht="15.75">
      <c r="C9" s="49" t="s">
        <v>21</v>
      </c>
      <c r="D9" s="50"/>
      <c r="E9" s="51"/>
      <c r="F9" s="52"/>
      <c r="G9" s="53"/>
      <c r="H9" s="53"/>
      <c r="I9" s="51"/>
      <c r="J9" s="50"/>
      <c r="K9" s="51"/>
      <c r="L9" s="50"/>
      <c r="M9" s="51"/>
      <c r="N9" s="52"/>
      <c r="O9" s="51"/>
      <c r="P9" s="50"/>
      <c r="Q9" s="51"/>
      <c r="R9" s="50"/>
      <c r="S9" s="51"/>
      <c r="T9" s="52"/>
      <c r="U9" s="51"/>
      <c r="V9" s="53"/>
      <c r="W9" s="51"/>
      <c r="X9" s="52"/>
      <c r="Y9" s="52"/>
    </row>
    <row r="10" spans="3:30" ht="15.75">
      <c r="C10" s="54">
        <v>1</v>
      </c>
      <c r="D10" s="50"/>
      <c r="E10" s="51"/>
      <c r="F10" s="52"/>
      <c r="G10" s="55" t="s">
        <v>25</v>
      </c>
      <c r="H10" s="53"/>
      <c r="I10" s="56">
        <v>11188</v>
      </c>
      <c r="J10" s="50"/>
      <c r="K10" s="56">
        <v>209456</v>
      </c>
      <c r="L10" s="50"/>
      <c r="M10" s="110">
        <f>(+K10*$AB$2-I10)/$AB$3</f>
        <v>7990.3646437314783</v>
      </c>
      <c r="N10" s="52"/>
      <c r="O10" s="56">
        <v>11188</v>
      </c>
      <c r="P10" s="50"/>
      <c r="Q10" s="56">
        <v>209456</v>
      </c>
      <c r="R10" s="50"/>
      <c r="S10" s="110">
        <f>(+Q10*$AD$2-O10)/$AD$3</f>
        <v>5765.1319392982559</v>
      </c>
      <c r="T10" s="52"/>
      <c r="U10" s="55" t="s">
        <v>216</v>
      </c>
      <c r="V10" s="53"/>
      <c r="W10" s="57">
        <f>+S10-M10</f>
        <v>-2225.2327044332224</v>
      </c>
      <c r="X10" s="52"/>
      <c r="Y10" s="52"/>
    </row>
    <row r="11" spans="3:30" ht="15.75">
      <c r="C11" s="54">
        <v>1.01</v>
      </c>
      <c r="D11" s="50"/>
      <c r="E11" s="51"/>
      <c r="F11" s="52"/>
      <c r="G11" s="55" t="s">
        <v>22</v>
      </c>
      <c r="H11" s="53"/>
      <c r="I11" s="59">
        <v>-8.5297799999999988</v>
      </c>
      <c r="J11" s="50"/>
      <c r="K11" s="59">
        <v>-883</v>
      </c>
      <c r="L11" s="50"/>
      <c r="M11" s="57">
        <f t="shared" ref="M11:M29" si="0">(+K11*$AB$2-I11)/$AB$3</f>
        <v>-95.911480479319678</v>
      </c>
      <c r="N11" s="52"/>
      <c r="O11" s="58"/>
      <c r="P11" s="60"/>
      <c r="Q11" s="58"/>
      <c r="R11" s="60"/>
      <c r="S11" s="58"/>
      <c r="T11" s="52"/>
      <c r="U11" s="55" t="s">
        <v>211</v>
      </c>
      <c r="V11" s="53"/>
      <c r="W11" s="58"/>
      <c r="X11" s="52"/>
      <c r="Y11" s="52"/>
    </row>
    <row r="12" spans="3:30" ht="15.75">
      <c r="C12" s="54">
        <v>1.02</v>
      </c>
      <c r="D12" s="52"/>
      <c r="E12" s="52"/>
      <c r="F12" s="52"/>
      <c r="G12" s="55" t="s">
        <v>26</v>
      </c>
      <c r="H12" s="52"/>
      <c r="I12" s="59">
        <v>-0.65</v>
      </c>
      <c r="J12" s="52"/>
      <c r="K12" s="59">
        <v>0</v>
      </c>
      <c r="L12" s="52"/>
      <c r="M12" s="57">
        <f t="shared" si="0"/>
        <v>1.0469011725293134</v>
      </c>
      <c r="N12" s="52"/>
      <c r="O12" s="61"/>
      <c r="P12" s="61"/>
      <c r="Q12" s="61"/>
      <c r="R12" s="61"/>
      <c r="S12" s="61"/>
      <c r="T12" s="52"/>
      <c r="U12" s="55" t="s">
        <v>211</v>
      </c>
      <c r="V12" s="52"/>
      <c r="W12" s="61"/>
      <c r="X12" s="52"/>
      <c r="Y12" s="52"/>
    </row>
    <row r="13" spans="3:30" ht="15.75">
      <c r="C13" s="54">
        <v>1.03</v>
      </c>
      <c r="D13" s="52"/>
      <c r="E13" s="52"/>
      <c r="F13" s="52"/>
      <c r="G13" s="55" t="s">
        <v>27</v>
      </c>
      <c r="H13" s="52"/>
      <c r="I13" s="59">
        <v>87.905999999999992</v>
      </c>
      <c r="J13" s="52"/>
      <c r="K13" s="59">
        <v>9100</v>
      </c>
      <c r="L13" s="52"/>
      <c r="M13" s="57">
        <f t="shared" si="0"/>
        <v>988.44221105527652</v>
      </c>
      <c r="N13" s="52"/>
      <c r="O13" s="61"/>
      <c r="P13" s="61"/>
      <c r="Q13" s="61"/>
      <c r="R13" s="61"/>
      <c r="S13" s="61"/>
      <c r="T13" s="52"/>
      <c r="U13" s="55" t="s">
        <v>211</v>
      </c>
      <c r="V13" s="52"/>
      <c r="W13" s="61"/>
      <c r="X13" s="52"/>
      <c r="Y13" s="52"/>
    </row>
    <row r="14" spans="3:30" ht="15.75">
      <c r="C14" s="54">
        <v>2.0099999999999998</v>
      </c>
      <c r="D14" s="52"/>
      <c r="E14" s="52"/>
      <c r="F14" s="52"/>
      <c r="G14" s="55" t="s">
        <v>28</v>
      </c>
      <c r="H14" s="52"/>
      <c r="I14" s="59">
        <v>-2.6</v>
      </c>
      <c r="J14" s="52"/>
      <c r="K14" s="59">
        <v>0</v>
      </c>
      <c r="L14" s="52"/>
      <c r="M14" s="57">
        <f t="shared" si="0"/>
        <v>4.1876046901172534</v>
      </c>
      <c r="N14" s="52"/>
      <c r="O14" s="61"/>
      <c r="P14" s="61"/>
      <c r="Q14" s="61"/>
      <c r="R14" s="61"/>
      <c r="S14" s="61"/>
      <c r="T14" s="52"/>
      <c r="U14" s="55" t="s">
        <v>211</v>
      </c>
      <c r="V14" s="52"/>
      <c r="W14" s="61"/>
      <c r="X14" s="52"/>
      <c r="Y14" s="52"/>
    </row>
    <row r="15" spans="3:30" ht="15.75">
      <c r="C15" s="54">
        <v>2.0199999999999996</v>
      </c>
      <c r="D15" s="52"/>
      <c r="E15" s="52"/>
      <c r="F15" s="52"/>
      <c r="G15" s="55" t="s">
        <v>29</v>
      </c>
      <c r="H15" s="52"/>
      <c r="I15" s="59">
        <v>-403.65</v>
      </c>
      <c r="J15" s="52"/>
      <c r="K15" s="59">
        <v>0</v>
      </c>
      <c r="L15" s="52"/>
      <c r="M15" s="57">
        <f t="shared" si="0"/>
        <v>650.1256281407035</v>
      </c>
      <c r="N15" s="52"/>
      <c r="O15" s="61"/>
      <c r="P15" s="61"/>
      <c r="Q15" s="61"/>
      <c r="R15" s="61"/>
      <c r="S15" s="61"/>
      <c r="T15" s="52"/>
      <c r="U15" s="55" t="s">
        <v>211</v>
      </c>
      <c r="V15" s="52"/>
      <c r="W15" s="61"/>
      <c r="X15" s="52"/>
      <c r="Y15" s="52"/>
    </row>
    <row r="16" spans="3:30" ht="15.75">
      <c r="C16" s="54">
        <v>2.0299999999999994</v>
      </c>
      <c r="D16" s="52"/>
      <c r="E16" s="52"/>
      <c r="F16" s="52"/>
      <c r="G16" s="55" t="s">
        <v>30</v>
      </c>
      <c r="H16" s="52"/>
      <c r="I16" s="59">
        <v>174.2</v>
      </c>
      <c r="J16" s="52"/>
      <c r="K16" s="59">
        <v>0</v>
      </c>
      <c r="L16" s="52"/>
      <c r="M16" s="57">
        <f t="shared" si="0"/>
        <v>-280.56951423785591</v>
      </c>
      <c r="N16" s="52"/>
      <c r="O16" s="61"/>
      <c r="P16" s="61"/>
      <c r="Q16" s="61"/>
      <c r="R16" s="61"/>
      <c r="S16" s="61"/>
      <c r="T16" s="52"/>
      <c r="U16" s="55" t="s">
        <v>211</v>
      </c>
      <c r="V16" s="52"/>
      <c r="W16" s="61"/>
      <c r="X16" s="52"/>
      <c r="Y16" s="52"/>
    </row>
    <row r="17" spans="3:25" ht="15.75">
      <c r="C17" s="54">
        <v>2.0399999999999991</v>
      </c>
      <c r="D17" s="52"/>
      <c r="E17" s="52"/>
      <c r="F17" s="52"/>
      <c r="G17" s="55" t="s">
        <v>31</v>
      </c>
      <c r="H17" s="52"/>
      <c r="I17" s="59">
        <v>15.600000000000001</v>
      </c>
      <c r="J17" s="52"/>
      <c r="K17" s="59">
        <v>0</v>
      </c>
      <c r="L17" s="52"/>
      <c r="M17" s="57">
        <f t="shared" si="0"/>
        <v>-25.125628140703519</v>
      </c>
      <c r="N17" s="52"/>
      <c r="O17" s="61"/>
      <c r="P17" s="61"/>
      <c r="Q17" s="61"/>
      <c r="R17" s="61"/>
      <c r="S17" s="61"/>
      <c r="T17" s="52"/>
      <c r="U17" s="55" t="s">
        <v>211</v>
      </c>
      <c r="V17" s="52"/>
      <c r="W17" s="61"/>
      <c r="X17" s="52"/>
      <c r="Y17" s="52"/>
    </row>
    <row r="18" spans="3:25" ht="15.75">
      <c r="C18" s="54">
        <v>2.0499999999999989</v>
      </c>
      <c r="D18" s="52"/>
      <c r="E18" s="52"/>
      <c r="F18" s="52"/>
      <c r="G18" s="55" t="s">
        <v>32</v>
      </c>
      <c r="H18" s="52"/>
      <c r="I18" s="59">
        <v>40.299999999999997</v>
      </c>
      <c r="J18" s="52"/>
      <c r="K18" s="59">
        <v>0</v>
      </c>
      <c r="L18" s="52"/>
      <c r="M18" s="57">
        <f t="shared" si="0"/>
        <v>-64.907872696817421</v>
      </c>
      <c r="N18" s="52"/>
      <c r="O18" s="61"/>
      <c r="P18" s="61"/>
      <c r="Q18" s="57"/>
      <c r="R18" s="61"/>
      <c r="S18" s="61"/>
      <c r="T18" s="52"/>
      <c r="U18" s="55" t="s">
        <v>211</v>
      </c>
      <c r="V18" s="52"/>
      <c r="W18" s="61"/>
      <c r="X18" s="52"/>
      <c r="Y18" s="52"/>
    </row>
    <row r="19" spans="3:25" ht="15.75">
      <c r="C19" s="54">
        <v>2.0599999999999987</v>
      </c>
      <c r="D19" s="52"/>
      <c r="E19" s="62" t="s">
        <v>233</v>
      </c>
      <c r="F19" s="52"/>
      <c r="G19" s="55" t="s">
        <v>33</v>
      </c>
      <c r="H19" s="52"/>
      <c r="I19" s="63">
        <v>0</v>
      </c>
      <c r="J19" s="52"/>
      <c r="K19" s="59">
        <v>0</v>
      </c>
      <c r="L19" s="52"/>
      <c r="M19" s="57">
        <f t="shared" si="0"/>
        <v>0</v>
      </c>
      <c r="N19" s="52"/>
      <c r="O19" s="57">
        <f>+FIT!K37/1000</f>
        <v>69.312744616811642</v>
      </c>
      <c r="P19" s="61"/>
      <c r="Q19" s="57"/>
      <c r="R19" s="61"/>
      <c r="S19" s="57">
        <f>(+Q19*$AD$2-O19)/$AD$3</f>
        <v>-111.66147600736484</v>
      </c>
      <c r="T19" s="52"/>
      <c r="U19" s="55" t="s">
        <v>212</v>
      </c>
      <c r="V19" s="52"/>
      <c r="W19" s="57">
        <f>+S19-M19</f>
        <v>-111.66147600736484</v>
      </c>
      <c r="X19" s="52"/>
      <c r="Y19" s="52"/>
    </row>
    <row r="20" spans="3:25" ht="15.75">
      <c r="C20" s="54">
        <v>2.0699999999999985</v>
      </c>
      <c r="D20" s="52"/>
      <c r="E20" s="52"/>
      <c r="F20" s="52"/>
      <c r="G20" s="55" t="s">
        <v>34</v>
      </c>
      <c r="H20" s="52"/>
      <c r="I20" s="59">
        <v>4.5500000000000007</v>
      </c>
      <c r="J20" s="52"/>
      <c r="K20" s="59">
        <v>0</v>
      </c>
      <c r="L20" s="52"/>
      <c r="M20" s="57">
        <f t="shared" si="0"/>
        <v>-7.3283082077051942</v>
      </c>
      <c r="N20" s="52"/>
      <c r="O20" s="61"/>
      <c r="P20" s="61"/>
      <c r="Q20" s="57"/>
      <c r="R20" s="61"/>
      <c r="S20" s="61"/>
      <c r="T20" s="52"/>
      <c r="U20" s="55" t="s">
        <v>211</v>
      </c>
      <c r="V20" s="52"/>
      <c r="W20" s="61"/>
      <c r="X20" s="52"/>
      <c r="Y20" s="52"/>
    </row>
    <row r="21" spans="3:25" ht="15.75">
      <c r="C21" s="54">
        <v>2.0799999999999983</v>
      </c>
      <c r="D21" s="52"/>
      <c r="E21" s="52"/>
      <c r="F21" s="52"/>
      <c r="G21" s="55" t="s">
        <v>35</v>
      </c>
      <c r="H21" s="52"/>
      <c r="I21" s="59">
        <v>0</v>
      </c>
      <c r="J21" s="52"/>
      <c r="K21" s="59">
        <v>0</v>
      </c>
      <c r="L21" s="52"/>
      <c r="M21" s="57">
        <f t="shared" si="0"/>
        <v>0</v>
      </c>
      <c r="N21" s="52"/>
      <c r="O21" s="61"/>
      <c r="P21" s="61"/>
      <c r="Q21" s="57"/>
      <c r="R21" s="61"/>
      <c r="S21" s="61"/>
      <c r="T21" s="52"/>
      <c r="U21" s="55" t="s">
        <v>211</v>
      </c>
      <c r="V21" s="52"/>
      <c r="W21" s="61"/>
      <c r="X21" s="52"/>
      <c r="Y21" s="52"/>
    </row>
    <row r="22" spans="3:25" ht="15.75">
      <c r="C22" s="54">
        <v>2.0899999999999981</v>
      </c>
      <c r="D22" s="52"/>
      <c r="E22" s="52"/>
      <c r="F22" s="52"/>
      <c r="G22" s="55" t="s">
        <v>36</v>
      </c>
      <c r="H22" s="52"/>
      <c r="I22" s="59">
        <v>0.65</v>
      </c>
      <c r="J22" s="52"/>
      <c r="K22" s="59">
        <v>0</v>
      </c>
      <c r="L22" s="52"/>
      <c r="M22" s="57">
        <f t="shared" si="0"/>
        <v>-1.0469011725293134</v>
      </c>
      <c r="N22" s="52"/>
      <c r="O22" s="61"/>
      <c r="P22" s="61"/>
      <c r="Q22" s="57"/>
      <c r="R22" s="61"/>
      <c r="S22" s="61"/>
      <c r="T22" s="52"/>
      <c r="U22" s="55" t="s">
        <v>211</v>
      </c>
      <c r="V22" s="52"/>
      <c r="W22" s="61"/>
      <c r="X22" s="52"/>
      <c r="Y22" s="52"/>
    </row>
    <row r="23" spans="3:25" ht="15.75">
      <c r="C23" s="54">
        <v>2.0999999999999979</v>
      </c>
      <c r="D23" s="52"/>
      <c r="E23" s="52"/>
      <c r="F23" s="52"/>
      <c r="G23" s="55" t="s">
        <v>37</v>
      </c>
      <c r="H23" s="52"/>
      <c r="I23" s="59">
        <v>2394.6000000000004</v>
      </c>
      <c r="J23" s="52"/>
      <c r="K23" s="59">
        <v>0</v>
      </c>
      <c r="L23" s="52"/>
      <c r="M23" s="57">
        <f t="shared" si="0"/>
        <v>-3856.7839195979905</v>
      </c>
      <c r="N23" s="52"/>
      <c r="O23" s="59">
        <v>2394.6000000000004</v>
      </c>
      <c r="P23" s="52"/>
      <c r="Q23" s="59">
        <v>0</v>
      </c>
      <c r="R23" s="52"/>
      <c r="S23" s="57">
        <f>(+Q23*$AB$2-O23)/$AB$3</f>
        <v>-3856.7839195979905</v>
      </c>
      <c r="T23" s="52"/>
      <c r="U23" s="55" t="s">
        <v>213</v>
      </c>
      <c r="V23" s="52"/>
      <c r="W23" s="57">
        <f t="shared" ref="W23:W24" si="1">+S23-M23</f>
        <v>0</v>
      </c>
      <c r="X23" s="52"/>
      <c r="Y23" s="52"/>
    </row>
    <row r="24" spans="3:25" ht="15.75">
      <c r="C24" s="54"/>
      <c r="D24" s="52"/>
      <c r="E24" s="62" t="s">
        <v>209</v>
      </c>
      <c r="F24" s="52"/>
      <c r="G24" s="55" t="s">
        <v>134</v>
      </c>
      <c r="H24" s="52"/>
      <c r="I24" s="59"/>
      <c r="J24" s="52"/>
      <c r="K24" s="59"/>
      <c r="L24" s="52"/>
      <c r="M24" s="57"/>
      <c r="N24" s="52"/>
      <c r="O24" s="57">
        <f>+'Revenue Update'!K68</f>
        <v>273.41995629000002</v>
      </c>
      <c r="P24" s="61"/>
      <c r="Q24" s="57"/>
      <c r="R24" s="61"/>
      <c r="S24" s="57">
        <f>(+Q24*$AD$2-O24)/$AD$3</f>
        <v>-440.47420222637504</v>
      </c>
      <c r="T24" s="52"/>
      <c r="U24" s="55" t="s">
        <v>214</v>
      </c>
      <c r="V24" s="52"/>
      <c r="W24" s="57">
        <f t="shared" si="1"/>
        <v>-440.47420222637504</v>
      </c>
      <c r="X24" s="52"/>
      <c r="Y24" s="52"/>
    </row>
    <row r="25" spans="3:25" ht="15.75">
      <c r="C25" s="64">
        <v>2.1099999999999977</v>
      </c>
      <c r="D25" s="52"/>
      <c r="E25" s="52"/>
      <c r="F25" s="52"/>
      <c r="G25" s="65" t="s">
        <v>38</v>
      </c>
      <c r="H25" s="52"/>
      <c r="I25" s="63">
        <v>294.45000000000005</v>
      </c>
      <c r="J25" s="52"/>
      <c r="K25" s="63">
        <v>0</v>
      </c>
      <c r="L25" s="52"/>
      <c r="M25" s="57">
        <f t="shared" si="0"/>
        <v>-474.24623115577896</v>
      </c>
      <c r="N25" s="52"/>
      <c r="O25" s="57"/>
      <c r="P25" s="61"/>
      <c r="Q25" s="57"/>
      <c r="R25" s="61"/>
      <c r="S25" s="61"/>
      <c r="T25" s="52"/>
      <c r="U25" s="55" t="s">
        <v>211</v>
      </c>
      <c r="V25" s="52"/>
      <c r="W25" s="61"/>
      <c r="X25" s="52"/>
      <c r="Y25" s="52"/>
    </row>
    <row r="26" spans="3:25" ht="15.75">
      <c r="C26" s="54">
        <v>2.1199999999999974</v>
      </c>
      <c r="D26" s="52"/>
      <c r="E26" s="52"/>
      <c r="F26" s="52"/>
      <c r="G26" s="65" t="s">
        <v>39</v>
      </c>
      <c r="H26" s="52"/>
      <c r="I26" s="63">
        <v>16.899999999999999</v>
      </c>
      <c r="J26" s="52"/>
      <c r="K26" s="63">
        <v>0</v>
      </c>
      <c r="L26" s="52"/>
      <c r="M26" s="57">
        <f t="shared" si="0"/>
        <v>-27.219430485762143</v>
      </c>
      <c r="N26" s="52"/>
      <c r="O26" s="57"/>
      <c r="P26" s="61"/>
      <c r="Q26" s="57"/>
      <c r="R26" s="61"/>
      <c r="S26" s="61"/>
      <c r="T26" s="52"/>
      <c r="U26" s="55" t="s">
        <v>211</v>
      </c>
      <c r="V26" s="52"/>
      <c r="W26" s="61"/>
      <c r="X26" s="52"/>
      <c r="Y26" s="52"/>
    </row>
    <row r="27" spans="3:25" ht="15.75">
      <c r="C27" s="54">
        <v>2.1299999999999972</v>
      </c>
      <c r="D27" s="52"/>
      <c r="E27" s="52"/>
      <c r="F27" s="52"/>
      <c r="G27" s="65" t="s">
        <v>40</v>
      </c>
      <c r="H27" s="52"/>
      <c r="I27" s="63">
        <v>559</v>
      </c>
      <c r="J27" s="52"/>
      <c r="K27" s="63">
        <v>0</v>
      </c>
      <c r="L27" s="52"/>
      <c r="M27" s="57">
        <f t="shared" si="0"/>
        <v>-900.33500837520944</v>
      </c>
      <c r="N27" s="52"/>
      <c r="O27" s="57"/>
      <c r="P27" s="61"/>
      <c r="Q27" s="57"/>
      <c r="R27" s="61"/>
      <c r="S27" s="61"/>
      <c r="T27" s="52"/>
      <c r="U27" s="55" t="s">
        <v>211</v>
      </c>
      <c r="V27" s="52"/>
      <c r="W27" s="61"/>
      <c r="X27" s="52"/>
      <c r="Y27" s="52"/>
    </row>
    <row r="28" spans="3:25" ht="15.75">
      <c r="C28" s="54">
        <v>2.139999999999997</v>
      </c>
      <c r="D28" s="52"/>
      <c r="E28" s="52"/>
      <c r="F28" s="52"/>
      <c r="G28" s="65" t="s">
        <v>41</v>
      </c>
      <c r="H28" s="52"/>
      <c r="I28" s="63">
        <v>-211</v>
      </c>
      <c r="J28" s="52"/>
      <c r="K28" s="63">
        <v>0</v>
      </c>
      <c r="L28" s="52"/>
      <c r="M28" s="57">
        <f t="shared" si="0"/>
        <v>339.84022677490015</v>
      </c>
      <c r="N28" s="52"/>
      <c r="O28" s="57"/>
      <c r="P28" s="61"/>
      <c r="Q28" s="57"/>
      <c r="R28" s="61"/>
      <c r="S28" s="61"/>
      <c r="T28" s="52"/>
      <c r="U28" s="55" t="s">
        <v>211</v>
      </c>
      <c r="V28" s="52"/>
      <c r="W28" s="61"/>
      <c r="X28" s="52"/>
      <c r="Y28" s="52"/>
    </row>
    <row r="29" spans="3:25" ht="15.75">
      <c r="C29" s="54">
        <v>2.1499999999999968</v>
      </c>
      <c r="D29" s="52"/>
      <c r="E29" s="52"/>
      <c r="F29" s="52"/>
      <c r="G29" s="55" t="s">
        <v>42</v>
      </c>
      <c r="H29" s="52"/>
      <c r="I29" s="59">
        <v>-628.13470000000007</v>
      </c>
      <c r="J29" s="52"/>
      <c r="K29" s="59">
        <v>4955</v>
      </c>
      <c r="L29" s="52"/>
      <c r="M29" s="57">
        <f t="shared" si="0"/>
        <v>1626.9894343512437</v>
      </c>
      <c r="N29" s="53"/>
      <c r="O29" s="59">
        <v>-628.13470000000007</v>
      </c>
      <c r="P29" s="52"/>
      <c r="Q29" s="59">
        <v>4955</v>
      </c>
      <c r="R29" s="52"/>
      <c r="S29" s="57">
        <f>(+Q29*$AD$2-O29)/$AD$3</f>
        <v>1574.6724876759997</v>
      </c>
      <c r="T29" s="52"/>
      <c r="U29" s="55" t="s">
        <v>213</v>
      </c>
      <c r="V29" s="52"/>
      <c r="W29" s="57">
        <f>+S29-M29</f>
        <v>-52.316946675244026</v>
      </c>
      <c r="X29" s="52"/>
      <c r="Y29" s="52"/>
    </row>
    <row r="30" spans="3:25" ht="15.75">
      <c r="C30" s="52"/>
      <c r="D30" s="52"/>
      <c r="E30" s="52"/>
      <c r="F30" s="52"/>
      <c r="G30" s="52"/>
      <c r="H30" s="52"/>
      <c r="I30" s="59"/>
      <c r="J30" s="66"/>
      <c r="K30" s="59"/>
      <c r="L30" s="52"/>
      <c r="M30" s="59"/>
      <c r="N30" s="66"/>
      <c r="O30" s="57"/>
      <c r="P30" s="61"/>
      <c r="Q30" s="57"/>
      <c r="R30" s="61"/>
      <c r="S30" s="61"/>
      <c r="T30" s="52"/>
      <c r="U30" s="55"/>
      <c r="V30" s="52"/>
      <c r="W30" s="61"/>
      <c r="X30" s="52"/>
      <c r="Y30" s="52"/>
    </row>
    <row r="31" spans="3:25" ht="16.5" thickBot="1">
      <c r="C31" s="52"/>
      <c r="D31" s="52"/>
      <c r="E31" s="52"/>
      <c r="F31" s="52"/>
      <c r="G31" s="67" t="s">
        <v>43</v>
      </c>
      <c r="H31" s="52"/>
      <c r="I31" s="68">
        <f>SUM(I10:I30)</f>
        <v>13521.59152</v>
      </c>
      <c r="J31" s="69"/>
      <c r="K31" s="68">
        <f>SUM(K10:K30)</f>
        <v>222628</v>
      </c>
      <c r="L31" s="52"/>
      <c r="M31" s="68">
        <f>SUM(M10:M30)</f>
        <v>5867.5223553665764</v>
      </c>
      <c r="N31" s="69"/>
      <c r="O31" s="68">
        <f>SUM(O10:O30)</f>
        <v>13297.19800090681</v>
      </c>
      <c r="P31" s="69"/>
      <c r="Q31" s="68">
        <f>SUM(Q10:Q30)</f>
        <v>214411</v>
      </c>
      <c r="R31" s="52"/>
      <c r="S31" s="68">
        <f>SUM(S10:S30)</f>
        <v>2930.8848291425256</v>
      </c>
      <c r="T31" s="52"/>
      <c r="U31" s="52"/>
      <c r="V31" s="52"/>
      <c r="W31" s="68">
        <f>SUM(W10:W30)</f>
        <v>-2829.6853293422064</v>
      </c>
      <c r="X31" s="52"/>
      <c r="Y31" s="52"/>
    </row>
    <row r="32" spans="3:25" ht="16.5" thickTop="1">
      <c r="C32" s="70" t="s">
        <v>44</v>
      </c>
      <c r="D32" s="52"/>
      <c r="E32" s="52"/>
      <c r="F32" s="52"/>
      <c r="G32" s="52"/>
      <c r="H32" s="52"/>
      <c r="I32" s="55"/>
      <c r="J32" s="71"/>
      <c r="K32" s="52"/>
      <c r="L32" s="52"/>
      <c r="M32" s="55"/>
      <c r="N32" s="71"/>
      <c r="O32" s="57"/>
      <c r="P32" s="61"/>
      <c r="Q32" s="57"/>
      <c r="R32" s="61"/>
      <c r="S32" s="61"/>
      <c r="T32" s="52"/>
      <c r="U32" s="52"/>
      <c r="V32" s="52"/>
      <c r="W32" s="57"/>
      <c r="X32" s="52"/>
      <c r="Y32" s="52"/>
    </row>
    <row r="33" spans="2:25" ht="15.75">
      <c r="C33" s="54">
        <v>3</v>
      </c>
      <c r="D33" s="52"/>
      <c r="E33" s="62" t="s">
        <v>217</v>
      </c>
      <c r="F33" s="52"/>
      <c r="G33" s="55" t="s">
        <v>47</v>
      </c>
      <c r="H33" s="52"/>
      <c r="I33" s="59">
        <v>-303.87824999999998</v>
      </c>
      <c r="J33" s="52"/>
      <c r="K33" s="59">
        <v>0</v>
      </c>
      <c r="L33" s="52"/>
      <c r="M33" s="57">
        <f t="shared" ref="M33:M48" si="2">(+K33*$AB$2-I33)/$AB$3</f>
        <v>489.43153266331655</v>
      </c>
      <c r="N33" s="53"/>
      <c r="O33" s="57">
        <f>+Labor!M32/1000</f>
        <v>-141.37629999999999</v>
      </c>
      <c r="P33" s="61"/>
      <c r="Q33" s="57"/>
      <c r="R33" s="61"/>
      <c r="S33" s="57">
        <f>(+Q33*$AD$2-O33)/$AD$3</f>
        <v>227.75445436092406</v>
      </c>
      <c r="T33" s="52"/>
      <c r="U33" s="55" t="s">
        <v>212</v>
      </c>
      <c r="V33" s="52"/>
      <c r="W33" s="57">
        <f>+S33-M33</f>
        <v>-261.67707830239249</v>
      </c>
      <c r="X33" s="52"/>
      <c r="Y33" s="52"/>
    </row>
    <row r="34" spans="2:25" ht="15.75">
      <c r="C34" s="54">
        <v>3.01</v>
      </c>
      <c r="D34" s="52"/>
      <c r="E34" s="52"/>
      <c r="F34" s="52"/>
      <c r="G34" s="55" t="s">
        <v>48</v>
      </c>
      <c r="H34" s="52"/>
      <c r="I34" s="59">
        <v>4.6722000000000001</v>
      </c>
      <c r="J34" s="52"/>
      <c r="K34" s="59">
        <v>0</v>
      </c>
      <c r="L34" s="52"/>
      <c r="M34" s="57">
        <f t="shared" si="2"/>
        <v>-7.525125628140704</v>
      </c>
      <c r="N34" s="52"/>
      <c r="O34" s="57"/>
      <c r="P34" s="61"/>
      <c r="Q34" s="57"/>
      <c r="R34" s="61"/>
      <c r="S34" s="61"/>
      <c r="T34" s="52"/>
      <c r="U34" s="55" t="s">
        <v>211</v>
      </c>
      <c r="V34" s="52"/>
      <c r="W34" s="57"/>
      <c r="X34" s="52"/>
      <c r="Y34" s="52"/>
    </row>
    <row r="35" spans="2:25" ht="15.75">
      <c r="C35" s="54">
        <v>3.0199999999999996</v>
      </c>
      <c r="D35" s="52"/>
      <c r="E35" s="62" t="s">
        <v>218</v>
      </c>
      <c r="F35" s="52"/>
      <c r="G35" s="55" t="s">
        <v>49</v>
      </c>
      <c r="H35" s="52"/>
      <c r="I35" s="59">
        <v>155.59244999999999</v>
      </c>
      <c r="J35" s="52"/>
      <c r="K35" s="59">
        <v>0</v>
      </c>
      <c r="L35" s="52"/>
      <c r="M35" s="57">
        <f t="shared" si="2"/>
        <v>-250.59987437185927</v>
      </c>
      <c r="N35" s="52"/>
      <c r="O35" s="57">
        <f>+Pension!L30/1000</f>
        <v>560.81740000000002</v>
      </c>
      <c r="P35" s="61"/>
      <c r="Q35" s="57"/>
      <c r="R35" s="61"/>
      <c r="S35" s="57">
        <f>(+Q35*$AD$2-O35)/$AD$3</f>
        <v>-903.46586332441939</v>
      </c>
      <c r="T35" s="52"/>
      <c r="U35" s="55" t="s">
        <v>212</v>
      </c>
      <c r="V35" s="52"/>
      <c r="W35" s="57">
        <f>+S35-M35</f>
        <v>-652.86598895256009</v>
      </c>
      <c r="X35" s="52"/>
      <c r="Y35" s="52"/>
    </row>
    <row r="36" spans="2:25" ht="15.75">
      <c r="C36" s="54">
        <v>3.0299999999999994</v>
      </c>
      <c r="D36" s="52"/>
      <c r="E36" s="62" t="s">
        <v>219</v>
      </c>
      <c r="F36" s="52"/>
      <c r="G36" s="55" t="s">
        <v>50</v>
      </c>
      <c r="H36" s="52"/>
      <c r="I36" s="59">
        <v>-96.85</v>
      </c>
      <c r="J36" s="52"/>
      <c r="K36" s="59">
        <v>0</v>
      </c>
      <c r="L36" s="52"/>
      <c r="M36" s="57">
        <f t="shared" si="2"/>
        <v>155.98827470686766</v>
      </c>
      <c r="N36" s="52"/>
      <c r="O36" s="57">
        <f>+Insurance!L33/1000</f>
        <v>-22.770800000000001</v>
      </c>
      <c r="P36" s="61"/>
      <c r="Q36" s="57"/>
      <c r="R36" s="61"/>
      <c r="S36" s="57">
        <f>(+Q36*$AD$2-O36)/$AD$3</f>
        <v>36.683313464574546</v>
      </c>
      <c r="T36" s="52"/>
      <c r="U36" s="55" t="s">
        <v>212</v>
      </c>
      <c r="V36" s="52"/>
      <c r="W36" s="57">
        <f>+S36-M36</f>
        <v>-119.3049612422931</v>
      </c>
      <c r="X36" s="52"/>
      <c r="Y36" s="52"/>
    </row>
    <row r="37" spans="2:25" ht="15.75">
      <c r="C37" s="54">
        <v>3.0399999999999991</v>
      </c>
      <c r="D37" s="52"/>
      <c r="E37" s="62" t="s">
        <v>220</v>
      </c>
      <c r="F37" s="52"/>
      <c r="G37" s="55" t="s">
        <v>51</v>
      </c>
      <c r="H37" s="52"/>
      <c r="I37" s="59">
        <v>-239.85</v>
      </c>
      <c r="J37" s="52"/>
      <c r="K37" s="59">
        <v>0</v>
      </c>
      <c r="L37" s="52"/>
      <c r="M37" s="57">
        <f t="shared" si="2"/>
        <v>386.3065326633166</v>
      </c>
      <c r="N37" s="52"/>
      <c r="O37" s="57">
        <f>+'Prop Tax'!L36/1000</f>
        <v>-114.96225</v>
      </c>
      <c r="P37" s="61"/>
      <c r="Q37" s="57"/>
      <c r="R37" s="61"/>
      <c r="S37" s="57">
        <f>(+Q37*$AD$2-O37)/$AD$3</f>
        <v>185.20193639849214</v>
      </c>
      <c r="T37" s="52"/>
      <c r="U37" s="55" t="s">
        <v>212</v>
      </c>
      <c r="V37" s="52"/>
      <c r="W37" s="57">
        <f>+S37-M37</f>
        <v>-201.10459626482447</v>
      </c>
      <c r="X37" s="52"/>
      <c r="Y37" s="52"/>
    </row>
    <row r="38" spans="2:25" ht="15.75">
      <c r="C38" s="54">
        <v>3.0499999999999989</v>
      </c>
      <c r="D38" s="52"/>
      <c r="E38" s="52"/>
      <c r="F38" s="52"/>
      <c r="G38" s="65" t="s">
        <v>52</v>
      </c>
      <c r="H38" s="52"/>
      <c r="I38" s="59">
        <v>-185.9</v>
      </c>
      <c r="J38" s="52"/>
      <c r="K38" s="59">
        <v>0</v>
      </c>
      <c r="L38" s="52"/>
      <c r="M38" s="57">
        <f t="shared" si="2"/>
        <v>299.41373534338362</v>
      </c>
      <c r="N38" s="52"/>
      <c r="O38" s="61"/>
      <c r="P38" s="61"/>
      <c r="Q38" s="57"/>
      <c r="R38" s="61"/>
      <c r="S38" s="61"/>
      <c r="T38" s="52"/>
      <c r="U38" s="55" t="s">
        <v>211</v>
      </c>
      <c r="V38" s="52"/>
      <c r="W38" s="57"/>
      <c r="X38" s="52"/>
      <c r="Y38" s="52"/>
    </row>
    <row r="39" spans="2:25" ht="15.75">
      <c r="B39" s="4"/>
      <c r="C39" s="72"/>
      <c r="D39" s="53"/>
      <c r="E39" s="53"/>
      <c r="F39" s="53"/>
      <c r="G39" s="73"/>
      <c r="H39" s="53"/>
      <c r="I39" s="66"/>
      <c r="J39" s="53"/>
      <c r="K39" s="66"/>
      <c r="L39" s="53"/>
      <c r="M39" s="57">
        <f t="shared" si="2"/>
        <v>0</v>
      </c>
      <c r="N39" s="52"/>
      <c r="O39" s="61"/>
      <c r="P39" s="61"/>
      <c r="Q39" s="57"/>
      <c r="R39" s="61"/>
      <c r="S39" s="61"/>
      <c r="T39" s="52"/>
      <c r="U39" s="52"/>
      <c r="V39" s="52"/>
      <c r="W39" s="57"/>
      <c r="X39" s="52"/>
      <c r="Y39" s="52"/>
    </row>
    <row r="40" spans="2:25" ht="15.75">
      <c r="B40" s="4"/>
      <c r="C40" s="74" t="s">
        <v>45</v>
      </c>
      <c r="D40" s="53"/>
      <c r="E40" s="53"/>
      <c r="F40" s="53"/>
      <c r="G40" s="75"/>
      <c r="H40" s="53"/>
      <c r="I40" s="66"/>
      <c r="J40" s="53"/>
      <c r="K40" s="66"/>
      <c r="L40" s="53"/>
      <c r="M40" s="57">
        <f t="shared" si="2"/>
        <v>0</v>
      </c>
      <c r="N40" s="52"/>
      <c r="O40" s="61"/>
      <c r="P40" s="61"/>
      <c r="Q40" s="57"/>
      <c r="R40" s="61"/>
      <c r="S40" s="61"/>
      <c r="T40" s="52"/>
      <c r="U40" s="52"/>
      <c r="V40" s="52"/>
      <c r="W40" s="57"/>
      <c r="X40" s="52"/>
      <c r="Y40" s="52"/>
    </row>
    <row r="41" spans="2:25" ht="15.75">
      <c r="B41" s="4"/>
      <c r="C41" s="72">
        <v>4</v>
      </c>
      <c r="D41" s="53"/>
      <c r="E41" s="53"/>
      <c r="F41" s="53"/>
      <c r="G41" s="75" t="s">
        <v>53</v>
      </c>
      <c r="H41" s="53"/>
      <c r="I41" s="66">
        <v>-652.0403</v>
      </c>
      <c r="J41" s="53"/>
      <c r="K41" s="66">
        <v>11295</v>
      </c>
      <c r="L41" s="53"/>
      <c r="M41" s="57">
        <f t="shared" si="2"/>
        <v>2452.7844349954903</v>
      </c>
      <c r="N41" s="52"/>
      <c r="O41" s="66">
        <v>-652.0403</v>
      </c>
      <c r="P41" s="53"/>
      <c r="Q41" s="66">
        <v>11295</v>
      </c>
      <c r="R41" s="53"/>
      <c r="S41" s="57">
        <f>(+Q41*$AD$2-O41)/$AD$3</f>
        <v>2333.2438702194154</v>
      </c>
      <c r="T41" s="52"/>
      <c r="U41" s="55" t="s">
        <v>213</v>
      </c>
      <c r="V41" s="52"/>
      <c r="W41" s="57">
        <f t="shared" ref="W41:W45" si="3">+S41-M41</f>
        <v>-119.54056477607492</v>
      </c>
      <c r="X41" s="52"/>
      <c r="Y41" s="52"/>
    </row>
    <row r="42" spans="2:25" ht="15.75">
      <c r="B42" s="4"/>
      <c r="C42" s="72"/>
      <c r="D42" s="53"/>
      <c r="E42" s="62" t="s">
        <v>210</v>
      </c>
      <c r="F42" s="53"/>
      <c r="G42" s="75" t="s">
        <v>152</v>
      </c>
      <c r="H42" s="53"/>
      <c r="I42" s="66"/>
      <c r="J42" s="53"/>
      <c r="K42" s="66"/>
      <c r="L42" s="53"/>
      <c r="M42" s="57"/>
      <c r="N42" s="52"/>
      <c r="O42" s="57">
        <f>+'Plant Update'!Q53</f>
        <v>-146.13112623899406</v>
      </c>
      <c r="P42" s="61"/>
      <c r="Q42" s="57">
        <f>+'Plant Update'!Q37</f>
        <v>9363.6550000000207</v>
      </c>
      <c r="R42" s="61"/>
      <c r="S42" s="57">
        <f>(+Q42*$AD$2-O42)/$AD$3</f>
        <v>1298.8832743805708</v>
      </c>
      <c r="T42" s="52"/>
      <c r="U42" s="55" t="s">
        <v>214</v>
      </c>
      <c r="V42" s="52"/>
      <c r="W42" s="57">
        <f t="shared" si="3"/>
        <v>1298.8832743805708</v>
      </c>
      <c r="X42" s="52"/>
      <c r="Y42" s="52"/>
    </row>
    <row r="43" spans="2:25" ht="15.75">
      <c r="B43" s="4"/>
      <c r="C43" s="72">
        <v>4.01</v>
      </c>
      <c r="D43" s="53"/>
      <c r="E43" s="53"/>
      <c r="F43" s="53"/>
      <c r="G43" s="75" t="s">
        <v>54</v>
      </c>
      <c r="H43" s="53"/>
      <c r="I43" s="66">
        <v>-941.58824000000004</v>
      </c>
      <c r="J43" s="53"/>
      <c r="K43" s="66">
        <v>15436</v>
      </c>
      <c r="L43" s="53"/>
      <c r="M43" s="57">
        <f t="shared" si="2"/>
        <v>3433.3588455095996</v>
      </c>
      <c r="N43" s="52"/>
      <c r="O43" s="61"/>
      <c r="P43" s="61"/>
      <c r="Q43" s="57"/>
      <c r="R43" s="61"/>
      <c r="S43" s="61"/>
      <c r="T43" s="52"/>
      <c r="U43" s="55" t="s">
        <v>215</v>
      </c>
      <c r="V43" s="52"/>
      <c r="W43" s="57">
        <f t="shared" si="3"/>
        <v>-3433.3588455095996</v>
      </c>
      <c r="X43" s="52"/>
      <c r="Y43" s="52"/>
    </row>
    <row r="44" spans="2:25" ht="15.75">
      <c r="B44" s="4"/>
      <c r="C44" s="72">
        <v>4.0199999999999996</v>
      </c>
      <c r="D44" s="53"/>
      <c r="E44" s="53"/>
      <c r="F44" s="53"/>
      <c r="G44" s="75" t="s">
        <v>55</v>
      </c>
      <c r="H44" s="53"/>
      <c r="I44" s="66">
        <v>-429.76967999999999</v>
      </c>
      <c r="J44" s="53"/>
      <c r="K44" s="66">
        <v>3352</v>
      </c>
      <c r="L44" s="53"/>
      <c r="M44" s="57">
        <f t="shared" si="2"/>
        <v>1108.4410514109006</v>
      </c>
      <c r="N44" s="52"/>
      <c r="O44" s="61"/>
      <c r="P44" s="61"/>
      <c r="Q44" s="57"/>
      <c r="R44" s="61"/>
      <c r="S44" s="61"/>
      <c r="T44" s="52"/>
      <c r="U44" s="55" t="s">
        <v>215</v>
      </c>
      <c r="V44" s="52"/>
      <c r="W44" s="57">
        <f t="shared" si="3"/>
        <v>-1108.4410514109006</v>
      </c>
      <c r="X44" s="52"/>
      <c r="Y44" s="52"/>
    </row>
    <row r="45" spans="2:25" ht="15.75">
      <c r="B45" s="4"/>
      <c r="C45" s="72">
        <v>4.0299999999999994</v>
      </c>
      <c r="D45" s="53"/>
      <c r="E45" s="53"/>
      <c r="F45" s="53"/>
      <c r="G45" s="75" t="s">
        <v>56</v>
      </c>
      <c r="H45" s="53"/>
      <c r="I45" s="66">
        <v>-494.41522000000003</v>
      </c>
      <c r="J45" s="53"/>
      <c r="K45" s="66">
        <v>-9867</v>
      </c>
      <c r="L45" s="53"/>
      <c r="M45" s="57">
        <f t="shared" si="2"/>
        <v>-428.95644891122282</v>
      </c>
      <c r="N45" s="52"/>
      <c r="O45" s="61"/>
      <c r="P45" s="61"/>
      <c r="Q45" s="57"/>
      <c r="R45" s="61"/>
      <c r="S45" s="61"/>
      <c r="T45" s="52"/>
      <c r="U45" s="55" t="s">
        <v>215</v>
      </c>
      <c r="V45" s="52"/>
      <c r="W45" s="57">
        <f t="shared" si="3"/>
        <v>428.95644891122282</v>
      </c>
      <c r="X45" s="52"/>
      <c r="Y45" s="52"/>
    </row>
    <row r="46" spans="2:25" ht="15.75">
      <c r="B46" s="4"/>
      <c r="C46" s="74" t="s">
        <v>46</v>
      </c>
      <c r="D46" s="53"/>
      <c r="E46" s="53"/>
      <c r="F46" s="53"/>
      <c r="G46" s="75"/>
      <c r="H46" s="53"/>
      <c r="I46" s="66"/>
      <c r="J46" s="53"/>
      <c r="K46" s="66"/>
      <c r="L46" s="53"/>
      <c r="M46" s="57">
        <f t="shared" si="2"/>
        <v>0</v>
      </c>
      <c r="N46" s="52"/>
      <c r="O46" s="61"/>
      <c r="P46" s="61"/>
      <c r="Q46" s="57"/>
      <c r="R46" s="61"/>
      <c r="S46" s="61"/>
      <c r="T46" s="52"/>
      <c r="U46" s="52"/>
      <c r="V46" s="52"/>
      <c r="W46" s="61"/>
      <c r="X46" s="52"/>
      <c r="Y46" s="52"/>
    </row>
    <row r="47" spans="2:25" ht="15.75">
      <c r="B47" s="4"/>
      <c r="C47" s="72">
        <v>4.0399999999999991</v>
      </c>
      <c r="D47" s="53"/>
      <c r="E47" s="53"/>
      <c r="F47" s="53"/>
      <c r="G47" s="75" t="s">
        <v>57</v>
      </c>
      <c r="H47" s="53"/>
      <c r="I47" s="66">
        <v>7.8000000000000007</v>
      </c>
      <c r="J47" s="53"/>
      <c r="K47" s="66">
        <v>0</v>
      </c>
      <c r="L47" s="53"/>
      <c r="M47" s="57">
        <f t="shared" si="2"/>
        <v>-12.562814070351759</v>
      </c>
      <c r="N47" s="52"/>
      <c r="O47" s="61"/>
      <c r="P47" s="61"/>
      <c r="Q47" s="57"/>
      <c r="R47" s="61"/>
      <c r="S47" s="61"/>
      <c r="T47" s="52"/>
      <c r="U47" s="55" t="s">
        <v>211</v>
      </c>
      <c r="V47" s="52"/>
      <c r="W47" s="61"/>
      <c r="X47" s="52"/>
      <c r="Y47" s="52"/>
    </row>
    <row r="48" spans="2:25" ht="15.75">
      <c r="C48" s="54">
        <v>4.0499999999999989</v>
      </c>
      <c r="D48" s="52"/>
      <c r="E48" s="52"/>
      <c r="F48" s="52"/>
      <c r="G48" s="55" t="s">
        <v>58</v>
      </c>
      <c r="H48" s="52"/>
      <c r="I48" s="59">
        <v>843.05</v>
      </c>
      <c r="J48" s="52"/>
      <c r="K48" s="59">
        <v>0</v>
      </c>
      <c r="L48" s="52"/>
      <c r="M48" s="57">
        <f t="shared" si="2"/>
        <v>-1357.8308207705193</v>
      </c>
      <c r="N48" s="52"/>
      <c r="O48" s="59">
        <v>843.05</v>
      </c>
      <c r="P48" s="52"/>
      <c r="Q48" s="59">
        <v>0</v>
      </c>
      <c r="R48" s="52"/>
      <c r="S48" s="57">
        <f>(+Q48*$AB$2-O48)/$AB$3</f>
        <v>-1357.8308207705193</v>
      </c>
      <c r="T48" s="52"/>
      <c r="U48" s="55" t="s">
        <v>213</v>
      </c>
      <c r="V48" s="52"/>
      <c r="W48" s="57">
        <f t="shared" ref="W48" si="4">+S48-M48</f>
        <v>0</v>
      </c>
      <c r="X48" s="52"/>
      <c r="Y48" s="52"/>
    </row>
    <row r="49" spans="3:25" ht="15.75">
      <c r="C49" s="76"/>
      <c r="D49" s="52"/>
      <c r="E49" s="52"/>
      <c r="F49" s="52"/>
      <c r="G49" s="65"/>
      <c r="H49" s="52"/>
      <c r="I49" s="63"/>
      <c r="J49" s="52"/>
      <c r="K49" s="52"/>
      <c r="L49" s="52"/>
      <c r="M49" s="52"/>
      <c r="N49" s="52"/>
      <c r="O49" s="61"/>
      <c r="P49" s="61"/>
      <c r="Q49" s="57"/>
      <c r="R49" s="61"/>
      <c r="S49" s="61"/>
      <c r="T49" s="52"/>
      <c r="U49" s="52"/>
      <c r="V49" s="52"/>
      <c r="W49" s="61"/>
      <c r="X49" s="52"/>
      <c r="Y49" s="52"/>
    </row>
    <row r="50" spans="3:25" ht="15.75">
      <c r="C50" s="52"/>
      <c r="D50" s="52"/>
      <c r="E50" s="52"/>
      <c r="F50" s="52"/>
      <c r="G50" s="65"/>
      <c r="H50" s="52"/>
      <c r="I50" s="63"/>
      <c r="J50" s="52"/>
      <c r="K50" s="52"/>
      <c r="L50" s="52"/>
      <c r="M50" s="52"/>
      <c r="N50" s="52"/>
      <c r="O50" s="61"/>
      <c r="P50" s="61"/>
      <c r="Q50" s="57"/>
      <c r="R50" s="61"/>
      <c r="S50" s="61"/>
      <c r="T50" s="52"/>
      <c r="U50" s="52"/>
      <c r="V50" s="52"/>
      <c r="W50" s="61"/>
      <c r="X50" s="52"/>
      <c r="Y50" s="52"/>
    </row>
    <row r="51" spans="3:25" ht="16.5" thickBot="1">
      <c r="C51" s="52"/>
      <c r="D51" s="52"/>
      <c r="E51" s="52"/>
      <c r="F51" s="52"/>
      <c r="G51" s="67" t="s">
        <v>282</v>
      </c>
      <c r="H51" s="52"/>
      <c r="I51" s="68">
        <f>SUM(I31:I49)</f>
        <v>11188.414479999999</v>
      </c>
      <c r="J51" s="52"/>
      <c r="K51" s="68">
        <f>SUM(K31:K49)</f>
        <v>242844</v>
      </c>
      <c r="L51" s="52"/>
      <c r="M51" s="68">
        <f>SUM(M31:M49)</f>
        <v>12135.771678907357</v>
      </c>
      <c r="N51" s="52"/>
      <c r="O51" s="68">
        <f>SUM(O31:O49)</f>
        <v>13623.784624667815</v>
      </c>
      <c r="P51" s="52"/>
      <c r="Q51" s="68">
        <f>SUM(Q31:Q49)</f>
        <v>235069.65500000003</v>
      </c>
      <c r="R51" s="52"/>
      <c r="S51" s="68">
        <f>SUM(S31:S49)</f>
        <v>4751.3549938715641</v>
      </c>
      <c r="T51" s="52"/>
      <c r="U51" s="52"/>
      <c r="V51" s="52"/>
      <c r="W51" s="68">
        <f>SUM(W31:W49)</f>
        <v>-6998.1386925090583</v>
      </c>
      <c r="X51" s="52"/>
      <c r="Y51" s="52"/>
    </row>
    <row r="52" spans="3:25" ht="16.5" thickTop="1">
      <c r="C52" s="52"/>
      <c r="D52" s="52"/>
      <c r="E52" s="52"/>
      <c r="F52" s="52"/>
      <c r="G52" s="67"/>
      <c r="H52" s="52"/>
      <c r="I52" s="55"/>
      <c r="J52" s="52"/>
      <c r="K52" s="52"/>
      <c r="L52" s="52"/>
      <c r="M52" s="52"/>
      <c r="N52" s="52"/>
      <c r="O52" s="61"/>
      <c r="P52" s="61"/>
      <c r="Q52" s="57"/>
      <c r="R52" s="61"/>
      <c r="S52" s="61"/>
      <c r="T52" s="52"/>
      <c r="U52" s="52"/>
      <c r="V52" s="52"/>
      <c r="W52" s="61"/>
      <c r="X52" s="52"/>
      <c r="Y52" s="52"/>
    </row>
    <row r="53" spans="3:25" ht="15.75"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7"/>
      <c r="R53" s="52"/>
      <c r="S53" s="52"/>
      <c r="T53" s="52"/>
      <c r="U53" s="52"/>
      <c r="V53" s="52"/>
      <c r="W53" s="61"/>
      <c r="X53" s="52"/>
      <c r="Y53" s="52"/>
    </row>
    <row r="54" spans="3:25" ht="15.75"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7"/>
      <c r="R54" s="52"/>
      <c r="S54" s="52"/>
      <c r="T54" s="52"/>
      <c r="U54" s="52"/>
      <c r="V54" s="52"/>
      <c r="W54" s="61"/>
      <c r="X54" s="52"/>
      <c r="Y54" s="52"/>
    </row>
    <row r="55" spans="3:25" ht="15.75"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7"/>
      <c r="R55" s="52"/>
      <c r="S55" s="52"/>
      <c r="T55" s="52"/>
      <c r="U55" s="52"/>
      <c r="V55" s="52"/>
      <c r="W55" s="61"/>
      <c r="X55" s="52"/>
      <c r="Y55" s="52"/>
    </row>
    <row r="56" spans="3:25" ht="15.7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7"/>
      <c r="R56" s="52"/>
      <c r="S56" s="52"/>
      <c r="T56" s="52"/>
      <c r="U56" s="52"/>
      <c r="V56" s="52"/>
      <c r="W56" s="61"/>
      <c r="X56" s="52"/>
      <c r="Y56" s="52"/>
    </row>
    <row r="57" spans="3:25">
      <c r="Q57" s="5"/>
    </row>
  </sheetData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64"/>
  <sheetViews>
    <sheetView workbookViewId="0">
      <selection activeCell="G52" sqref="G52"/>
    </sheetView>
  </sheetViews>
  <sheetFormatPr defaultRowHeight="14.25"/>
  <cols>
    <col min="4" max="4" width="1.5" customWidth="1"/>
    <col min="5" max="5" width="4" customWidth="1"/>
    <col min="6" max="6" width="17" customWidth="1"/>
    <col min="7" max="7" width="15.125" customWidth="1"/>
    <col min="9" max="9" width="13.75" bestFit="1" customWidth="1"/>
    <col min="10" max="10" width="4.625" customWidth="1"/>
    <col min="11" max="11" width="12.625" bestFit="1" customWidth="1"/>
    <col min="12" max="12" width="4.625" customWidth="1"/>
  </cols>
  <sheetData>
    <row r="1" spans="3:19">
      <c r="N1" s="87" t="s">
        <v>232</v>
      </c>
    </row>
    <row r="2" spans="3:19">
      <c r="F2" s="113" t="s">
        <v>224</v>
      </c>
      <c r="G2" s="113"/>
      <c r="H2" s="113"/>
      <c r="I2" s="113"/>
      <c r="J2" s="113"/>
      <c r="K2" s="113"/>
      <c r="N2" s="87" t="s">
        <v>230</v>
      </c>
    </row>
    <row r="3" spans="3:19">
      <c r="F3" s="113" t="s">
        <v>226</v>
      </c>
      <c r="G3" s="113"/>
      <c r="H3" s="113"/>
      <c r="I3" s="113"/>
      <c r="J3" s="113"/>
      <c r="K3" s="113"/>
      <c r="N3" s="87"/>
    </row>
    <row r="4" spans="3:19">
      <c r="F4" s="113" t="s">
        <v>225</v>
      </c>
      <c r="G4" s="113"/>
      <c r="H4" s="113"/>
      <c r="I4" s="113"/>
      <c r="J4" s="113"/>
      <c r="K4" s="113"/>
      <c r="N4" s="87" t="s">
        <v>231</v>
      </c>
    </row>
    <row r="5" spans="3:19">
      <c r="C5" s="102" t="s">
        <v>227</v>
      </c>
      <c r="N5" s="87" t="s">
        <v>233</v>
      </c>
    </row>
    <row r="6" spans="3:19">
      <c r="C6" s="48" t="s">
        <v>228</v>
      </c>
      <c r="E6" s="30"/>
      <c r="F6" s="103" t="s">
        <v>229</v>
      </c>
      <c r="G6" s="48"/>
      <c r="I6" s="112" t="s">
        <v>168</v>
      </c>
      <c r="J6" s="112"/>
      <c r="K6" s="112"/>
    </row>
    <row r="7" spans="3:19">
      <c r="I7" s="2"/>
      <c r="J7" s="2"/>
      <c r="K7" s="2" t="s">
        <v>166</v>
      </c>
    </row>
    <row r="8" spans="3:19">
      <c r="C8" s="2"/>
      <c r="I8" s="2" t="s">
        <v>166</v>
      </c>
      <c r="J8" s="2"/>
      <c r="K8" s="2" t="s">
        <v>4</v>
      </c>
    </row>
    <row r="9" spans="3:19">
      <c r="C9" s="2"/>
      <c r="D9" s="29"/>
      <c r="E9" s="30"/>
      <c r="F9" s="29"/>
      <c r="G9" s="31"/>
      <c r="I9" s="3" t="s">
        <v>167</v>
      </c>
      <c r="J9" s="2"/>
      <c r="K9" s="3" t="s">
        <v>6</v>
      </c>
    </row>
    <row r="10" spans="3:19">
      <c r="C10" s="2">
        <v>1</v>
      </c>
      <c r="D10" s="29"/>
      <c r="E10" s="30"/>
      <c r="F10" s="29" t="s">
        <v>153</v>
      </c>
      <c r="G10" s="31"/>
      <c r="I10" s="96">
        <v>-2694699</v>
      </c>
      <c r="J10" s="97"/>
      <c r="K10" s="96">
        <v>-2694699</v>
      </c>
      <c r="M10" s="13"/>
      <c r="S10" s="13"/>
    </row>
    <row r="11" spans="3:19">
      <c r="C11" s="2"/>
      <c r="D11" s="29"/>
      <c r="E11" s="30"/>
      <c r="F11" s="29"/>
      <c r="G11" s="31"/>
      <c r="I11" s="29"/>
      <c r="K11" s="29"/>
    </row>
    <row r="12" spans="3:19">
      <c r="C12" s="2">
        <v>2</v>
      </c>
      <c r="D12" s="29"/>
      <c r="E12" s="32" t="s">
        <v>154</v>
      </c>
      <c r="G12" s="31"/>
      <c r="I12" s="29"/>
      <c r="K12" s="29"/>
    </row>
    <row r="13" spans="3:19">
      <c r="C13" s="2"/>
      <c r="D13" s="29"/>
      <c r="E13" s="29"/>
      <c r="F13" s="29"/>
      <c r="G13" s="31"/>
      <c r="I13" s="29"/>
      <c r="K13" s="29"/>
    </row>
    <row r="14" spans="3:19">
      <c r="C14" s="2">
        <v>3</v>
      </c>
      <c r="D14" s="29"/>
      <c r="E14" s="29"/>
      <c r="F14" t="s">
        <v>187</v>
      </c>
      <c r="G14" s="31"/>
      <c r="I14" s="29"/>
      <c r="K14" s="29">
        <f>+K59</f>
        <v>198035.41319089016</v>
      </c>
      <c r="L14" s="30">
        <v>1</v>
      </c>
    </row>
    <row r="15" spans="3:19">
      <c r="C15" s="2"/>
      <c r="D15" s="29"/>
      <c r="E15" s="29"/>
      <c r="F15" s="29"/>
      <c r="G15" s="31"/>
      <c r="I15" s="29"/>
      <c r="K15" s="29"/>
    </row>
    <row r="16" spans="3:19">
      <c r="C16" s="2">
        <v>4</v>
      </c>
      <c r="D16" s="29"/>
      <c r="F16" s="32" t="s">
        <v>155</v>
      </c>
      <c r="G16" s="31"/>
      <c r="I16" s="29"/>
      <c r="K16" s="29"/>
    </row>
    <row r="17" spans="3:13">
      <c r="C17" s="2">
        <v>5</v>
      </c>
      <c r="D17" s="29"/>
      <c r="E17" s="30"/>
      <c r="F17" s="29" t="s">
        <v>156</v>
      </c>
      <c r="G17" s="31"/>
      <c r="I17" s="36">
        <v>125516.79</v>
      </c>
      <c r="K17" s="36">
        <v>125516.79</v>
      </c>
    </row>
    <row r="18" spans="3:13">
      <c r="C18" s="2">
        <v>6</v>
      </c>
      <c r="D18" s="29"/>
      <c r="E18" s="30"/>
      <c r="F18" s="29" t="s">
        <v>157</v>
      </c>
      <c r="G18" s="31"/>
      <c r="I18" s="29">
        <f>SUM(I10:I17)</f>
        <v>-2569182.21</v>
      </c>
      <c r="K18" s="29">
        <f>SUM(K10:K17)</f>
        <v>-2371146.7968091099</v>
      </c>
    </row>
    <row r="19" spans="3:13">
      <c r="C19" s="2"/>
      <c r="D19" s="29"/>
      <c r="E19" s="30"/>
      <c r="F19" s="29"/>
      <c r="G19" s="31"/>
      <c r="I19" s="29"/>
      <c r="K19" s="29"/>
    </row>
    <row r="20" spans="3:13">
      <c r="C20" s="2"/>
      <c r="D20" s="29"/>
      <c r="E20" s="30"/>
      <c r="F20" s="29"/>
      <c r="G20" s="31"/>
      <c r="I20" s="29"/>
      <c r="K20" s="29"/>
    </row>
    <row r="21" spans="3:13">
      <c r="C21" s="2">
        <v>7</v>
      </c>
      <c r="D21" s="29"/>
      <c r="E21" s="33" t="s">
        <v>158</v>
      </c>
      <c r="F21" s="29"/>
      <c r="G21" s="31"/>
      <c r="I21" s="96">
        <v>-943145</v>
      </c>
      <c r="J21" s="97"/>
      <c r="K21" s="96">
        <v>-943145</v>
      </c>
    </row>
    <row r="22" spans="3:13">
      <c r="C22" s="2"/>
      <c r="D22" s="29"/>
      <c r="E22" s="33"/>
      <c r="F22" s="29"/>
      <c r="G22" s="31"/>
      <c r="I22" s="29"/>
      <c r="K22" s="29"/>
    </row>
    <row r="23" spans="3:13">
      <c r="C23" s="2">
        <v>8</v>
      </c>
      <c r="D23" s="29"/>
      <c r="E23" s="33" t="s">
        <v>159</v>
      </c>
      <c r="F23" s="29"/>
      <c r="G23" s="31"/>
      <c r="I23" s="98">
        <f>I18*0.35</f>
        <v>-899213.77349999989</v>
      </c>
      <c r="K23" s="98">
        <f>K18*0.35</f>
        <v>-829901.37888318836</v>
      </c>
    </row>
    <row r="24" spans="3:13">
      <c r="C24" s="2"/>
      <c r="D24" s="29"/>
      <c r="E24" s="42"/>
      <c r="F24" s="38"/>
      <c r="G24" s="88"/>
      <c r="H24" s="93"/>
      <c r="I24" s="92"/>
      <c r="J24" s="93"/>
      <c r="K24" s="92"/>
      <c r="L24" s="93"/>
      <c r="M24" s="35"/>
    </row>
    <row r="25" spans="3:13" ht="15" thickBot="1">
      <c r="C25" s="2">
        <v>9</v>
      </c>
      <c r="D25" s="29"/>
      <c r="E25" s="42"/>
      <c r="F25" s="89" t="s">
        <v>160</v>
      </c>
      <c r="G25" s="90"/>
      <c r="H25" s="93"/>
      <c r="I25" s="95">
        <f>I23-I21</f>
        <v>43931.226500000106</v>
      </c>
      <c r="J25" s="93"/>
      <c r="K25" s="95">
        <f>K23-K21</f>
        <v>113243.62111681164</v>
      </c>
      <c r="L25" s="93"/>
      <c r="M25" s="35"/>
    </row>
    <row r="26" spans="3:13">
      <c r="C26" s="2"/>
      <c r="D26" s="29"/>
      <c r="E26" s="91"/>
      <c r="F26" s="35"/>
      <c r="G26" s="35"/>
      <c r="H26" s="94"/>
      <c r="I26" s="94"/>
      <c r="J26" s="94"/>
      <c r="K26" s="94"/>
      <c r="L26" s="94"/>
      <c r="M26" s="35"/>
    </row>
    <row r="27" spans="3:13">
      <c r="C27" s="2"/>
      <c r="E27" s="35"/>
      <c r="F27" s="35"/>
      <c r="G27" s="35"/>
      <c r="H27" s="35"/>
      <c r="I27" s="92"/>
      <c r="J27" s="35"/>
      <c r="K27" s="92"/>
      <c r="L27" s="35"/>
      <c r="M27" s="35"/>
    </row>
    <row r="28" spans="3:13">
      <c r="C28" s="2">
        <v>10</v>
      </c>
      <c r="I28" s="37" t="s">
        <v>165</v>
      </c>
      <c r="K28" s="37" t="s">
        <v>165</v>
      </c>
    </row>
    <row r="29" spans="3:13">
      <c r="C29" s="2">
        <v>11</v>
      </c>
      <c r="E29" s="34" t="s">
        <v>161</v>
      </c>
      <c r="I29" s="29"/>
      <c r="K29" s="29"/>
    </row>
    <row r="30" spans="3:13">
      <c r="C30" s="2"/>
      <c r="E30" s="30"/>
      <c r="I30" s="29"/>
      <c r="K30" s="29"/>
    </row>
    <row r="31" spans="3:13">
      <c r="C31" s="2">
        <v>12</v>
      </c>
      <c r="E31" s="30"/>
      <c r="F31" s="32" t="s">
        <v>155</v>
      </c>
      <c r="I31" s="29"/>
      <c r="K31" s="29"/>
    </row>
    <row r="32" spans="3:13">
      <c r="C32" s="2">
        <v>13</v>
      </c>
      <c r="E32" s="30"/>
      <c r="F32" s="29" t="s">
        <v>162</v>
      </c>
      <c r="I32" s="38">
        <v>-43930.876499999998</v>
      </c>
      <c r="K32" s="38">
        <v>-43930.876499999998</v>
      </c>
    </row>
    <row r="33" spans="3:11">
      <c r="C33" s="2"/>
      <c r="E33" s="30"/>
      <c r="F33" s="29"/>
      <c r="I33" s="38"/>
      <c r="K33" s="38"/>
    </row>
    <row r="34" spans="3:11">
      <c r="C34" s="2"/>
      <c r="E34" s="30"/>
      <c r="F34" s="92"/>
      <c r="G34" s="93"/>
      <c r="H34" s="93"/>
      <c r="I34" s="92"/>
      <c r="J34" s="93"/>
      <c r="K34" s="92"/>
    </row>
    <row r="35" spans="3:11">
      <c r="C35" s="2">
        <v>14</v>
      </c>
      <c r="E35" s="30"/>
      <c r="F35" s="100" t="s">
        <v>163</v>
      </c>
      <c r="G35" s="101"/>
      <c r="H35" s="93"/>
      <c r="I35" s="104">
        <f>SUM(I32:I34)</f>
        <v>-43930.876499999998</v>
      </c>
      <c r="J35" s="93"/>
      <c r="K35" s="104">
        <f>SUM(K32:K34)</f>
        <v>-43930.876499999998</v>
      </c>
    </row>
    <row r="36" spans="3:11">
      <c r="C36" s="2"/>
      <c r="E36" s="30"/>
      <c r="F36" s="93"/>
      <c r="G36" s="93"/>
      <c r="H36" s="93"/>
      <c r="I36" s="92"/>
      <c r="J36" s="93"/>
      <c r="K36" s="92"/>
    </row>
    <row r="37" spans="3:11" ht="15" thickBot="1">
      <c r="C37" s="2">
        <v>15</v>
      </c>
      <c r="E37" s="30"/>
      <c r="F37" s="100" t="s">
        <v>164</v>
      </c>
      <c r="G37" s="101"/>
      <c r="H37" s="93"/>
      <c r="I37" s="105">
        <f>I25+I35</f>
        <v>0.35000000010768417</v>
      </c>
      <c r="J37" s="93"/>
      <c r="K37" s="105">
        <f>K25+K35</f>
        <v>69312.744616811644</v>
      </c>
    </row>
    <row r="38" spans="3:11" ht="15" thickTop="1">
      <c r="C38" s="2"/>
      <c r="E38" s="30"/>
      <c r="F38" s="93"/>
      <c r="G38" s="93"/>
      <c r="H38" s="93"/>
      <c r="I38" s="92"/>
      <c r="J38" s="93"/>
      <c r="K38" s="92"/>
    </row>
    <row r="39" spans="3:11">
      <c r="C39" s="2"/>
      <c r="E39" s="39"/>
      <c r="F39" s="93"/>
      <c r="G39" s="93"/>
      <c r="H39" s="93"/>
      <c r="I39" s="92"/>
      <c r="J39" s="93"/>
      <c r="K39" s="93"/>
    </row>
    <row r="40" spans="3:11">
      <c r="C40" s="2"/>
      <c r="E40" s="40"/>
      <c r="F40" s="93"/>
      <c r="G40" s="93"/>
      <c r="H40" s="93"/>
      <c r="I40" s="99"/>
      <c r="J40" s="93"/>
      <c r="K40" s="93"/>
    </row>
    <row r="41" spans="3:11">
      <c r="C41" s="2">
        <v>16</v>
      </c>
      <c r="E41" s="41" t="s">
        <v>169</v>
      </c>
      <c r="F41" s="35" t="s">
        <v>170</v>
      </c>
      <c r="G41" s="35"/>
      <c r="H41" s="35"/>
      <c r="I41" s="35"/>
      <c r="J41" s="35"/>
    </row>
    <row r="42" spans="3:11">
      <c r="C42" s="2">
        <v>17</v>
      </c>
      <c r="E42" s="42"/>
      <c r="F42" t="s">
        <v>171</v>
      </c>
      <c r="K42" s="84">
        <v>1484424</v>
      </c>
    </row>
    <row r="43" spans="3:11">
      <c r="C43" s="2"/>
      <c r="E43" s="30"/>
    </row>
    <row r="44" spans="3:11">
      <c r="C44" s="2">
        <v>18</v>
      </c>
      <c r="E44" s="30"/>
      <c r="F44" t="s">
        <v>172</v>
      </c>
      <c r="G44" s="35"/>
      <c r="H44" s="35"/>
      <c r="I44" s="35"/>
      <c r="J44" s="35"/>
      <c r="K44" s="43">
        <v>0.98799999999999999</v>
      </c>
    </row>
    <row r="45" spans="3:11">
      <c r="C45" s="2"/>
      <c r="E45" s="30"/>
    </row>
    <row r="46" spans="3:11">
      <c r="C46" s="2">
        <v>19</v>
      </c>
      <c r="E46" s="30"/>
      <c r="F46" t="s">
        <v>173</v>
      </c>
      <c r="K46" s="15">
        <f>+K42*K44</f>
        <v>1466610.912</v>
      </c>
    </row>
    <row r="47" spans="3:11">
      <c r="C47" s="2"/>
      <c r="E47" s="30"/>
    </row>
    <row r="48" spans="3:11">
      <c r="C48" s="2">
        <v>20</v>
      </c>
      <c r="E48" s="30"/>
      <c r="F48" s="35" t="s">
        <v>174</v>
      </c>
      <c r="I48" s="15">
        <v>39801720.07</v>
      </c>
      <c r="K48" s="12">
        <f>+I48/$I$53</f>
        <v>0.48833148505604662</v>
      </c>
    </row>
    <row r="49" spans="3:11">
      <c r="C49" s="2">
        <v>21</v>
      </c>
      <c r="E49" s="30"/>
      <c r="F49" s="35" t="s">
        <v>175</v>
      </c>
      <c r="I49" s="15">
        <v>19883337.440000001</v>
      </c>
      <c r="K49" s="12">
        <f>+I49/$I$53</f>
        <v>0.24395075596906718</v>
      </c>
    </row>
    <row r="50" spans="3:11">
      <c r="C50" s="2">
        <v>22</v>
      </c>
      <c r="E50" s="30"/>
      <c r="F50" s="35" t="s">
        <v>176</v>
      </c>
      <c r="I50" s="15">
        <v>11005633.890000001</v>
      </c>
      <c r="K50" s="12">
        <f>+I50/$I$53</f>
        <v>0.13502927843406784</v>
      </c>
    </row>
    <row r="51" spans="3:11">
      <c r="C51" s="2">
        <v>23</v>
      </c>
      <c r="E51" s="30"/>
      <c r="F51" s="35" t="s">
        <v>177</v>
      </c>
      <c r="G51" t="s">
        <v>282</v>
      </c>
      <c r="I51" s="15">
        <v>4743488.5199999996</v>
      </c>
      <c r="K51" s="12">
        <f>+I51/$I$53</f>
        <v>5.8198358996646965E-2</v>
      </c>
    </row>
    <row r="52" spans="3:11">
      <c r="C52" s="2">
        <v>24</v>
      </c>
      <c r="E52" s="30"/>
      <c r="F52" s="35" t="s">
        <v>178</v>
      </c>
      <c r="I52" s="15">
        <v>6071357.3799999999</v>
      </c>
      <c r="K52" s="12">
        <f>+I52/$I$53</f>
        <v>7.449012154417145E-2</v>
      </c>
    </row>
    <row r="53" spans="3:11" ht="15" thickBot="1">
      <c r="C53" s="2"/>
      <c r="E53" s="30"/>
      <c r="I53" s="46">
        <f>SUM(I48:I52)</f>
        <v>81505537.299999997</v>
      </c>
      <c r="K53" s="45">
        <f>SUM(K48:K52)</f>
        <v>1</v>
      </c>
    </row>
    <row r="54" spans="3:11">
      <c r="C54" s="2"/>
      <c r="E54" s="30"/>
      <c r="F54" s="35"/>
      <c r="G54" s="35"/>
    </row>
    <row r="55" spans="3:11">
      <c r="C55" s="2">
        <v>25</v>
      </c>
      <c r="E55" s="30"/>
      <c r="F55" s="35" t="s">
        <v>179</v>
      </c>
    </row>
    <row r="56" spans="3:11">
      <c r="C56" s="2">
        <v>26</v>
      </c>
      <c r="E56" s="30"/>
      <c r="F56" s="35" t="s">
        <v>180</v>
      </c>
    </row>
    <row r="57" spans="3:11">
      <c r="C57" s="2">
        <v>27</v>
      </c>
      <c r="E57" s="30"/>
      <c r="F57" s="35" t="s">
        <v>181</v>
      </c>
      <c r="K57" s="15">
        <f>+$K$46*K48</f>
        <v>716192.28465636296</v>
      </c>
    </row>
    <row r="58" spans="3:11">
      <c r="C58" s="2">
        <v>28</v>
      </c>
      <c r="E58" s="30"/>
      <c r="F58" s="35" t="s">
        <v>182</v>
      </c>
      <c r="K58" s="15">
        <f>+$K$46*K49</f>
        <v>357780.84069488308</v>
      </c>
    </row>
    <row r="59" spans="3:11">
      <c r="C59" s="2">
        <v>29</v>
      </c>
      <c r="E59" s="30"/>
      <c r="F59" s="35" t="s">
        <v>183</v>
      </c>
      <c r="K59" s="15">
        <f>+$K$46*K50</f>
        <v>198035.41319089016</v>
      </c>
    </row>
    <row r="60" spans="3:11">
      <c r="C60" s="2">
        <v>30</v>
      </c>
      <c r="E60" s="30"/>
      <c r="F60" s="35" t="s">
        <v>184</v>
      </c>
      <c r="K60" s="15">
        <f>+$K$46*K51</f>
        <v>85354.348364975813</v>
      </c>
    </row>
    <row r="61" spans="3:11">
      <c r="C61" s="2">
        <v>31</v>
      </c>
      <c r="E61" s="30"/>
      <c r="F61" s="35" t="s">
        <v>185</v>
      </c>
      <c r="K61" s="15">
        <f>+$K$46*K52</f>
        <v>109248.02509288814</v>
      </c>
    </row>
    <row r="62" spans="3:11" ht="15" thickBot="1">
      <c r="C62" s="2">
        <v>32</v>
      </c>
      <c r="E62" s="30"/>
      <c r="F62" s="35" t="s">
        <v>186</v>
      </c>
      <c r="K62" s="44">
        <f>SUM(K57:K61)</f>
        <v>1466610.912</v>
      </c>
    </row>
    <row r="63" spans="3:11">
      <c r="E63" s="30"/>
    </row>
    <row r="64" spans="3:11">
      <c r="E64" s="30"/>
    </row>
  </sheetData>
  <mergeCells count="4">
    <mergeCell ref="I6:K6"/>
    <mergeCell ref="F2:K2"/>
    <mergeCell ref="F3:K3"/>
    <mergeCell ref="F4:K4"/>
  </mergeCells>
  <pageMargins left="0.95" right="0.4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2"/>
  <sheetViews>
    <sheetView topLeftCell="A52" workbookViewId="0">
      <selection activeCell="G52" sqref="G52"/>
    </sheetView>
  </sheetViews>
  <sheetFormatPr defaultRowHeight="14.25"/>
  <cols>
    <col min="2" max="2" width="6.625" customWidth="1"/>
    <col min="3" max="4" width="2.625" customWidth="1"/>
    <col min="10" max="10" width="3.625" customWidth="1"/>
    <col min="11" max="11" width="12.125" bestFit="1" customWidth="1"/>
    <col min="12" max="12" width="3.625" customWidth="1"/>
    <col min="13" max="13" width="16.5" customWidth="1"/>
    <col min="22" max="23" width="10.125" bestFit="1" customWidth="1"/>
  </cols>
  <sheetData>
    <row r="1" spans="2:19">
      <c r="O1" s="87" t="s">
        <v>232</v>
      </c>
    </row>
    <row r="2" spans="2:19">
      <c r="O2" s="87" t="s">
        <v>238</v>
      </c>
    </row>
    <row r="3" spans="2:19">
      <c r="O3" s="87"/>
    </row>
    <row r="4" spans="2:19">
      <c r="F4" s="113" t="s">
        <v>224</v>
      </c>
      <c r="G4" s="113"/>
      <c r="H4" s="113"/>
      <c r="I4" s="113"/>
      <c r="J4" s="113"/>
      <c r="K4" s="113"/>
      <c r="L4" s="113"/>
      <c r="O4" s="87" t="s">
        <v>239</v>
      </c>
    </row>
    <row r="5" spans="2:19">
      <c r="F5" s="113" t="s">
        <v>226</v>
      </c>
      <c r="G5" s="113"/>
      <c r="H5" s="113"/>
      <c r="I5" s="113"/>
      <c r="J5" s="113"/>
      <c r="K5" s="113"/>
      <c r="L5" s="113"/>
      <c r="O5" s="87" t="s">
        <v>209</v>
      </c>
    </row>
    <row r="6" spans="2:19">
      <c r="F6" s="113" t="s">
        <v>237</v>
      </c>
      <c r="G6" s="113"/>
      <c r="H6" s="113"/>
      <c r="I6" s="113"/>
      <c r="J6" s="113"/>
      <c r="K6" s="113"/>
      <c r="L6" s="113"/>
    </row>
    <row r="8" spans="2:19">
      <c r="B8" s="2" t="s">
        <v>227</v>
      </c>
      <c r="M8" s="2"/>
    </row>
    <row r="9" spans="2:19">
      <c r="B9" s="48" t="s">
        <v>228</v>
      </c>
      <c r="D9" s="103"/>
      <c r="E9" s="103" t="s">
        <v>234</v>
      </c>
      <c r="F9" s="103"/>
      <c r="G9" s="103"/>
      <c r="H9" s="103"/>
      <c r="I9" s="103"/>
      <c r="K9" s="48" t="s">
        <v>235</v>
      </c>
      <c r="M9" s="48" t="s">
        <v>236</v>
      </c>
    </row>
    <row r="10" spans="2:19">
      <c r="M10" s="111"/>
      <c r="S10" s="13"/>
    </row>
    <row r="11" spans="2:19">
      <c r="B11" s="2">
        <v>1</v>
      </c>
      <c r="D11" t="s">
        <v>90</v>
      </c>
    </row>
    <row r="12" spans="2:19">
      <c r="B12" s="2">
        <v>2</v>
      </c>
      <c r="D12" t="s">
        <v>91</v>
      </c>
      <c r="K12">
        <v>30</v>
      </c>
    </row>
    <row r="13" spans="2:19">
      <c r="B13" s="2"/>
    </row>
    <row r="14" spans="2:19">
      <c r="B14" s="2">
        <v>3</v>
      </c>
      <c r="D14" t="s">
        <v>92</v>
      </c>
    </row>
    <row r="15" spans="2:19">
      <c r="B15" s="2">
        <v>4</v>
      </c>
      <c r="D15" s="10" t="s">
        <v>93</v>
      </c>
    </row>
    <row r="16" spans="2:19">
      <c r="B16" s="2">
        <v>5</v>
      </c>
      <c r="D16" t="s">
        <v>94</v>
      </c>
      <c r="K16">
        <v>9</v>
      </c>
    </row>
    <row r="17" spans="2:24">
      <c r="B17" s="2"/>
    </row>
    <row r="18" spans="2:24">
      <c r="B18" s="2">
        <v>6</v>
      </c>
      <c r="D18" t="s">
        <v>95</v>
      </c>
    </row>
    <row r="19" spans="2:24">
      <c r="B19" s="2">
        <v>7</v>
      </c>
      <c r="D19" t="s">
        <v>96</v>
      </c>
    </row>
    <row r="20" spans="2:24">
      <c r="B20" s="2">
        <v>8</v>
      </c>
      <c r="D20" t="s">
        <v>97</v>
      </c>
      <c r="K20" s="11">
        <f>+K16/K12</f>
        <v>0.3</v>
      </c>
      <c r="M20" s="2" t="s">
        <v>240</v>
      </c>
    </row>
    <row r="21" spans="2:24">
      <c r="B21" s="2"/>
      <c r="M21" s="2"/>
    </row>
    <row r="22" spans="2:24">
      <c r="B22" s="2">
        <v>9</v>
      </c>
      <c r="D22" t="s">
        <v>98</v>
      </c>
      <c r="M22" s="2"/>
    </row>
    <row r="23" spans="2:24">
      <c r="B23" s="2">
        <v>10</v>
      </c>
      <c r="D23" t="s">
        <v>99</v>
      </c>
      <c r="M23" s="2" t="s">
        <v>241</v>
      </c>
    </row>
    <row r="24" spans="2:24">
      <c r="B24" s="2">
        <v>11</v>
      </c>
      <c r="D24" t="s">
        <v>100</v>
      </c>
      <c r="K24" s="106">
        <f>+X38</f>
        <v>2.1598025169669941E-2</v>
      </c>
      <c r="M24" s="2" t="s">
        <v>242</v>
      </c>
    </row>
    <row r="25" spans="2:24">
      <c r="B25" s="2"/>
      <c r="M25" s="2"/>
    </row>
    <row r="26" spans="2:24">
      <c r="B26" s="2">
        <v>12</v>
      </c>
      <c r="D26" t="s">
        <v>101</v>
      </c>
      <c r="M26" s="2"/>
    </row>
    <row r="27" spans="2:24">
      <c r="B27" s="2">
        <v>13</v>
      </c>
      <c r="D27" t="s">
        <v>102</v>
      </c>
      <c r="K27" s="12">
        <f>+K20*K24</f>
        <v>6.4794075509009823E-3</v>
      </c>
      <c r="M27" s="2" t="s">
        <v>243</v>
      </c>
    </row>
    <row r="28" spans="2:24">
      <c r="B28" s="2"/>
      <c r="M28" s="2"/>
    </row>
    <row r="29" spans="2:24">
      <c r="B29" s="2">
        <v>14</v>
      </c>
      <c r="D29" t="s">
        <v>103</v>
      </c>
      <c r="M29" s="2"/>
    </row>
    <row r="30" spans="2:24">
      <c r="B30" s="2">
        <v>15</v>
      </c>
      <c r="D30" t="s">
        <v>104</v>
      </c>
      <c r="M30" s="2" t="s">
        <v>258</v>
      </c>
      <c r="S30" t="s">
        <v>130</v>
      </c>
    </row>
    <row r="31" spans="2:24">
      <c r="B31" s="2">
        <v>16</v>
      </c>
      <c r="D31" t="s">
        <v>105</v>
      </c>
      <c r="M31" s="2" t="s">
        <v>257</v>
      </c>
    </row>
    <row r="32" spans="2:24">
      <c r="B32" s="2">
        <v>17</v>
      </c>
      <c r="D32" t="s">
        <v>106</v>
      </c>
      <c r="K32" s="107">
        <f>+X34</f>
        <v>148671</v>
      </c>
      <c r="M32" s="2" t="s">
        <v>244</v>
      </c>
      <c r="S32" t="s">
        <v>127</v>
      </c>
      <c r="V32" s="15">
        <v>62022</v>
      </c>
      <c r="W32" s="15">
        <v>82872</v>
      </c>
      <c r="X32" s="17">
        <f>+V32+W32</f>
        <v>144894</v>
      </c>
    </row>
    <row r="33" spans="2:24">
      <c r="B33" s="2"/>
      <c r="M33" s="2"/>
      <c r="S33" t="s">
        <v>128</v>
      </c>
      <c r="V33" s="15">
        <v>3777</v>
      </c>
      <c r="X33" s="17">
        <f t="shared" ref="X33" si="0">+V33+W33</f>
        <v>3777</v>
      </c>
    </row>
    <row r="34" spans="2:24">
      <c r="B34" s="2">
        <v>18</v>
      </c>
      <c r="D34" t="s">
        <v>131</v>
      </c>
      <c r="M34" s="2"/>
      <c r="S34" t="s">
        <v>129</v>
      </c>
      <c r="V34" s="15">
        <f>SUM(V32:V33)</f>
        <v>65799</v>
      </c>
      <c r="X34" s="15">
        <f>SUM(X32:X33)</f>
        <v>148671</v>
      </c>
    </row>
    <row r="35" spans="2:24">
      <c r="B35" s="2">
        <v>19</v>
      </c>
      <c r="D35" t="s">
        <v>107</v>
      </c>
      <c r="M35" s="2"/>
    </row>
    <row r="36" spans="2:24">
      <c r="B36" s="2">
        <v>20</v>
      </c>
      <c r="D36" t="s">
        <v>108</v>
      </c>
      <c r="M36" s="2"/>
      <c r="V36">
        <v>3211</v>
      </c>
      <c r="X36">
        <v>3211</v>
      </c>
    </row>
    <row r="37" spans="2:24">
      <c r="B37" s="2">
        <v>21</v>
      </c>
      <c r="D37" t="s">
        <v>109</v>
      </c>
      <c r="K37" s="14">
        <f>+K27*K32</f>
        <v>963.3</v>
      </c>
      <c r="M37" s="2" t="s">
        <v>245</v>
      </c>
    </row>
    <row r="38" spans="2:24">
      <c r="B38" s="2"/>
      <c r="M38" s="2"/>
      <c r="V38" s="12">
        <f>+V36/V34</f>
        <v>4.8800133740634355E-2</v>
      </c>
      <c r="X38" s="12">
        <f>+X36/X34</f>
        <v>2.1598025169669941E-2</v>
      </c>
    </row>
    <row r="39" spans="2:24">
      <c r="B39" s="2">
        <v>22</v>
      </c>
      <c r="D39" t="s">
        <v>132</v>
      </c>
      <c r="M39" s="2" t="s">
        <v>257</v>
      </c>
    </row>
    <row r="40" spans="2:24">
      <c r="B40" s="2">
        <v>23</v>
      </c>
      <c r="D40" t="s">
        <v>110</v>
      </c>
      <c r="K40" s="15">
        <v>1665</v>
      </c>
      <c r="M40" s="2" t="s">
        <v>244</v>
      </c>
    </row>
    <row r="41" spans="2:24">
      <c r="B41" s="2"/>
      <c r="K41" s="15"/>
      <c r="M41" s="2"/>
    </row>
    <row r="42" spans="2:24">
      <c r="B42" s="2">
        <v>24</v>
      </c>
      <c r="D42" t="s">
        <v>111</v>
      </c>
      <c r="K42" s="15"/>
      <c r="M42" s="2" t="s">
        <v>257</v>
      </c>
    </row>
    <row r="43" spans="2:24">
      <c r="B43" s="2">
        <v>25</v>
      </c>
      <c r="D43" t="s">
        <v>112</v>
      </c>
      <c r="K43" s="18">
        <v>3211</v>
      </c>
      <c r="M43" s="2" t="s">
        <v>244</v>
      </c>
    </row>
    <row r="44" spans="2:24">
      <c r="B44" s="2"/>
      <c r="M44" s="2"/>
    </row>
    <row r="45" spans="2:24">
      <c r="B45" s="2">
        <v>26</v>
      </c>
      <c r="D45" t="s">
        <v>133</v>
      </c>
      <c r="K45" s="11">
        <f>+K40/K43</f>
        <v>0.51853005294300836</v>
      </c>
      <c r="M45" s="2" t="s">
        <v>246</v>
      </c>
    </row>
    <row r="46" spans="2:24">
      <c r="B46" s="2"/>
      <c r="M46" s="2"/>
    </row>
    <row r="47" spans="2:24">
      <c r="B47" s="2">
        <v>27</v>
      </c>
      <c r="D47" t="s">
        <v>113</v>
      </c>
      <c r="M47" s="2"/>
    </row>
    <row r="48" spans="2:24">
      <c r="B48" s="2">
        <v>28</v>
      </c>
      <c r="D48" t="s">
        <v>114</v>
      </c>
      <c r="K48" s="13">
        <f>+K37*K45</f>
        <v>499.49999999999994</v>
      </c>
      <c r="M48" s="2" t="s">
        <v>247</v>
      </c>
    </row>
    <row r="49" spans="2:13">
      <c r="B49" s="2"/>
      <c r="M49" s="2"/>
    </row>
    <row r="50" spans="2:13">
      <c r="B50" s="2">
        <v>29</v>
      </c>
      <c r="D50" t="s">
        <v>115</v>
      </c>
      <c r="M50" s="2"/>
    </row>
    <row r="51" spans="2:13">
      <c r="B51" s="2">
        <v>30</v>
      </c>
      <c r="E51" t="s">
        <v>116</v>
      </c>
      <c r="G51" t="s">
        <v>282</v>
      </c>
      <c r="K51" s="16">
        <v>4.4489999999999998E-3</v>
      </c>
      <c r="M51" s="2" t="s">
        <v>248</v>
      </c>
    </row>
    <row r="52" spans="2:13">
      <c r="B52" s="2">
        <v>31</v>
      </c>
      <c r="E52" t="s">
        <v>117</v>
      </c>
      <c r="K52" s="16">
        <v>2E-3</v>
      </c>
      <c r="M52" s="2" t="s">
        <v>259</v>
      </c>
    </row>
    <row r="53" spans="2:13">
      <c r="B53" s="2">
        <v>32</v>
      </c>
      <c r="E53" t="s">
        <v>118</v>
      </c>
      <c r="K53" s="16">
        <v>3.8349000000000001E-2</v>
      </c>
      <c r="M53" s="2" t="s">
        <v>249</v>
      </c>
    </row>
    <row r="54" spans="2:13">
      <c r="B54" s="2"/>
      <c r="M54" s="2"/>
    </row>
    <row r="55" spans="2:13">
      <c r="B55" s="2">
        <v>33</v>
      </c>
      <c r="D55" t="s">
        <v>119</v>
      </c>
      <c r="M55" s="2"/>
    </row>
    <row r="56" spans="2:13">
      <c r="B56" s="2">
        <v>34</v>
      </c>
      <c r="D56" t="s">
        <v>120</v>
      </c>
      <c r="M56" s="2"/>
    </row>
    <row r="57" spans="2:13">
      <c r="B57" s="2">
        <v>35</v>
      </c>
      <c r="D57" t="s">
        <v>121</v>
      </c>
      <c r="M57" s="2"/>
    </row>
    <row r="58" spans="2:13">
      <c r="B58" s="2">
        <v>36</v>
      </c>
      <c r="E58" t="s">
        <v>116</v>
      </c>
      <c r="K58" s="13">
        <f>+$K$37*K51</f>
        <v>4.2857216999999999</v>
      </c>
      <c r="M58" s="2" t="s">
        <v>250</v>
      </c>
    </row>
    <row r="59" spans="2:13">
      <c r="B59" s="2">
        <v>37</v>
      </c>
      <c r="E59" t="s">
        <v>117</v>
      </c>
      <c r="K59" s="15">
        <f>+$K$37*K52</f>
        <v>1.9265999999999999</v>
      </c>
      <c r="M59" s="2" t="s">
        <v>251</v>
      </c>
    </row>
    <row r="60" spans="2:13">
      <c r="B60" s="2">
        <v>38</v>
      </c>
      <c r="E60" t="s">
        <v>118</v>
      </c>
      <c r="K60" s="15">
        <f>+$K$37*K53</f>
        <v>36.941591699999996</v>
      </c>
      <c r="M60" s="2" t="s">
        <v>252</v>
      </c>
    </row>
    <row r="61" spans="2:13">
      <c r="B61" s="2"/>
      <c r="M61" s="2"/>
    </row>
    <row r="62" spans="2:13">
      <c r="B62" s="2">
        <v>39</v>
      </c>
      <c r="D62" t="s">
        <v>122</v>
      </c>
    </row>
    <row r="63" spans="2:13">
      <c r="B63" s="2">
        <v>40</v>
      </c>
      <c r="D63" t="s">
        <v>123</v>
      </c>
      <c r="M63" s="2" t="s">
        <v>253</v>
      </c>
    </row>
    <row r="64" spans="2:13">
      <c r="B64" s="2">
        <v>50</v>
      </c>
      <c r="D64" t="s">
        <v>124</v>
      </c>
      <c r="K64" s="17">
        <f>+K37-K48-K58-K59-K60</f>
        <v>420.64608659999999</v>
      </c>
      <c r="M64" s="2" t="s">
        <v>254</v>
      </c>
    </row>
    <row r="65" spans="2:13">
      <c r="B65" s="2"/>
    </row>
    <row r="66" spans="2:13">
      <c r="B66" s="2">
        <v>51</v>
      </c>
      <c r="D66" t="s">
        <v>125</v>
      </c>
      <c r="K66" s="18">
        <f>-K64*0.35</f>
        <v>-147.22613030999997</v>
      </c>
      <c r="M66" t="s">
        <v>255</v>
      </c>
    </row>
    <row r="67" spans="2:13">
      <c r="B67" s="2"/>
    </row>
    <row r="68" spans="2:13" ht="15" thickBot="1">
      <c r="B68" s="2">
        <v>52</v>
      </c>
      <c r="D68" t="s">
        <v>126</v>
      </c>
      <c r="K68" s="24">
        <f>+K64+K66</f>
        <v>273.41995629000002</v>
      </c>
      <c r="M68" t="s">
        <v>256</v>
      </c>
    </row>
    <row r="69" spans="2:13" ht="15" thickTop="1">
      <c r="B69" s="2"/>
    </row>
    <row r="70" spans="2:13">
      <c r="B70" s="2"/>
    </row>
    <row r="71" spans="2:13">
      <c r="B71" s="2"/>
    </row>
    <row r="72" spans="2:13">
      <c r="B72" s="2"/>
    </row>
  </sheetData>
  <mergeCells count="3">
    <mergeCell ref="F4:L4"/>
    <mergeCell ref="F5:L5"/>
    <mergeCell ref="F6:L6"/>
  </mergeCells>
  <pageMargins left="0.95" right="0.45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opLeftCell="A13" workbookViewId="0">
      <selection activeCell="G52" sqref="G52"/>
    </sheetView>
  </sheetViews>
  <sheetFormatPr defaultRowHeight="14.25"/>
  <cols>
    <col min="2" max="2" width="6.625" customWidth="1"/>
    <col min="3" max="4" width="3.625" customWidth="1"/>
    <col min="9" max="9" width="6.625" customWidth="1"/>
    <col min="10" max="10" width="3.625" customWidth="1"/>
    <col min="11" max="11" width="12.75" bestFit="1" customWidth="1"/>
    <col min="12" max="12" width="3.625" customWidth="1"/>
    <col min="13" max="13" width="12.125" bestFit="1" customWidth="1"/>
  </cols>
  <sheetData>
    <row r="2" spans="5:19">
      <c r="N2" s="87" t="s">
        <v>232</v>
      </c>
    </row>
    <row r="3" spans="5:19">
      <c r="N3" s="87" t="s">
        <v>260</v>
      </c>
    </row>
    <row r="4" spans="5:19">
      <c r="N4" s="87"/>
    </row>
    <row r="5" spans="5:19">
      <c r="N5" s="87" t="s">
        <v>261</v>
      </c>
    </row>
    <row r="6" spans="5:19">
      <c r="N6" s="87" t="s">
        <v>217</v>
      </c>
    </row>
    <row r="10" spans="5:19">
      <c r="M10" s="13"/>
      <c r="S10" s="13"/>
    </row>
    <row r="13" spans="5:19">
      <c r="E13" s="113" t="s">
        <v>224</v>
      </c>
      <c r="F13" s="113"/>
      <c r="G13" s="113"/>
      <c r="H13" s="113"/>
      <c r="I13" s="113"/>
      <c r="J13" s="113"/>
      <c r="K13" s="113"/>
      <c r="L13" s="113"/>
    </row>
    <row r="14" spans="5:19">
      <c r="E14" s="113" t="s">
        <v>266</v>
      </c>
      <c r="F14" s="113"/>
      <c r="G14" s="113"/>
      <c r="H14" s="113"/>
      <c r="I14" s="113"/>
      <c r="J14" s="113"/>
      <c r="K14" s="113"/>
      <c r="L14" s="113"/>
    </row>
    <row r="15" spans="5:19">
      <c r="E15" s="113" t="s">
        <v>262</v>
      </c>
      <c r="F15" s="113"/>
      <c r="G15" s="113"/>
      <c r="H15" s="113"/>
      <c r="I15" s="113"/>
      <c r="J15" s="113"/>
      <c r="K15" s="113"/>
      <c r="L15" s="113"/>
    </row>
    <row r="17" spans="2:13">
      <c r="K17" s="2" t="s">
        <v>165</v>
      </c>
      <c r="M17" s="2" t="s">
        <v>165</v>
      </c>
    </row>
    <row r="18" spans="2:13">
      <c r="K18" s="2" t="s">
        <v>188</v>
      </c>
      <c r="M18" s="2" t="s">
        <v>188</v>
      </c>
    </row>
    <row r="19" spans="2:13">
      <c r="B19" s="102" t="s">
        <v>227</v>
      </c>
      <c r="K19" s="2" t="s">
        <v>189</v>
      </c>
      <c r="M19" s="2" t="s">
        <v>191</v>
      </c>
    </row>
    <row r="20" spans="2:13">
      <c r="B20" s="48" t="s">
        <v>228</v>
      </c>
      <c r="D20" s="103" t="s">
        <v>234</v>
      </c>
      <c r="E20" s="103"/>
      <c r="F20" s="103"/>
      <c r="G20" s="103"/>
      <c r="H20" s="103"/>
      <c r="I20" s="103"/>
      <c r="K20" s="48" t="s">
        <v>190</v>
      </c>
      <c r="M20" s="48" t="s">
        <v>190</v>
      </c>
    </row>
    <row r="21" spans="2:13">
      <c r="K21" s="2"/>
      <c r="M21" s="2"/>
    </row>
    <row r="22" spans="2:13">
      <c r="B22" s="2">
        <v>1</v>
      </c>
      <c r="D22" t="s">
        <v>263</v>
      </c>
    </row>
    <row r="23" spans="2:13">
      <c r="B23" s="2">
        <v>2</v>
      </c>
      <c r="D23" t="s">
        <v>264</v>
      </c>
    </row>
    <row r="24" spans="2:13">
      <c r="B24" s="2">
        <v>3</v>
      </c>
      <c r="D24" s="10" t="s">
        <v>265</v>
      </c>
      <c r="K24" s="13">
        <v>778427</v>
      </c>
      <c r="L24" s="13"/>
      <c r="M24" s="13">
        <v>217502</v>
      </c>
    </row>
    <row r="25" spans="2:13">
      <c r="B25" s="2"/>
    </row>
    <row r="26" spans="2:13">
      <c r="B26" s="2">
        <v>4</v>
      </c>
      <c r="D26" t="s">
        <v>192</v>
      </c>
      <c r="K26" s="43">
        <v>0.35</v>
      </c>
      <c r="M26" s="43">
        <v>0.35</v>
      </c>
    </row>
    <row r="27" spans="2:13">
      <c r="B27" s="2"/>
    </row>
    <row r="28" spans="2:13">
      <c r="B28" s="2">
        <v>5</v>
      </c>
      <c r="D28" t="s">
        <v>193</v>
      </c>
      <c r="K28" s="13">
        <f>-K24*K26</f>
        <v>-272449.45</v>
      </c>
      <c r="M28" s="13">
        <f>-M24*M26</f>
        <v>-76125.7</v>
      </c>
    </row>
    <row r="29" spans="2:13">
      <c r="B29" s="2"/>
    </row>
    <row r="30" spans="2:13">
      <c r="B30" s="2">
        <v>6</v>
      </c>
      <c r="D30" t="s">
        <v>196</v>
      </c>
    </row>
    <row r="31" spans="2:13">
      <c r="B31" s="2">
        <v>7</v>
      </c>
      <c r="D31" t="s">
        <v>194</v>
      </c>
    </row>
    <row r="32" spans="2:13" ht="15" thickBot="1">
      <c r="B32" s="2">
        <v>8</v>
      </c>
      <c r="D32" t="s">
        <v>195</v>
      </c>
      <c r="K32" s="28">
        <f>-K24-K28</f>
        <v>-505977.55</v>
      </c>
      <c r="M32" s="28">
        <f>-M24-M28</f>
        <v>-141376.29999999999</v>
      </c>
    </row>
    <row r="33" spans="2:2" ht="15" thickTop="1">
      <c r="B33" s="2"/>
    </row>
    <row r="51" spans="7:7">
      <c r="G51" t="s">
        <v>282</v>
      </c>
    </row>
  </sheetData>
  <mergeCells count="3">
    <mergeCell ref="E13:L13"/>
    <mergeCell ref="E14:L14"/>
    <mergeCell ref="E15:L15"/>
  </mergeCells>
  <pageMargins left="0.95" right="0.45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19" workbookViewId="0">
      <selection activeCell="G51" sqref="G51"/>
    </sheetView>
  </sheetViews>
  <sheetFormatPr defaultRowHeight="14.25"/>
  <cols>
    <col min="2" max="2" width="6.625" customWidth="1"/>
    <col min="3" max="4" width="3.625" customWidth="1"/>
    <col min="10" max="10" width="12.75" bestFit="1" customWidth="1"/>
    <col min="11" max="11" width="3.625" customWidth="1"/>
    <col min="12" max="12" width="12.125" bestFit="1" customWidth="1"/>
  </cols>
  <sheetData>
    <row r="1" spans="2:19">
      <c r="M1" s="87" t="s">
        <v>232</v>
      </c>
      <c r="O1" s="4"/>
      <c r="P1" s="4"/>
    </row>
    <row r="2" spans="2:19">
      <c r="M2" s="87" t="s">
        <v>267</v>
      </c>
      <c r="O2" s="4"/>
      <c r="P2" s="4"/>
    </row>
    <row r="3" spans="2:19">
      <c r="M3" s="87"/>
      <c r="O3" s="4"/>
      <c r="P3" s="4"/>
    </row>
    <row r="4" spans="2:19">
      <c r="M4" s="87" t="s">
        <v>268</v>
      </c>
      <c r="O4" s="4"/>
      <c r="P4" s="4"/>
    </row>
    <row r="5" spans="2:19">
      <c r="M5" s="87" t="s">
        <v>218</v>
      </c>
      <c r="O5" s="4"/>
      <c r="P5" s="4"/>
    </row>
    <row r="6" spans="2:19">
      <c r="O6" s="4"/>
      <c r="P6" s="4"/>
    </row>
    <row r="7" spans="2:19">
      <c r="O7" s="4"/>
      <c r="P7" s="4"/>
    </row>
    <row r="8" spans="2:19">
      <c r="E8" s="113" t="s">
        <v>224</v>
      </c>
      <c r="F8" s="113"/>
      <c r="G8" s="113"/>
      <c r="H8" s="113"/>
      <c r="I8" s="113"/>
      <c r="J8" s="113"/>
      <c r="O8" s="4"/>
      <c r="P8" s="4"/>
    </row>
    <row r="9" spans="2:19">
      <c r="E9" s="113" t="s">
        <v>266</v>
      </c>
      <c r="F9" s="113"/>
      <c r="G9" s="113"/>
      <c r="H9" s="113"/>
      <c r="I9" s="113"/>
      <c r="J9" s="113"/>
      <c r="K9" s="1"/>
      <c r="L9" s="1"/>
      <c r="O9" s="4"/>
      <c r="P9" s="4"/>
    </row>
    <row r="10" spans="2:19">
      <c r="E10" s="113" t="s">
        <v>49</v>
      </c>
      <c r="F10" s="113"/>
      <c r="G10" s="113"/>
      <c r="H10" s="113"/>
      <c r="I10" s="113"/>
      <c r="J10" s="113"/>
      <c r="M10" s="13"/>
      <c r="O10" s="4"/>
      <c r="P10" s="4"/>
      <c r="S10" s="13"/>
    </row>
    <row r="11" spans="2:19">
      <c r="O11" s="4"/>
      <c r="P11" s="4"/>
    </row>
    <row r="12" spans="2:19">
      <c r="O12" s="4"/>
      <c r="P12" s="4"/>
    </row>
    <row r="13" spans="2:19">
      <c r="O13" s="4"/>
      <c r="P13" s="4"/>
    </row>
    <row r="14" spans="2:19">
      <c r="J14" s="2" t="s">
        <v>165</v>
      </c>
      <c r="L14" s="2" t="s">
        <v>165</v>
      </c>
      <c r="O14" s="4"/>
      <c r="P14" s="4"/>
    </row>
    <row r="15" spans="2:19">
      <c r="J15" s="2" t="s">
        <v>188</v>
      </c>
      <c r="L15" s="2" t="s">
        <v>188</v>
      </c>
      <c r="O15" s="4"/>
      <c r="P15" s="4"/>
    </row>
    <row r="16" spans="2:19">
      <c r="B16" s="102" t="s">
        <v>227</v>
      </c>
      <c r="J16" s="2" t="s">
        <v>189</v>
      </c>
      <c r="L16" s="2" t="s">
        <v>191</v>
      </c>
      <c r="O16" s="4"/>
      <c r="P16" s="4"/>
    </row>
    <row r="17" spans="2:16">
      <c r="B17" s="48" t="s">
        <v>228</v>
      </c>
      <c r="D17" s="103" t="s">
        <v>234</v>
      </c>
      <c r="E17" s="103"/>
      <c r="F17" s="103"/>
      <c r="G17" s="103"/>
      <c r="H17" s="103"/>
      <c r="J17" s="48" t="s">
        <v>190</v>
      </c>
      <c r="L17" s="48" t="s">
        <v>190</v>
      </c>
      <c r="O17" s="4"/>
      <c r="P17" s="4"/>
    </row>
    <row r="18" spans="2:16">
      <c r="B18" s="2"/>
      <c r="J18" s="2"/>
      <c r="L18" s="2"/>
      <c r="O18" s="4"/>
      <c r="P18" s="4"/>
    </row>
    <row r="19" spans="2:16">
      <c r="B19" s="2">
        <v>1</v>
      </c>
      <c r="D19" t="s">
        <v>197</v>
      </c>
      <c r="O19" s="4"/>
      <c r="P19" s="4"/>
    </row>
    <row r="20" spans="2:16">
      <c r="B20" s="2">
        <v>2</v>
      </c>
      <c r="D20" t="s">
        <v>269</v>
      </c>
      <c r="O20" s="4"/>
      <c r="P20" s="4"/>
    </row>
    <row r="21" spans="2:16">
      <c r="B21" s="2">
        <v>3</v>
      </c>
      <c r="D21" s="10" t="s">
        <v>270</v>
      </c>
      <c r="J21" s="13">
        <f>-3120453</f>
        <v>-3120453</v>
      </c>
      <c r="K21" s="13"/>
      <c r="L21" s="13">
        <f>-862796</f>
        <v>-862796</v>
      </c>
      <c r="O21" s="4"/>
      <c r="P21" s="4"/>
    </row>
    <row r="22" spans="2:16">
      <c r="B22" s="2">
        <v>4</v>
      </c>
      <c r="D22" s="10" t="s">
        <v>271</v>
      </c>
      <c r="J22" s="13"/>
      <c r="K22" s="13"/>
      <c r="L22" s="13"/>
      <c r="O22" s="4"/>
      <c r="P22" s="4"/>
    </row>
    <row r="23" spans="2:16">
      <c r="B23" s="2"/>
      <c r="O23" s="4"/>
      <c r="P23" s="4"/>
    </row>
    <row r="24" spans="2:16">
      <c r="B24" s="2">
        <v>5</v>
      </c>
      <c r="D24" t="s">
        <v>192</v>
      </c>
      <c r="J24" s="43">
        <v>0.35</v>
      </c>
      <c r="L24" s="43">
        <v>0.35</v>
      </c>
      <c r="O24" s="4"/>
      <c r="P24" s="4"/>
    </row>
    <row r="25" spans="2:16">
      <c r="B25" s="2"/>
      <c r="O25" s="4"/>
      <c r="P25" s="4"/>
    </row>
    <row r="26" spans="2:16">
      <c r="B26" s="2">
        <v>6</v>
      </c>
      <c r="D26" t="s">
        <v>193</v>
      </c>
      <c r="J26" s="13">
        <f>-J21*J24</f>
        <v>1092158.55</v>
      </c>
      <c r="L26" s="13">
        <f>-L21*L24</f>
        <v>301978.59999999998</v>
      </c>
      <c r="O26" s="4"/>
      <c r="P26" s="4"/>
    </row>
    <row r="27" spans="2:16">
      <c r="B27" s="2"/>
      <c r="O27" s="4"/>
      <c r="P27" s="4"/>
    </row>
    <row r="28" spans="2:16">
      <c r="B28" s="2">
        <v>7</v>
      </c>
      <c r="D28" t="s">
        <v>196</v>
      </c>
      <c r="O28" s="4"/>
      <c r="P28" s="4"/>
    </row>
    <row r="29" spans="2:16">
      <c r="B29" s="2">
        <v>8</v>
      </c>
      <c r="D29" t="s">
        <v>194</v>
      </c>
      <c r="O29" s="4"/>
      <c r="P29" s="4"/>
    </row>
    <row r="30" spans="2:16" ht="15" thickBot="1">
      <c r="B30" s="2">
        <v>9</v>
      </c>
      <c r="D30" t="s">
        <v>195</v>
      </c>
      <c r="J30" s="28">
        <f>-J21-J26</f>
        <v>2028294.45</v>
      </c>
      <c r="L30" s="28">
        <f>-L21-L26</f>
        <v>560817.4</v>
      </c>
      <c r="O30" s="4"/>
      <c r="P30" s="4"/>
    </row>
    <row r="31" spans="2:16" ht="15" thickTop="1">
      <c r="B31" s="2"/>
      <c r="O31" s="4"/>
      <c r="P31" s="4"/>
    </row>
    <row r="32" spans="2:16">
      <c r="O32" s="4"/>
      <c r="P32" s="4"/>
    </row>
    <row r="33" spans="1:16">
      <c r="O33" s="4"/>
      <c r="P33" s="4"/>
    </row>
    <row r="34" spans="1:16">
      <c r="O34" s="4"/>
      <c r="P34" s="4"/>
    </row>
    <row r="35" spans="1:16">
      <c r="O35" s="4"/>
      <c r="P35" s="4"/>
    </row>
    <row r="36" spans="1:16">
      <c r="O36" s="4"/>
      <c r="P36" s="4"/>
    </row>
    <row r="37" spans="1:16"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</sheetData>
  <mergeCells count="3">
    <mergeCell ref="E8:J8"/>
    <mergeCell ref="E9:J9"/>
    <mergeCell ref="E10:J10"/>
  </mergeCells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workbookViewId="0">
      <selection activeCell="G52" sqref="G52"/>
    </sheetView>
  </sheetViews>
  <sheetFormatPr defaultRowHeight="14.25"/>
  <cols>
    <col min="2" max="2" width="6.625" customWidth="1"/>
    <col min="3" max="4" width="3.625" customWidth="1"/>
    <col min="9" max="9" width="6.625" customWidth="1"/>
    <col min="10" max="10" width="12.75" bestFit="1" customWidth="1"/>
    <col min="11" max="11" width="3.625" customWidth="1"/>
    <col min="12" max="12" width="12.125" bestFit="1" customWidth="1"/>
  </cols>
  <sheetData>
    <row r="1" spans="5:19">
      <c r="M1" s="87" t="s">
        <v>232</v>
      </c>
    </row>
    <row r="2" spans="5:19">
      <c r="M2" s="87" t="s">
        <v>272</v>
      </c>
    </row>
    <row r="3" spans="5:19">
      <c r="M3" s="87"/>
    </row>
    <row r="4" spans="5:19">
      <c r="M4" s="87" t="s">
        <v>273</v>
      </c>
    </row>
    <row r="5" spans="5:19">
      <c r="M5" s="87" t="s">
        <v>219</v>
      </c>
    </row>
    <row r="6" spans="5:19" ht="15.75">
      <c r="M6" s="108"/>
    </row>
    <row r="7" spans="5:19" ht="15.75">
      <c r="M7" s="108"/>
    </row>
    <row r="8" spans="5:19" ht="15.75">
      <c r="M8" s="108"/>
    </row>
    <row r="9" spans="5:19" ht="15.75">
      <c r="M9" s="108"/>
    </row>
    <row r="10" spans="5:19">
      <c r="M10" s="13"/>
      <c r="S10" s="13"/>
    </row>
    <row r="12" spans="5:19">
      <c r="E12" s="113" t="s">
        <v>224</v>
      </c>
      <c r="F12" s="113"/>
      <c r="G12" s="113"/>
      <c r="H12" s="113"/>
      <c r="I12" s="113"/>
      <c r="J12" s="113"/>
      <c r="K12" s="113"/>
    </row>
    <row r="13" spans="5:19">
      <c r="E13" s="113" t="s">
        <v>266</v>
      </c>
      <c r="F13" s="113"/>
      <c r="G13" s="113"/>
      <c r="H13" s="113"/>
      <c r="I13" s="113"/>
      <c r="J13" s="113"/>
      <c r="K13" s="113"/>
    </row>
    <row r="14" spans="5:19">
      <c r="E14" s="113" t="s">
        <v>274</v>
      </c>
      <c r="F14" s="113"/>
      <c r="G14" s="113"/>
      <c r="H14" s="113"/>
      <c r="I14" s="113"/>
      <c r="J14" s="113"/>
      <c r="K14" s="113"/>
    </row>
    <row r="18" spans="2:12">
      <c r="J18" s="2" t="s">
        <v>165</v>
      </c>
      <c r="L18" s="2" t="s">
        <v>165</v>
      </c>
    </row>
    <row r="19" spans="2:12">
      <c r="J19" s="2" t="s">
        <v>188</v>
      </c>
      <c r="L19" s="2" t="s">
        <v>188</v>
      </c>
    </row>
    <row r="20" spans="2:12">
      <c r="B20" s="102" t="s">
        <v>227</v>
      </c>
      <c r="J20" s="2" t="s">
        <v>189</v>
      </c>
      <c r="L20" s="2" t="s">
        <v>191</v>
      </c>
    </row>
    <row r="21" spans="2:12">
      <c r="B21" s="48" t="s">
        <v>228</v>
      </c>
      <c r="D21" s="103" t="s">
        <v>234</v>
      </c>
      <c r="E21" s="103"/>
      <c r="F21" s="103"/>
      <c r="G21" s="103"/>
      <c r="H21" s="103"/>
      <c r="J21" s="48" t="s">
        <v>190</v>
      </c>
      <c r="L21" s="48" t="s">
        <v>190</v>
      </c>
    </row>
    <row r="22" spans="2:12">
      <c r="J22" s="2"/>
      <c r="L22" s="2"/>
    </row>
    <row r="23" spans="2:12">
      <c r="B23" s="2">
        <v>1</v>
      </c>
      <c r="D23" t="s">
        <v>198</v>
      </c>
    </row>
    <row r="24" spans="2:12">
      <c r="B24" s="2">
        <v>2</v>
      </c>
      <c r="D24" t="s">
        <v>199</v>
      </c>
    </row>
    <row r="25" spans="2:12">
      <c r="B25" s="2">
        <v>3</v>
      </c>
      <c r="D25" s="10" t="s">
        <v>200</v>
      </c>
      <c r="J25" s="13">
        <v>130634</v>
      </c>
      <c r="K25" s="13"/>
      <c r="L25" s="13">
        <v>35032</v>
      </c>
    </row>
    <row r="26" spans="2:12">
      <c r="B26" s="2"/>
    </row>
    <row r="27" spans="2:12">
      <c r="B27" s="2">
        <v>4</v>
      </c>
      <c r="D27" t="s">
        <v>192</v>
      </c>
      <c r="J27" s="43">
        <v>0.35</v>
      </c>
      <c r="L27" s="43">
        <v>0.35</v>
      </c>
    </row>
    <row r="28" spans="2:12">
      <c r="B28" s="2"/>
    </row>
    <row r="29" spans="2:12">
      <c r="B29" s="2">
        <v>5</v>
      </c>
      <c r="D29" t="s">
        <v>193</v>
      </c>
      <c r="J29" s="13">
        <f>-J25*J27</f>
        <v>-45721.899999999994</v>
      </c>
      <c r="L29" s="13">
        <f>-L25*L27</f>
        <v>-12261.199999999999</v>
      </c>
    </row>
    <row r="30" spans="2:12">
      <c r="B30" s="2"/>
    </row>
    <row r="31" spans="2:12">
      <c r="B31" s="2">
        <v>6</v>
      </c>
      <c r="D31" t="s">
        <v>196</v>
      </c>
    </row>
    <row r="32" spans="2:12">
      <c r="B32" s="2">
        <v>7</v>
      </c>
      <c r="D32" t="s">
        <v>201</v>
      </c>
    </row>
    <row r="33" spans="2:12" ht="15" thickBot="1">
      <c r="B33" s="2">
        <v>8</v>
      </c>
      <c r="D33" t="s">
        <v>202</v>
      </c>
      <c r="J33" s="28">
        <f>-J25-J29</f>
        <v>-84912.1</v>
      </c>
      <c r="L33" s="28">
        <f>-L25-L29</f>
        <v>-22770.800000000003</v>
      </c>
    </row>
    <row r="34" spans="2:12" ht="15" thickTop="1">
      <c r="B34" s="2"/>
    </row>
    <row r="35" spans="2:12">
      <c r="B35" s="2"/>
    </row>
    <row r="36" spans="2:12">
      <c r="B36" s="2"/>
    </row>
    <row r="51" spans="7:7">
      <c r="G51" t="s">
        <v>282</v>
      </c>
    </row>
  </sheetData>
  <mergeCells count="3">
    <mergeCell ref="E12:K12"/>
    <mergeCell ref="E13:K13"/>
    <mergeCell ref="E14:K14"/>
  </mergeCells>
  <pageMargins left="0.95" right="0.45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workbookViewId="0">
      <selection activeCell="G52" sqref="G52"/>
    </sheetView>
  </sheetViews>
  <sheetFormatPr defaultRowHeight="14.25"/>
  <cols>
    <col min="2" max="2" width="6.625" customWidth="1"/>
    <col min="3" max="4" width="3.625" customWidth="1"/>
    <col min="10" max="10" width="12.75" bestFit="1" customWidth="1"/>
    <col min="11" max="11" width="3.625" customWidth="1"/>
    <col min="12" max="12" width="12.125" bestFit="1" customWidth="1"/>
  </cols>
  <sheetData>
    <row r="1" spans="5:19">
      <c r="M1" s="87" t="s">
        <v>232</v>
      </c>
    </row>
    <row r="2" spans="5:19">
      <c r="M2" s="87" t="s">
        <v>275</v>
      </c>
    </row>
    <row r="3" spans="5:19">
      <c r="M3" s="87"/>
    </row>
    <row r="4" spans="5:19">
      <c r="M4" s="87" t="s">
        <v>276</v>
      </c>
    </row>
    <row r="5" spans="5:19" ht="15.75">
      <c r="M5" s="62" t="s">
        <v>220</v>
      </c>
    </row>
    <row r="10" spans="5:19">
      <c r="M10" s="13"/>
      <c r="S10" s="13"/>
    </row>
    <row r="12" spans="5:19">
      <c r="E12" s="113" t="s">
        <v>224</v>
      </c>
      <c r="F12" s="113"/>
      <c r="G12" s="113"/>
      <c r="H12" s="113"/>
      <c r="I12" s="113"/>
      <c r="J12" s="113"/>
      <c r="K12" s="113"/>
    </row>
    <row r="13" spans="5:19">
      <c r="E13" s="113" t="s">
        <v>266</v>
      </c>
      <c r="F13" s="113"/>
      <c r="G13" s="113"/>
      <c r="H13" s="113"/>
      <c r="I13" s="113"/>
      <c r="J13" s="113"/>
      <c r="K13" s="113"/>
    </row>
    <row r="14" spans="5:19">
      <c r="E14" s="113" t="s">
        <v>277</v>
      </c>
      <c r="F14" s="113"/>
      <c r="G14" s="113"/>
      <c r="H14" s="113"/>
      <c r="I14" s="113"/>
      <c r="J14" s="113"/>
      <c r="K14" s="113"/>
    </row>
    <row r="20" spans="2:12">
      <c r="J20" s="2" t="s">
        <v>165</v>
      </c>
      <c r="L20" s="2" t="s">
        <v>165</v>
      </c>
    </row>
    <row r="21" spans="2:12">
      <c r="J21" s="2" t="s">
        <v>188</v>
      </c>
      <c r="L21" s="2" t="s">
        <v>188</v>
      </c>
    </row>
    <row r="22" spans="2:12">
      <c r="B22" s="102" t="s">
        <v>227</v>
      </c>
      <c r="J22" s="2" t="s">
        <v>189</v>
      </c>
      <c r="L22" s="2" t="s">
        <v>191</v>
      </c>
    </row>
    <row r="23" spans="2:12">
      <c r="B23" s="48" t="s">
        <v>228</v>
      </c>
      <c r="D23" s="103" t="s">
        <v>234</v>
      </c>
      <c r="E23" s="103"/>
      <c r="F23" s="103"/>
      <c r="G23" s="103"/>
      <c r="H23" s="103"/>
      <c r="J23" s="48" t="s">
        <v>190</v>
      </c>
      <c r="L23" s="48" t="s">
        <v>190</v>
      </c>
    </row>
    <row r="24" spans="2:12">
      <c r="J24" s="2"/>
      <c r="L24" s="2"/>
    </row>
    <row r="25" spans="2:12">
      <c r="B25" s="2">
        <v>1</v>
      </c>
      <c r="D25" t="s">
        <v>203</v>
      </c>
    </row>
    <row r="26" spans="2:12">
      <c r="B26" s="2">
        <v>2</v>
      </c>
      <c r="D26" t="s">
        <v>204</v>
      </c>
    </row>
    <row r="27" spans="2:12">
      <c r="B27" s="2">
        <v>3</v>
      </c>
      <c r="D27" s="10" t="s">
        <v>205</v>
      </c>
      <c r="J27" s="13">
        <v>959086</v>
      </c>
      <c r="K27" s="13"/>
      <c r="L27" s="13">
        <v>176865</v>
      </c>
    </row>
    <row r="28" spans="2:12">
      <c r="B28" s="2">
        <v>4</v>
      </c>
      <c r="D28" s="10" t="s">
        <v>206</v>
      </c>
      <c r="J28" s="13"/>
      <c r="K28" s="13"/>
      <c r="L28" s="13"/>
    </row>
    <row r="29" spans="2:12">
      <c r="B29" s="2"/>
    </row>
    <row r="30" spans="2:12">
      <c r="B30" s="2">
        <v>5</v>
      </c>
      <c r="D30" t="s">
        <v>192</v>
      </c>
      <c r="J30" s="43">
        <v>0.35</v>
      </c>
      <c r="L30" s="43">
        <v>0.35</v>
      </c>
    </row>
    <row r="31" spans="2:12">
      <c r="B31" s="2"/>
    </row>
    <row r="32" spans="2:12">
      <c r="B32" s="2">
        <v>6</v>
      </c>
      <c r="D32" t="s">
        <v>193</v>
      </c>
      <c r="J32" s="13">
        <f>-J27*J30</f>
        <v>-335680.1</v>
      </c>
      <c r="L32" s="13">
        <f>-L27*L30</f>
        <v>-61902.749999999993</v>
      </c>
    </row>
    <row r="33" spans="2:12">
      <c r="B33" s="2"/>
    </row>
    <row r="34" spans="2:12">
      <c r="B34" s="2">
        <v>7</v>
      </c>
      <c r="D34" t="s">
        <v>196</v>
      </c>
    </row>
    <row r="35" spans="2:12">
      <c r="B35" s="2">
        <v>8</v>
      </c>
      <c r="D35" t="s">
        <v>207</v>
      </c>
    </row>
    <row r="36" spans="2:12" ht="15" thickBot="1">
      <c r="B36" s="2">
        <v>9</v>
      </c>
      <c r="D36" t="s">
        <v>202</v>
      </c>
      <c r="J36" s="28">
        <f>-J27-J32</f>
        <v>-623405.9</v>
      </c>
      <c r="L36" s="28">
        <f>-L27-L32</f>
        <v>-114962.25</v>
      </c>
    </row>
    <row r="37" spans="2:12" ht="15" thickTop="1">
      <c r="B37" s="2"/>
    </row>
    <row r="51" spans="7:7">
      <c r="G51" t="s">
        <v>282</v>
      </c>
    </row>
  </sheetData>
  <mergeCells count="3">
    <mergeCell ref="E12:K12"/>
    <mergeCell ref="E13:K13"/>
    <mergeCell ref="E14:K14"/>
  </mergeCells>
  <pageMargins left="0.95" right="0.45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57"/>
  <sheetViews>
    <sheetView workbookViewId="0">
      <selection activeCell="Q22" sqref="Q22"/>
    </sheetView>
  </sheetViews>
  <sheetFormatPr defaultRowHeight="14.25"/>
  <cols>
    <col min="2" max="3" width="2.625" customWidth="1"/>
    <col min="9" max="9" width="15.625" bestFit="1" customWidth="1"/>
    <col min="10" max="10" width="2.625" customWidth="1"/>
    <col min="11" max="11" width="15.625" bestFit="1" customWidth="1"/>
    <col min="12" max="12" width="2.625" customWidth="1"/>
    <col min="13" max="13" width="15.625" bestFit="1" customWidth="1"/>
    <col min="14" max="14" width="2.625" customWidth="1"/>
    <col min="15" max="15" width="15.625" bestFit="1" customWidth="1"/>
    <col min="16" max="16" width="2.625" customWidth="1"/>
    <col min="17" max="17" width="15.625" bestFit="1" customWidth="1"/>
    <col min="19" max="23" width="3.125" customWidth="1"/>
    <col min="24" max="24" width="15.375" bestFit="1" customWidth="1"/>
  </cols>
  <sheetData>
    <row r="7" spans="4:19">
      <c r="D7" s="113" t="s">
        <v>224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4:19">
      <c r="D8" s="113" t="s">
        <v>266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4:19">
      <c r="D9" s="113" t="s">
        <v>278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0" spans="4:19">
      <c r="M10" s="13"/>
      <c r="S10" s="13"/>
    </row>
    <row r="13" spans="4:19">
      <c r="K13" s="2" t="s">
        <v>59</v>
      </c>
      <c r="Q13" s="2" t="s">
        <v>64</v>
      </c>
    </row>
    <row r="14" spans="4:19">
      <c r="I14" s="2" t="s">
        <v>60</v>
      </c>
      <c r="K14" s="2" t="s">
        <v>61</v>
      </c>
      <c r="M14" s="2" t="s">
        <v>62</v>
      </c>
      <c r="O14" s="2" t="s">
        <v>63</v>
      </c>
      <c r="Q14" s="2" t="s">
        <v>69</v>
      </c>
    </row>
    <row r="15" spans="4:19">
      <c r="I15" s="6" t="s">
        <v>65</v>
      </c>
      <c r="K15" s="2" t="s">
        <v>66</v>
      </c>
      <c r="M15" s="7" t="s">
        <v>67</v>
      </c>
      <c r="O15" s="2" t="s">
        <v>68</v>
      </c>
      <c r="Q15" s="2" t="s">
        <v>73</v>
      </c>
    </row>
    <row r="16" spans="4:19">
      <c r="I16" s="2" t="s">
        <v>70</v>
      </c>
      <c r="K16" s="2" t="s">
        <v>71</v>
      </c>
      <c r="M16" s="2" t="s">
        <v>70</v>
      </c>
      <c r="O16" s="2" t="s">
        <v>72</v>
      </c>
      <c r="Q16" s="2" t="s">
        <v>76</v>
      </c>
    </row>
    <row r="17" spans="1:30">
      <c r="I17" s="2" t="s">
        <v>74</v>
      </c>
      <c r="K17" s="8" t="s">
        <v>67</v>
      </c>
      <c r="M17" s="2" t="s">
        <v>74</v>
      </c>
      <c r="O17" s="8" t="s">
        <v>75</v>
      </c>
      <c r="Q17" s="2" t="s">
        <v>79</v>
      </c>
    </row>
    <row r="18" spans="1:30" ht="15">
      <c r="A18" s="102" t="s">
        <v>227</v>
      </c>
      <c r="I18" s="2" t="s">
        <v>138</v>
      </c>
      <c r="K18" s="2" t="s">
        <v>138</v>
      </c>
      <c r="M18" s="2" t="s">
        <v>77</v>
      </c>
      <c r="O18" s="2" t="s">
        <v>78</v>
      </c>
      <c r="Q18" s="109" t="s">
        <v>75</v>
      </c>
      <c r="AB18" s="27" t="s">
        <v>151</v>
      </c>
      <c r="AC18" s="27"/>
    </row>
    <row r="19" spans="1:30">
      <c r="A19" s="48" t="s">
        <v>228</v>
      </c>
      <c r="C19" s="103" t="s">
        <v>234</v>
      </c>
      <c r="D19" s="103"/>
      <c r="E19" s="103"/>
      <c r="F19" s="103"/>
      <c r="G19" s="103"/>
      <c r="I19" s="3" t="s">
        <v>80</v>
      </c>
      <c r="K19" s="9" t="s">
        <v>81</v>
      </c>
      <c r="M19" s="3" t="s">
        <v>82</v>
      </c>
      <c r="O19" s="3" t="s">
        <v>83</v>
      </c>
      <c r="Q19" s="48" t="s">
        <v>279</v>
      </c>
      <c r="AB19" t="s">
        <v>89</v>
      </c>
    </row>
    <row r="20" spans="1:30">
      <c r="A20" s="2"/>
      <c r="I20" s="8" t="s">
        <v>84</v>
      </c>
      <c r="K20" s="8" t="s">
        <v>85</v>
      </c>
      <c r="M20" s="8" t="s">
        <v>86</v>
      </c>
      <c r="O20" s="8" t="s">
        <v>87</v>
      </c>
      <c r="Q20" s="8" t="s">
        <v>88</v>
      </c>
      <c r="AB20" s="20" t="s">
        <v>135</v>
      </c>
      <c r="AD20" s="15">
        <v>24921832</v>
      </c>
    </row>
    <row r="21" spans="1:30">
      <c r="A21" s="2">
        <v>1</v>
      </c>
      <c r="C21" t="s">
        <v>89</v>
      </c>
      <c r="AB21" s="20" t="s">
        <v>136</v>
      </c>
      <c r="AD21" s="15">
        <v>331529183</v>
      </c>
    </row>
    <row r="22" spans="1:30">
      <c r="A22" s="2">
        <v>2</v>
      </c>
      <c r="D22" s="20" t="s">
        <v>135</v>
      </c>
      <c r="I22" s="13">
        <v>24600</v>
      </c>
      <c r="K22" s="13">
        <v>225</v>
      </c>
      <c r="M22" s="13">
        <f>+I22+K22</f>
        <v>24825</v>
      </c>
      <c r="O22" s="13">
        <f>+AD20/1000</f>
        <v>24921.831999999999</v>
      </c>
      <c r="Q22" s="13">
        <f>+O22-M22</f>
        <v>96.831999999998516</v>
      </c>
    </row>
    <row r="23" spans="1:30">
      <c r="A23" s="2">
        <v>3</v>
      </c>
      <c r="D23" s="20" t="s">
        <v>136</v>
      </c>
      <c r="I23" s="15">
        <v>308847</v>
      </c>
      <c r="K23" s="15">
        <v>11022</v>
      </c>
      <c r="M23" s="15">
        <f>+I23+K23</f>
        <v>319869</v>
      </c>
      <c r="O23" s="15">
        <f>+AD21/1000</f>
        <v>331529.18300000002</v>
      </c>
      <c r="Q23" s="15">
        <f>+O23-M23</f>
        <v>11660.183000000019</v>
      </c>
      <c r="AD23" s="19"/>
    </row>
    <row r="24" spans="1:30">
      <c r="A24" s="2">
        <v>4</v>
      </c>
      <c r="D24" s="20" t="s">
        <v>137</v>
      </c>
      <c r="I24" s="18">
        <v>51731</v>
      </c>
      <c r="K24" s="18">
        <v>7677</v>
      </c>
      <c r="M24" s="18">
        <f>+I24+K24</f>
        <v>59408</v>
      </c>
      <c r="O24" s="18">
        <f>+AD26/1000</f>
        <v>58460.567999999999</v>
      </c>
      <c r="Q24" s="18">
        <f>+O24-M24</f>
        <v>-947.4320000000007</v>
      </c>
      <c r="AB24" t="s">
        <v>145</v>
      </c>
      <c r="AD24" s="19">
        <v>11421100</v>
      </c>
    </row>
    <row r="25" spans="1:30">
      <c r="A25" s="2">
        <v>5</v>
      </c>
      <c r="C25" t="s">
        <v>139</v>
      </c>
      <c r="I25" s="13">
        <f>SUM(I22:I24)</f>
        <v>385178</v>
      </c>
      <c r="K25" s="13">
        <f t="shared" ref="K25:Q25" si="0">SUM(K22:K24)</f>
        <v>18924</v>
      </c>
      <c r="M25" s="13">
        <f t="shared" si="0"/>
        <v>404102</v>
      </c>
      <c r="O25" s="13">
        <f t="shared" si="0"/>
        <v>414911.58299999998</v>
      </c>
      <c r="Q25" s="13">
        <f t="shared" si="0"/>
        <v>10809.583000000017</v>
      </c>
      <c r="AB25" t="s">
        <v>146</v>
      </c>
      <c r="AD25" s="19">
        <v>47039468</v>
      </c>
    </row>
    <row r="26" spans="1:30">
      <c r="A26" s="2"/>
      <c r="AB26" t="s">
        <v>147</v>
      </c>
      <c r="AD26" s="19">
        <f>SUM(AD24:AD25)</f>
        <v>58460568</v>
      </c>
    </row>
    <row r="27" spans="1:30">
      <c r="A27" s="2">
        <v>6</v>
      </c>
      <c r="C27" s="21" t="s">
        <v>140</v>
      </c>
      <c r="D27" s="21"/>
      <c r="AD27" s="19"/>
    </row>
    <row r="28" spans="1:30">
      <c r="A28" s="2">
        <v>7</v>
      </c>
      <c r="C28" s="21"/>
      <c r="D28" s="21" t="s">
        <v>135</v>
      </c>
      <c r="I28" s="13">
        <v>-9050</v>
      </c>
      <c r="K28" s="13">
        <v>-191</v>
      </c>
      <c r="M28" s="13">
        <f>+I28+K28</f>
        <v>-9241</v>
      </c>
      <c r="O28" s="13">
        <f>+AD30/1000</f>
        <v>-9176.8410000000003</v>
      </c>
      <c r="Q28" s="13">
        <f>+O28-M28</f>
        <v>64.158999999999651</v>
      </c>
    </row>
    <row r="29" spans="1:30">
      <c r="A29" s="2">
        <v>8</v>
      </c>
      <c r="C29" s="21"/>
      <c r="D29" s="21" t="s">
        <v>136</v>
      </c>
      <c r="I29" s="15">
        <v>-109163</v>
      </c>
      <c r="K29" s="15">
        <v>-3959</v>
      </c>
      <c r="M29" s="15">
        <f>+I29+K29</f>
        <v>-113122</v>
      </c>
      <c r="O29" s="15">
        <f>+AD31/1000</f>
        <v>-113459.345</v>
      </c>
      <c r="Q29" s="15">
        <f>+O29-M29</f>
        <v>-337.34500000000116</v>
      </c>
      <c r="AB29" t="s">
        <v>140</v>
      </c>
    </row>
    <row r="30" spans="1:30">
      <c r="A30" s="2">
        <v>9</v>
      </c>
      <c r="C30" s="21"/>
      <c r="D30" s="21" t="s">
        <v>137</v>
      </c>
      <c r="I30" s="15">
        <v>-15087</v>
      </c>
      <c r="K30" s="15">
        <v>-2105</v>
      </c>
      <c r="M30" s="15">
        <f>+I30+K30</f>
        <v>-17192</v>
      </c>
      <c r="O30" s="15">
        <f>+AD36/1000</f>
        <v>-16510.651999999998</v>
      </c>
      <c r="Q30" s="15">
        <f>+O30-M30</f>
        <v>681.34800000000178</v>
      </c>
      <c r="AB30" s="20" t="s">
        <v>135</v>
      </c>
      <c r="AD30" s="15">
        <f>-9176841</f>
        <v>-9176841</v>
      </c>
    </row>
    <row r="31" spans="1:30">
      <c r="A31" s="2">
        <v>10</v>
      </c>
      <c r="C31" s="21" t="s">
        <v>141</v>
      </c>
      <c r="D31" s="21"/>
      <c r="I31" s="23">
        <f>SUM(I28:I30)</f>
        <v>-133300</v>
      </c>
      <c r="K31" s="23">
        <f>SUM(K28:K30)</f>
        <v>-6255</v>
      </c>
      <c r="M31" s="23">
        <f>SUM(M28:M30)</f>
        <v>-139555</v>
      </c>
      <c r="O31" s="23">
        <f>SUM(O28:O30)</f>
        <v>-139146.83799999999</v>
      </c>
      <c r="Q31" s="23">
        <f>SUM(Q28:Q30)</f>
        <v>408.16200000000026</v>
      </c>
      <c r="AB31" s="20" t="s">
        <v>136</v>
      </c>
      <c r="AD31" s="15">
        <f>-113459345</f>
        <v>-113459345</v>
      </c>
    </row>
    <row r="32" spans="1:30">
      <c r="A32" s="2"/>
      <c r="C32" s="21"/>
      <c r="D32" s="21"/>
      <c r="AD32" s="15"/>
    </row>
    <row r="33" spans="1:30">
      <c r="A33" s="2">
        <v>11</v>
      </c>
      <c r="C33" s="21" t="s">
        <v>142</v>
      </c>
      <c r="D33" s="21"/>
      <c r="I33" s="15">
        <f>+I25+I31</f>
        <v>251878</v>
      </c>
      <c r="K33" s="15">
        <f>+K25+K31</f>
        <v>12669</v>
      </c>
      <c r="M33" s="15">
        <f>+M25+M31</f>
        <v>264547</v>
      </c>
      <c r="O33" s="15">
        <f>+O25+O31</f>
        <v>275764.745</v>
      </c>
      <c r="Q33" s="15">
        <f>+Q25+Q31</f>
        <v>11217.745000000017</v>
      </c>
      <c r="AD33" s="15"/>
    </row>
    <row r="34" spans="1:30">
      <c r="A34" s="2"/>
      <c r="C34" s="21"/>
      <c r="D34" s="21"/>
      <c r="I34" s="15"/>
      <c r="K34" s="15"/>
      <c r="M34" s="15"/>
      <c r="O34" s="15"/>
      <c r="Q34" s="15"/>
      <c r="AB34" t="s">
        <v>145</v>
      </c>
      <c r="AD34" s="15">
        <f>-12102715</f>
        <v>-12102715</v>
      </c>
    </row>
    <row r="35" spans="1:30">
      <c r="A35" s="2">
        <v>12</v>
      </c>
      <c r="C35" s="22" t="s">
        <v>143</v>
      </c>
      <c r="D35" s="22"/>
      <c r="I35" s="18">
        <v>-49230</v>
      </c>
      <c r="K35" s="18">
        <v>-1374</v>
      </c>
      <c r="M35" s="15">
        <f>+I35+K35</f>
        <v>-50604</v>
      </c>
      <c r="O35" s="18">
        <f>-52458090/1000</f>
        <v>-52458.09</v>
      </c>
      <c r="Q35" s="18">
        <f>+O35-M35</f>
        <v>-1854.0899999999965</v>
      </c>
      <c r="AB35" t="s">
        <v>146</v>
      </c>
      <c r="AD35" s="15">
        <f>-4407937</f>
        <v>-4407937</v>
      </c>
    </row>
    <row r="36" spans="1:30">
      <c r="A36" s="2"/>
      <c r="C36" s="22"/>
      <c r="D36" s="22"/>
      <c r="AB36" t="s">
        <v>147</v>
      </c>
      <c r="AD36" s="15">
        <f>SUM(AD34:AD35)</f>
        <v>-16510652</v>
      </c>
    </row>
    <row r="37" spans="1:30" ht="15" thickBot="1">
      <c r="A37" s="2">
        <v>13</v>
      </c>
      <c r="C37" t="s">
        <v>144</v>
      </c>
      <c r="I37" s="24">
        <f>+I33+I35</f>
        <v>202648</v>
      </c>
      <c r="K37" s="24">
        <f>+K33+K35</f>
        <v>11295</v>
      </c>
      <c r="M37" s="24">
        <f>+M33+M35</f>
        <v>213943</v>
      </c>
      <c r="O37" s="24">
        <f>+O33+O35</f>
        <v>223306.655</v>
      </c>
      <c r="Q37" s="24">
        <f>+Q33+Q35</f>
        <v>9363.6550000000207</v>
      </c>
    </row>
    <row r="38" spans="1:30" ht="15" thickTop="1">
      <c r="A38" s="2"/>
    </row>
    <row r="39" spans="1:30" ht="14.25" customHeight="1">
      <c r="A39" s="2"/>
      <c r="S39" s="115" t="s">
        <v>210</v>
      </c>
      <c r="T39" s="115" t="s">
        <v>281</v>
      </c>
      <c r="U39" s="113"/>
      <c r="V39" s="115" t="s">
        <v>280</v>
      </c>
      <c r="W39" s="114" t="s">
        <v>283</v>
      </c>
    </row>
    <row r="40" spans="1:30">
      <c r="A40" s="2">
        <v>14</v>
      </c>
      <c r="C40" t="s">
        <v>148</v>
      </c>
      <c r="S40" s="115"/>
      <c r="T40" s="115"/>
      <c r="U40" s="113"/>
      <c r="V40" s="115"/>
      <c r="W40" s="114"/>
    </row>
    <row r="41" spans="1:30">
      <c r="A41" s="2">
        <v>15</v>
      </c>
      <c r="D41" s="21" t="s">
        <v>135</v>
      </c>
      <c r="M41" s="25">
        <f>+M46/M22</f>
        <v>1.5468277945619335E-2</v>
      </c>
      <c r="S41" s="115"/>
      <c r="T41" s="115"/>
      <c r="U41" s="113"/>
      <c r="V41" s="115"/>
      <c r="W41" s="114"/>
    </row>
    <row r="42" spans="1:30">
      <c r="A42" s="2">
        <v>16</v>
      </c>
      <c r="D42" s="21" t="s">
        <v>136</v>
      </c>
      <c r="I42" s="26">
        <f>'[1]ROO INPUT'!$F42</f>
        <v>0</v>
      </c>
      <c r="M42" s="25">
        <f>+M47/M23</f>
        <v>2.5601105452544636E-2</v>
      </c>
      <c r="S42" s="115"/>
      <c r="T42" s="115"/>
      <c r="U42" s="113"/>
      <c r="V42" s="115"/>
      <c r="W42" s="114"/>
    </row>
    <row r="43" spans="1:30">
      <c r="A43" s="2">
        <v>17</v>
      </c>
      <c r="D43" s="21" t="s">
        <v>137</v>
      </c>
      <c r="M43" s="25">
        <f>+M48/M24</f>
        <v>7.9366415297603021E-2</v>
      </c>
      <c r="S43" s="115"/>
      <c r="T43" s="115"/>
      <c r="U43" s="113"/>
      <c r="V43" s="115"/>
      <c r="W43" s="114"/>
    </row>
    <row r="44" spans="1:30">
      <c r="A44" s="2"/>
      <c r="S44" s="115"/>
      <c r="T44" s="115"/>
      <c r="U44" s="113"/>
      <c r="V44" s="115"/>
      <c r="W44" s="114"/>
    </row>
    <row r="45" spans="1:30">
      <c r="A45" s="2">
        <v>18</v>
      </c>
      <c r="C45" t="s">
        <v>149</v>
      </c>
      <c r="S45" s="115"/>
      <c r="T45" s="115"/>
      <c r="U45" s="113"/>
      <c r="V45" s="115"/>
      <c r="W45" s="114"/>
    </row>
    <row r="46" spans="1:30">
      <c r="A46" s="2">
        <v>19</v>
      </c>
      <c r="D46" s="21" t="s">
        <v>135</v>
      </c>
      <c r="I46" s="15">
        <v>380</v>
      </c>
      <c r="K46" s="15">
        <v>4</v>
      </c>
      <c r="M46" s="15">
        <f>+I46+K46</f>
        <v>384</v>
      </c>
      <c r="O46" s="15">
        <f>+O22*M41</f>
        <v>385.49782429003017</v>
      </c>
      <c r="Q46" s="15">
        <f>+O46-M46</f>
        <v>1.4978242900301666</v>
      </c>
      <c r="S46" s="115"/>
      <c r="T46" s="115"/>
      <c r="U46" s="113"/>
      <c r="V46" s="115"/>
      <c r="W46" s="114"/>
    </row>
    <row r="47" spans="1:30">
      <c r="A47" s="2">
        <v>20</v>
      </c>
      <c r="D47" s="21" t="s">
        <v>136</v>
      </c>
      <c r="I47" s="15">
        <v>7911</v>
      </c>
      <c r="K47" s="15">
        <v>278</v>
      </c>
      <c r="M47" s="15">
        <f>+I47+K47</f>
        <v>8189</v>
      </c>
      <c r="O47" s="15">
        <f>+O23*M42</f>
        <v>8487.5135745789685</v>
      </c>
      <c r="Q47" s="15">
        <f>+O47-M47</f>
        <v>298.51357457896847</v>
      </c>
      <c r="S47" s="115"/>
      <c r="T47" s="115"/>
      <c r="U47" s="113"/>
      <c r="V47" s="115"/>
      <c r="W47" s="114"/>
    </row>
    <row r="48" spans="1:30">
      <c r="A48" s="2">
        <v>21</v>
      </c>
      <c r="D48" s="21" t="s">
        <v>137</v>
      </c>
      <c r="I48" s="15">
        <v>3826</v>
      </c>
      <c r="K48" s="15">
        <v>889</v>
      </c>
      <c r="M48" s="15">
        <f>+I48+K48</f>
        <v>4715</v>
      </c>
      <c r="O48" s="15">
        <f>+O24*M43</f>
        <v>4639.8057184217614</v>
      </c>
      <c r="Q48" s="15">
        <f>+O48-M48</f>
        <v>-75.194281578238588</v>
      </c>
      <c r="S48" s="115"/>
      <c r="T48" s="115"/>
      <c r="U48" s="113"/>
      <c r="V48" s="115"/>
      <c r="W48" s="114"/>
    </row>
    <row r="49" spans="1:23">
      <c r="A49" s="2"/>
      <c r="I49" s="23">
        <f>SUM(I46:I48)</f>
        <v>12117</v>
      </c>
      <c r="K49" s="23">
        <f>SUM(K46:K48)</f>
        <v>1171</v>
      </c>
      <c r="M49" s="23">
        <f>SUM(M46:M48)</f>
        <v>13288</v>
      </c>
      <c r="O49" s="23">
        <f>SUM(O46:O48)</f>
        <v>13512.817117290761</v>
      </c>
      <c r="Q49" s="23">
        <f>SUM(Q46:Q48)</f>
        <v>224.81711729076005</v>
      </c>
      <c r="S49" s="115"/>
      <c r="T49" s="115"/>
      <c r="U49" s="113"/>
      <c r="V49" s="115"/>
      <c r="W49" s="114"/>
    </row>
    <row r="50" spans="1:23">
      <c r="A50" s="2"/>
      <c r="S50" s="115"/>
      <c r="T50" s="115"/>
      <c r="U50" s="113"/>
      <c r="V50" s="115"/>
      <c r="W50" s="114"/>
    </row>
    <row r="51" spans="1:23">
      <c r="A51" s="2">
        <v>22</v>
      </c>
      <c r="C51" t="s">
        <v>150</v>
      </c>
      <c r="G51" t="s">
        <v>282</v>
      </c>
      <c r="Q51" s="18">
        <f>-Q49*0.35</f>
        <v>-78.68599105176601</v>
      </c>
      <c r="S51" s="115"/>
      <c r="T51" s="115"/>
      <c r="U51" s="113"/>
      <c r="V51" s="115"/>
      <c r="W51" s="114"/>
    </row>
    <row r="52" spans="1:23">
      <c r="A52" s="2"/>
      <c r="S52" s="115"/>
      <c r="T52" s="115"/>
      <c r="U52" s="113"/>
      <c r="V52" s="115"/>
      <c r="W52" s="114"/>
    </row>
    <row r="53" spans="1:23" ht="15" thickBot="1">
      <c r="A53" s="2">
        <v>23</v>
      </c>
      <c r="C53" t="s">
        <v>126</v>
      </c>
      <c r="Q53" s="28">
        <f>-Q49-Q51</f>
        <v>-146.13112623899406</v>
      </c>
      <c r="S53" s="115"/>
      <c r="T53" s="115"/>
      <c r="U53" s="113"/>
      <c r="V53" s="115"/>
      <c r="W53" s="114"/>
    </row>
    <row r="54" spans="1:23" ht="15" thickTop="1">
      <c r="S54" s="115"/>
      <c r="T54" s="115"/>
      <c r="U54" s="113"/>
      <c r="V54" s="115"/>
      <c r="W54" s="114"/>
    </row>
    <row r="55" spans="1:23">
      <c r="S55" s="115"/>
      <c r="T55" s="115"/>
      <c r="U55" s="113"/>
      <c r="V55" s="115"/>
      <c r="W55" s="114"/>
    </row>
    <row r="56" spans="1:23">
      <c r="S56" s="115"/>
      <c r="T56" s="115"/>
      <c r="U56" s="113"/>
      <c r="V56" s="115"/>
      <c r="W56" s="114"/>
    </row>
    <row r="57" spans="1:23">
      <c r="S57" s="115"/>
      <c r="T57" s="115"/>
      <c r="U57" s="113"/>
      <c r="V57" s="115"/>
      <c r="W57" s="114"/>
    </row>
  </sheetData>
  <mergeCells count="8">
    <mergeCell ref="D7:Q7"/>
    <mergeCell ref="D8:Q8"/>
    <mergeCell ref="D9:Q9"/>
    <mergeCell ref="W39:W57"/>
    <mergeCell ref="V39:V57"/>
    <mergeCell ref="U39:U57"/>
    <mergeCell ref="T39:T57"/>
    <mergeCell ref="S39:S57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A50A190-3B3E-4954-8774-40722A30F18E}"/>
</file>

<file path=customXml/itemProps2.xml><?xml version="1.0" encoding="utf-8"?>
<ds:datastoreItem xmlns:ds="http://schemas.openxmlformats.org/officeDocument/2006/customXml" ds:itemID="{2EB2993B-FAD7-4A34-9CCD-7D471C2ED1CD}"/>
</file>

<file path=customXml/itemProps3.xml><?xml version="1.0" encoding="utf-8"?>
<ds:datastoreItem xmlns:ds="http://schemas.openxmlformats.org/officeDocument/2006/customXml" ds:itemID="{E3D9F9F4-1468-4893-B1D9-9488D7C5DC6B}"/>
</file>

<file path=customXml/itemProps4.xml><?xml version="1.0" encoding="utf-8"?>
<ds:datastoreItem xmlns:ds="http://schemas.openxmlformats.org/officeDocument/2006/customXml" ds:itemID="{ADD892E3-C7BA-4441-994F-7A32DD10C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FIT</vt:lpstr>
      <vt:lpstr>Revenue Update</vt:lpstr>
      <vt:lpstr>Labor</vt:lpstr>
      <vt:lpstr>Pension</vt:lpstr>
      <vt:lpstr>Insurance</vt:lpstr>
      <vt:lpstr>Prop Tax</vt:lpstr>
      <vt:lpstr>Plant Update</vt:lpstr>
      <vt:lpstr>FIT!Print_Area</vt:lpstr>
      <vt:lpstr>Insurance!Print_Area</vt:lpstr>
      <vt:lpstr>Labor!Print_Area</vt:lpstr>
      <vt:lpstr>'Plant Update'!Print_Area</vt:lpstr>
      <vt:lpstr>'Prop Tax'!Print_Area</vt:lpstr>
      <vt:lpstr>'Revenue Update'!Print_Area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Lea Daeschel</cp:lastModifiedBy>
  <cp:lastPrinted>2014-07-11T21:55:24Z</cp:lastPrinted>
  <dcterms:created xsi:type="dcterms:W3CDTF">2014-06-11T21:46:40Z</dcterms:created>
  <dcterms:modified xsi:type="dcterms:W3CDTF">2014-07-14T16:42:23Z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