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6s_SuT5sF0Gss24s7kbAdg==\"/>
    </mc:Choice>
  </mc:AlternateContent>
  <xr:revisionPtr revIDLastSave="0" documentId="13_ncr:1_{4F361C80-2F71-4A51-BC7B-A050176EFA5F}" xr6:coauthVersionLast="46" xr6:coauthVersionMax="46" xr10:uidLastSave="{00000000-0000-0000-0000-000000000000}"/>
  <bookViews>
    <workbookView xWindow="-120" yWindow="-120" windowWidth="25440" windowHeight="15390" tabRatio="898" activeTab="5" xr2:uid="{00000000-000D-0000-FFFF-FFFF00000000}"/>
  </bookViews>
  <sheets>
    <sheet name="Sch 139 Credit Calculation" sheetId="5" r:id="rId1"/>
    <sheet name="2022 GRC PCA Costs" sheetId="7" r:id="rId2"/>
    <sheet name="Exhibit A-1 -&gt;" sheetId="6" r:id="rId3"/>
    <sheet name="MYRP 2023" sheetId="2" r:id="rId4"/>
    <sheet name="MYRP 2024" sheetId="3" r:id="rId5"/>
    <sheet name="MYRP 2025" sheetId="4" r:id="rId6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4" l="1"/>
  <c r="J6" i="4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I6" i="3" l="1"/>
  <c r="J6" i="3"/>
  <c r="I6" i="2"/>
  <c r="J6" i="2"/>
  <c r="I34" i="4"/>
  <c r="I32" i="4"/>
  <c r="J31" i="4"/>
  <c r="J30" i="4"/>
  <c r="J28" i="4"/>
  <c r="J27" i="4"/>
  <c r="J26" i="4"/>
  <c r="J25" i="4"/>
  <c r="J23" i="4"/>
  <c r="J19" i="4"/>
  <c r="J18" i="4"/>
  <c r="I16" i="4"/>
  <c r="J15" i="4"/>
  <c r="I34" i="3"/>
  <c r="I32" i="3"/>
  <c r="J31" i="3"/>
  <c r="J30" i="3"/>
  <c r="J28" i="3"/>
  <c r="J27" i="3"/>
  <c r="J26" i="3"/>
  <c r="J25" i="3"/>
  <c r="J23" i="3"/>
  <c r="J19" i="3"/>
  <c r="J18" i="3"/>
  <c r="J16" i="3"/>
  <c r="J15" i="3"/>
  <c r="J31" i="2"/>
  <c r="J30" i="2"/>
  <c r="I28" i="2"/>
  <c r="J27" i="2"/>
  <c r="J26" i="2"/>
  <c r="J25" i="2"/>
  <c r="J23" i="2"/>
  <c r="J19" i="2"/>
  <c r="J18" i="2"/>
  <c r="I16" i="2"/>
  <c r="J16" i="4" l="1"/>
  <c r="I28" i="3"/>
  <c r="J16" i="2"/>
  <c r="J28" i="2"/>
  <c r="I28" i="4"/>
  <c r="I16" i="3"/>
  <c r="A10" i="5" l="1"/>
  <c r="A11" i="5" l="1"/>
  <c r="A12" i="5" s="1"/>
  <c r="C11" i="5"/>
  <c r="D21" i="4"/>
  <c r="G15" i="4"/>
  <c r="G18" i="4"/>
  <c r="F22" i="4"/>
  <c r="F24" i="4"/>
  <c r="F28" i="4"/>
  <c r="D30" i="4"/>
  <c r="F32" i="4"/>
  <c r="D34" i="4"/>
  <c r="G15" i="3"/>
  <c r="D18" i="3"/>
  <c r="F24" i="3"/>
  <c r="G25" i="3"/>
  <c r="D26" i="3"/>
  <c r="J37" i="2"/>
  <c r="J15" i="2"/>
  <c r="F22" i="2"/>
  <c r="G27" i="2"/>
  <c r="I32" i="2"/>
  <c r="I34" i="2"/>
  <c r="F33" i="4"/>
  <c r="F29" i="4"/>
  <c r="G27" i="4"/>
  <c r="G25" i="4"/>
  <c r="F21" i="4"/>
  <c r="F20" i="4"/>
  <c r="A9" i="4"/>
  <c r="A10" i="4" s="1"/>
  <c r="A11" i="4" s="1"/>
  <c r="A12" i="4" s="1"/>
  <c r="F32" i="3"/>
  <c r="F28" i="3"/>
  <c r="D20" i="3"/>
  <c r="A9" i="3"/>
  <c r="A10" i="3" s="1"/>
  <c r="A11" i="3" s="1"/>
  <c r="A12" i="3" s="1"/>
  <c r="F37" i="2"/>
  <c r="F28" i="2"/>
  <c r="A9" i="2"/>
  <c r="A10" i="2" s="1"/>
  <c r="A11" i="2" s="1"/>
  <c r="A12" i="2" s="1"/>
  <c r="F33" i="2" l="1"/>
  <c r="F20" i="3"/>
  <c r="G31" i="3"/>
  <c r="G31" i="2"/>
  <c r="I37" i="2"/>
  <c r="D25" i="4"/>
  <c r="F35" i="2"/>
  <c r="G19" i="3"/>
  <c r="G27" i="3"/>
  <c r="G30" i="4"/>
  <c r="G15" i="2"/>
  <c r="D31" i="3"/>
  <c r="F34" i="4"/>
  <c r="G19" i="2"/>
  <c r="D28" i="3"/>
  <c r="D33" i="4"/>
  <c r="D32" i="3"/>
  <c r="F35" i="3"/>
  <c r="C9" i="4"/>
  <c r="D29" i="3"/>
  <c r="D35" i="3"/>
  <c r="D25" i="3"/>
  <c r="F24" i="2"/>
  <c r="F32" i="2"/>
  <c r="D31" i="2"/>
  <c r="G18" i="3"/>
  <c r="D21" i="3"/>
  <c r="D27" i="3"/>
  <c r="F29" i="3"/>
  <c r="D34" i="3"/>
  <c r="G19" i="4"/>
  <c r="G26" i="4"/>
  <c r="F35" i="4"/>
  <c r="D20" i="4"/>
  <c r="D26" i="4"/>
  <c r="D29" i="4"/>
  <c r="G31" i="4"/>
  <c r="F22" i="3"/>
  <c r="D30" i="3"/>
  <c r="D22" i="3"/>
  <c r="F33" i="3"/>
  <c r="D33" i="3"/>
  <c r="F34" i="2"/>
  <c r="G18" i="2"/>
  <c r="D17" i="4"/>
  <c r="F17" i="4"/>
  <c r="D16" i="4"/>
  <c r="F16" i="4"/>
  <c r="D20" i="2"/>
  <c r="D29" i="2"/>
  <c r="D15" i="4"/>
  <c r="D19" i="4"/>
  <c r="D24" i="4"/>
  <c r="D28" i="4"/>
  <c r="D32" i="4"/>
  <c r="D16" i="2"/>
  <c r="D21" i="2"/>
  <c r="D26" i="2"/>
  <c r="D30" i="2"/>
  <c r="D18" i="4"/>
  <c r="D22" i="4"/>
  <c r="D27" i="4"/>
  <c r="D31" i="4"/>
  <c r="D35" i="4"/>
  <c r="D25" i="2"/>
  <c r="D35" i="2"/>
  <c r="D17" i="2"/>
  <c r="D17" i="3"/>
  <c r="F17" i="3"/>
  <c r="F14" i="3"/>
  <c r="D14" i="3"/>
  <c r="C36" i="3"/>
  <c r="F16" i="3"/>
  <c r="D16" i="3"/>
  <c r="F21" i="2"/>
  <c r="G26" i="2"/>
  <c r="C9" i="3"/>
  <c r="F21" i="3"/>
  <c r="G26" i="3"/>
  <c r="G30" i="3"/>
  <c r="F34" i="3"/>
  <c r="C37" i="3"/>
  <c r="D15" i="3"/>
  <c r="D19" i="3"/>
  <c r="D24" i="3"/>
  <c r="D18" i="2"/>
  <c r="F20" i="2"/>
  <c r="D22" i="2"/>
  <c r="G25" i="2"/>
  <c r="D27" i="2"/>
  <c r="F29" i="2"/>
  <c r="G30" i="2"/>
  <c r="D34" i="2"/>
  <c r="G37" i="2"/>
  <c r="F16" i="2"/>
  <c r="F14" i="2"/>
  <c r="D14" i="2"/>
  <c r="D15" i="2"/>
  <c r="D19" i="2"/>
  <c r="D24" i="2"/>
  <c r="D28" i="2"/>
  <c r="D32" i="2"/>
  <c r="C9" i="2"/>
  <c r="D33" i="2"/>
  <c r="G36" i="4" l="1"/>
  <c r="F46" i="4" s="1"/>
  <c r="C46" i="3"/>
  <c r="D46" i="3" s="1"/>
  <c r="G36" i="3"/>
  <c r="F46" i="3" s="1"/>
  <c r="C37" i="4"/>
  <c r="G37" i="4" s="1"/>
  <c r="J37" i="3"/>
  <c r="I37" i="3"/>
  <c r="G36" i="2"/>
  <c r="F46" i="2" s="1"/>
  <c r="C36" i="2"/>
  <c r="C38" i="2" s="1"/>
  <c r="F17" i="2"/>
  <c r="F36" i="2" s="1"/>
  <c r="F45" i="2" s="1"/>
  <c r="C46" i="4"/>
  <c r="F14" i="4"/>
  <c r="F36" i="4" s="1"/>
  <c r="D14" i="4"/>
  <c r="C36" i="4"/>
  <c r="F36" i="3"/>
  <c r="G37" i="3"/>
  <c r="F37" i="3"/>
  <c r="D36" i="3"/>
  <c r="C44" i="3" s="1"/>
  <c r="D44" i="3" s="1"/>
  <c r="C45" i="3"/>
  <c r="C38" i="3"/>
  <c r="G44" i="3" s="1"/>
  <c r="F44" i="3"/>
  <c r="C45" i="2"/>
  <c r="D36" i="2"/>
  <c r="C44" i="2" s="1"/>
  <c r="D44" i="2" s="1"/>
  <c r="G38" i="2"/>
  <c r="G46" i="2" s="1"/>
  <c r="C46" i="2"/>
  <c r="D46" i="2" s="1"/>
  <c r="F44" i="2" l="1"/>
  <c r="G38" i="3"/>
  <c r="G46" i="3" s="1"/>
  <c r="G38" i="4"/>
  <c r="G46" i="4" s="1"/>
  <c r="F37" i="4"/>
  <c r="D46" i="4"/>
  <c r="J37" i="4"/>
  <c r="I37" i="4"/>
  <c r="H36" i="2"/>
  <c r="F38" i="2"/>
  <c r="G45" i="2" s="1"/>
  <c r="G47" i="2" s="1"/>
  <c r="E9" i="5" s="1"/>
  <c r="C38" i="4"/>
  <c r="F44" i="4"/>
  <c r="F45" i="4"/>
  <c r="F47" i="4" s="1"/>
  <c r="F38" i="4"/>
  <c r="G45" i="4" s="1"/>
  <c r="G47" i="4" s="1"/>
  <c r="G9" i="5" s="1"/>
  <c r="D36" i="4"/>
  <c r="C44" i="4" s="1"/>
  <c r="D44" i="4" s="1"/>
  <c r="C45" i="4"/>
  <c r="D45" i="3"/>
  <c r="D47" i="3" s="1"/>
  <c r="D48" i="3" s="1"/>
  <c r="C47" i="3"/>
  <c r="C48" i="3" s="1"/>
  <c r="F45" i="3"/>
  <c r="F47" i="3" s="1"/>
  <c r="F48" i="3" s="1"/>
  <c r="F38" i="3"/>
  <c r="G45" i="3" s="1"/>
  <c r="G47" i="3" s="1"/>
  <c r="F47" i="2"/>
  <c r="F48" i="2" s="1"/>
  <c r="G44" i="2"/>
  <c r="C47" i="2"/>
  <c r="C48" i="2" s="1"/>
  <c r="D45" i="2"/>
  <c r="D47" i="2" s="1"/>
  <c r="D48" i="2" s="1"/>
  <c r="G48" i="3" l="1"/>
  <c r="F9" i="5"/>
  <c r="H38" i="2"/>
  <c r="G44" i="4"/>
  <c r="G48" i="4" s="1"/>
  <c r="D45" i="4"/>
  <c r="D47" i="4" s="1"/>
  <c r="D48" i="4" s="1"/>
  <c r="C47" i="4"/>
  <c r="C48" i="4" s="1"/>
  <c r="F48" i="4"/>
  <c r="G48" i="2"/>
  <c r="I17" i="3" l="1"/>
  <c r="I20" i="3"/>
  <c r="I22" i="3"/>
  <c r="I14" i="3"/>
  <c r="I24" i="3"/>
  <c r="I21" i="3"/>
  <c r="I29" i="3"/>
  <c r="I35" i="3"/>
  <c r="I33" i="3"/>
  <c r="I14" i="2"/>
  <c r="I21" i="2"/>
  <c r="I17" i="2"/>
  <c r="I24" i="2"/>
  <c r="I22" i="2"/>
  <c r="I20" i="2"/>
  <c r="I33" i="2"/>
  <c r="I29" i="2"/>
  <c r="I35" i="2"/>
  <c r="I33" i="4"/>
  <c r="I24" i="4"/>
  <c r="I14" i="4"/>
  <c r="I17" i="4"/>
  <c r="I35" i="4"/>
  <c r="I21" i="4"/>
  <c r="I20" i="4"/>
  <c r="I29" i="4"/>
  <c r="I22" i="4"/>
  <c r="I36" i="4" l="1"/>
  <c r="I38" i="4" s="1"/>
  <c r="I39" i="4" s="1"/>
  <c r="I36" i="2"/>
  <c r="I38" i="2" s="1"/>
  <c r="I39" i="2" s="1"/>
  <c r="I36" i="3"/>
  <c r="I38" i="3" s="1"/>
  <c r="I39" i="3" s="1"/>
  <c r="J21" i="4" l="1"/>
  <c r="J29" i="4"/>
  <c r="J17" i="4"/>
  <c r="J33" i="4"/>
  <c r="J22" i="4"/>
  <c r="J20" i="4"/>
  <c r="J35" i="4"/>
  <c r="J24" i="4"/>
  <c r="J14" i="4"/>
  <c r="J20" i="2"/>
  <c r="J22" i="2"/>
  <c r="J17" i="2"/>
  <c r="J21" i="2"/>
  <c r="J14" i="2"/>
  <c r="J24" i="2"/>
  <c r="J35" i="2"/>
  <c r="J29" i="2"/>
  <c r="J33" i="2"/>
  <c r="J24" i="3"/>
  <c r="J33" i="3"/>
  <c r="J14" i="3"/>
  <c r="J35" i="3"/>
  <c r="J17" i="3"/>
  <c r="J21" i="3"/>
  <c r="J20" i="3"/>
  <c r="J22" i="3"/>
  <c r="J29" i="3"/>
  <c r="J36" i="4" l="1"/>
  <c r="J38" i="4" s="1"/>
  <c r="J36" i="3"/>
  <c r="J38" i="3" s="1"/>
  <c r="J36" i="2"/>
  <c r="J38" i="2" s="1"/>
  <c r="J39" i="2" l="1"/>
  <c r="E10" i="5" s="1"/>
  <c r="E11" i="5" s="1"/>
  <c r="E12" i="5" s="1"/>
  <c r="J39" i="3"/>
  <c r="J39" i="4"/>
  <c r="F10" i="5" l="1"/>
  <c r="F11" i="5" s="1"/>
  <c r="F12" i="5" s="1"/>
  <c r="G10" i="5"/>
  <c r="G11" i="5" s="1"/>
  <c r="G12" i="5" s="1"/>
  <c r="C11" i="7" l="1"/>
  <c r="O12" i="7" s="1"/>
  <c r="M12" i="7" l="1"/>
  <c r="K12" i="7"/>
  <c r="J12" i="7"/>
  <c r="F12" i="7"/>
  <c r="E12" i="7"/>
  <c r="G12" i="7"/>
  <c r="P12" i="7"/>
  <c r="L12" i="7"/>
  <c r="I12" i="7"/>
  <c r="H12" i="7"/>
  <c r="N12" i="7"/>
  <c r="C12" i="7" l="1"/>
  <c r="C13" i="7" l="1"/>
  <c r="J14" i="7" s="1"/>
  <c r="H14" i="7"/>
  <c r="E14" i="7"/>
  <c r="G14" i="7"/>
  <c r="M14" i="7" l="1"/>
  <c r="P14" i="7"/>
  <c r="I14" i="7"/>
  <c r="O14" i="7"/>
  <c r="L14" i="7"/>
  <c r="F14" i="7"/>
  <c r="N14" i="7"/>
  <c r="K14" i="7"/>
  <c r="C14" i="7" l="1"/>
  <c r="C9" i="7" l="1"/>
  <c r="M17" i="7"/>
  <c r="N10" i="7" l="1"/>
  <c r="N17" i="7"/>
  <c r="L10" i="7"/>
  <c r="L17" i="7"/>
  <c r="F10" i="7"/>
  <c r="E17" i="7"/>
  <c r="O17" i="7"/>
  <c r="J17" i="7"/>
  <c r="I10" i="7"/>
  <c r="J10" i="7"/>
  <c r="F17" i="7"/>
  <c r="K10" i="7"/>
  <c r="H17" i="7"/>
  <c r="P17" i="7"/>
  <c r="P10" i="7"/>
  <c r="E10" i="7"/>
  <c r="O10" i="7"/>
  <c r="I17" i="7"/>
  <c r="K17" i="7"/>
  <c r="H10" i="7"/>
  <c r="G10" i="7"/>
  <c r="M10" i="7"/>
  <c r="G17" i="7"/>
  <c r="C10" i="7" l="1"/>
  <c r="C17" i="7"/>
  <c r="I26" i="7" l="1"/>
  <c r="L26" i="7"/>
  <c r="N26" i="7"/>
  <c r="H26" i="7"/>
  <c r="K26" i="7"/>
  <c r="O26" i="7"/>
  <c r="M26" i="7"/>
  <c r="P26" i="7"/>
  <c r="E26" i="7"/>
  <c r="G26" i="7"/>
  <c r="F26" i="7"/>
  <c r="J26" i="7"/>
  <c r="G40" i="7"/>
  <c r="K40" i="7"/>
  <c r="L40" i="7"/>
  <c r="M40" i="7"/>
  <c r="O40" i="7"/>
  <c r="J40" i="7"/>
  <c r="E40" i="7"/>
  <c r="C38" i="7"/>
  <c r="I40" i="7"/>
  <c r="F40" i="7"/>
  <c r="H40" i="7"/>
  <c r="P40" i="7"/>
  <c r="N40" i="7"/>
  <c r="H56" i="7"/>
  <c r="P56" i="7"/>
  <c r="F56" i="7"/>
  <c r="G56" i="7"/>
  <c r="N56" i="7"/>
  <c r="J56" i="7"/>
  <c r="L56" i="7"/>
  <c r="O56" i="7"/>
  <c r="K56" i="7"/>
  <c r="E56" i="7"/>
  <c r="M56" i="7"/>
  <c r="I56" i="7"/>
  <c r="F25" i="7"/>
  <c r="I25" i="7"/>
  <c r="I27" i="7" s="1"/>
  <c r="E25" i="7"/>
  <c r="C23" i="7"/>
  <c r="J25" i="7"/>
  <c r="M25" i="7"/>
  <c r="K25" i="7"/>
  <c r="K27" i="7" s="1"/>
  <c r="N25" i="7"/>
  <c r="G25" i="7"/>
  <c r="G27" i="7" s="1"/>
  <c r="H25" i="7"/>
  <c r="L25" i="7"/>
  <c r="L27" i="7" s="1"/>
  <c r="L29" i="7" s="1"/>
  <c r="P25" i="7"/>
  <c r="O25" i="7"/>
  <c r="M43" i="7"/>
  <c r="E43" i="7"/>
  <c r="F43" i="7"/>
  <c r="K43" i="7"/>
  <c r="I43" i="7"/>
  <c r="H43" i="7"/>
  <c r="O43" i="7"/>
  <c r="P43" i="7"/>
  <c r="N43" i="7"/>
  <c r="J43" i="7"/>
  <c r="L43" i="7"/>
  <c r="G43" i="7"/>
  <c r="C53" i="7"/>
  <c r="J55" i="7"/>
  <c r="J57" i="7" s="1"/>
  <c r="J59" i="7" s="1"/>
  <c r="H55" i="7"/>
  <c r="H57" i="7" s="1"/>
  <c r="P55" i="7"/>
  <c r="E55" i="7"/>
  <c r="L55" i="7"/>
  <c r="M55" i="7"/>
  <c r="G55" i="7"/>
  <c r="G57" i="7" s="1"/>
  <c r="I55" i="7"/>
  <c r="I57" i="7" s="1"/>
  <c r="K55" i="7"/>
  <c r="K57" i="7" s="1"/>
  <c r="K59" i="7" s="1"/>
  <c r="N55" i="7"/>
  <c r="O55" i="7"/>
  <c r="O57" i="7" s="1"/>
  <c r="F55" i="7"/>
  <c r="N28" i="7"/>
  <c r="J28" i="7"/>
  <c r="M28" i="7"/>
  <c r="O28" i="7"/>
  <c r="K28" i="7"/>
  <c r="L28" i="7"/>
  <c r="F28" i="7"/>
  <c r="E28" i="7"/>
  <c r="P28" i="7"/>
  <c r="I28" i="7"/>
  <c r="G28" i="7"/>
  <c r="H28" i="7"/>
  <c r="G41" i="7"/>
  <c r="F41" i="7"/>
  <c r="K41" i="7"/>
  <c r="H41" i="7"/>
  <c r="P41" i="7"/>
  <c r="J41" i="7"/>
  <c r="M41" i="7"/>
  <c r="E41" i="7"/>
  <c r="O41" i="7"/>
  <c r="I41" i="7"/>
  <c r="L41" i="7"/>
  <c r="N41" i="7"/>
  <c r="H58" i="7"/>
  <c r="K58" i="7"/>
  <c r="P58" i="7"/>
  <c r="G58" i="7"/>
  <c r="L58" i="7"/>
  <c r="N58" i="7"/>
  <c r="J58" i="7"/>
  <c r="O58" i="7"/>
  <c r="E58" i="7"/>
  <c r="F58" i="7"/>
  <c r="M58" i="7"/>
  <c r="I58" i="7"/>
  <c r="C58" i="7" l="1"/>
  <c r="L57" i="7"/>
  <c r="M27" i="7"/>
  <c r="O27" i="7"/>
  <c r="N57" i="7"/>
  <c r="M42" i="7"/>
  <c r="M44" i="7" s="1"/>
  <c r="M29" i="7"/>
  <c r="I29" i="7"/>
  <c r="L42" i="7"/>
  <c r="L44" i="7" s="1"/>
  <c r="L59" i="7"/>
  <c r="C43" i="7"/>
  <c r="K29" i="7"/>
  <c r="C28" i="7"/>
  <c r="I59" i="7"/>
  <c r="H27" i="7"/>
  <c r="H29" i="7" s="1"/>
  <c r="C56" i="7"/>
  <c r="H42" i="7"/>
  <c r="H44" i="7" s="1"/>
  <c r="E42" i="7"/>
  <c r="E44" i="7" s="1"/>
  <c r="C40" i="7"/>
  <c r="O59" i="7"/>
  <c r="G59" i="7"/>
  <c r="P57" i="7"/>
  <c r="P59" i="7" s="1"/>
  <c r="O29" i="7"/>
  <c r="G29" i="7"/>
  <c r="J27" i="7"/>
  <c r="J29" i="7" s="1"/>
  <c r="F27" i="7"/>
  <c r="F29" i="7" s="1"/>
  <c r="F42" i="7"/>
  <c r="F44" i="7" s="1"/>
  <c r="J42" i="7"/>
  <c r="J44" i="7" s="1"/>
  <c r="K42" i="7"/>
  <c r="K44" i="7" s="1"/>
  <c r="E27" i="7"/>
  <c r="E29" i="7" s="1"/>
  <c r="C25" i="7"/>
  <c r="P42" i="7"/>
  <c r="P44" i="7" s="1"/>
  <c r="C41" i="7"/>
  <c r="F57" i="7"/>
  <c r="F59" i="7" s="1"/>
  <c r="C55" i="7"/>
  <c r="E57" i="7"/>
  <c r="E59" i="7" s="1"/>
  <c r="N59" i="7"/>
  <c r="M57" i="7"/>
  <c r="M59" i="7" s="1"/>
  <c r="H59" i="7"/>
  <c r="P27" i="7"/>
  <c r="P29" i="7" s="1"/>
  <c r="N27" i="7"/>
  <c r="N29" i="7" s="1"/>
  <c r="N42" i="7"/>
  <c r="N44" i="7" s="1"/>
  <c r="I42" i="7"/>
  <c r="I44" i="7" s="1"/>
  <c r="O42" i="7"/>
  <c r="O44" i="7" s="1"/>
  <c r="G42" i="7"/>
  <c r="G44" i="7" s="1"/>
  <c r="C26" i="7"/>
  <c r="C57" i="7" l="1"/>
  <c r="C59" i="7" s="1"/>
  <c r="C62" i="7" s="1"/>
  <c r="C61" i="7"/>
  <c r="C27" i="7"/>
  <c r="C29" i="7" s="1"/>
  <c r="C32" i="7" s="1"/>
  <c r="C42" i="7"/>
  <c r="C44" i="7" s="1"/>
  <c r="C47" i="7" s="1"/>
  <c r="C46" i="7" l="1"/>
  <c r="C31" i="7"/>
</calcChain>
</file>

<file path=xl/sharedStrings.xml><?xml version="1.0" encoding="utf-8"?>
<sst xmlns="http://schemas.openxmlformats.org/spreadsheetml/2006/main" count="412" uniqueCount="150">
  <si>
    <t>Exhibit A-1 Power Cost Baseline Rate</t>
  </si>
  <si>
    <t>22GRC Rate Year 1 - 2023</t>
  </si>
  <si>
    <t>Row</t>
  </si>
  <si>
    <t>Regulatory Assets</t>
  </si>
  <si>
    <t>Transmission Rate Base</t>
  </si>
  <si>
    <t>Production Rate Base</t>
  </si>
  <si>
    <t xml:space="preserve">Net of tax rate of return </t>
  </si>
  <si>
    <t>Fixed</t>
  </si>
  <si>
    <t>Variable</t>
  </si>
  <si>
    <t>Test Yr</t>
  </si>
  <si>
    <t>Prod Costs</t>
  </si>
  <si>
    <t>$/MWh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</si>
  <si>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</si>
  <si>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</si>
  <si>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</si>
  <si>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</si>
  <si>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</si>
  <si>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</si>
  <si>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</si>
  <si>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</si>
  <si>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F</t>
  </si>
  <si>
    <t>10a</t>
  </si>
  <si>
    <t>Equity Adder Centralia Coal Transition PPA</t>
  </si>
  <si>
    <t>V</t>
  </si>
  <si>
    <t>501-Steam Fuel Incl Reg Amort</t>
  </si>
  <si>
    <t>555-Purchased power Incl Reg Amort</t>
  </si>
  <si>
    <t>557-Other Power Exp</t>
  </si>
  <si>
    <t>15a</t>
  </si>
  <si>
    <t>Payroll Overheads - Benefits</t>
  </si>
  <si>
    <t>15b</t>
  </si>
  <si>
    <t>Property Insurance (A&amp;G)</t>
  </si>
  <si>
    <t>15c</t>
  </si>
  <si>
    <t>15d</t>
  </si>
  <si>
    <t>Payroll Taxes on Production Wages</t>
  </si>
  <si>
    <t>15e</t>
  </si>
  <si>
    <t>Brokerage Fees #55700003</t>
  </si>
  <si>
    <t>547-Fuel Incl Reg Amort</t>
  </si>
  <si>
    <t>565-Wheeling Incl Reg Amort</t>
  </si>
  <si>
    <t>456-1 OATT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</si>
  <si>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</si>
  <si>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</si>
  <si>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</si>
  <si>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</si>
  <si>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</si>
  <si>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</si>
  <si>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 Assets - Non PC Only</t>
  </si>
  <si>
    <t>Subtotal &amp; Baseline Rate</t>
  </si>
  <si>
    <t>Revenue Sensitive Items</t>
  </si>
  <si>
    <t>Grossed up for RSI</t>
  </si>
  <si>
    <t>Before Rev.</t>
  </si>
  <si>
    <t>After Rev.</t>
  </si>
  <si>
    <t>Sensitive Items</t>
  </si>
  <si>
    <t>Rev Req (Column (II) )</t>
  </si>
  <si>
    <t>Power Cost Baseline Rate</t>
  </si>
  <si>
    <t xml:space="preserve">Fixed Production Costs </t>
  </si>
  <si>
    <t>Variable Production Costs</t>
  </si>
  <si>
    <t>Property Insurance</t>
  </si>
  <si>
    <t>Demand %</t>
  </si>
  <si>
    <t>Classification</t>
  </si>
  <si>
    <t>Energy %</t>
  </si>
  <si>
    <t xml:space="preserve">Montana Electric Energy Tax </t>
  </si>
  <si>
    <t>in tracker</t>
  </si>
  <si>
    <t>Rate Year DELIVERED Load (MWh's)</t>
  </si>
  <si>
    <t>For PCA Mechanism</t>
  </si>
  <si>
    <t>For Green Direct Credit</t>
  </si>
  <si>
    <t>←check→</t>
  </si>
  <si>
    <t>22GRC Rate Year 2 - 2024</t>
  </si>
  <si>
    <t>22GRC Rate Year 3 - 2025</t>
  </si>
  <si>
    <t>AMA Rate Year 1</t>
  </si>
  <si>
    <t>AMA Rate Year 2</t>
  </si>
  <si>
    <t>AMA Rate Year 3</t>
  </si>
  <si>
    <t>Fixed Asset Return Reg Assets (on Row 3)</t>
  </si>
  <si>
    <t>Fixed Asset Return Transmission (on Row 4)</t>
  </si>
  <si>
    <t>Fixed Asset Return Production (on Row 5)</t>
  </si>
  <si>
    <t>PUGET SOUND ENERGY</t>
  </si>
  <si>
    <t>Schedule 139</t>
  </si>
  <si>
    <t>Voluntary Long Term Renewable Energy Purchase Rider</t>
  </si>
  <si>
    <t>Line No.</t>
  </si>
  <si>
    <t>Description</t>
  </si>
  <si>
    <t>GRC Amount</t>
  </si>
  <si>
    <t>Source:</t>
  </si>
  <si>
    <t>Energy Charge Credit ($/kWh)</t>
  </si>
  <si>
    <t>Puget Sound Energy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</si>
  <si>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</si>
  <si>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</si>
  <si>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</si>
  <si>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</si>
  <si>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</si>
  <si>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</si>
  <si>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</si>
  <si>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</si>
  <si>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Special Contract</t>
  </si>
  <si>
    <t>High Volt 46/49</t>
  </si>
  <si>
    <t>Choice/Retail Wheeling</t>
  </si>
  <si>
    <t>Lighting 50-59</t>
  </si>
  <si>
    <t>Firm Resale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</si>
  <si>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</si>
  <si>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</si>
  <si>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</si>
  <si>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</si>
  <si>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</si>
  <si>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</si>
  <si>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</si>
  <si>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</si>
  <si>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</si>
  <si>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</si>
  <si>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</si>
  <si>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</si>
  <si>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</si>
  <si>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</si>
  <si>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2022 Gas General Rate Case (GRC)</t>
  </si>
  <si>
    <t>Exhibit A-1</t>
  </si>
  <si>
    <t>Tariff</t>
  </si>
  <si>
    <t>Sheet 139-F</t>
  </si>
  <si>
    <t>Calculation of the Energy Charge Credit</t>
  </si>
  <si>
    <t>Melded Energy Cost %, based on Renewable Peak Credit Demand/Energy split of 80/20</t>
  </si>
  <si>
    <t>JAP-5 Workpaper</t>
  </si>
  <si>
    <t>Fixed Generation</t>
  </si>
  <si>
    <t>Fixed Transmission</t>
  </si>
  <si>
    <t>Variable Power Cost - ENERGY_2 Allocation Factor</t>
  </si>
  <si>
    <t>Transmission Fixed Power Cost - DEM_1B Allocation Factor</t>
  </si>
  <si>
    <t>Generation Fixed Power Cost - Future Renewable Peak Credit Allocation Factor</t>
  </si>
  <si>
    <t>2023 POWER COSTS</t>
  </si>
  <si>
    <t>Total PCA Costs</t>
  </si>
  <si>
    <t>Allocate Fixed PCA Costs - Generation</t>
  </si>
  <si>
    <t>Allocate Fixed PCA Costs - Transmission</t>
  </si>
  <si>
    <t>Subtotal Fixed PCA Costs</t>
  </si>
  <si>
    <t>Allocate Variable PCA Costs</t>
  </si>
  <si>
    <t xml:space="preserve">Total PCA Costs </t>
  </si>
  <si>
    <t>% Demand</t>
  </si>
  <si>
    <t>% Energy</t>
  </si>
  <si>
    <t>2024 POWER COSTS</t>
  </si>
  <si>
    <t>2025 POWER COSTS</t>
  </si>
  <si>
    <t>Fixed PCA Costs - Generation Related (Future Renewable Peak Credit)</t>
  </si>
  <si>
    <t>Fixed PCA Costs - Transmission Related (12CP)</t>
  </si>
  <si>
    <t>Variable PCA Costs (Energy)</t>
  </si>
  <si>
    <t>Variable Power Cost - Energy excl Int, SC &amp; RW</t>
  </si>
  <si>
    <t>Fixed Power Cost - Generation 12CP Net of Renewables, Excl Int, SC &amp; RW</t>
  </si>
  <si>
    <t>Fixed Power Cost Generation - DEM_2B Allocation Factor</t>
  </si>
  <si>
    <t>Fixed Power Cost - Transmission - 12 CP, Excl Int, SC &amp; RW</t>
  </si>
  <si>
    <t>Power Costs Embedded in Retail Rates ($/MWh)</t>
  </si>
  <si>
    <t>Energy Charge Credit ($/MWh)</t>
  </si>
  <si>
    <t>ELECTRIC COST OF SERVICE SUMMARY</t>
  </si>
  <si>
    <t>UE-22xxxx Adjusted Test Year Twelve Months ended June 2021 @ Proforma Rev Requirement</t>
  </si>
  <si>
    <t>Delivery Costs</t>
  </si>
  <si>
    <t>ENERGY_2</t>
  </si>
  <si>
    <t>DEM_2B</t>
  </si>
  <si>
    <t>Effective January 1, 2023</t>
  </si>
  <si>
    <t>Effective January 1, 2024</t>
  </si>
  <si>
    <t>Effective January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</si>
</sst>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* #,##0.0000000_);_(* \(#,##0.0000000\);_(* &quot;-&quot;??_);_(@_)"/>
    <numFmt numFmtId="168" formatCode="_(* #,##0.000_);_(* \(#,##0.000\);_(* &quot;-&quot;??_);_(@_)"/>
    <numFmt numFmtId="169" formatCode="_(* #,##0.000000_);_(* \(#,##0.000000\);_(* &quot;-&quot;??_);_(@_)"/>
    <numFmt numFmtId="170" formatCode="0.000"/>
    <numFmt numFmtId="171" formatCode="_(&quot;$&quot;* #,##0.000_);_(&quot;$&quot;* \(#,##0.000\);_(&quot;$&quot;* &quot;-&quot;???_);_(@_)"/>
    <numFmt numFmtId="172" formatCode="_(&quot;$&quot;* #,##0_);_(&quot;$&quot;* \(#,##0\);_(&quot;$&quot;* &quot;-&quot;???_);_(@_)"/>
    <numFmt numFmtId="173" formatCode="0.0000"/>
    <numFmt numFmtId="174" formatCode="_(&quot;$&quot;* #,##0.000000_);_(&quot;$&quot;* \(#,##0.000000\);_(&quot;$&quot;* &quot;-&quot;??_);_(@_)"/>
    <numFmt numFmtId="175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vertical="top"/>
    </xf>
    <xf numFmtId="0" fontId="2" fillId="0" borderId="2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vertical="top" wrapText="1"/>
    </xf>
    <xf numFmtId="0" fontId="2" fillId="0" borderId="0" xfId="0" applyNumberFormat="1" applyFont="1" applyFill="1" applyAlignment="1">
      <alignment horizontal="center" vertical="top" wrapText="1"/>
    </xf>
    <xf numFmtId="164" fontId="2" fillId="0" borderId="0" xfId="0" quotePrefix="1" applyNumberFormat="1" applyFont="1" applyFill="1" applyAlignment="1">
      <alignment horizontal="left" vertical="top"/>
    </xf>
    <xf numFmtId="165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/>
    <xf numFmtId="164" fontId="1" fillId="0" borderId="0" xfId="0" applyNumberFormat="1" applyFont="1" applyFill="1"/>
    <xf numFmtId="164" fontId="1" fillId="0" borderId="1" xfId="0" applyNumberFormat="1" applyFont="1" applyFill="1" applyBorder="1"/>
    <xf numFmtId="0" fontId="1" fillId="0" borderId="0" xfId="0" applyNumberFormat="1" applyFont="1" applyFill="1" applyBorder="1" applyAlignment="1">
      <alignment horizontal="left"/>
    </xf>
    <xf numFmtId="10" fontId="1" fillId="0" borderId="0" xfId="0" applyNumberFormat="1" applyFont="1" applyFill="1" applyBorder="1" applyAlignment="1"/>
    <xf numFmtId="43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4" fontId="1" fillId="0" borderId="3" xfId="0" applyNumberFormat="1" applyFont="1" applyFill="1" applyBorder="1" applyAlignment="1">
      <alignment vertical="center"/>
    </xf>
    <xf numFmtId="166" fontId="1" fillId="0" borderId="4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7" fontId="1" fillId="0" borderId="2" xfId="0" applyNumberFormat="1" applyFont="1" applyFill="1" applyBorder="1" applyAlignment="1"/>
    <xf numFmtId="168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/>
    <xf numFmtId="41" fontId="1" fillId="0" borderId="0" xfId="0" applyNumberFormat="1" applyFont="1" applyFill="1" applyBorder="1" applyAlignment="1"/>
    <xf numFmtId="44" fontId="1" fillId="0" borderId="5" xfId="0" applyNumberFormat="1" applyFont="1" applyFill="1" applyBorder="1" applyAlignment="1">
      <alignment horizontal="centerContinuous"/>
    </xf>
    <xf numFmtId="170" fontId="1" fillId="0" borderId="6" xfId="0" applyNumberFormat="1" applyFont="1" applyFill="1" applyBorder="1" applyAlignment="1">
      <alignment horizontal="centerContinuous"/>
    </xf>
    <xf numFmtId="170" fontId="1" fillId="0" borderId="0" xfId="0" applyNumberFormat="1" applyFont="1" applyFill="1" applyBorder="1" applyAlignment="1"/>
    <xf numFmtId="44" fontId="1" fillId="0" borderId="6" xfId="0" applyNumberFormat="1" applyFont="1" applyFill="1" applyBorder="1" applyAlignment="1">
      <alignment horizontal="centerContinuous"/>
    </xf>
    <xf numFmtId="168" fontId="4" fillId="0" borderId="7" xfId="0" applyNumberFormat="1" applyFont="1" applyFill="1" applyBorder="1" applyAlignment="1">
      <alignment horizontal="center"/>
    </xf>
    <xf numFmtId="168" fontId="4" fillId="0" borderId="8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"/>
    </xf>
    <xf numFmtId="0" fontId="4" fillId="0" borderId="7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168" fontId="4" fillId="0" borderId="7" xfId="0" applyNumberFormat="1" applyFont="1" applyFill="1" applyBorder="1" applyAlignment="1">
      <alignment horizontal="centerContinuous"/>
    </xf>
    <xf numFmtId="0" fontId="1" fillId="0" borderId="8" xfId="0" applyNumberFormat="1" applyFont="1" applyFill="1" applyBorder="1" applyAlignment="1">
      <alignment horizontal="centerContinuous"/>
    </xf>
    <xf numFmtId="166" fontId="1" fillId="0" borderId="7" xfId="0" applyNumberFormat="1" applyFont="1" applyFill="1" applyBorder="1" applyAlignment="1"/>
    <xf numFmtId="166" fontId="1" fillId="0" borderId="8" xfId="0" applyNumberFormat="1" applyFont="1" applyFill="1" applyBorder="1" applyAlignment="1"/>
    <xf numFmtId="166" fontId="1" fillId="0" borderId="5" xfId="0" applyNumberFormat="1" applyFont="1" applyFill="1" applyBorder="1" applyAlignment="1"/>
    <xf numFmtId="166" fontId="1" fillId="0" borderId="6" xfId="0" applyNumberFormat="1" applyFont="1" applyFill="1" applyBorder="1" applyAlignment="1"/>
    <xf numFmtId="166" fontId="1" fillId="0" borderId="9" xfId="0" applyNumberFormat="1" applyFont="1" applyFill="1" applyBorder="1" applyAlignment="1"/>
    <xf numFmtId="166" fontId="1" fillId="0" borderId="1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168" fontId="4" fillId="0" borderId="0" xfId="0" applyNumberFormat="1" applyFont="1" applyFill="1" applyBorder="1" applyAlignment="1">
      <alignment horizontal="centerContinuous"/>
    </xf>
    <xf numFmtId="166" fontId="1" fillId="0" borderId="2" xfId="0" applyNumberFormat="1" applyFont="1" applyFill="1" applyBorder="1" applyAlignment="1"/>
    <xf numFmtId="0" fontId="1" fillId="0" borderId="2" xfId="0" applyNumberFormat="1" applyFont="1" applyFill="1" applyBorder="1" applyAlignment="1">
      <alignment horizontal="center"/>
    </xf>
    <xf numFmtId="166" fontId="1" fillId="0" borderId="11" xfId="0" applyNumberFormat="1" applyFont="1" applyFill="1" applyBorder="1" applyAlignment="1"/>
    <xf numFmtId="171" fontId="1" fillId="0" borderId="9" xfId="0" applyNumberFormat="1" applyFont="1" applyFill="1" applyBorder="1"/>
    <xf numFmtId="172" fontId="1" fillId="0" borderId="10" xfId="0" applyNumberFormat="1" applyFont="1" applyFill="1" applyBorder="1"/>
    <xf numFmtId="171" fontId="1" fillId="0" borderId="10" xfId="0" applyNumberFormat="1" applyFont="1" applyFill="1" applyBorder="1"/>
    <xf numFmtId="0" fontId="2" fillId="0" borderId="0" xfId="0" applyNumberFormat="1" applyFont="1" applyFill="1" applyAlignment="1">
      <alignment horizontal="center" vertical="top"/>
    </xf>
    <xf numFmtId="0" fontId="1" fillId="0" borderId="0" xfId="0" applyNumberFormat="1" applyFont="1" applyFill="1" applyAlignment="1"/>
    <xf numFmtId="165" fontId="1" fillId="0" borderId="0" xfId="0" applyNumberFormat="1" applyFont="1" applyFill="1" applyAlignment="1">
      <alignment vertical="top"/>
    </xf>
    <xf numFmtId="0" fontId="1" fillId="0" borderId="0" xfId="0" quotePrefix="1" applyNumberFormat="1" applyFont="1" applyFill="1" applyAlignment="1">
      <alignment horizontal="left" indent="2"/>
    </xf>
    <xf numFmtId="169" fontId="1" fillId="0" borderId="0" xfId="0" applyNumberFormat="1" applyFont="1" applyFill="1" applyAlignment="1">
      <alignment vertical="top"/>
    </xf>
    <xf numFmtId="0" fontId="1" fillId="0" borderId="0" xfId="0" quotePrefix="1" applyNumberFormat="1" applyFont="1" applyFill="1" applyAlignment="1">
      <alignment horizontal="left" wrapText="1"/>
    </xf>
    <xf numFmtId="0" fontId="1" fillId="0" borderId="0" xfId="0" quotePrefix="1" applyNumberFormat="1" applyFont="1" applyFill="1" applyAlignment="1">
      <alignment horizontal="left" wrapText="1" indent="2"/>
    </xf>
    <xf numFmtId="0" fontId="1" fillId="0" borderId="0" xfId="0" quotePrefix="1" applyNumberFormat="1" applyFont="1" applyFill="1" applyAlignment="1">
      <alignment horizontal="left" vertical="top"/>
    </xf>
    <xf numFmtId="0" fontId="3" fillId="0" borderId="0" xfId="0" applyNumberFormat="1" applyFont="1" applyFill="1" applyAlignment="1">
      <alignment vertical="top"/>
    </xf>
    <xf numFmtId="0" fontId="1" fillId="0" borderId="0" xfId="0" quotePrefix="1" applyNumberFormat="1" applyFont="1" applyFill="1" applyAlignment="1">
      <alignment horizontal="left" indent="1"/>
    </xf>
    <xf numFmtId="0" fontId="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 applyAlignment="1">
      <alignment vertical="top"/>
    </xf>
    <xf numFmtId="9" fontId="1" fillId="0" borderId="0" xfId="0" applyNumberFormat="1" applyFont="1" applyFill="1" applyAlignment="1">
      <alignment vertical="top"/>
    </xf>
    <xf numFmtId="0" fontId="3" fillId="0" borderId="0" xfId="0" quotePrefix="1" applyNumberFormat="1" applyFont="1" applyFill="1" applyAlignment="1">
      <alignment horizontal="left" vertical="top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/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Alignment="1">
      <alignment horizontal="center"/>
    </xf>
    <xf numFmtId="173" fontId="1" fillId="0" borderId="0" xfId="0" applyNumberFormat="1" applyFont="1" applyFill="1"/>
    <xf numFmtId="9" fontId="1" fillId="0" borderId="0" xfId="0" applyNumberFormat="1" applyFont="1" applyFill="1" applyAlignment="1">
      <alignment horizontal="right"/>
    </xf>
    <xf numFmtId="175" fontId="1" fillId="0" borderId="13" xfId="0" applyNumberFormat="1" applyFont="1" applyFill="1" applyBorder="1" applyAlignment="1">
      <alignment horizontal="right"/>
    </xf>
    <xf numFmtId="174" fontId="1" fillId="0" borderId="12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0" xfId="0" applyNumberFormat="1" applyFont="1" applyFill="1" applyAlignment="1">
      <alignment horizontal="center"/>
    </xf>
    <xf numFmtId="9" fontId="1" fillId="0" borderId="0" xfId="0" applyNumberFormat="1" applyFont="1" applyFill="1"/>
    <xf numFmtId="0" fontId="1" fillId="0" borderId="2" xfId="0" applyFont="1" applyFill="1" applyBorder="1"/>
    <xf numFmtId="167" fontId="1" fillId="0" borderId="0" xfId="0" applyNumberFormat="1" applyFont="1" applyFill="1"/>
    <xf numFmtId="166" fontId="1" fillId="0" borderId="0" xfId="0" applyNumberFormat="1" applyFont="1" applyFill="1"/>
    <xf numFmtId="44" fontId="1" fillId="0" borderId="0" xfId="0" applyNumberFormat="1" applyFont="1" applyFill="1"/>
    <xf numFmtId="0" fontId="5" fillId="0" borderId="0" xfId="0" applyFont="1" applyFill="1"/>
    <xf numFmtId="165" fontId="1" fillId="0" borderId="0" xfId="0" quotePrefix="1" applyNumberFormat="1" applyFont="1" applyFill="1" applyAlignment="1">
      <alignment horizontal="left" vertical="top"/>
    </xf>
    <xf numFmtId="169" fontId="1" fillId="0" borderId="0" xfId="0" quotePrefix="1" applyNumberFormat="1" applyFont="1" applyFill="1" applyAlignment="1">
      <alignment horizontal="left" vertical="top"/>
    </xf>
    <xf numFmtId="0" fontId="1" fillId="0" borderId="0" xfId="0" applyNumberFormat="1" applyFont="1" applyFill="1" applyAlignment="1">
      <alignment horizontal="left" vertical="top" wrapText="1" indent="3"/>
    </xf>
    <xf numFmtId="164" fontId="1" fillId="0" borderId="0" xfId="0" quotePrefix="1" applyNumberFormat="1" applyFont="1" applyFill="1" applyAlignment="1">
      <alignment horizontal="left" vertical="top"/>
    </xf>
    <xf numFmtId="164" fontId="1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 vertical="top"/>
    </xf>
    <xf numFmtId="0" fontId="1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66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zoomScale="150" zoomScaleNormal="150" workbookViewId="0">
      <selection activeCell="B39" sqref="B39"/>
    </sheetView>
  </sheetViews>
  <sheetFormatPr defaultRowHeight="11.25" x14ac:dyDescent="0.2"/>
  <cols>
    <col min="1" max="1" width="4.7109375" style="8" customWidth="1"/>
    <col min="2" max="2" width="62.5703125" style="8" bestFit="1" customWidth="1"/>
    <col min="3" max="3" width="13.28515625" style="8" bestFit="1" customWidth="1"/>
    <col min="4" max="4" width="9.42578125" style="8" bestFit="1" customWidth="1"/>
    <col min="5" max="7" width="12.140625" style="8" bestFit="1" customWidth="1"/>
    <col min="8" max="16384" width="9.140625" style="8"/>
  </cols>
  <sheetData>
    <row r="1" spans="1:7" x14ac:dyDescent="0.2">
      <c r="A1" s="101" t="s">
        <v>74</v>
      </c>
      <c r="B1" s="101"/>
      <c r="C1" s="101"/>
      <c r="D1" s="101"/>
      <c r="E1" s="101"/>
      <c r="F1" s="101"/>
      <c r="G1" s="101"/>
    </row>
    <row r="2" spans="1:7" x14ac:dyDescent="0.2">
      <c r="A2" s="101" t="s">
        <v>110</v>
      </c>
      <c r="B2" s="101"/>
      <c r="C2" s="101"/>
      <c r="D2" s="101"/>
      <c r="E2" s="101"/>
      <c r="F2" s="101"/>
      <c r="G2" s="101"/>
    </row>
    <row r="3" spans="1:7" x14ac:dyDescent="0.2">
      <c r="A3" s="101" t="s">
        <v>75</v>
      </c>
      <c r="B3" s="101"/>
      <c r="C3" s="101"/>
      <c r="D3" s="101"/>
      <c r="E3" s="101"/>
      <c r="F3" s="101"/>
      <c r="G3" s="101"/>
    </row>
    <row r="4" spans="1:7" x14ac:dyDescent="0.2">
      <c r="A4" s="101" t="s">
        <v>76</v>
      </c>
      <c r="B4" s="101"/>
      <c r="C4" s="101"/>
      <c r="D4" s="101"/>
      <c r="E4" s="101"/>
      <c r="F4" s="101"/>
      <c r="G4" s="101"/>
    </row>
    <row r="5" spans="1:7" x14ac:dyDescent="0.2">
      <c r="A5" s="101" t="s">
        <v>114</v>
      </c>
      <c r="B5" s="101"/>
      <c r="C5" s="101"/>
      <c r="D5" s="101"/>
      <c r="E5" s="101"/>
      <c r="F5" s="101"/>
      <c r="G5" s="101"/>
    </row>
    <row r="6" spans="1:7" x14ac:dyDescent="0.2">
      <c r="A6" s="75"/>
      <c r="B6" s="75"/>
      <c r="C6" s="75"/>
      <c r="D6" s="75"/>
      <c r="E6" s="75"/>
      <c r="F6" s="75"/>
      <c r="G6" s="75"/>
    </row>
    <row r="7" spans="1:7" ht="22.5" x14ac:dyDescent="0.2">
      <c r="E7" s="76" t="s">
        <v>147</v>
      </c>
      <c r="F7" s="76" t="s">
        <v>148</v>
      </c>
      <c r="G7" s="76" t="s">
        <v>149</v>
      </c>
    </row>
    <row r="8" spans="1:7" s="78" customFormat="1" ht="22.5" x14ac:dyDescent="0.2">
      <c r="A8" s="77" t="s">
        <v>77</v>
      </c>
      <c r="B8" s="77" t="s">
        <v>78</v>
      </c>
      <c r="C8" s="77" t="s">
        <v>80</v>
      </c>
      <c r="D8" s="77" t="s">
        <v>112</v>
      </c>
      <c r="E8" s="77" t="s">
        <v>79</v>
      </c>
      <c r="F8" s="77" t="s">
        <v>79</v>
      </c>
      <c r="G8" s="77" t="s">
        <v>79</v>
      </c>
    </row>
    <row r="9" spans="1:7" x14ac:dyDescent="0.2">
      <c r="A9" s="1">
        <v>1</v>
      </c>
      <c r="B9" s="79" t="s">
        <v>140</v>
      </c>
      <c r="C9" s="80" t="s">
        <v>111</v>
      </c>
      <c r="D9" s="80"/>
      <c r="E9" s="81">
        <f>'MYRP 2023'!G47</f>
        <v>65.928084098902247</v>
      </c>
      <c r="F9" s="81">
        <f>'MYRP 2024'!G47</f>
        <v>65.651212068057276</v>
      </c>
      <c r="G9" s="81">
        <f>'MYRP 2025'!G47</f>
        <v>62.19645303160484</v>
      </c>
    </row>
    <row r="10" spans="1:7" x14ac:dyDescent="0.2">
      <c r="A10" s="1">
        <f>+A9+1</f>
        <v>2</v>
      </c>
      <c r="B10" s="79" t="s">
        <v>115</v>
      </c>
      <c r="C10" s="80" t="s">
        <v>116</v>
      </c>
      <c r="D10" s="80"/>
      <c r="E10" s="82">
        <f>ROUND(+'MYRP 2023'!J39,2)</f>
        <v>0.75</v>
      </c>
      <c r="F10" s="82">
        <f>ROUND(+'MYRP 2024'!J39,2)</f>
        <v>0.76</v>
      </c>
      <c r="G10" s="82">
        <f>ROUND(+'MYRP 2025'!J39,2)</f>
        <v>0.75</v>
      </c>
    </row>
    <row r="11" spans="1:7" x14ac:dyDescent="0.2">
      <c r="A11" s="1">
        <f>+A10+1</f>
        <v>3</v>
      </c>
      <c r="B11" s="79" t="s">
        <v>141</v>
      </c>
      <c r="C11" s="1" t="str">
        <f>"("&amp;A9&amp;") / ("&amp;A10&amp;")"</f>
        <v>(1) / (2)</v>
      </c>
      <c r="D11" s="1"/>
      <c r="E11" s="83">
        <f>+E9*E10</f>
        <v>49.446063074176685</v>
      </c>
      <c r="F11" s="83">
        <f t="shared" ref="F11:G11" si="0">+F9*F10</f>
        <v>49.894921171723531</v>
      </c>
      <c r="G11" s="83">
        <f t="shared" si="0"/>
        <v>46.647339773703628</v>
      </c>
    </row>
    <row r="12" spans="1:7" ht="12" thickBot="1" x14ac:dyDescent="0.25">
      <c r="A12" s="1">
        <f>+A11+1</f>
        <v>4</v>
      </c>
      <c r="B12" s="79" t="s">
        <v>81</v>
      </c>
      <c r="D12" s="1" t="s">
        <v>113</v>
      </c>
      <c r="E12" s="84">
        <f>ROUND(+E11/1000,6)</f>
        <v>4.9445999999999997E-2</v>
      </c>
      <c r="F12" s="84">
        <f t="shared" ref="F12:G12" si="1">ROUND(+F11/1000,6)</f>
        <v>4.9895000000000002E-2</v>
      </c>
      <c r="G12" s="84">
        <f t="shared" si="1"/>
        <v>4.6647000000000001E-2</v>
      </c>
    </row>
    <row r="13" spans="1:7" ht="12" thickTop="1" x14ac:dyDescent="0.2"/>
  </sheetData>
  <mergeCells count="5">
    <mergeCell ref="A2:G2"/>
    <mergeCell ref="A1:G1"/>
    <mergeCell ref="A3:G3"/>
    <mergeCell ref="A4:G4"/>
    <mergeCell ref="A5:G5"/>
  </mergeCells>
  <pageMargins left="0.7" right="0.7" top="0.75" bottom="0.75" header="0.3" footer="0.3"/>
  <pageSetup scale="97" orientation="landscape" horizontalDpi="1200" verticalDpi="1200" r:id="rId1"/>
  <headerFooter>
    <oddFooter>&amp;L&amp;A&amp;RExh. JAP-5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3"/>
  <sheetViews>
    <sheetView showGridLines="0" topLeftCell="FZU55" zoomScale="120" zoomScaleNormal="120" workbookViewId="0">
      <selection activeCell="GAD83" sqref="GAD83"/>
    </sheetView>
  </sheetViews>
  <sheetFormatPr defaultRowHeight="11.25" x14ac:dyDescent="0.25"/>
  <cols>
    <col min="1" max="1" width="4.5703125" style="2" customWidth="1"/>
    <col min="2" max="2" width="59.5703125" style="2" customWidth="1"/>
    <col min="3" max="3" width="14.5703125" style="2" bestFit="1" customWidth="1"/>
    <col min="4" max="4" width="0.85546875" style="2" customWidth="1"/>
    <col min="5" max="5" width="15.140625" style="2" bestFit="1" customWidth="1"/>
    <col min="6" max="6" width="13.5703125" style="2" bestFit="1" customWidth="1"/>
    <col min="7" max="7" width="14.140625" style="2" bestFit="1" customWidth="1"/>
    <col min="8" max="8" width="15.28515625" style="2" bestFit="1" customWidth="1"/>
    <col min="9" max="9" width="13.5703125" style="2" bestFit="1" customWidth="1"/>
    <col min="10" max="10" width="11.42578125" style="2" bestFit="1" customWidth="1"/>
    <col min="11" max="11" width="12" style="2" bestFit="1" customWidth="1"/>
    <col min="12" max="12" width="12.7109375" style="2" bestFit="1" customWidth="1"/>
    <col min="13" max="13" width="12" style="2" bestFit="1" customWidth="1"/>
    <col min="14" max="14" width="10.85546875" style="2" bestFit="1" customWidth="1"/>
    <col min="15" max="15" width="12.140625" style="2" customWidth="1"/>
    <col min="16" max="16" width="10" style="2" bestFit="1" customWidth="1"/>
    <col min="17" max="17" width="13.85546875" style="2" bestFit="1" customWidth="1"/>
    <col min="18" max="18" width="12.85546875" style="2" bestFit="1" customWidth="1"/>
    <col min="19" max="255" width="9.140625" style="2"/>
    <col min="256" max="256" width="5.28515625" style="2" customWidth="1"/>
    <col min="257" max="257" width="37.28515625" style="2" bestFit="1" customWidth="1"/>
    <col min="258" max="258" width="15.28515625" style="2" customWidth="1"/>
    <col min="259" max="259" width="3.28515625" style="2" customWidth="1"/>
    <col min="260" max="262" width="15.28515625" style="2" customWidth="1"/>
    <col min="263" max="263" width="14" style="2" customWidth="1"/>
    <col min="264" max="264" width="14.28515625" style="2" customWidth="1"/>
    <col min="265" max="265" width="11.85546875" style="2" customWidth="1"/>
    <col min="266" max="266" width="14.42578125" style="2" customWidth="1"/>
    <col min="267" max="267" width="12.5703125" style="2" customWidth="1"/>
    <col min="268" max="270" width="15.28515625" style="2" customWidth="1"/>
    <col min="271" max="271" width="12.42578125" style="2" customWidth="1"/>
    <col min="272" max="272" width="15.28515625" style="2" customWidth="1"/>
    <col min="273" max="511" width="9.140625" style="2"/>
    <col min="512" max="512" width="5.28515625" style="2" customWidth="1"/>
    <col min="513" max="513" width="37.28515625" style="2" bestFit="1" customWidth="1"/>
    <col min="514" max="514" width="15.28515625" style="2" customWidth="1"/>
    <col min="515" max="515" width="3.28515625" style="2" customWidth="1"/>
    <col min="516" max="518" width="15.28515625" style="2" customWidth="1"/>
    <col min="519" max="519" width="14" style="2" customWidth="1"/>
    <col min="520" max="520" width="14.28515625" style="2" customWidth="1"/>
    <col min="521" max="521" width="11.85546875" style="2" customWidth="1"/>
    <col min="522" max="522" width="14.42578125" style="2" customWidth="1"/>
    <col min="523" max="523" width="12.5703125" style="2" customWidth="1"/>
    <col min="524" max="526" width="15.28515625" style="2" customWidth="1"/>
    <col min="527" max="527" width="12.42578125" style="2" customWidth="1"/>
    <col min="528" max="528" width="15.28515625" style="2" customWidth="1"/>
    <col min="529" max="767" width="9.140625" style="2"/>
    <col min="768" max="768" width="5.28515625" style="2" customWidth="1"/>
    <col min="769" max="769" width="37.28515625" style="2" bestFit="1" customWidth="1"/>
    <col min="770" max="770" width="15.28515625" style="2" customWidth="1"/>
    <col min="771" max="771" width="3.28515625" style="2" customWidth="1"/>
    <col min="772" max="774" width="15.28515625" style="2" customWidth="1"/>
    <col min="775" max="775" width="14" style="2" customWidth="1"/>
    <col min="776" max="776" width="14.28515625" style="2" customWidth="1"/>
    <col min="777" max="777" width="11.85546875" style="2" customWidth="1"/>
    <col min="778" max="778" width="14.42578125" style="2" customWidth="1"/>
    <col min="779" max="779" width="12.5703125" style="2" customWidth="1"/>
    <col min="780" max="782" width="15.28515625" style="2" customWidth="1"/>
    <col min="783" max="783" width="12.42578125" style="2" customWidth="1"/>
    <col min="784" max="784" width="15.28515625" style="2" customWidth="1"/>
    <col min="785" max="1023" width="9.140625" style="2"/>
    <col min="1024" max="1024" width="5.28515625" style="2" customWidth="1"/>
    <col min="1025" max="1025" width="37.28515625" style="2" bestFit="1" customWidth="1"/>
    <col min="1026" max="1026" width="15.28515625" style="2" customWidth="1"/>
    <col min="1027" max="1027" width="3.28515625" style="2" customWidth="1"/>
    <col min="1028" max="1030" width="15.28515625" style="2" customWidth="1"/>
    <col min="1031" max="1031" width="14" style="2" customWidth="1"/>
    <col min="1032" max="1032" width="14.28515625" style="2" customWidth="1"/>
    <col min="1033" max="1033" width="11.85546875" style="2" customWidth="1"/>
    <col min="1034" max="1034" width="14.42578125" style="2" customWidth="1"/>
    <col min="1035" max="1035" width="12.5703125" style="2" customWidth="1"/>
    <col min="1036" max="1038" width="15.28515625" style="2" customWidth="1"/>
    <col min="1039" max="1039" width="12.42578125" style="2" customWidth="1"/>
    <col min="1040" max="1040" width="15.28515625" style="2" customWidth="1"/>
    <col min="1041" max="1279" width="9.140625" style="2"/>
    <col min="1280" max="1280" width="5.28515625" style="2" customWidth="1"/>
    <col min="1281" max="1281" width="37.28515625" style="2" bestFit="1" customWidth="1"/>
    <col min="1282" max="1282" width="15.28515625" style="2" customWidth="1"/>
    <col min="1283" max="1283" width="3.28515625" style="2" customWidth="1"/>
    <col min="1284" max="1286" width="15.28515625" style="2" customWidth="1"/>
    <col min="1287" max="1287" width="14" style="2" customWidth="1"/>
    <col min="1288" max="1288" width="14.28515625" style="2" customWidth="1"/>
    <col min="1289" max="1289" width="11.85546875" style="2" customWidth="1"/>
    <col min="1290" max="1290" width="14.42578125" style="2" customWidth="1"/>
    <col min="1291" max="1291" width="12.5703125" style="2" customWidth="1"/>
    <col min="1292" max="1294" width="15.28515625" style="2" customWidth="1"/>
    <col min="1295" max="1295" width="12.42578125" style="2" customWidth="1"/>
    <col min="1296" max="1296" width="15.28515625" style="2" customWidth="1"/>
    <col min="1297" max="1535" width="9.140625" style="2"/>
    <col min="1536" max="1536" width="5.28515625" style="2" customWidth="1"/>
    <col min="1537" max="1537" width="37.28515625" style="2" bestFit="1" customWidth="1"/>
    <col min="1538" max="1538" width="15.28515625" style="2" customWidth="1"/>
    <col min="1539" max="1539" width="3.28515625" style="2" customWidth="1"/>
    <col min="1540" max="1542" width="15.28515625" style="2" customWidth="1"/>
    <col min="1543" max="1543" width="14" style="2" customWidth="1"/>
    <col min="1544" max="1544" width="14.28515625" style="2" customWidth="1"/>
    <col min="1545" max="1545" width="11.85546875" style="2" customWidth="1"/>
    <col min="1546" max="1546" width="14.42578125" style="2" customWidth="1"/>
    <col min="1547" max="1547" width="12.5703125" style="2" customWidth="1"/>
    <col min="1548" max="1550" width="15.28515625" style="2" customWidth="1"/>
    <col min="1551" max="1551" width="12.42578125" style="2" customWidth="1"/>
    <col min="1552" max="1552" width="15.28515625" style="2" customWidth="1"/>
    <col min="1553" max="1791" width="9.140625" style="2"/>
    <col min="1792" max="1792" width="5.28515625" style="2" customWidth="1"/>
    <col min="1793" max="1793" width="37.28515625" style="2" bestFit="1" customWidth="1"/>
    <col min="1794" max="1794" width="15.28515625" style="2" customWidth="1"/>
    <col min="1795" max="1795" width="3.28515625" style="2" customWidth="1"/>
    <col min="1796" max="1798" width="15.28515625" style="2" customWidth="1"/>
    <col min="1799" max="1799" width="14" style="2" customWidth="1"/>
    <col min="1800" max="1800" width="14.28515625" style="2" customWidth="1"/>
    <col min="1801" max="1801" width="11.85546875" style="2" customWidth="1"/>
    <col min="1802" max="1802" width="14.42578125" style="2" customWidth="1"/>
    <col min="1803" max="1803" width="12.5703125" style="2" customWidth="1"/>
    <col min="1804" max="1806" width="15.28515625" style="2" customWidth="1"/>
    <col min="1807" max="1807" width="12.42578125" style="2" customWidth="1"/>
    <col min="1808" max="1808" width="15.28515625" style="2" customWidth="1"/>
    <col min="1809" max="2047" width="9.140625" style="2"/>
    <col min="2048" max="2048" width="5.28515625" style="2" customWidth="1"/>
    <col min="2049" max="2049" width="37.28515625" style="2" bestFit="1" customWidth="1"/>
    <col min="2050" max="2050" width="15.28515625" style="2" customWidth="1"/>
    <col min="2051" max="2051" width="3.28515625" style="2" customWidth="1"/>
    <col min="2052" max="2054" width="15.28515625" style="2" customWidth="1"/>
    <col min="2055" max="2055" width="14" style="2" customWidth="1"/>
    <col min="2056" max="2056" width="14.28515625" style="2" customWidth="1"/>
    <col min="2057" max="2057" width="11.85546875" style="2" customWidth="1"/>
    <col min="2058" max="2058" width="14.42578125" style="2" customWidth="1"/>
    <col min="2059" max="2059" width="12.5703125" style="2" customWidth="1"/>
    <col min="2060" max="2062" width="15.28515625" style="2" customWidth="1"/>
    <col min="2063" max="2063" width="12.42578125" style="2" customWidth="1"/>
    <col min="2064" max="2064" width="15.28515625" style="2" customWidth="1"/>
    <col min="2065" max="2303" width="9.140625" style="2"/>
    <col min="2304" max="2304" width="5.28515625" style="2" customWidth="1"/>
    <col min="2305" max="2305" width="37.28515625" style="2" bestFit="1" customWidth="1"/>
    <col min="2306" max="2306" width="15.28515625" style="2" customWidth="1"/>
    <col min="2307" max="2307" width="3.28515625" style="2" customWidth="1"/>
    <col min="2308" max="2310" width="15.28515625" style="2" customWidth="1"/>
    <col min="2311" max="2311" width="14" style="2" customWidth="1"/>
    <col min="2312" max="2312" width="14.28515625" style="2" customWidth="1"/>
    <col min="2313" max="2313" width="11.85546875" style="2" customWidth="1"/>
    <col min="2314" max="2314" width="14.42578125" style="2" customWidth="1"/>
    <col min="2315" max="2315" width="12.5703125" style="2" customWidth="1"/>
    <col min="2316" max="2318" width="15.28515625" style="2" customWidth="1"/>
    <col min="2319" max="2319" width="12.42578125" style="2" customWidth="1"/>
    <col min="2320" max="2320" width="15.28515625" style="2" customWidth="1"/>
    <col min="2321" max="2559" width="9.140625" style="2"/>
    <col min="2560" max="2560" width="5.28515625" style="2" customWidth="1"/>
    <col min="2561" max="2561" width="37.28515625" style="2" bestFit="1" customWidth="1"/>
    <col min="2562" max="2562" width="15.28515625" style="2" customWidth="1"/>
    <col min="2563" max="2563" width="3.28515625" style="2" customWidth="1"/>
    <col min="2564" max="2566" width="15.28515625" style="2" customWidth="1"/>
    <col min="2567" max="2567" width="14" style="2" customWidth="1"/>
    <col min="2568" max="2568" width="14.28515625" style="2" customWidth="1"/>
    <col min="2569" max="2569" width="11.85546875" style="2" customWidth="1"/>
    <col min="2570" max="2570" width="14.42578125" style="2" customWidth="1"/>
    <col min="2571" max="2571" width="12.5703125" style="2" customWidth="1"/>
    <col min="2572" max="2574" width="15.28515625" style="2" customWidth="1"/>
    <col min="2575" max="2575" width="12.42578125" style="2" customWidth="1"/>
    <col min="2576" max="2576" width="15.28515625" style="2" customWidth="1"/>
    <col min="2577" max="2815" width="9.140625" style="2"/>
    <col min="2816" max="2816" width="5.28515625" style="2" customWidth="1"/>
    <col min="2817" max="2817" width="37.28515625" style="2" bestFit="1" customWidth="1"/>
    <col min="2818" max="2818" width="15.28515625" style="2" customWidth="1"/>
    <col min="2819" max="2819" width="3.28515625" style="2" customWidth="1"/>
    <col min="2820" max="2822" width="15.28515625" style="2" customWidth="1"/>
    <col min="2823" max="2823" width="14" style="2" customWidth="1"/>
    <col min="2824" max="2824" width="14.28515625" style="2" customWidth="1"/>
    <col min="2825" max="2825" width="11.85546875" style="2" customWidth="1"/>
    <col min="2826" max="2826" width="14.42578125" style="2" customWidth="1"/>
    <col min="2827" max="2827" width="12.5703125" style="2" customWidth="1"/>
    <col min="2828" max="2830" width="15.28515625" style="2" customWidth="1"/>
    <col min="2831" max="2831" width="12.42578125" style="2" customWidth="1"/>
    <col min="2832" max="2832" width="15.28515625" style="2" customWidth="1"/>
    <col min="2833" max="3071" width="9.140625" style="2"/>
    <col min="3072" max="3072" width="5.28515625" style="2" customWidth="1"/>
    <col min="3073" max="3073" width="37.28515625" style="2" bestFit="1" customWidth="1"/>
    <col min="3074" max="3074" width="15.28515625" style="2" customWidth="1"/>
    <col min="3075" max="3075" width="3.28515625" style="2" customWidth="1"/>
    <col min="3076" max="3078" width="15.28515625" style="2" customWidth="1"/>
    <col min="3079" max="3079" width="14" style="2" customWidth="1"/>
    <col min="3080" max="3080" width="14.28515625" style="2" customWidth="1"/>
    <col min="3081" max="3081" width="11.85546875" style="2" customWidth="1"/>
    <col min="3082" max="3082" width="14.42578125" style="2" customWidth="1"/>
    <col min="3083" max="3083" width="12.5703125" style="2" customWidth="1"/>
    <col min="3084" max="3086" width="15.28515625" style="2" customWidth="1"/>
    <col min="3087" max="3087" width="12.42578125" style="2" customWidth="1"/>
    <col min="3088" max="3088" width="15.28515625" style="2" customWidth="1"/>
    <col min="3089" max="3327" width="9.140625" style="2"/>
    <col min="3328" max="3328" width="5.28515625" style="2" customWidth="1"/>
    <col min="3329" max="3329" width="37.28515625" style="2" bestFit="1" customWidth="1"/>
    <col min="3330" max="3330" width="15.28515625" style="2" customWidth="1"/>
    <col min="3331" max="3331" width="3.28515625" style="2" customWidth="1"/>
    <col min="3332" max="3334" width="15.28515625" style="2" customWidth="1"/>
    <col min="3335" max="3335" width="14" style="2" customWidth="1"/>
    <col min="3336" max="3336" width="14.28515625" style="2" customWidth="1"/>
    <col min="3337" max="3337" width="11.85546875" style="2" customWidth="1"/>
    <col min="3338" max="3338" width="14.42578125" style="2" customWidth="1"/>
    <col min="3339" max="3339" width="12.5703125" style="2" customWidth="1"/>
    <col min="3340" max="3342" width="15.28515625" style="2" customWidth="1"/>
    <col min="3343" max="3343" width="12.42578125" style="2" customWidth="1"/>
    <col min="3344" max="3344" width="15.28515625" style="2" customWidth="1"/>
    <col min="3345" max="3583" width="9.140625" style="2"/>
    <col min="3584" max="3584" width="5.28515625" style="2" customWidth="1"/>
    <col min="3585" max="3585" width="37.28515625" style="2" bestFit="1" customWidth="1"/>
    <col min="3586" max="3586" width="15.28515625" style="2" customWidth="1"/>
    <col min="3587" max="3587" width="3.28515625" style="2" customWidth="1"/>
    <col min="3588" max="3590" width="15.28515625" style="2" customWidth="1"/>
    <col min="3591" max="3591" width="14" style="2" customWidth="1"/>
    <col min="3592" max="3592" width="14.28515625" style="2" customWidth="1"/>
    <col min="3593" max="3593" width="11.85546875" style="2" customWidth="1"/>
    <col min="3594" max="3594" width="14.42578125" style="2" customWidth="1"/>
    <col min="3595" max="3595" width="12.5703125" style="2" customWidth="1"/>
    <col min="3596" max="3598" width="15.28515625" style="2" customWidth="1"/>
    <col min="3599" max="3599" width="12.42578125" style="2" customWidth="1"/>
    <col min="3600" max="3600" width="15.28515625" style="2" customWidth="1"/>
    <col min="3601" max="3839" width="9.140625" style="2"/>
    <col min="3840" max="3840" width="5.28515625" style="2" customWidth="1"/>
    <col min="3841" max="3841" width="37.28515625" style="2" bestFit="1" customWidth="1"/>
    <col min="3842" max="3842" width="15.28515625" style="2" customWidth="1"/>
    <col min="3843" max="3843" width="3.28515625" style="2" customWidth="1"/>
    <col min="3844" max="3846" width="15.28515625" style="2" customWidth="1"/>
    <col min="3847" max="3847" width="14" style="2" customWidth="1"/>
    <col min="3848" max="3848" width="14.28515625" style="2" customWidth="1"/>
    <col min="3849" max="3849" width="11.85546875" style="2" customWidth="1"/>
    <col min="3850" max="3850" width="14.42578125" style="2" customWidth="1"/>
    <col min="3851" max="3851" width="12.5703125" style="2" customWidth="1"/>
    <col min="3852" max="3854" width="15.28515625" style="2" customWidth="1"/>
    <col min="3855" max="3855" width="12.42578125" style="2" customWidth="1"/>
    <col min="3856" max="3856" width="15.28515625" style="2" customWidth="1"/>
    <col min="3857" max="4095" width="9.140625" style="2"/>
    <col min="4096" max="4096" width="5.28515625" style="2" customWidth="1"/>
    <col min="4097" max="4097" width="37.28515625" style="2" bestFit="1" customWidth="1"/>
    <col min="4098" max="4098" width="15.28515625" style="2" customWidth="1"/>
    <col min="4099" max="4099" width="3.28515625" style="2" customWidth="1"/>
    <col min="4100" max="4102" width="15.28515625" style="2" customWidth="1"/>
    <col min="4103" max="4103" width="14" style="2" customWidth="1"/>
    <col min="4104" max="4104" width="14.28515625" style="2" customWidth="1"/>
    <col min="4105" max="4105" width="11.85546875" style="2" customWidth="1"/>
    <col min="4106" max="4106" width="14.42578125" style="2" customWidth="1"/>
    <col min="4107" max="4107" width="12.5703125" style="2" customWidth="1"/>
    <col min="4108" max="4110" width="15.28515625" style="2" customWidth="1"/>
    <col min="4111" max="4111" width="12.42578125" style="2" customWidth="1"/>
    <col min="4112" max="4112" width="15.28515625" style="2" customWidth="1"/>
    <col min="4113" max="4351" width="9.140625" style="2"/>
    <col min="4352" max="4352" width="5.28515625" style="2" customWidth="1"/>
    <col min="4353" max="4353" width="37.28515625" style="2" bestFit="1" customWidth="1"/>
    <col min="4354" max="4354" width="15.28515625" style="2" customWidth="1"/>
    <col min="4355" max="4355" width="3.28515625" style="2" customWidth="1"/>
    <col min="4356" max="4358" width="15.28515625" style="2" customWidth="1"/>
    <col min="4359" max="4359" width="14" style="2" customWidth="1"/>
    <col min="4360" max="4360" width="14.28515625" style="2" customWidth="1"/>
    <col min="4361" max="4361" width="11.85546875" style="2" customWidth="1"/>
    <col min="4362" max="4362" width="14.42578125" style="2" customWidth="1"/>
    <col min="4363" max="4363" width="12.5703125" style="2" customWidth="1"/>
    <col min="4364" max="4366" width="15.28515625" style="2" customWidth="1"/>
    <col min="4367" max="4367" width="12.42578125" style="2" customWidth="1"/>
    <col min="4368" max="4368" width="15.28515625" style="2" customWidth="1"/>
    <col min="4369" max="4607" width="9.140625" style="2"/>
    <col min="4608" max="4608" width="5.28515625" style="2" customWidth="1"/>
    <col min="4609" max="4609" width="37.28515625" style="2" bestFit="1" customWidth="1"/>
    <col min="4610" max="4610" width="15.28515625" style="2" customWidth="1"/>
    <col min="4611" max="4611" width="3.28515625" style="2" customWidth="1"/>
    <col min="4612" max="4614" width="15.28515625" style="2" customWidth="1"/>
    <col min="4615" max="4615" width="14" style="2" customWidth="1"/>
    <col min="4616" max="4616" width="14.28515625" style="2" customWidth="1"/>
    <col min="4617" max="4617" width="11.85546875" style="2" customWidth="1"/>
    <col min="4618" max="4618" width="14.42578125" style="2" customWidth="1"/>
    <col min="4619" max="4619" width="12.5703125" style="2" customWidth="1"/>
    <col min="4620" max="4622" width="15.28515625" style="2" customWidth="1"/>
    <col min="4623" max="4623" width="12.42578125" style="2" customWidth="1"/>
    <col min="4624" max="4624" width="15.28515625" style="2" customWidth="1"/>
    <col min="4625" max="4863" width="9.140625" style="2"/>
    <col min="4864" max="4864" width="5.28515625" style="2" customWidth="1"/>
    <col min="4865" max="4865" width="37.28515625" style="2" bestFit="1" customWidth="1"/>
    <col min="4866" max="4866" width="15.28515625" style="2" customWidth="1"/>
    <col min="4867" max="4867" width="3.28515625" style="2" customWidth="1"/>
    <col min="4868" max="4870" width="15.28515625" style="2" customWidth="1"/>
    <col min="4871" max="4871" width="14" style="2" customWidth="1"/>
    <col min="4872" max="4872" width="14.28515625" style="2" customWidth="1"/>
    <col min="4873" max="4873" width="11.85546875" style="2" customWidth="1"/>
    <col min="4874" max="4874" width="14.42578125" style="2" customWidth="1"/>
    <col min="4875" max="4875" width="12.5703125" style="2" customWidth="1"/>
    <col min="4876" max="4878" width="15.28515625" style="2" customWidth="1"/>
    <col min="4879" max="4879" width="12.42578125" style="2" customWidth="1"/>
    <col min="4880" max="4880" width="15.28515625" style="2" customWidth="1"/>
    <col min="4881" max="5119" width="9.140625" style="2"/>
    <col min="5120" max="5120" width="5.28515625" style="2" customWidth="1"/>
    <col min="5121" max="5121" width="37.28515625" style="2" bestFit="1" customWidth="1"/>
    <col min="5122" max="5122" width="15.28515625" style="2" customWidth="1"/>
    <col min="5123" max="5123" width="3.28515625" style="2" customWidth="1"/>
    <col min="5124" max="5126" width="15.28515625" style="2" customWidth="1"/>
    <col min="5127" max="5127" width="14" style="2" customWidth="1"/>
    <col min="5128" max="5128" width="14.28515625" style="2" customWidth="1"/>
    <col min="5129" max="5129" width="11.85546875" style="2" customWidth="1"/>
    <col min="5130" max="5130" width="14.42578125" style="2" customWidth="1"/>
    <col min="5131" max="5131" width="12.5703125" style="2" customWidth="1"/>
    <col min="5132" max="5134" width="15.28515625" style="2" customWidth="1"/>
    <col min="5135" max="5135" width="12.42578125" style="2" customWidth="1"/>
    <col min="5136" max="5136" width="15.28515625" style="2" customWidth="1"/>
    <col min="5137" max="5375" width="9.140625" style="2"/>
    <col min="5376" max="5376" width="5.28515625" style="2" customWidth="1"/>
    <col min="5377" max="5377" width="37.28515625" style="2" bestFit="1" customWidth="1"/>
    <col min="5378" max="5378" width="15.28515625" style="2" customWidth="1"/>
    <col min="5379" max="5379" width="3.28515625" style="2" customWidth="1"/>
    <col min="5380" max="5382" width="15.28515625" style="2" customWidth="1"/>
    <col min="5383" max="5383" width="14" style="2" customWidth="1"/>
    <col min="5384" max="5384" width="14.28515625" style="2" customWidth="1"/>
    <col min="5385" max="5385" width="11.85546875" style="2" customWidth="1"/>
    <col min="5386" max="5386" width="14.42578125" style="2" customWidth="1"/>
    <col min="5387" max="5387" width="12.5703125" style="2" customWidth="1"/>
    <col min="5388" max="5390" width="15.28515625" style="2" customWidth="1"/>
    <col min="5391" max="5391" width="12.42578125" style="2" customWidth="1"/>
    <col min="5392" max="5392" width="15.28515625" style="2" customWidth="1"/>
    <col min="5393" max="5631" width="9.140625" style="2"/>
    <col min="5632" max="5632" width="5.28515625" style="2" customWidth="1"/>
    <col min="5633" max="5633" width="37.28515625" style="2" bestFit="1" customWidth="1"/>
    <col min="5634" max="5634" width="15.28515625" style="2" customWidth="1"/>
    <col min="5635" max="5635" width="3.28515625" style="2" customWidth="1"/>
    <col min="5636" max="5638" width="15.28515625" style="2" customWidth="1"/>
    <col min="5639" max="5639" width="14" style="2" customWidth="1"/>
    <col min="5640" max="5640" width="14.28515625" style="2" customWidth="1"/>
    <col min="5641" max="5641" width="11.85546875" style="2" customWidth="1"/>
    <col min="5642" max="5642" width="14.42578125" style="2" customWidth="1"/>
    <col min="5643" max="5643" width="12.5703125" style="2" customWidth="1"/>
    <col min="5644" max="5646" width="15.28515625" style="2" customWidth="1"/>
    <col min="5647" max="5647" width="12.42578125" style="2" customWidth="1"/>
    <col min="5648" max="5648" width="15.28515625" style="2" customWidth="1"/>
    <col min="5649" max="5887" width="9.140625" style="2"/>
    <col min="5888" max="5888" width="5.28515625" style="2" customWidth="1"/>
    <col min="5889" max="5889" width="37.28515625" style="2" bestFit="1" customWidth="1"/>
    <col min="5890" max="5890" width="15.28515625" style="2" customWidth="1"/>
    <col min="5891" max="5891" width="3.28515625" style="2" customWidth="1"/>
    <col min="5892" max="5894" width="15.28515625" style="2" customWidth="1"/>
    <col min="5895" max="5895" width="14" style="2" customWidth="1"/>
    <col min="5896" max="5896" width="14.28515625" style="2" customWidth="1"/>
    <col min="5897" max="5897" width="11.85546875" style="2" customWidth="1"/>
    <col min="5898" max="5898" width="14.42578125" style="2" customWidth="1"/>
    <col min="5899" max="5899" width="12.5703125" style="2" customWidth="1"/>
    <col min="5900" max="5902" width="15.28515625" style="2" customWidth="1"/>
    <col min="5903" max="5903" width="12.42578125" style="2" customWidth="1"/>
    <col min="5904" max="5904" width="15.28515625" style="2" customWidth="1"/>
    <col min="5905" max="6143" width="9.140625" style="2"/>
    <col min="6144" max="6144" width="5.28515625" style="2" customWidth="1"/>
    <col min="6145" max="6145" width="37.28515625" style="2" bestFit="1" customWidth="1"/>
    <col min="6146" max="6146" width="15.28515625" style="2" customWidth="1"/>
    <col min="6147" max="6147" width="3.28515625" style="2" customWidth="1"/>
    <col min="6148" max="6150" width="15.28515625" style="2" customWidth="1"/>
    <col min="6151" max="6151" width="14" style="2" customWidth="1"/>
    <col min="6152" max="6152" width="14.28515625" style="2" customWidth="1"/>
    <col min="6153" max="6153" width="11.85546875" style="2" customWidth="1"/>
    <col min="6154" max="6154" width="14.42578125" style="2" customWidth="1"/>
    <col min="6155" max="6155" width="12.5703125" style="2" customWidth="1"/>
    <col min="6156" max="6158" width="15.28515625" style="2" customWidth="1"/>
    <col min="6159" max="6159" width="12.42578125" style="2" customWidth="1"/>
    <col min="6160" max="6160" width="15.28515625" style="2" customWidth="1"/>
    <col min="6161" max="6399" width="9.140625" style="2"/>
    <col min="6400" max="6400" width="5.28515625" style="2" customWidth="1"/>
    <col min="6401" max="6401" width="37.28515625" style="2" bestFit="1" customWidth="1"/>
    <col min="6402" max="6402" width="15.28515625" style="2" customWidth="1"/>
    <col min="6403" max="6403" width="3.28515625" style="2" customWidth="1"/>
    <col min="6404" max="6406" width="15.28515625" style="2" customWidth="1"/>
    <col min="6407" max="6407" width="14" style="2" customWidth="1"/>
    <col min="6408" max="6408" width="14.28515625" style="2" customWidth="1"/>
    <col min="6409" max="6409" width="11.85546875" style="2" customWidth="1"/>
    <col min="6410" max="6410" width="14.42578125" style="2" customWidth="1"/>
    <col min="6411" max="6411" width="12.5703125" style="2" customWidth="1"/>
    <col min="6412" max="6414" width="15.28515625" style="2" customWidth="1"/>
    <col min="6415" max="6415" width="12.42578125" style="2" customWidth="1"/>
    <col min="6416" max="6416" width="15.28515625" style="2" customWidth="1"/>
    <col min="6417" max="6655" width="9.140625" style="2"/>
    <col min="6656" max="6656" width="5.28515625" style="2" customWidth="1"/>
    <col min="6657" max="6657" width="37.28515625" style="2" bestFit="1" customWidth="1"/>
    <col min="6658" max="6658" width="15.28515625" style="2" customWidth="1"/>
    <col min="6659" max="6659" width="3.28515625" style="2" customWidth="1"/>
    <col min="6660" max="6662" width="15.28515625" style="2" customWidth="1"/>
    <col min="6663" max="6663" width="14" style="2" customWidth="1"/>
    <col min="6664" max="6664" width="14.28515625" style="2" customWidth="1"/>
    <col min="6665" max="6665" width="11.85546875" style="2" customWidth="1"/>
    <col min="6666" max="6666" width="14.42578125" style="2" customWidth="1"/>
    <col min="6667" max="6667" width="12.5703125" style="2" customWidth="1"/>
    <col min="6668" max="6670" width="15.28515625" style="2" customWidth="1"/>
    <col min="6671" max="6671" width="12.42578125" style="2" customWidth="1"/>
    <col min="6672" max="6672" width="15.28515625" style="2" customWidth="1"/>
    <col min="6673" max="6911" width="9.140625" style="2"/>
    <col min="6912" max="6912" width="5.28515625" style="2" customWidth="1"/>
    <col min="6913" max="6913" width="37.28515625" style="2" bestFit="1" customWidth="1"/>
    <col min="6914" max="6914" width="15.28515625" style="2" customWidth="1"/>
    <col min="6915" max="6915" width="3.28515625" style="2" customWidth="1"/>
    <col min="6916" max="6918" width="15.28515625" style="2" customWidth="1"/>
    <col min="6919" max="6919" width="14" style="2" customWidth="1"/>
    <col min="6920" max="6920" width="14.28515625" style="2" customWidth="1"/>
    <col min="6921" max="6921" width="11.85546875" style="2" customWidth="1"/>
    <col min="6922" max="6922" width="14.42578125" style="2" customWidth="1"/>
    <col min="6923" max="6923" width="12.5703125" style="2" customWidth="1"/>
    <col min="6924" max="6926" width="15.28515625" style="2" customWidth="1"/>
    <col min="6927" max="6927" width="12.42578125" style="2" customWidth="1"/>
    <col min="6928" max="6928" width="15.28515625" style="2" customWidth="1"/>
    <col min="6929" max="7167" width="9.140625" style="2"/>
    <col min="7168" max="7168" width="5.28515625" style="2" customWidth="1"/>
    <col min="7169" max="7169" width="37.28515625" style="2" bestFit="1" customWidth="1"/>
    <col min="7170" max="7170" width="15.28515625" style="2" customWidth="1"/>
    <col min="7171" max="7171" width="3.28515625" style="2" customWidth="1"/>
    <col min="7172" max="7174" width="15.28515625" style="2" customWidth="1"/>
    <col min="7175" max="7175" width="14" style="2" customWidth="1"/>
    <col min="7176" max="7176" width="14.28515625" style="2" customWidth="1"/>
    <col min="7177" max="7177" width="11.85546875" style="2" customWidth="1"/>
    <col min="7178" max="7178" width="14.42578125" style="2" customWidth="1"/>
    <col min="7179" max="7179" width="12.5703125" style="2" customWidth="1"/>
    <col min="7180" max="7182" width="15.28515625" style="2" customWidth="1"/>
    <col min="7183" max="7183" width="12.42578125" style="2" customWidth="1"/>
    <col min="7184" max="7184" width="15.28515625" style="2" customWidth="1"/>
    <col min="7185" max="7423" width="9.140625" style="2"/>
    <col min="7424" max="7424" width="5.28515625" style="2" customWidth="1"/>
    <col min="7425" max="7425" width="37.28515625" style="2" bestFit="1" customWidth="1"/>
    <col min="7426" max="7426" width="15.28515625" style="2" customWidth="1"/>
    <col min="7427" max="7427" width="3.28515625" style="2" customWidth="1"/>
    <col min="7428" max="7430" width="15.28515625" style="2" customWidth="1"/>
    <col min="7431" max="7431" width="14" style="2" customWidth="1"/>
    <col min="7432" max="7432" width="14.28515625" style="2" customWidth="1"/>
    <col min="7433" max="7433" width="11.85546875" style="2" customWidth="1"/>
    <col min="7434" max="7434" width="14.42578125" style="2" customWidth="1"/>
    <col min="7435" max="7435" width="12.5703125" style="2" customWidth="1"/>
    <col min="7436" max="7438" width="15.28515625" style="2" customWidth="1"/>
    <col min="7439" max="7439" width="12.42578125" style="2" customWidth="1"/>
    <col min="7440" max="7440" width="15.28515625" style="2" customWidth="1"/>
    <col min="7441" max="7679" width="9.140625" style="2"/>
    <col min="7680" max="7680" width="5.28515625" style="2" customWidth="1"/>
    <col min="7681" max="7681" width="37.28515625" style="2" bestFit="1" customWidth="1"/>
    <col min="7682" max="7682" width="15.28515625" style="2" customWidth="1"/>
    <col min="7683" max="7683" width="3.28515625" style="2" customWidth="1"/>
    <col min="7684" max="7686" width="15.28515625" style="2" customWidth="1"/>
    <col min="7687" max="7687" width="14" style="2" customWidth="1"/>
    <col min="7688" max="7688" width="14.28515625" style="2" customWidth="1"/>
    <col min="7689" max="7689" width="11.85546875" style="2" customWidth="1"/>
    <col min="7690" max="7690" width="14.42578125" style="2" customWidth="1"/>
    <col min="7691" max="7691" width="12.5703125" style="2" customWidth="1"/>
    <col min="7692" max="7694" width="15.28515625" style="2" customWidth="1"/>
    <col min="7695" max="7695" width="12.42578125" style="2" customWidth="1"/>
    <col min="7696" max="7696" width="15.28515625" style="2" customWidth="1"/>
    <col min="7697" max="7935" width="9.140625" style="2"/>
    <col min="7936" max="7936" width="5.28515625" style="2" customWidth="1"/>
    <col min="7937" max="7937" width="37.28515625" style="2" bestFit="1" customWidth="1"/>
    <col min="7938" max="7938" width="15.28515625" style="2" customWidth="1"/>
    <col min="7939" max="7939" width="3.28515625" style="2" customWidth="1"/>
    <col min="7940" max="7942" width="15.28515625" style="2" customWidth="1"/>
    <col min="7943" max="7943" width="14" style="2" customWidth="1"/>
    <col min="7944" max="7944" width="14.28515625" style="2" customWidth="1"/>
    <col min="7945" max="7945" width="11.85546875" style="2" customWidth="1"/>
    <col min="7946" max="7946" width="14.42578125" style="2" customWidth="1"/>
    <col min="7947" max="7947" width="12.5703125" style="2" customWidth="1"/>
    <col min="7948" max="7950" width="15.28515625" style="2" customWidth="1"/>
    <col min="7951" max="7951" width="12.42578125" style="2" customWidth="1"/>
    <col min="7952" max="7952" width="15.28515625" style="2" customWidth="1"/>
    <col min="7953" max="8191" width="9.140625" style="2"/>
    <col min="8192" max="8192" width="5.28515625" style="2" customWidth="1"/>
    <col min="8193" max="8193" width="37.28515625" style="2" bestFit="1" customWidth="1"/>
    <col min="8194" max="8194" width="15.28515625" style="2" customWidth="1"/>
    <col min="8195" max="8195" width="3.28515625" style="2" customWidth="1"/>
    <col min="8196" max="8198" width="15.28515625" style="2" customWidth="1"/>
    <col min="8199" max="8199" width="14" style="2" customWidth="1"/>
    <col min="8200" max="8200" width="14.28515625" style="2" customWidth="1"/>
    <col min="8201" max="8201" width="11.85546875" style="2" customWidth="1"/>
    <col min="8202" max="8202" width="14.42578125" style="2" customWidth="1"/>
    <col min="8203" max="8203" width="12.5703125" style="2" customWidth="1"/>
    <col min="8204" max="8206" width="15.28515625" style="2" customWidth="1"/>
    <col min="8207" max="8207" width="12.42578125" style="2" customWidth="1"/>
    <col min="8208" max="8208" width="15.28515625" style="2" customWidth="1"/>
    <col min="8209" max="8447" width="9.140625" style="2"/>
    <col min="8448" max="8448" width="5.28515625" style="2" customWidth="1"/>
    <col min="8449" max="8449" width="37.28515625" style="2" bestFit="1" customWidth="1"/>
    <col min="8450" max="8450" width="15.28515625" style="2" customWidth="1"/>
    <col min="8451" max="8451" width="3.28515625" style="2" customWidth="1"/>
    <col min="8452" max="8454" width="15.28515625" style="2" customWidth="1"/>
    <col min="8455" max="8455" width="14" style="2" customWidth="1"/>
    <col min="8456" max="8456" width="14.28515625" style="2" customWidth="1"/>
    <col min="8457" max="8457" width="11.85546875" style="2" customWidth="1"/>
    <col min="8458" max="8458" width="14.42578125" style="2" customWidth="1"/>
    <col min="8459" max="8459" width="12.5703125" style="2" customWidth="1"/>
    <col min="8460" max="8462" width="15.28515625" style="2" customWidth="1"/>
    <col min="8463" max="8463" width="12.42578125" style="2" customWidth="1"/>
    <col min="8464" max="8464" width="15.28515625" style="2" customWidth="1"/>
    <col min="8465" max="8703" width="9.140625" style="2"/>
    <col min="8704" max="8704" width="5.28515625" style="2" customWidth="1"/>
    <col min="8705" max="8705" width="37.28515625" style="2" bestFit="1" customWidth="1"/>
    <col min="8706" max="8706" width="15.28515625" style="2" customWidth="1"/>
    <col min="8707" max="8707" width="3.28515625" style="2" customWidth="1"/>
    <col min="8708" max="8710" width="15.28515625" style="2" customWidth="1"/>
    <col min="8711" max="8711" width="14" style="2" customWidth="1"/>
    <col min="8712" max="8712" width="14.28515625" style="2" customWidth="1"/>
    <col min="8713" max="8713" width="11.85546875" style="2" customWidth="1"/>
    <col min="8714" max="8714" width="14.42578125" style="2" customWidth="1"/>
    <col min="8715" max="8715" width="12.5703125" style="2" customWidth="1"/>
    <col min="8716" max="8718" width="15.28515625" style="2" customWidth="1"/>
    <col min="8719" max="8719" width="12.42578125" style="2" customWidth="1"/>
    <col min="8720" max="8720" width="15.28515625" style="2" customWidth="1"/>
    <col min="8721" max="8959" width="9.140625" style="2"/>
    <col min="8960" max="8960" width="5.28515625" style="2" customWidth="1"/>
    <col min="8961" max="8961" width="37.28515625" style="2" bestFit="1" customWidth="1"/>
    <col min="8962" max="8962" width="15.28515625" style="2" customWidth="1"/>
    <col min="8963" max="8963" width="3.28515625" style="2" customWidth="1"/>
    <col min="8964" max="8966" width="15.28515625" style="2" customWidth="1"/>
    <col min="8967" max="8967" width="14" style="2" customWidth="1"/>
    <col min="8968" max="8968" width="14.28515625" style="2" customWidth="1"/>
    <col min="8969" max="8969" width="11.85546875" style="2" customWidth="1"/>
    <col min="8970" max="8970" width="14.42578125" style="2" customWidth="1"/>
    <col min="8971" max="8971" width="12.5703125" style="2" customWidth="1"/>
    <col min="8972" max="8974" width="15.28515625" style="2" customWidth="1"/>
    <col min="8975" max="8975" width="12.42578125" style="2" customWidth="1"/>
    <col min="8976" max="8976" width="15.28515625" style="2" customWidth="1"/>
    <col min="8977" max="9215" width="9.140625" style="2"/>
    <col min="9216" max="9216" width="5.28515625" style="2" customWidth="1"/>
    <col min="9217" max="9217" width="37.28515625" style="2" bestFit="1" customWidth="1"/>
    <col min="9218" max="9218" width="15.28515625" style="2" customWidth="1"/>
    <col min="9219" max="9219" width="3.28515625" style="2" customWidth="1"/>
    <col min="9220" max="9222" width="15.28515625" style="2" customWidth="1"/>
    <col min="9223" max="9223" width="14" style="2" customWidth="1"/>
    <col min="9224" max="9224" width="14.28515625" style="2" customWidth="1"/>
    <col min="9225" max="9225" width="11.85546875" style="2" customWidth="1"/>
    <col min="9226" max="9226" width="14.42578125" style="2" customWidth="1"/>
    <col min="9227" max="9227" width="12.5703125" style="2" customWidth="1"/>
    <col min="9228" max="9230" width="15.28515625" style="2" customWidth="1"/>
    <col min="9231" max="9231" width="12.42578125" style="2" customWidth="1"/>
    <col min="9232" max="9232" width="15.28515625" style="2" customWidth="1"/>
    <col min="9233" max="9471" width="9.140625" style="2"/>
    <col min="9472" max="9472" width="5.28515625" style="2" customWidth="1"/>
    <col min="9473" max="9473" width="37.28515625" style="2" bestFit="1" customWidth="1"/>
    <col min="9474" max="9474" width="15.28515625" style="2" customWidth="1"/>
    <col min="9475" max="9475" width="3.28515625" style="2" customWidth="1"/>
    <col min="9476" max="9478" width="15.28515625" style="2" customWidth="1"/>
    <col min="9479" max="9479" width="14" style="2" customWidth="1"/>
    <col min="9480" max="9480" width="14.28515625" style="2" customWidth="1"/>
    <col min="9481" max="9481" width="11.85546875" style="2" customWidth="1"/>
    <col min="9482" max="9482" width="14.42578125" style="2" customWidth="1"/>
    <col min="9483" max="9483" width="12.5703125" style="2" customWidth="1"/>
    <col min="9484" max="9486" width="15.28515625" style="2" customWidth="1"/>
    <col min="9487" max="9487" width="12.42578125" style="2" customWidth="1"/>
    <col min="9488" max="9488" width="15.28515625" style="2" customWidth="1"/>
    <col min="9489" max="9727" width="9.140625" style="2"/>
    <col min="9728" max="9728" width="5.28515625" style="2" customWidth="1"/>
    <col min="9729" max="9729" width="37.28515625" style="2" bestFit="1" customWidth="1"/>
    <col min="9730" max="9730" width="15.28515625" style="2" customWidth="1"/>
    <col min="9731" max="9731" width="3.28515625" style="2" customWidth="1"/>
    <col min="9732" max="9734" width="15.28515625" style="2" customWidth="1"/>
    <col min="9735" max="9735" width="14" style="2" customWidth="1"/>
    <col min="9736" max="9736" width="14.28515625" style="2" customWidth="1"/>
    <col min="9737" max="9737" width="11.85546875" style="2" customWidth="1"/>
    <col min="9738" max="9738" width="14.42578125" style="2" customWidth="1"/>
    <col min="9739" max="9739" width="12.5703125" style="2" customWidth="1"/>
    <col min="9740" max="9742" width="15.28515625" style="2" customWidth="1"/>
    <col min="9743" max="9743" width="12.42578125" style="2" customWidth="1"/>
    <col min="9744" max="9744" width="15.28515625" style="2" customWidth="1"/>
    <col min="9745" max="9983" width="9.140625" style="2"/>
    <col min="9984" max="9984" width="5.28515625" style="2" customWidth="1"/>
    <col min="9985" max="9985" width="37.28515625" style="2" bestFit="1" customWidth="1"/>
    <col min="9986" max="9986" width="15.28515625" style="2" customWidth="1"/>
    <col min="9987" max="9987" width="3.28515625" style="2" customWidth="1"/>
    <col min="9988" max="9990" width="15.28515625" style="2" customWidth="1"/>
    <col min="9991" max="9991" width="14" style="2" customWidth="1"/>
    <col min="9992" max="9992" width="14.28515625" style="2" customWidth="1"/>
    <col min="9993" max="9993" width="11.85546875" style="2" customWidth="1"/>
    <col min="9994" max="9994" width="14.42578125" style="2" customWidth="1"/>
    <col min="9995" max="9995" width="12.5703125" style="2" customWidth="1"/>
    <col min="9996" max="9998" width="15.28515625" style="2" customWidth="1"/>
    <col min="9999" max="9999" width="12.42578125" style="2" customWidth="1"/>
    <col min="10000" max="10000" width="15.28515625" style="2" customWidth="1"/>
    <col min="10001" max="10239" width="9.140625" style="2"/>
    <col min="10240" max="10240" width="5.28515625" style="2" customWidth="1"/>
    <col min="10241" max="10241" width="37.28515625" style="2" bestFit="1" customWidth="1"/>
    <col min="10242" max="10242" width="15.28515625" style="2" customWidth="1"/>
    <col min="10243" max="10243" width="3.28515625" style="2" customWidth="1"/>
    <col min="10244" max="10246" width="15.28515625" style="2" customWidth="1"/>
    <col min="10247" max="10247" width="14" style="2" customWidth="1"/>
    <col min="10248" max="10248" width="14.28515625" style="2" customWidth="1"/>
    <col min="10249" max="10249" width="11.85546875" style="2" customWidth="1"/>
    <col min="10250" max="10250" width="14.42578125" style="2" customWidth="1"/>
    <col min="10251" max="10251" width="12.5703125" style="2" customWidth="1"/>
    <col min="10252" max="10254" width="15.28515625" style="2" customWidth="1"/>
    <col min="10255" max="10255" width="12.42578125" style="2" customWidth="1"/>
    <col min="10256" max="10256" width="15.28515625" style="2" customWidth="1"/>
    <col min="10257" max="10495" width="9.140625" style="2"/>
    <col min="10496" max="10496" width="5.28515625" style="2" customWidth="1"/>
    <col min="10497" max="10497" width="37.28515625" style="2" bestFit="1" customWidth="1"/>
    <col min="10498" max="10498" width="15.28515625" style="2" customWidth="1"/>
    <col min="10499" max="10499" width="3.28515625" style="2" customWidth="1"/>
    <col min="10500" max="10502" width="15.28515625" style="2" customWidth="1"/>
    <col min="10503" max="10503" width="14" style="2" customWidth="1"/>
    <col min="10504" max="10504" width="14.28515625" style="2" customWidth="1"/>
    <col min="10505" max="10505" width="11.85546875" style="2" customWidth="1"/>
    <col min="10506" max="10506" width="14.42578125" style="2" customWidth="1"/>
    <col min="10507" max="10507" width="12.5703125" style="2" customWidth="1"/>
    <col min="10508" max="10510" width="15.28515625" style="2" customWidth="1"/>
    <col min="10511" max="10511" width="12.42578125" style="2" customWidth="1"/>
    <col min="10512" max="10512" width="15.28515625" style="2" customWidth="1"/>
    <col min="10513" max="10751" width="9.140625" style="2"/>
    <col min="10752" max="10752" width="5.28515625" style="2" customWidth="1"/>
    <col min="10753" max="10753" width="37.28515625" style="2" bestFit="1" customWidth="1"/>
    <col min="10754" max="10754" width="15.28515625" style="2" customWidth="1"/>
    <col min="10755" max="10755" width="3.28515625" style="2" customWidth="1"/>
    <col min="10756" max="10758" width="15.28515625" style="2" customWidth="1"/>
    <col min="10759" max="10759" width="14" style="2" customWidth="1"/>
    <col min="10760" max="10760" width="14.28515625" style="2" customWidth="1"/>
    <col min="10761" max="10761" width="11.85546875" style="2" customWidth="1"/>
    <col min="10762" max="10762" width="14.42578125" style="2" customWidth="1"/>
    <col min="10763" max="10763" width="12.5703125" style="2" customWidth="1"/>
    <col min="10764" max="10766" width="15.28515625" style="2" customWidth="1"/>
    <col min="10767" max="10767" width="12.42578125" style="2" customWidth="1"/>
    <col min="10768" max="10768" width="15.28515625" style="2" customWidth="1"/>
    <col min="10769" max="11007" width="9.140625" style="2"/>
    <col min="11008" max="11008" width="5.28515625" style="2" customWidth="1"/>
    <col min="11009" max="11009" width="37.28515625" style="2" bestFit="1" customWidth="1"/>
    <col min="11010" max="11010" width="15.28515625" style="2" customWidth="1"/>
    <col min="11011" max="11011" width="3.28515625" style="2" customWidth="1"/>
    <col min="11012" max="11014" width="15.28515625" style="2" customWidth="1"/>
    <col min="11015" max="11015" width="14" style="2" customWidth="1"/>
    <col min="11016" max="11016" width="14.28515625" style="2" customWidth="1"/>
    <col min="11017" max="11017" width="11.85546875" style="2" customWidth="1"/>
    <col min="11018" max="11018" width="14.42578125" style="2" customWidth="1"/>
    <col min="11019" max="11019" width="12.5703125" style="2" customWidth="1"/>
    <col min="11020" max="11022" width="15.28515625" style="2" customWidth="1"/>
    <col min="11023" max="11023" width="12.42578125" style="2" customWidth="1"/>
    <col min="11024" max="11024" width="15.28515625" style="2" customWidth="1"/>
    <col min="11025" max="11263" width="9.140625" style="2"/>
    <col min="11264" max="11264" width="5.28515625" style="2" customWidth="1"/>
    <col min="11265" max="11265" width="37.28515625" style="2" bestFit="1" customWidth="1"/>
    <col min="11266" max="11266" width="15.28515625" style="2" customWidth="1"/>
    <col min="11267" max="11267" width="3.28515625" style="2" customWidth="1"/>
    <col min="11268" max="11270" width="15.28515625" style="2" customWidth="1"/>
    <col min="11271" max="11271" width="14" style="2" customWidth="1"/>
    <col min="11272" max="11272" width="14.28515625" style="2" customWidth="1"/>
    <col min="11273" max="11273" width="11.85546875" style="2" customWidth="1"/>
    <col min="11274" max="11274" width="14.42578125" style="2" customWidth="1"/>
    <col min="11275" max="11275" width="12.5703125" style="2" customWidth="1"/>
    <col min="11276" max="11278" width="15.28515625" style="2" customWidth="1"/>
    <col min="11279" max="11279" width="12.42578125" style="2" customWidth="1"/>
    <col min="11280" max="11280" width="15.28515625" style="2" customWidth="1"/>
    <col min="11281" max="11519" width="9.140625" style="2"/>
    <col min="11520" max="11520" width="5.28515625" style="2" customWidth="1"/>
    <col min="11521" max="11521" width="37.28515625" style="2" bestFit="1" customWidth="1"/>
    <col min="11522" max="11522" width="15.28515625" style="2" customWidth="1"/>
    <col min="11523" max="11523" width="3.28515625" style="2" customWidth="1"/>
    <col min="11524" max="11526" width="15.28515625" style="2" customWidth="1"/>
    <col min="11527" max="11527" width="14" style="2" customWidth="1"/>
    <col min="11528" max="11528" width="14.28515625" style="2" customWidth="1"/>
    <col min="11529" max="11529" width="11.85546875" style="2" customWidth="1"/>
    <col min="11530" max="11530" width="14.42578125" style="2" customWidth="1"/>
    <col min="11531" max="11531" width="12.5703125" style="2" customWidth="1"/>
    <col min="11532" max="11534" width="15.28515625" style="2" customWidth="1"/>
    <col min="11535" max="11535" width="12.42578125" style="2" customWidth="1"/>
    <col min="11536" max="11536" width="15.28515625" style="2" customWidth="1"/>
    <col min="11537" max="11775" width="9.140625" style="2"/>
    <col min="11776" max="11776" width="5.28515625" style="2" customWidth="1"/>
    <col min="11777" max="11777" width="37.28515625" style="2" bestFit="1" customWidth="1"/>
    <col min="11778" max="11778" width="15.28515625" style="2" customWidth="1"/>
    <col min="11779" max="11779" width="3.28515625" style="2" customWidth="1"/>
    <col min="11780" max="11782" width="15.28515625" style="2" customWidth="1"/>
    <col min="11783" max="11783" width="14" style="2" customWidth="1"/>
    <col min="11784" max="11784" width="14.28515625" style="2" customWidth="1"/>
    <col min="11785" max="11785" width="11.85546875" style="2" customWidth="1"/>
    <col min="11786" max="11786" width="14.42578125" style="2" customWidth="1"/>
    <col min="11787" max="11787" width="12.5703125" style="2" customWidth="1"/>
    <col min="11788" max="11790" width="15.28515625" style="2" customWidth="1"/>
    <col min="11791" max="11791" width="12.42578125" style="2" customWidth="1"/>
    <col min="11792" max="11792" width="15.28515625" style="2" customWidth="1"/>
    <col min="11793" max="12031" width="9.140625" style="2"/>
    <col min="12032" max="12032" width="5.28515625" style="2" customWidth="1"/>
    <col min="12033" max="12033" width="37.28515625" style="2" bestFit="1" customWidth="1"/>
    <col min="12034" max="12034" width="15.28515625" style="2" customWidth="1"/>
    <col min="12035" max="12035" width="3.28515625" style="2" customWidth="1"/>
    <col min="12036" max="12038" width="15.28515625" style="2" customWidth="1"/>
    <col min="12039" max="12039" width="14" style="2" customWidth="1"/>
    <col min="12040" max="12040" width="14.28515625" style="2" customWidth="1"/>
    <col min="12041" max="12041" width="11.85546875" style="2" customWidth="1"/>
    <col min="12042" max="12042" width="14.42578125" style="2" customWidth="1"/>
    <col min="12043" max="12043" width="12.5703125" style="2" customWidth="1"/>
    <col min="12044" max="12046" width="15.28515625" style="2" customWidth="1"/>
    <col min="12047" max="12047" width="12.42578125" style="2" customWidth="1"/>
    <col min="12048" max="12048" width="15.28515625" style="2" customWidth="1"/>
    <col min="12049" max="12287" width="9.140625" style="2"/>
    <col min="12288" max="12288" width="5.28515625" style="2" customWidth="1"/>
    <col min="12289" max="12289" width="37.28515625" style="2" bestFit="1" customWidth="1"/>
    <col min="12290" max="12290" width="15.28515625" style="2" customWidth="1"/>
    <col min="12291" max="12291" width="3.28515625" style="2" customWidth="1"/>
    <col min="12292" max="12294" width="15.28515625" style="2" customWidth="1"/>
    <col min="12295" max="12295" width="14" style="2" customWidth="1"/>
    <col min="12296" max="12296" width="14.28515625" style="2" customWidth="1"/>
    <col min="12297" max="12297" width="11.85546875" style="2" customWidth="1"/>
    <col min="12298" max="12298" width="14.42578125" style="2" customWidth="1"/>
    <col min="12299" max="12299" width="12.5703125" style="2" customWidth="1"/>
    <col min="12300" max="12302" width="15.28515625" style="2" customWidth="1"/>
    <col min="12303" max="12303" width="12.42578125" style="2" customWidth="1"/>
    <col min="12304" max="12304" width="15.28515625" style="2" customWidth="1"/>
    <col min="12305" max="12543" width="9.140625" style="2"/>
    <col min="12544" max="12544" width="5.28515625" style="2" customWidth="1"/>
    <col min="12545" max="12545" width="37.28515625" style="2" bestFit="1" customWidth="1"/>
    <col min="12546" max="12546" width="15.28515625" style="2" customWidth="1"/>
    <col min="12547" max="12547" width="3.28515625" style="2" customWidth="1"/>
    <col min="12548" max="12550" width="15.28515625" style="2" customWidth="1"/>
    <col min="12551" max="12551" width="14" style="2" customWidth="1"/>
    <col min="12552" max="12552" width="14.28515625" style="2" customWidth="1"/>
    <col min="12553" max="12553" width="11.85546875" style="2" customWidth="1"/>
    <col min="12554" max="12554" width="14.42578125" style="2" customWidth="1"/>
    <col min="12555" max="12555" width="12.5703125" style="2" customWidth="1"/>
    <col min="12556" max="12558" width="15.28515625" style="2" customWidth="1"/>
    <col min="12559" max="12559" width="12.42578125" style="2" customWidth="1"/>
    <col min="12560" max="12560" width="15.28515625" style="2" customWidth="1"/>
    <col min="12561" max="12799" width="9.140625" style="2"/>
    <col min="12800" max="12800" width="5.28515625" style="2" customWidth="1"/>
    <col min="12801" max="12801" width="37.28515625" style="2" bestFit="1" customWidth="1"/>
    <col min="12802" max="12802" width="15.28515625" style="2" customWidth="1"/>
    <col min="12803" max="12803" width="3.28515625" style="2" customWidth="1"/>
    <col min="12804" max="12806" width="15.28515625" style="2" customWidth="1"/>
    <col min="12807" max="12807" width="14" style="2" customWidth="1"/>
    <col min="12808" max="12808" width="14.28515625" style="2" customWidth="1"/>
    <col min="12809" max="12809" width="11.85546875" style="2" customWidth="1"/>
    <col min="12810" max="12810" width="14.42578125" style="2" customWidth="1"/>
    <col min="12811" max="12811" width="12.5703125" style="2" customWidth="1"/>
    <col min="12812" max="12814" width="15.28515625" style="2" customWidth="1"/>
    <col min="12815" max="12815" width="12.42578125" style="2" customWidth="1"/>
    <col min="12816" max="12816" width="15.28515625" style="2" customWidth="1"/>
    <col min="12817" max="13055" width="9.140625" style="2"/>
    <col min="13056" max="13056" width="5.28515625" style="2" customWidth="1"/>
    <col min="13057" max="13057" width="37.28515625" style="2" bestFit="1" customWidth="1"/>
    <col min="13058" max="13058" width="15.28515625" style="2" customWidth="1"/>
    <col min="13059" max="13059" width="3.28515625" style="2" customWidth="1"/>
    <col min="13060" max="13062" width="15.28515625" style="2" customWidth="1"/>
    <col min="13063" max="13063" width="14" style="2" customWidth="1"/>
    <col min="13064" max="13064" width="14.28515625" style="2" customWidth="1"/>
    <col min="13065" max="13065" width="11.85546875" style="2" customWidth="1"/>
    <col min="13066" max="13066" width="14.42578125" style="2" customWidth="1"/>
    <col min="13067" max="13067" width="12.5703125" style="2" customWidth="1"/>
    <col min="13068" max="13070" width="15.28515625" style="2" customWidth="1"/>
    <col min="13071" max="13071" width="12.42578125" style="2" customWidth="1"/>
    <col min="13072" max="13072" width="15.28515625" style="2" customWidth="1"/>
    <col min="13073" max="13311" width="9.140625" style="2"/>
    <col min="13312" max="13312" width="5.28515625" style="2" customWidth="1"/>
    <col min="13313" max="13313" width="37.28515625" style="2" bestFit="1" customWidth="1"/>
    <col min="13314" max="13314" width="15.28515625" style="2" customWidth="1"/>
    <col min="13315" max="13315" width="3.28515625" style="2" customWidth="1"/>
    <col min="13316" max="13318" width="15.28515625" style="2" customWidth="1"/>
    <col min="13319" max="13319" width="14" style="2" customWidth="1"/>
    <col min="13320" max="13320" width="14.28515625" style="2" customWidth="1"/>
    <col min="13321" max="13321" width="11.85546875" style="2" customWidth="1"/>
    <col min="13322" max="13322" width="14.42578125" style="2" customWidth="1"/>
    <col min="13323" max="13323" width="12.5703125" style="2" customWidth="1"/>
    <col min="13324" max="13326" width="15.28515625" style="2" customWidth="1"/>
    <col min="13327" max="13327" width="12.42578125" style="2" customWidth="1"/>
    <col min="13328" max="13328" width="15.28515625" style="2" customWidth="1"/>
    <col min="13329" max="13567" width="9.140625" style="2"/>
    <col min="13568" max="13568" width="5.28515625" style="2" customWidth="1"/>
    <col min="13569" max="13569" width="37.28515625" style="2" bestFit="1" customWidth="1"/>
    <col min="13570" max="13570" width="15.28515625" style="2" customWidth="1"/>
    <col min="13571" max="13571" width="3.28515625" style="2" customWidth="1"/>
    <col min="13572" max="13574" width="15.28515625" style="2" customWidth="1"/>
    <col min="13575" max="13575" width="14" style="2" customWidth="1"/>
    <col min="13576" max="13576" width="14.28515625" style="2" customWidth="1"/>
    <col min="13577" max="13577" width="11.85546875" style="2" customWidth="1"/>
    <col min="13578" max="13578" width="14.42578125" style="2" customWidth="1"/>
    <col min="13579" max="13579" width="12.5703125" style="2" customWidth="1"/>
    <col min="13580" max="13582" width="15.28515625" style="2" customWidth="1"/>
    <col min="13583" max="13583" width="12.42578125" style="2" customWidth="1"/>
    <col min="13584" max="13584" width="15.28515625" style="2" customWidth="1"/>
    <col min="13585" max="13823" width="9.140625" style="2"/>
    <col min="13824" max="13824" width="5.28515625" style="2" customWidth="1"/>
    <col min="13825" max="13825" width="37.28515625" style="2" bestFit="1" customWidth="1"/>
    <col min="13826" max="13826" width="15.28515625" style="2" customWidth="1"/>
    <col min="13827" max="13827" width="3.28515625" style="2" customWidth="1"/>
    <col min="13828" max="13830" width="15.28515625" style="2" customWidth="1"/>
    <col min="13831" max="13831" width="14" style="2" customWidth="1"/>
    <col min="13832" max="13832" width="14.28515625" style="2" customWidth="1"/>
    <col min="13833" max="13833" width="11.85546875" style="2" customWidth="1"/>
    <col min="13834" max="13834" width="14.42578125" style="2" customWidth="1"/>
    <col min="13835" max="13835" width="12.5703125" style="2" customWidth="1"/>
    <col min="13836" max="13838" width="15.28515625" style="2" customWidth="1"/>
    <col min="13839" max="13839" width="12.42578125" style="2" customWidth="1"/>
    <col min="13840" max="13840" width="15.28515625" style="2" customWidth="1"/>
    <col min="13841" max="14079" width="9.140625" style="2"/>
    <col min="14080" max="14080" width="5.28515625" style="2" customWidth="1"/>
    <col min="14081" max="14081" width="37.28515625" style="2" bestFit="1" customWidth="1"/>
    <col min="14082" max="14082" width="15.28515625" style="2" customWidth="1"/>
    <col min="14083" max="14083" width="3.28515625" style="2" customWidth="1"/>
    <col min="14084" max="14086" width="15.28515625" style="2" customWidth="1"/>
    <col min="14087" max="14087" width="14" style="2" customWidth="1"/>
    <col min="14088" max="14088" width="14.28515625" style="2" customWidth="1"/>
    <col min="14089" max="14089" width="11.85546875" style="2" customWidth="1"/>
    <col min="14090" max="14090" width="14.42578125" style="2" customWidth="1"/>
    <col min="14091" max="14091" width="12.5703125" style="2" customWidth="1"/>
    <col min="14092" max="14094" width="15.28515625" style="2" customWidth="1"/>
    <col min="14095" max="14095" width="12.42578125" style="2" customWidth="1"/>
    <col min="14096" max="14096" width="15.28515625" style="2" customWidth="1"/>
    <col min="14097" max="14335" width="9.140625" style="2"/>
    <col min="14336" max="14336" width="5.28515625" style="2" customWidth="1"/>
    <col min="14337" max="14337" width="37.28515625" style="2" bestFit="1" customWidth="1"/>
    <col min="14338" max="14338" width="15.28515625" style="2" customWidth="1"/>
    <col min="14339" max="14339" width="3.28515625" style="2" customWidth="1"/>
    <col min="14340" max="14342" width="15.28515625" style="2" customWidth="1"/>
    <col min="14343" max="14343" width="14" style="2" customWidth="1"/>
    <col min="14344" max="14344" width="14.28515625" style="2" customWidth="1"/>
    <col min="14345" max="14345" width="11.85546875" style="2" customWidth="1"/>
    <col min="14346" max="14346" width="14.42578125" style="2" customWidth="1"/>
    <col min="14347" max="14347" width="12.5703125" style="2" customWidth="1"/>
    <col min="14348" max="14350" width="15.28515625" style="2" customWidth="1"/>
    <col min="14351" max="14351" width="12.42578125" style="2" customWidth="1"/>
    <col min="14352" max="14352" width="15.28515625" style="2" customWidth="1"/>
    <col min="14353" max="14591" width="9.140625" style="2"/>
    <col min="14592" max="14592" width="5.28515625" style="2" customWidth="1"/>
    <col min="14593" max="14593" width="37.28515625" style="2" bestFit="1" customWidth="1"/>
    <col min="14594" max="14594" width="15.28515625" style="2" customWidth="1"/>
    <col min="14595" max="14595" width="3.28515625" style="2" customWidth="1"/>
    <col min="14596" max="14598" width="15.28515625" style="2" customWidth="1"/>
    <col min="14599" max="14599" width="14" style="2" customWidth="1"/>
    <col min="14600" max="14600" width="14.28515625" style="2" customWidth="1"/>
    <col min="14601" max="14601" width="11.85546875" style="2" customWidth="1"/>
    <col min="14602" max="14602" width="14.42578125" style="2" customWidth="1"/>
    <col min="14603" max="14603" width="12.5703125" style="2" customWidth="1"/>
    <col min="14604" max="14606" width="15.28515625" style="2" customWidth="1"/>
    <col min="14607" max="14607" width="12.42578125" style="2" customWidth="1"/>
    <col min="14608" max="14608" width="15.28515625" style="2" customWidth="1"/>
    <col min="14609" max="14847" width="9.140625" style="2"/>
    <col min="14848" max="14848" width="5.28515625" style="2" customWidth="1"/>
    <col min="14849" max="14849" width="37.28515625" style="2" bestFit="1" customWidth="1"/>
    <col min="14850" max="14850" width="15.28515625" style="2" customWidth="1"/>
    <col min="14851" max="14851" width="3.28515625" style="2" customWidth="1"/>
    <col min="14852" max="14854" width="15.28515625" style="2" customWidth="1"/>
    <col min="14855" max="14855" width="14" style="2" customWidth="1"/>
    <col min="14856" max="14856" width="14.28515625" style="2" customWidth="1"/>
    <col min="14857" max="14857" width="11.85546875" style="2" customWidth="1"/>
    <col min="14858" max="14858" width="14.42578125" style="2" customWidth="1"/>
    <col min="14859" max="14859" width="12.5703125" style="2" customWidth="1"/>
    <col min="14860" max="14862" width="15.28515625" style="2" customWidth="1"/>
    <col min="14863" max="14863" width="12.42578125" style="2" customWidth="1"/>
    <col min="14864" max="14864" width="15.28515625" style="2" customWidth="1"/>
    <col min="14865" max="15103" width="9.140625" style="2"/>
    <col min="15104" max="15104" width="5.28515625" style="2" customWidth="1"/>
    <col min="15105" max="15105" width="37.28515625" style="2" bestFit="1" customWidth="1"/>
    <col min="15106" max="15106" width="15.28515625" style="2" customWidth="1"/>
    <col min="15107" max="15107" width="3.28515625" style="2" customWidth="1"/>
    <col min="15108" max="15110" width="15.28515625" style="2" customWidth="1"/>
    <col min="15111" max="15111" width="14" style="2" customWidth="1"/>
    <col min="15112" max="15112" width="14.28515625" style="2" customWidth="1"/>
    <col min="15113" max="15113" width="11.85546875" style="2" customWidth="1"/>
    <col min="15114" max="15114" width="14.42578125" style="2" customWidth="1"/>
    <col min="15115" max="15115" width="12.5703125" style="2" customWidth="1"/>
    <col min="15116" max="15118" width="15.28515625" style="2" customWidth="1"/>
    <col min="15119" max="15119" width="12.42578125" style="2" customWidth="1"/>
    <col min="15120" max="15120" width="15.28515625" style="2" customWidth="1"/>
    <col min="15121" max="15359" width="9.140625" style="2"/>
    <col min="15360" max="15360" width="5.28515625" style="2" customWidth="1"/>
    <col min="15361" max="15361" width="37.28515625" style="2" bestFit="1" customWidth="1"/>
    <col min="15362" max="15362" width="15.28515625" style="2" customWidth="1"/>
    <col min="15363" max="15363" width="3.28515625" style="2" customWidth="1"/>
    <col min="15364" max="15366" width="15.28515625" style="2" customWidth="1"/>
    <col min="15367" max="15367" width="14" style="2" customWidth="1"/>
    <col min="15368" max="15368" width="14.28515625" style="2" customWidth="1"/>
    <col min="15369" max="15369" width="11.85546875" style="2" customWidth="1"/>
    <col min="15370" max="15370" width="14.42578125" style="2" customWidth="1"/>
    <col min="15371" max="15371" width="12.5703125" style="2" customWidth="1"/>
    <col min="15372" max="15374" width="15.28515625" style="2" customWidth="1"/>
    <col min="15375" max="15375" width="12.42578125" style="2" customWidth="1"/>
    <col min="15376" max="15376" width="15.28515625" style="2" customWidth="1"/>
    <col min="15377" max="15615" width="9.140625" style="2"/>
    <col min="15616" max="15616" width="5.28515625" style="2" customWidth="1"/>
    <col min="15617" max="15617" width="37.28515625" style="2" bestFit="1" customWidth="1"/>
    <col min="15618" max="15618" width="15.28515625" style="2" customWidth="1"/>
    <col min="15619" max="15619" width="3.28515625" style="2" customWidth="1"/>
    <col min="15620" max="15622" width="15.28515625" style="2" customWidth="1"/>
    <col min="15623" max="15623" width="14" style="2" customWidth="1"/>
    <col min="15624" max="15624" width="14.28515625" style="2" customWidth="1"/>
    <col min="15625" max="15625" width="11.85546875" style="2" customWidth="1"/>
    <col min="15626" max="15626" width="14.42578125" style="2" customWidth="1"/>
    <col min="15627" max="15627" width="12.5703125" style="2" customWidth="1"/>
    <col min="15628" max="15630" width="15.28515625" style="2" customWidth="1"/>
    <col min="15631" max="15631" width="12.42578125" style="2" customWidth="1"/>
    <col min="15632" max="15632" width="15.28515625" style="2" customWidth="1"/>
    <col min="15633" max="15871" width="9.140625" style="2"/>
    <col min="15872" max="15872" width="5.28515625" style="2" customWidth="1"/>
    <col min="15873" max="15873" width="37.28515625" style="2" bestFit="1" customWidth="1"/>
    <col min="15874" max="15874" width="15.28515625" style="2" customWidth="1"/>
    <col min="15875" max="15875" width="3.28515625" style="2" customWidth="1"/>
    <col min="15876" max="15878" width="15.28515625" style="2" customWidth="1"/>
    <col min="15879" max="15879" width="14" style="2" customWidth="1"/>
    <col min="15880" max="15880" width="14.28515625" style="2" customWidth="1"/>
    <col min="15881" max="15881" width="11.85546875" style="2" customWidth="1"/>
    <col min="15882" max="15882" width="14.42578125" style="2" customWidth="1"/>
    <col min="15883" max="15883" width="12.5703125" style="2" customWidth="1"/>
    <col min="15884" max="15886" width="15.28515625" style="2" customWidth="1"/>
    <col min="15887" max="15887" width="12.42578125" style="2" customWidth="1"/>
    <col min="15888" max="15888" width="15.28515625" style="2" customWidth="1"/>
    <col min="15889" max="16127" width="9.140625" style="2"/>
    <col min="16128" max="16128" width="5.28515625" style="2" customWidth="1"/>
    <col min="16129" max="16129" width="37.28515625" style="2" bestFit="1" customWidth="1"/>
    <col min="16130" max="16130" width="15.28515625" style="2" customWidth="1"/>
    <col min="16131" max="16131" width="3.28515625" style="2" customWidth="1"/>
    <col min="16132" max="16134" width="15.28515625" style="2" customWidth="1"/>
    <col min="16135" max="16135" width="14" style="2" customWidth="1"/>
    <col min="16136" max="16136" width="14.28515625" style="2" customWidth="1"/>
    <col min="16137" max="16137" width="11.85546875" style="2" customWidth="1"/>
    <col min="16138" max="16138" width="14.42578125" style="2" customWidth="1"/>
    <col min="16139" max="16139" width="12.5703125" style="2" customWidth="1"/>
    <col min="16140" max="16142" width="15.28515625" style="2" customWidth="1"/>
    <col min="16143" max="16143" width="12.42578125" style="2" customWidth="1"/>
    <col min="16144" max="16144" width="15.28515625" style="2" customWidth="1"/>
    <col min="16145" max="16383" width="9.140625" style="2"/>
    <col min="16384" max="16384" width="9.140625" style="2" customWidth="1"/>
  </cols>
  <sheetData>
    <row r="1" spans="1:17" x14ac:dyDescent="0.25">
      <c r="A1" s="102" t="s">
        <v>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7" x14ac:dyDescent="0.25">
      <c r="A2" s="102" t="s">
        <v>142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7" x14ac:dyDescent="0.25">
      <c r="A3" s="102" t="s">
        <v>143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7" x14ac:dyDescent="0.25">
      <c r="A4" s="102" t="s">
        <v>144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6" spans="1:17" ht="33.75" x14ac:dyDescent="0.25">
      <c r="A6" s="3" t="s">
        <v>77</v>
      </c>
      <c r="B6" s="3" t="s">
        <v>78</v>
      </c>
      <c r="C6" s="3" t="s">
        <v>83</v>
      </c>
      <c r="D6" s="3"/>
      <c r="E6" s="3" t="s">
        <v>84</v>
      </c>
      <c r="F6" s="3" t="s">
        <v>85</v>
      </c>
      <c r="G6" s="3" t="s">
        <v>86</v>
      </c>
      <c r="H6" s="3" t="s">
        <v>87</v>
      </c>
      <c r="I6" s="3" t="s">
        <v>88</v>
      </c>
      <c r="J6" s="3" t="s">
        <v>89</v>
      </c>
      <c r="K6" s="3" t="s">
        <v>90</v>
      </c>
      <c r="L6" s="3" t="s">
        <v>91</v>
      </c>
      <c r="M6" s="3" t="s">
        <v>92</v>
      </c>
      <c r="N6" s="3" t="s">
        <v>93</v>
      </c>
      <c r="O6" s="3" t="s">
        <v>94</v>
      </c>
      <c r="P6" s="3" t="s">
        <v>95</v>
      </c>
    </row>
    <row r="7" spans="1:17" x14ac:dyDescent="0.25">
      <c r="A7" s="4"/>
      <c r="B7" s="5" t="s">
        <v>96</v>
      </c>
      <c r="C7" s="5" t="s">
        <v>97</v>
      </c>
      <c r="D7" s="5"/>
      <c r="E7" s="5" t="s">
        <v>98</v>
      </c>
      <c r="F7" s="5" t="s">
        <v>99</v>
      </c>
      <c r="G7" s="5" t="s">
        <v>100</v>
      </c>
      <c r="H7" s="5" t="s">
        <v>101</v>
      </c>
      <c r="I7" s="5" t="s">
        <v>102</v>
      </c>
      <c r="J7" s="5" t="s">
        <v>103</v>
      </c>
      <c r="K7" s="5" t="s">
        <v>104</v>
      </c>
      <c r="L7" s="5" t="s">
        <v>105</v>
      </c>
      <c r="M7" s="5" t="s">
        <v>106</v>
      </c>
      <c r="N7" s="5" t="s">
        <v>107</v>
      </c>
      <c r="O7" s="5" t="s">
        <v>108</v>
      </c>
      <c r="P7" s="5" t="s">
        <v>109</v>
      </c>
    </row>
    <row r="8" spans="1:17" x14ac:dyDescent="0.25">
      <c r="C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x14ac:dyDescent="0.2">
      <c r="A9" s="61">
        <v>1</v>
      </c>
      <c r="B9" s="62" t="s">
        <v>136</v>
      </c>
      <c r="C9" s="96">
        <f t="shared" ref="C9:C14" si="0">SUM(E9:P9)</f>
        <v>20569393551.043995</v>
      </c>
      <c r="D9" s="63"/>
      <c r="E9" s="63">
        <v>11289696775.032455</v>
      </c>
      <c r="F9" s="63">
        <v>2650510344.8068762</v>
      </c>
      <c r="G9" s="63">
        <v>2863547553.8150382</v>
      </c>
      <c r="H9" s="63">
        <v>1761645141.2856119</v>
      </c>
      <c r="I9" s="63">
        <v>1244962544.6769378</v>
      </c>
      <c r="J9" s="63">
        <v>4175586.8908619308</v>
      </c>
      <c r="K9" s="63">
        <v>106549458.59440789</v>
      </c>
      <c r="L9" s="63">
        <v>0</v>
      </c>
      <c r="M9" s="63">
        <v>571458891.63510418</v>
      </c>
      <c r="N9" s="63">
        <v>0</v>
      </c>
      <c r="O9" s="63">
        <v>69915368.679998547</v>
      </c>
      <c r="P9" s="63">
        <v>6931885.6267018262</v>
      </c>
      <c r="Q9" s="7"/>
    </row>
    <row r="10" spans="1:17" x14ac:dyDescent="0.2">
      <c r="A10" s="61">
        <f>+A9+1</f>
        <v>2</v>
      </c>
      <c r="B10" s="64" t="s">
        <v>119</v>
      </c>
      <c r="C10" s="97">
        <f t="shared" si="0"/>
        <v>1</v>
      </c>
      <c r="D10" s="65"/>
      <c r="E10" s="97">
        <f>(+E9/$C9)</f>
        <v>0.54885899999999999</v>
      </c>
      <c r="F10" s="97">
        <f t="shared" ref="F10:P10" si="1">(+F9/$C9)</f>
        <v>0.128857</v>
      </c>
      <c r="G10" s="97">
        <f t="shared" si="1"/>
        <v>0.13921399999999998</v>
      </c>
      <c r="H10" s="97">
        <f t="shared" si="1"/>
        <v>8.5643999999999998E-2</v>
      </c>
      <c r="I10" s="97">
        <f t="shared" si="1"/>
        <v>6.0525000000000002E-2</v>
      </c>
      <c r="J10" s="97">
        <f t="shared" si="1"/>
        <v>2.03E-4</v>
      </c>
      <c r="K10" s="97">
        <f t="shared" si="1"/>
        <v>5.1799999999999997E-3</v>
      </c>
      <c r="L10" s="97">
        <f t="shared" si="1"/>
        <v>0</v>
      </c>
      <c r="M10" s="97">
        <f t="shared" si="1"/>
        <v>2.7781999999999994E-2</v>
      </c>
      <c r="N10" s="97">
        <f t="shared" si="1"/>
        <v>0</v>
      </c>
      <c r="O10" s="97">
        <f t="shared" si="1"/>
        <v>3.3990000000000005E-3</v>
      </c>
      <c r="P10" s="97">
        <f t="shared" si="1"/>
        <v>3.3700000000000001E-4</v>
      </c>
    </row>
    <row r="11" spans="1:17" x14ac:dyDescent="0.2">
      <c r="A11" s="61">
        <f t="shared" ref="A11:A63" si="2">+A10+1</f>
        <v>3</v>
      </c>
      <c r="B11" s="66" t="s">
        <v>137</v>
      </c>
      <c r="C11" s="96">
        <f t="shared" si="0"/>
        <v>3532260.2881331849</v>
      </c>
      <c r="D11" s="63"/>
      <c r="E11" s="63">
        <v>2085925.9513142572</v>
      </c>
      <c r="F11" s="63">
        <v>442083.12923040637</v>
      </c>
      <c r="G11" s="63">
        <v>477625.68061538372</v>
      </c>
      <c r="H11" s="63">
        <v>269366.56769329851</v>
      </c>
      <c r="I11" s="63">
        <v>187475.93901391898</v>
      </c>
      <c r="J11" s="63">
        <v>401.31553606995664</v>
      </c>
      <c r="K11" s="63">
        <v>0</v>
      </c>
      <c r="L11" s="63">
        <v>0</v>
      </c>
      <c r="M11" s="63">
        <v>64687.506260655959</v>
      </c>
      <c r="N11" s="63">
        <v>0</v>
      </c>
      <c r="O11" s="63">
        <v>3735.6122611509822</v>
      </c>
      <c r="P11" s="63">
        <v>958.58620804307577</v>
      </c>
    </row>
    <row r="12" spans="1:17" x14ac:dyDescent="0.2">
      <c r="A12" s="61">
        <f t="shared" si="2"/>
        <v>4</v>
      </c>
      <c r="B12" s="67" t="s">
        <v>138</v>
      </c>
      <c r="C12" s="97">
        <f t="shared" si="0"/>
        <v>1</v>
      </c>
      <c r="D12" s="65"/>
      <c r="E12" s="97">
        <f>(+E11/$C11)</f>
        <v>0.59053574231832118</v>
      </c>
      <c r="F12" s="97">
        <f t="shared" ref="F12:P12" si="3">(+F11/$C11)</f>
        <v>0.12515587560622529</v>
      </c>
      <c r="G12" s="97">
        <f t="shared" si="3"/>
        <v>0.13521814409317243</v>
      </c>
      <c r="H12" s="97">
        <f t="shared" si="3"/>
        <v>7.6258980290396419E-2</v>
      </c>
      <c r="I12" s="97">
        <f t="shared" si="3"/>
        <v>5.3075346582966802E-2</v>
      </c>
      <c r="J12" s="97">
        <f t="shared" si="3"/>
        <v>1.1361437247934343E-4</v>
      </c>
      <c r="K12" s="97">
        <f t="shared" si="3"/>
        <v>0</v>
      </c>
      <c r="L12" s="97">
        <f t="shared" si="3"/>
        <v>0</v>
      </c>
      <c r="M12" s="97">
        <f t="shared" si="3"/>
        <v>1.8313346408240935E-2</v>
      </c>
      <c r="N12" s="97">
        <f t="shared" si="3"/>
        <v>0</v>
      </c>
      <c r="O12" s="97">
        <f t="shared" si="3"/>
        <v>1.0575699287226847E-3</v>
      </c>
      <c r="P12" s="97">
        <f t="shared" si="3"/>
        <v>2.713803994749472E-4</v>
      </c>
    </row>
    <row r="13" spans="1:17" x14ac:dyDescent="0.2">
      <c r="A13" s="61">
        <f t="shared" si="2"/>
        <v>5</v>
      </c>
      <c r="B13" s="66" t="s">
        <v>139</v>
      </c>
      <c r="C13" s="96">
        <f t="shared" si="0"/>
        <v>3532474.3049434912</v>
      </c>
      <c r="D13" s="63"/>
      <c r="E13" s="63">
        <v>2086045.382522709</v>
      </c>
      <c r="F13" s="63">
        <v>442111.68919237336</v>
      </c>
      <c r="G13" s="63">
        <v>477657.99057722604</v>
      </c>
      <c r="H13" s="63">
        <v>269383.53922299074</v>
      </c>
      <c r="I13" s="63">
        <v>187488.2773004591</v>
      </c>
      <c r="J13" s="63">
        <v>401.34137092455575</v>
      </c>
      <c r="K13" s="63">
        <v>0</v>
      </c>
      <c r="L13" s="63">
        <v>0</v>
      </c>
      <c r="M13" s="63">
        <v>64691.696510950045</v>
      </c>
      <c r="N13" s="63">
        <v>0</v>
      </c>
      <c r="O13" s="63">
        <v>3735.7457131588167</v>
      </c>
      <c r="P13" s="63">
        <v>958.64253269964752</v>
      </c>
    </row>
    <row r="14" spans="1:17" x14ac:dyDescent="0.2">
      <c r="A14" s="61">
        <f t="shared" si="2"/>
        <v>6</v>
      </c>
      <c r="B14" s="67" t="s">
        <v>120</v>
      </c>
      <c r="C14" s="97">
        <f t="shared" si="0"/>
        <v>1</v>
      </c>
      <c r="D14" s="65"/>
      <c r="E14" s="97">
        <f>(+E13/$C13)</f>
        <v>0.59053377390556261</v>
      </c>
      <c r="F14" s="97">
        <f t="shared" ref="F14:P14" si="4">(+F13/$C13)</f>
        <v>0.12515637794552784</v>
      </c>
      <c r="G14" s="97">
        <f t="shared" si="4"/>
        <v>0.13521909838346782</v>
      </c>
      <c r="H14" s="97">
        <f t="shared" si="4"/>
        <v>7.6259164531219448E-2</v>
      </c>
      <c r="I14" s="97">
        <f t="shared" si="4"/>
        <v>5.3075623802296371E-2</v>
      </c>
      <c r="J14" s="97">
        <f t="shared" si="4"/>
        <v>1.1361480262231545E-4</v>
      </c>
      <c r="K14" s="97">
        <f t="shared" si="4"/>
        <v>0</v>
      </c>
      <c r="L14" s="97">
        <f t="shared" si="4"/>
        <v>0</v>
      </c>
      <c r="M14" s="97">
        <f t="shared" si="4"/>
        <v>1.8313423092821312E-2</v>
      </c>
      <c r="N14" s="97">
        <f t="shared" si="4"/>
        <v>0</v>
      </c>
      <c r="O14" s="97">
        <f t="shared" si="4"/>
        <v>1.057543633914296E-3</v>
      </c>
      <c r="P14" s="97">
        <f t="shared" si="4"/>
        <v>2.713799025680338E-4</v>
      </c>
    </row>
    <row r="15" spans="1:17" x14ac:dyDescent="0.25">
      <c r="A15" s="61">
        <f t="shared" si="2"/>
        <v>7</v>
      </c>
      <c r="B15" s="98" t="s">
        <v>145</v>
      </c>
      <c r="C15" s="73">
        <v>0.19999999999999996</v>
      </c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</row>
    <row r="16" spans="1:17" x14ac:dyDescent="0.25">
      <c r="A16" s="61">
        <f t="shared" si="2"/>
        <v>8</v>
      </c>
      <c r="B16" s="98" t="s">
        <v>146</v>
      </c>
      <c r="C16" s="73">
        <v>0.8</v>
      </c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</row>
    <row r="17" spans="1:16" x14ac:dyDescent="0.25">
      <c r="A17" s="61">
        <f t="shared" si="2"/>
        <v>9</v>
      </c>
      <c r="B17" s="68" t="s">
        <v>121</v>
      </c>
      <c r="C17" s="97">
        <f>SUM(E17:P17)</f>
        <v>1.0000000000000002</v>
      </c>
      <c r="D17" s="65"/>
      <c r="E17" s="97">
        <f>(E9/$C$9*$C$15+E11/$C$11*$C$16)</f>
        <v>0.58220039385465694</v>
      </c>
      <c r="F17" s="97">
        <f t="shared" ref="F17:P17" si="5">(F9/$C$9*$C$15+F11/$C$11*$C$16)</f>
        <v>0.12589610048498023</v>
      </c>
      <c r="G17" s="97">
        <f t="shared" si="5"/>
        <v>0.13601731527453795</v>
      </c>
      <c r="H17" s="97">
        <f t="shared" si="5"/>
        <v>7.8135984232317129E-2</v>
      </c>
      <c r="I17" s="97">
        <f t="shared" si="5"/>
        <v>5.456527726637344E-2</v>
      </c>
      <c r="J17" s="97">
        <f t="shared" si="5"/>
        <v>1.3149149798347473E-4</v>
      </c>
      <c r="K17" s="97">
        <f t="shared" si="5"/>
        <v>1.0359999999999998E-3</v>
      </c>
      <c r="L17" s="97">
        <f t="shared" si="5"/>
        <v>0</v>
      </c>
      <c r="M17" s="97">
        <f t="shared" si="5"/>
        <v>2.0207077126592747E-2</v>
      </c>
      <c r="N17" s="97">
        <f t="shared" si="5"/>
        <v>0</v>
      </c>
      <c r="O17" s="97">
        <f t="shared" si="5"/>
        <v>1.5258559429781478E-3</v>
      </c>
      <c r="P17" s="97">
        <f t="shared" si="5"/>
        <v>2.8450431957995775E-4</v>
      </c>
    </row>
    <row r="18" spans="1:16" x14ac:dyDescent="0.25">
      <c r="A18" s="61">
        <f t="shared" si="2"/>
        <v>10</v>
      </c>
      <c r="C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</row>
    <row r="19" spans="1:16" x14ac:dyDescent="0.25">
      <c r="A19" s="61">
        <f t="shared" si="2"/>
        <v>11</v>
      </c>
      <c r="B19" s="69" t="s">
        <v>122</v>
      </c>
      <c r="C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</row>
    <row r="20" spans="1:16" x14ac:dyDescent="0.2">
      <c r="A20" s="61">
        <f t="shared" si="2"/>
        <v>12</v>
      </c>
      <c r="B20" s="70" t="s">
        <v>133</v>
      </c>
      <c r="C20" s="100">
        <v>405129846.784944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</row>
    <row r="21" spans="1:16" x14ac:dyDescent="0.2">
      <c r="A21" s="61">
        <f t="shared" si="2"/>
        <v>13</v>
      </c>
      <c r="B21" s="70" t="s">
        <v>134</v>
      </c>
      <c r="C21" s="100">
        <v>5630584.3800574383</v>
      </c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</row>
    <row r="22" spans="1:16" x14ac:dyDescent="0.2">
      <c r="A22" s="61">
        <f t="shared" si="2"/>
        <v>14</v>
      </c>
      <c r="B22" s="70" t="s">
        <v>135</v>
      </c>
      <c r="C22" s="100">
        <v>934820030.09462404</v>
      </c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</row>
    <row r="23" spans="1:16" x14ac:dyDescent="0.25">
      <c r="A23" s="61">
        <f t="shared" si="2"/>
        <v>15</v>
      </c>
      <c r="B23" s="71" t="s">
        <v>123</v>
      </c>
      <c r="C23" s="99">
        <f>SUM(C20:C22)</f>
        <v>1345580461.2596254</v>
      </c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</row>
    <row r="24" spans="1:16" x14ac:dyDescent="0.25">
      <c r="A24" s="61">
        <f t="shared" si="2"/>
        <v>16</v>
      </c>
      <c r="B24" s="71"/>
      <c r="C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</row>
    <row r="25" spans="1:16" x14ac:dyDescent="0.25">
      <c r="A25" s="61">
        <f t="shared" si="2"/>
        <v>17</v>
      </c>
      <c r="B25" s="68" t="s">
        <v>124</v>
      </c>
      <c r="C25" s="99">
        <f>SUM(E25:P25)</f>
        <v>405129846.784944</v>
      </c>
      <c r="E25" s="99">
        <f>+$C$20*E17</f>
        <v>235866756.36047122</v>
      </c>
      <c r="F25" s="99">
        <f t="shared" ref="F25:P25" si="6">+$C$20*F17</f>
        <v>51004267.900301956</v>
      </c>
      <c r="G25" s="99">
        <f t="shared" si="6"/>
        <v>55104674.097272985</v>
      </c>
      <c r="H25" s="99">
        <f t="shared" si="6"/>
        <v>31655219.320429437</v>
      </c>
      <c r="I25" s="99">
        <f t="shared" si="6"/>
        <v>22106022.418703858</v>
      </c>
      <c r="J25" s="99">
        <f t="shared" si="6"/>
        <v>53271.130431567894</v>
      </c>
      <c r="K25" s="99">
        <f t="shared" si="6"/>
        <v>419714.52126920188</v>
      </c>
      <c r="L25" s="99">
        <f t="shared" si="6"/>
        <v>0</v>
      </c>
      <c r="M25" s="99">
        <f t="shared" si="6"/>
        <v>8186490.0602680659</v>
      </c>
      <c r="N25" s="99">
        <f t="shared" si="6"/>
        <v>0</v>
      </c>
      <c r="O25" s="99">
        <f t="shared" si="6"/>
        <v>618169.78439463326</v>
      </c>
      <c r="P25" s="99">
        <f t="shared" si="6"/>
        <v>115261.19140108302</v>
      </c>
    </row>
    <row r="26" spans="1:16" x14ac:dyDescent="0.25">
      <c r="A26" s="61">
        <f t="shared" si="2"/>
        <v>18</v>
      </c>
      <c r="B26" s="68" t="s">
        <v>125</v>
      </c>
      <c r="C26" s="99">
        <f t="shared" ref="C26:C28" si="7">SUM(E26:P26)</f>
        <v>5630584.3800574373</v>
      </c>
      <c r="E26" s="99">
        <f>+$C$21*E14</f>
        <v>3325050.2432490317</v>
      </c>
      <c r="F26" s="99">
        <f t="shared" ref="F26:P26" si="8">+$C$21*F14</f>
        <v>704703.54672465427</v>
      </c>
      <c r="G26" s="99">
        <f t="shared" si="8"/>
        <v>761362.5432434039</v>
      </c>
      <c r="H26" s="99">
        <f t="shared" si="8"/>
        <v>429383.66064571444</v>
      </c>
      <c r="I26" s="99">
        <f t="shared" si="8"/>
        <v>298846.77834301471</v>
      </c>
      <c r="J26" s="99">
        <f t="shared" si="8"/>
        <v>639.71773298851826</v>
      </c>
      <c r="K26" s="99">
        <f t="shared" si="8"/>
        <v>0</v>
      </c>
      <c r="L26" s="99">
        <f t="shared" si="8"/>
        <v>0</v>
      </c>
      <c r="M26" s="99">
        <f t="shared" si="8"/>
        <v>103115.27401182285</v>
      </c>
      <c r="N26" s="99">
        <f t="shared" si="8"/>
        <v>0</v>
      </c>
      <c r="O26" s="99">
        <f t="shared" si="8"/>
        <v>5954.5886663470174</v>
      </c>
      <c r="P26" s="99">
        <f t="shared" si="8"/>
        <v>1528.0274404610807</v>
      </c>
    </row>
    <row r="27" spans="1:16" x14ac:dyDescent="0.25">
      <c r="A27" s="61">
        <f t="shared" si="2"/>
        <v>19</v>
      </c>
      <c r="B27" s="68" t="s">
        <v>126</v>
      </c>
      <c r="C27" s="99">
        <f t="shared" ref="C27" si="9">SUM(C25:C26)</f>
        <v>410760431.16500145</v>
      </c>
      <c r="D27" s="99"/>
      <c r="E27" s="99">
        <f>SUM(E25:E26)</f>
        <v>239191806.60372025</v>
      </c>
      <c r="F27" s="99">
        <f t="shared" ref="F27:P27" si="10">SUM(F25:F26)</f>
        <v>51708971.44702661</v>
      </c>
      <c r="G27" s="99">
        <f t="shared" si="10"/>
        <v>55866036.640516385</v>
      </c>
      <c r="H27" s="99">
        <f t="shared" si="10"/>
        <v>32084602.981075153</v>
      </c>
      <c r="I27" s="99">
        <f t="shared" si="10"/>
        <v>22404869.197046872</v>
      </c>
      <c r="J27" s="99">
        <f t="shared" si="10"/>
        <v>53910.84816455641</v>
      </c>
      <c r="K27" s="99">
        <f t="shared" si="10"/>
        <v>419714.52126920188</v>
      </c>
      <c r="L27" s="99">
        <f t="shared" si="10"/>
        <v>0</v>
      </c>
      <c r="M27" s="99">
        <f t="shared" si="10"/>
        <v>8289605.3342798883</v>
      </c>
      <c r="N27" s="99">
        <f t="shared" si="10"/>
        <v>0</v>
      </c>
      <c r="O27" s="99">
        <f t="shared" si="10"/>
        <v>624124.37306098023</v>
      </c>
      <c r="P27" s="99">
        <f t="shared" si="10"/>
        <v>116789.21884154411</v>
      </c>
    </row>
    <row r="28" spans="1:16" x14ac:dyDescent="0.25">
      <c r="A28" s="61">
        <f t="shared" si="2"/>
        <v>20</v>
      </c>
      <c r="B28" s="68" t="s">
        <v>127</v>
      </c>
      <c r="C28" s="99">
        <f t="shared" si="7"/>
        <v>934820030.09462392</v>
      </c>
      <c r="E28" s="99">
        <f>+$C$22*E10</f>
        <v>513084386.89770526</v>
      </c>
      <c r="F28" s="99">
        <f t="shared" ref="F28:P28" si="11">+$C$22*F10</f>
        <v>120458104.61790296</v>
      </c>
      <c r="G28" s="99">
        <f t="shared" si="11"/>
        <v>130140035.66959298</v>
      </c>
      <c r="H28" s="99">
        <f t="shared" si="11"/>
        <v>80061726.657423973</v>
      </c>
      <c r="I28" s="99">
        <f t="shared" si="11"/>
        <v>56579982.321477123</v>
      </c>
      <c r="J28" s="99">
        <f t="shared" si="11"/>
        <v>189768.46610920868</v>
      </c>
      <c r="K28" s="99">
        <f t="shared" si="11"/>
        <v>4842367.7558901524</v>
      </c>
      <c r="L28" s="99">
        <f t="shared" si="11"/>
        <v>0</v>
      </c>
      <c r="M28" s="99">
        <f t="shared" si="11"/>
        <v>25971170.076088838</v>
      </c>
      <c r="N28" s="99">
        <f t="shared" si="11"/>
        <v>0</v>
      </c>
      <c r="O28" s="99">
        <f t="shared" si="11"/>
        <v>3177453.2822916275</v>
      </c>
      <c r="P28" s="99">
        <f t="shared" si="11"/>
        <v>315034.35014188831</v>
      </c>
    </row>
    <row r="29" spans="1:16" x14ac:dyDescent="0.25">
      <c r="A29" s="61">
        <f t="shared" si="2"/>
        <v>21</v>
      </c>
      <c r="B29" s="68" t="s">
        <v>128</v>
      </c>
      <c r="C29" s="99">
        <f>SUM(C27:C28)</f>
        <v>1345580461.2596254</v>
      </c>
      <c r="D29" s="99"/>
      <c r="E29" s="99">
        <f t="shared" ref="E29:P29" si="12">SUM(E27:E28)</f>
        <v>752276193.5014255</v>
      </c>
      <c r="F29" s="99">
        <f t="shared" si="12"/>
        <v>172167076.06492957</v>
      </c>
      <c r="G29" s="99">
        <f t="shared" si="12"/>
        <v>186006072.31010938</v>
      </c>
      <c r="H29" s="99">
        <f t="shared" si="12"/>
        <v>112146329.63849913</v>
      </c>
      <c r="I29" s="99">
        <f t="shared" si="12"/>
        <v>78984851.518523991</v>
      </c>
      <c r="J29" s="99">
        <f t="shared" si="12"/>
        <v>243679.31427376508</v>
      </c>
      <c r="K29" s="99">
        <f t="shared" si="12"/>
        <v>5262082.2771593546</v>
      </c>
      <c r="L29" s="99">
        <f t="shared" si="12"/>
        <v>0</v>
      </c>
      <c r="M29" s="99">
        <f t="shared" si="12"/>
        <v>34260775.410368726</v>
      </c>
      <c r="N29" s="99">
        <f t="shared" si="12"/>
        <v>0</v>
      </c>
      <c r="O29" s="99">
        <f t="shared" si="12"/>
        <v>3801577.6553526078</v>
      </c>
      <c r="P29" s="99">
        <f t="shared" si="12"/>
        <v>431823.56898343243</v>
      </c>
    </row>
    <row r="30" spans="1:16" x14ac:dyDescent="0.25">
      <c r="A30" s="61">
        <f t="shared" si="2"/>
        <v>22</v>
      </c>
      <c r="B30" s="72"/>
      <c r="C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</row>
    <row r="31" spans="1:16" x14ac:dyDescent="0.25">
      <c r="A31" s="61">
        <f t="shared" si="2"/>
        <v>23</v>
      </c>
      <c r="B31" s="71" t="s">
        <v>129</v>
      </c>
      <c r="C31" s="73">
        <f>+C25*$C$16/C29+C26/C29</f>
        <v>0.24504997753857205</v>
      </c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16" x14ac:dyDescent="0.25">
      <c r="A32" s="61">
        <f t="shared" si="2"/>
        <v>24</v>
      </c>
      <c r="B32" s="71" t="s">
        <v>130</v>
      </c>
      <c r="C32" s="73">
        <f t="shared" ref="C32" si="13">+C25*$C$15/C29+C28/C29</f>
        <v>0.75495002246142784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1:16" x14ac:dyDescent="0.25">
      <c r="A33" s="61">
        <f t="shared" si="2"/>
        <v>25</v>
      </c>
    </row>
    <row r="34" spans="1:16" x14ac:dyDescent="0.25">
      <c r="A34" s="61">
        <f t="shared" si="2"/>
        <v>26</v>
      </c>
      <c r="B34" s="74" t="s">
        <v>131</v>
      </c>
      <c r="C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</row>
    <row r="35" spans="1:16" x14ac:dyDescent="0.2">
      <c r="A35" s="61">
        <f t="shared" si="2"/>
        <v>27</v>
      </c>
      <c r="B35" s="70" t="s">
        <v>133</v>
      </c>
      <c r="C35" s="100">
        <v>401718933.89410663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</row>
    <row r="36" spans="1:16" x14ac:dyDescent="0.2">
      <c r="A36" s="61">
        <f t="shared" si="2"/>
        <v>28</v>
      </c>
      <c r="B36" s="70" t="s">
        <v>134</v>
      </c>
      <c r="C36" s="100">
        <v>5135493.3772272244</v>
      </c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</row>
    <row r="37" spans="1:16" x14ac:dyDescent="0.2">
      <c r="A37" s="61">
        <f t="shared" si="2"/>
        <v>29</v>
      </c>
      <c r="B37" s="70" t="s">
        <v>135</v>
      </c>
      <c r="C37" s="100">
        <v>945994495.84241617</v>
      </c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</row>
    <row r="38" spans="1:16" x14ac:dyDescent="0.25">
      <c r="A38" s="61">
        <f t="shared" si="2"/>
        <v>30</v>
      </c>
      <c r="B38" s="71" t="s">
        <v>123</v>
      </c>
      <c r="C38" s="99">
        <f>SUM(C35:C37)</f>
        <v>1352848923.11375</v>
      </c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</row>
    <row r="39" spans="1:16" x14ac:dyDescent="0.25">
      <c r="A39" s="61">
        <f t="shared" si="2"/>
        <v>31</v>
      </c>
      <c r="B39" s="71"/>
      <c r="C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</row>
    <row r="40" spans="1:16" x14ac:dyDescent="0.25">
      <c r="A40" s="61">
        <f t="shared" si="2"/>
        <v>32</v>
      </c>
      <c r="B40" s="68" t="s">
        <v>124</v>
      </c>
      <c r="C40" s="99">
        <f>SUM(E40:P40)</f>
        <v>401718933.89410663</v>
      </c>
      <c r="E40" s="99">
        <f>+$C$35*E17</f>
        <v>233880921.53202176</v>
      </c>
      <c r="F40" s="99">
        <f t="shared" ref="F40:P40" si="14">+$C$35*F17</f>
        <v>50574847.268251583</v>
      </c>
      <c r="G40" s="99">
        <f t="shared" si="14"/>
        <v>54640730.88322597</v>
      </c>
      <c r="H40" s="99">
        <f t="shared" si="14"/>
        <v>31388704.284573164</v>
      </c>
      <c r="I40" s="99">
        <f t="shared" si="14"/>
        <v>21919905.011083871</v>
      </c>
      <c r="J40" s="99">
        <f t="shared" si="14"/>
        <v>52822.624386060539</v>
      </c>
      <c r="K40" s="99">
        <f t="shared" si="14"/>
        <v>416180.81551429437</v>
      </c>
      <c r="L40" s="99">
        <f t="shared" si="14"/>
        <v>0</v>
      </c>
      <c r="M40" s="99">
        <f t="shared" si="14"/>
        <v>8117565.4804108255</v>
      </c>
      <c r="N40" s="99">
        <f t="shared" si="14"/>
        <v>0</v>
      </c>
      <c r="O40" s="99">
        <f t="shared" si="14"/>
        <v>612965.22268916829</v>
      </c>
      <c r="P40" s="99">
        <f t="shared" si="14"/>
        <v>114290.77194992884</v>
      </c>
    </row>
    <row r="41" spans="1:16" x14ac:dyDescent="0.25">
      <c r="A41" s="61">
        <f t="shared" si="2"/>
        <v>33</v>
      </c>
      <c r="B41" s="68" t="s">
        <v>125</v>
      </c>
      <c r="C41" s="99">
        <f t="shared" ref="C41" si="15">SUM(E41:P41)</f>
        <v>5135493.3772272253</v>
      </c>
      <c r="E41" s="99">
        <f>+$C$36*E14</f>
        <v>3032682.2849210161</v>
      </c>
      <c r="F41" s="99">
        <f t="shared" ref="F41:P41" si="16">+$C$36*F14</f>
        <v>642739.75005700567</v>
      </c>
      <c r="G41" s="99">
        <f t="shared" si="16"/>
        <v>694416.78422293544</v>
      </c>
      <c r="H41" s="99">
        <f t="shared" si="16"/>
        <v>391628.43440295872</v>
      </c>
      <c r="I41" s="99">
        <f t="shared" si="16"/>
        <v>272569.51452889666</v>
      </c>
      <c r="J41" s="99">
        <f t="shared" si="16"/>
        <v>583.46806642187926</v>
      </c>
      <c r="K41" s="99">
        <f t="shared" si="16"/>
        <v>0</v>
      </c>
      <c r="L41" s="99">
        <f t="shared" si="16"/>
        <v>0</v>
      </c>
      <c r="M41" s="99">
        <f t="shared" si="16"/>
        <v>94048.463007543964</v>
      </c>
      <c r="N41" s="99">
        <f t="shared" si="16"/>
        <v>0</v>
      </c>
      <c r="O41" s="99">
        <f t="shared" si="16"/>
        <v>5431.0083280956796</v>
      </c>
      <c r="P41" s="99">
        <f t="shared" si="16"/>
        <v>1393.669692350707</v>
      </c>
    </row>
    <row r="42" spans="1:16" x14ac:dyDescent="0.25">
      <c r="A42" s="61">
        <f t="shared" si="2"/>
        <v>34</v>
      </c>
      <c r="B42" s="68" t="s">
        <v>126</v>
      </c>
      <c r="C42" s="99">
        <f t="shared" ref="C42" si="17">SUM(C40:C41)</f>
        <v>406854427.27133387</v>
      </c>
      <c r="D42" s="99"/>
      <c r="E42" s="99">
        <f t="shared" ref="E42:P42" si="18">SUM(E40:E41)</f>
        <v>236913603.81694278</v>
      </c>
      <c r="F42" s="99">
        <f t="shared" si="18"/>
        <v>51217587.018308587</v>
      </c>
      <c r="G42" s="99">
        <f t="shared" si="18"/>
        <v>55335147.667448908</v>
      </c>
      <c r="H42" s="99">
        <f t="shared" si="18"/>
        <v>31780332.718976121</v>
      </c>
      <c r="I42" s="99">
        <f t="shared" si="18"/>
        <v>22192474.525612768</v>
      </c>
      <c r="J42" s="99">
        <f t="shared" si="18"/>
        <v>53406.092452482415</v>
      </c>
      <c r="K42" s="99">
        <f t="shared" si="18"/>
        <v>416180.81551429437</v>
      </c>
      <c r="L42" s="99">
        <f t="shared" si="18"/>
        <v>0</v>
      </c>
      <c r="M42" s="99">
        <f t="shared" si="18"/>
        <v>8211613.9434183696</v>
      </c>
      <c r="N42" s="99">
        <f t="shared" si="18"/>
        <v>0</v>
      </c>
      <c r="O42" s="99">
        <f t="shared" si="18"/>
        <v>618396.23101726396</v>
      </c>
      <c r="P42" s="99">
        <f t="shared" si="18"/>
        <v>115684.44164227955</v>
      </c>
    </row>
    <row r="43" spans="1:16" x14ac:dyDescent="0.25">
      <c r="A43" s="61">
        <f t="shared" si="2"/>
        <v>35</v>
      </c>
      <c r="B43" s="68" t="s">
        <v>127</v>
      </c>
      <c r="C43" s="99">
        <f t="shared" ref="C43" si="19">SUM(E43:P43)</f>
        <v>945994495.84241605</v>
      </c>
      <c r="E43" s="99">
        <f>+$C$37*E10</f>
        <v>519217592.99357265</v>
      </c>
      <c r="F43" s="99">
        <f t="shared" ref="F43:P43" si="20">+$C$37*F10</f>
        <v>121898012.75076622</v>
      </c>
      <c r="G43" s="99">
        <f t="shared" si="20"/>
        <v>131695677.7442061</v>
      </c>
      <c r="H43" s="99">
        <f t="shared" si="20"/>
        <v>81018752.601927891</v>
      </c>
      <c r="I43" s="99">
        <f t="shared" si="20"/>
        <v>57256316.86086224</v>
      </c>
      <c r="J43" s="99">
        <f t="shared" si="20"/>
        <v>192036.88265601048</v>
      </c>
      <c r="K43" s="99">
        <f t="shared" si="20"/>
        <v>4900251.4884637157</v>
      </c>
      <c r="L43" s="99">
        <f t="shared" si="20"/>
        <v>0</v>
      </c>
      <c r="M43" s="99">
        <f t="shared" si="20"/>
        <v>26281619.083494</v>
      </c>
      <c r="N43" s="99">
        <f t="shared" si="20"/>
        <v>0</v>
      </c>
      <c r="O43" s="99">
        <f t="shared" si="20"/>
        <v>3215435.2913683732</v>
      </c>
      <c r="P43" s="99">
        <f t="shared" si="20"/>
        <v>318800.14509889425</v>
      </c>
    </row>
    <row r="44" spans="1:16" x14ac:dyDescent="0.25">
      <c r="A44" s="61">
        <f t="shared" si="2"/>
        <v>36</v>
      </c>
      <c r="B44" s="68" t="s">
        <v>128</v>
      </c>
      <c r="C44" s="99">
        <f>SUM(C42:C43)</f>
        <v>1352848923.11375</v>
      </c>
      <c r="D44" s="99"/>
      <c r="E44" s="99">
        <f t="shared" ref="E44:P44" si="21">SUM(E42:E43)</f>
        <v>756131196.8105154</v>
      </c>
      <c r="F44" s="99">
        <f t="shared" si="21"/>
        <v>173115599.7690748</v>
      </c>
      <c r="G44" s="99">
        <f t="shared" si="21"/>
        <v>187030825.41165501</v>
      </c>
      <c r="H44" s="99">
        <f t="shared" si="21"/>
        <v>112799085.32090402</v>
      </c>
      <c r="I44" s="99">
        <f t="shared" si="21"/>
        <v>79448791.386475012</v>
      </c>
      <c r="J44" s="99">
        <f t="shared" si="21"/>
        <v>245442.97510849289</v>
      </c>
      <c r="K44" s="99">
        <f t="shared" si="21"/>
        <v>5316432.3039780101</v>
      </c>
      <c r="L44" s="99">
        <f t="shared" si="21"/>
        <v>0</v>
      </c>
      <c r="M44" s="99">
        <f t="shared" si="21"/>
        <v>34493233.026912369</v>
      </c>
      <c r="N44" s="99">
        <f t="shared" si="21"/>
        <v>0</v>
      </c>
      <c r="O44" s="99">
        <f t="shared" si="21"/>
        <v>3833831.5223856373</v>
      </c>
      <c r="P44" s="99">
        <f t="shared" si="21"/>
        <v>434484.58674117381</v>
      </c>
    </row>
    <row r="45" spans="1:16" x14ac:dyDescent="0.25">
      <c r="A45" s="61">
        <f t="shared" si="2"/>
        <v>37</v>
      </c>
      <c r="B45" s="72"/>
      <c r="C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</row>
    <row r="46" spans="1:16" x14ac:dyDescent="0.25">
      <c r="A46" s="61">
        <f t="shared" si="2"/>
        <v>38</v>
      </c>
      <c r="B46" s="2" t="s">
        <v>129</v>
      </c>
      <c r="C46" s="73">
        <f>+C40*$C$16/C44+C41/C44</f>
        <v>0.24135040869235252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1:16" x14ac:dyDescent="0.25">
      <c r="A47" s="61">
        <f t="shared" si="2"/>
        <v>39</v>
      </c>
      <c r="B47" s="2" t="s">
        <v>130</v>
      </c>
      <c r="C47" s="73">
        <f t="shared" ref="C47" si="22">+C40*$C$15/C44+C43/C44</f>
        <v>0.75864959130764742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1:16" x14ac:dyDescent="0.25">
      <c r="A48" s="61">
        <f t="shared" si="2"/>
        <v>40</v>
      </c>
    </row>
    <row r="49" spans="1:16" x14ac:dyDescent="0.25">
      <c r="A49" s="61">
        <f t="shared" si="2"/>
        <v>41</v>
      </c>
      <c r="B49" s="74" t="s">
        <v>132</v>
      </c>
      <c r="C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</row>
    <row r="50" spans="1:16" x14ac:dyDescent="0.2">
      <c r="A50" s="61">
        <f t="shared" si="2"/>
        <v>42</v>
      </c>
      <c r="B50" s="70" t="s">
        <v>133</v>
      </c>
      <c r="C50" s="100">
        <v>399695196.77262598</v>
      </c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</row>
    <row r="51" spans="1:16" x14ac:dyDescent="0.2">
      <c r="A51" s="61">
        <f t="shared" si="2"/>
        <v>43</v>
      </c>
      <c r="B51" s="70" t="s">
        <v>134</v>
      </c>
      <c r="C51" s="100">
        <v>4675373.1710689198</v>
      </c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</row>
    <row r="52" spans="1:16" x14ac:dyDescent="0.2">
      <c r="A52" s="61">
        <f t="shared" si="2"/>
        <v>44</v>
      </c>
      <c r="B52" s="70" t="s">
        <v>135</v>
      </c>
      <c r="C52" s="100">
        <v>878858625.66193521</v>
      </c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</row>
    <row r="53" spans="1:16" x14ac:dyDescent="0.25">
      <c r="A53" s="61">
        <f t="shared" si="2"/>
        <v>45</v>
      </c>
      <c r="B53" s="71" t="s">
        <v>123</v>
      </c>
      <c r="C53" s="99">
        <f>SUM(C50:C52)</f>
        <v>1283229195.6056302</v>
      </c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</row>
    <row r="54" spans="1:16" x14ac:dyDescent="0.25">
      <c r="A54" s="61">
        <f t="shared" si="2"/>
        <v>46</v>
      </c>
      <c r="B54" s="71"/>
      <c r="C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</row>
    <row r="55" spans="1:16" x14ac:dyDescent="0.25">
      <c r="A55" s="61">
        <f t="shared" si="2"/>
        <v>47</v>
      </c>
      <c r="B55" s="68" t="s">
        <v>124</v>
      </c>
      <c r="C55" s="99">
        <f>SUM(E55:P55)</f>
        <v>399695196.77262598</v>
      </c>
      <c r="E55" s="99">
        <f>+$C$50*E17</f>
        <v>232702700.98283744</v>
      </c>
      <c r="F55" s="99">
        <f t="shared" ref="F55:P55" si="23">+$C$50*F17</f>
        <v>50320066.656250469</v>
      </c>
      <c r="G55" s="99">
        <f t="shared" si="23"/>
        <v>54365467.593140751</v>
      </c>
      <c r="H55" s="99">
        <f t="shared" si="23"/>
        <v>31230577.592758797</v>
      </c>
      <c r="I55" s="99">
        <f t="shared" si="23"/>
        <v>21809479.233936027</v>
      </c>
      <c r="J55" s="99">
        <f t="shared" si="23"/>
        <v>52556.520160432287</v>
      </c>
      <c r="K55" s="99">
        <f t="shared" si="23"/>
        <v>414084.22385644045</v>
      </c>
      <c r="L55" s="99">
        <f t="shared" si="23"/>
        <v>0</v>
      </c>
      <c r="M55" s="99">
        <f t="shared" si="23"/>
        <v>8076671.6683131177</v>
      </c>
      <c r="N55" s="99">
        <f t="shared" si="23"/>
        <v>0</v>
      </c>
      <c r="O55" s="99">
        <f t="shared" si="23"/>
        <v>609877.29137533158</v>
      </c>
      <c r="P55" s="99">
        <f t="shared" si="23"/>
        <v>113715.00999717329</v>
      </c>
    </row>
    <row r="56" spans="1:16" x14ac:dyDescent="0.25">
      <c r="A56" s="61">
        <f t="shared" si="2"/>
        <v>48</v>
      </c>
      <c r="B56" s="68" t="s">
        <v>125</v>
      </c>
      <c r="C56" s="99">
        <f t="shared" ref="C56" si="24">SUM(E56:P56)</f>
        <v>4675373.1710689189</v>
      </c>
      <c r="E56" s="99">
        <f>+$C$51*E14</f>
        <v>2760965.763128147</v>
      </c>
      <c r="F56" s="99">
        <f t="shared" ref="F56:P56" si="25">+$C$51*F14</f>
        <v>585152.77163468266</v>
      </c>
      <c r="G56" s="99">
        <f t="shared" si="25"/>
        <v>632199.74479819415</v>
      </c>
      <c r="H56" s="99">
        <f t="shared" si="25"/>
        <v>356540.05189739395</v>
      </c>
      <c r="I56" s="99">
        <f t="shared" si="25"/>
        <v>248148.34756300342</v>
      </c>
      <c r="J56" s="99">
        <f t="shared" si="25"/>
        <v>531.19160001666444</v>
      </c>
      <c r="K56" s="99">
        <f t="shared" si="25"/>
        <v>0</v>
      </c>
      <c r="L56" s="99">
        <f t="shared" si="25"/>
        <v>0</v>
      </c>
      <c r="M56" s="99">
        <f t="shared" si="25"/>
        <v>85622.086998610757</v>
      </c>
      <c r="N56" s="99">
        <f t="shared" si="25"/>
        <v>0</v>
      </c>
      <c r="O56" s="99">
        <f t="shared" si="25"/>
        <v>4944.4111332376315</v>
      </c>
      <c r="P56" s="99">
        <f t="shared" si="25"/>
        <v>1268.8023156338827</v>
      </c>
    </row>
    <row r="57" spans="1:16" x14ac:dyDescent="0.25">
      <c r="A57" s="61">
        <f t="shared" si="2"/>
        <v>49</v>
      </c>
      <c r="B57" s="68" t="s">
        <v>126</v>
      </c>
      <c r="C57" s="99">
        <f t="shared" ref="C57" si="26">SUM(C55:C56)</f>
        <v>404370569.94369489</v>
      </c>
      <c r="D57" s="99"/>
      <c r="E57" s="99">
        <f>SUM(E55:E56)</f>
        <v>235463666.7459656</v>
      </c>
      <c r="F57" s="99">
        <f t="shared" ref="F57:P57" si="27">SUM(F55:F56)</f>
        <v>50905219.427885152</v>
      </c>
      <c r="G57" s="99">
        <f t="shared" si="27"/>
        <v>54997667.337938942</v>
      </c>
      <c r="H57" s="99">
        <f t="shared" si="27"/>
        <v>31587117.644656193</v>
      </c>
      <c r="I57" s="99">
        <f t="shared" si="27"/>
        <v>22057627.581499029</v>
      </c>
      <c r="J57" s="99">
        <f t="shared" si="27"/>
        <v>53087.711760448954</v>
      </c>
      <c r="K57" s="99">
        <f t="shared" si="27"/>
        <v>414084.22385644045</v>
      </c>
      <c r="L57" s="99">
        <f t="shared" si="27"/>
        <v>0</v>
      </c>
      <c r="M57" s="99">
        <f t="shared" si="27"/>
        <v>8162293.7553117285</v>
      </c>
      <c r="N57" s="99">
        <f t="shared" si="27"/>
        <v>0</v>
      </c>
      <c r="O57" s="99">
        <f t="shared" si="27"/>
        <v>614821.70250856923</v>
      </c>
      <c r="P57" s="99">
        <f t="shared" si="27"/>
        <v>114983.81231280717</v>
      </c>
    </row>
    <row r="58" spans="1:16" x14ac:dyDescent="0.25">
      <c r="A58" s="61">
        <f t="shared" si="2"/>
        <v>50</v>
      </c>
      <c r="B58" s="68" t="s">
        <v>127</v>
      </c>
      <c r="C58" s="99">
        <f t="shared" ref="C58" si="28">SUM(E58:P58)</f>
        <v>878858625.66193533</v>
      </c>
      <c r="E58" s="99">
        <f>+$C$52*E10</f>
        <v>482369466.42218411</v>
      </c>
      <c r="F58" s="99">
        <f t="shared" ref="F58:P58" si="29">+$C$52*F10</f>
        <v>113247085.92691998</v>
      </c>
      <c r="G58" s="99">
        <f t="shared" si="29"/>
        <v>122349424.71290062</v>
      </c>
      <c r="H58" s="99">
        <f t="shared" si="29"/>
        <v>75268968.136190772</v>
      </c>
      <c r="I58" s="99">
        <f t="shared" si="29"/>
        <v>53192918.31818863</v>
      </c>
      <c r="J58" s="99">
        <f t="shared" si="29"/>
        <v>178408.30100937284</v>
      </c>
      <c r="K58" s="99">
        <f t="shared" si="29"/>
        <v>4552487.6809288245</v>
      </c>
      <c r="L58" s="99">
        <f t="shared" si="29"/>
        <v>0</v>
      </c>
      <c r="M58" s="99">
        <f t="shared" si="29"/>
        <v>24416450.33813988</v>
      </c>
      <c r="N58" s="99">
        <f t="shared" si="29"/>
        <v>0</v>
      </c>
      <c r="O58" s="99">
        <f t="shared" si="29"/>
        <v>2987240.4686249183</v>
      </c>
      <c r="P58" s="99">
        <f t="shared" si="29"/>
        <v>296175.35684807214</v>
      </c>
    </row>
    <row r="59" spans="1:16" x14ac:dyDescent="0.25">
      <c r="A59" s="61">
        <f t="shared" si="2"/>
        <v>51</v>
      </c>
      <c r="B59" s="68" t="s">
        <v>128</v>
      </c>
      <c r="C59" s="99">
        <f>SUM(C57:C58)</f>
        <v>1283229195.6056302</v>
      </c>
      <c r="D59" s="99"/>
      <c r="E59" s="99">
        <f t="shared" ref="E59:P59" si="30">SUM(E57:E58)</f>
        <v>717833133.16814971</v>
      </c>
      <c r="F59" s="99">
        <f t="shared" si="30"/>
        <v>164152305.35480514</v>
      </c>
      <c r="G59" s="99">
        <f t="shared" si="30"/>
        <v>177347092.05083957</v>
      </c>
      <c r="H59" s="99">
        <f t="shared" si="30"/>
        <v>106856085.78084697</v>
      </c>
      <c r="I59" s="99">
        <f t="shared" si="30"/>
        <v>75250545.899687663</v>
      </c>
      <c r="J59" s="99">
        <f t="shared" si="30"/>
        <v>231496.0127698218</v>
      </c>
      <c r="K59" s="99">
        <f t="shared" si="30"/>
        <v>4966571.9047852652</v>
      </c>
      <c r="L59" s="99">
        <f t="shared" si="30"/>
        <v>0</v>
      </c>
      <c r="M59" s="99">
        <f t="shared" si="30"/>
        <v>32578744.093451608</v>
      </c>
      <c r="N59" s="99">
        <f t="shared" si="30"/>
        <v>0</v>
      </c>
      <c r="O59" s="99">
        <f t="shared" si="30"/>
        <v>3602062.1711334875</v>
      </c>
      <c r="P59" s="99">
        <f t="shared" si="30"/>
        <v>411159.16916087933</v>
      </c>
    </row>
    <row r="60" spans="1:16" x14ac:dyDescent="0.25">
      <c r="A60" s="61">
        <f t="shared" si="2"/>
        <v>52</v>
      </c>
      <c r="B60" s="72"/>
      <c r="C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</row>
    <row r="61" spans="1:16" x14ac:dyDescent="0.25">
      <c r="A61" s="61">
        <f t="shared" si="2"/>
        <v>53</v>
      </c>
      <c r="B61" s="2" t="s">
        <v>129</v>
      </c>
      <c r="C61" s="73">
        <f>+C55*$C$16/C59+C56/C59</f>
        <v>0.25282430582172943</v>
      </c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1:16" x14ac:dyDescent="0.25">
      <c r="A62" s="61">
        <f t="shared" si="2"/>
        <v>54</v>
      </c>
      <c r="B62" s="2" t="s">
        <v>130</v>
      </c>
      <c r="C62" s="73">
        <f t="shared" ref="C62" si="31">+C55*$C$15/C59+C58/C59</f>
        <v>0.74717569417827057</v>
      </c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1:16" x14ac:dyDescent="0.25">
      <c r="A63" s="61">
        <f t="shared" si="2"/>
        <v>55</v>
      </c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54" pageOrder="overThenDown" orientation="landscape" blackAndWhite="1" r:id="rId1"/>
  <headerFooter alignWithMargins="0">
    <oddFooter>&amp;L&amp;A&amp;RExh. JAP-5
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XFD1048576"/>
    </sheetView>
  </sheetViews>
  <sheetFormatPr defaultRowHeight="15" x14ac:dyDescent="0.25"/>
  <cols>
    <col min="1" max="16384" width="9.140625" style="95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8"/>
  <sheetViews>
    <sheetView topLeftCell="A19" zoomScaleNormal="100" workbookViewId="0">
      <selection activeCell="F52" sqref="F52"/>
    </sheetView>
  </sheetViews>
  <sheetFormatPr defaultRowHeight="11.25" x14ac:dyDescent="0.2"/>
  <cols>
    <col min="1" max="1" width="4.28515625" style="8" bestFit="1" customWidth="1"/>
    <col min="2" max="2" width="32.85546875" style="8" bestFit="1" customWidth="1"/>
    <col min="3" max="3" width="14" style="8" bestFit="1" customWidth="1"/>
    <col min="4" max="4" width="11.28515625" style="8" bestFit="1" customWidth="1"/>
    <col min="5" max="5" width="8.28515625" style="8" bestFit="1" customWidth="1"/>
    <col min="6" max="7" width="11.5703125" style="8" bestFit="1" customWidth="1"/>
    <col min="8" max="8" width="5.28515625" style="8" bestFit="1" customWidth="1"/>
    <col min="9" max="9" width="11.5703125" style="8" bestFit="1" customWidth="1"/>
    <col min="10" max="10" width="13.85546875" style="8" bestFit="1" customWidth="1"/>
    <col min="11" max="11" width="14.42578125" style="8" bestFit="1" customWidth="1"/>
    <col min="12" max="12" width="9.140625" style="8"/>
    <col min="13" max="13" width="5.28515625" style="8" bestFit="1" customWidth="1"/>
    <col min="14" max="16384" width="9.140625" style="8"/>
  </cols>
  <sheetData>
    <row r="1" spans="1:11" x14ac:dyDescent="0.2">
      <c r="A1" s="85" t="s">
        <v>0</v>
      </c>
      <c r="B1" s="86"/>
      <c r="C1" s="86"/>
      <c r="D1" s="86"/>
      <c r="E1" s="86"/>
      <c r="F1" s="86"/>
      <c r="G1" s="86"/>
    </row>
    <row r="2" spans="1:11" x14ac:dyDescent="0.2">
      <c r="A2" s="85" t="s">
        <v>1</v>
      </c>
      <c r="B2" s="86"/>
      <c r="C2" s="86"/>
      <c r="D2" s="86"/>
      <c r="E2" s="86"/>
      <c r="F2" s="86"/>
      <c r="G2" s="86"/>
    </row>
    <row r="4" spans="1:11" x14ac:dyDescent="0.2">
      <c r="A4" s="1"/>
      <c r="I4" s="103" t="s">
        <v>58</v>
      </c>
      <c r="J4" s="103"/>
    </row>
    <row r="5" spans="1:11" x14ac:dyDescent="0.2">
      <c r="A5" s="1" t="s">
        <v>2</v>
      </c>
      <c r="C5" s="87" t="s">
        <v>68</v>
      </c>
      <c r="I5" s="88" t="s">
        <v>57</v>
      </c>
      <c r="J5" s="88" t="s">
        <v>59</v>
      </c>
    </row>
    <row r="6" spans="1:11" x14ac:dyDescent="0.2">
      <c r="A6" s="89">
        <v>3</v>
      </c>
      <c r="B6" s="8" t="s">
        <v>3</v>
      </c>
      <c r="C6" s="9">
        <v>123548301.87260658</v>
      </c>
      <c r="I6" s="90">
        <f>+'2022 GRC PCA Costs'!C16</f>
        <v>0.8</v>
      </c>
      <c r="J6" s="90">
        <f>+'2022 GRC PCA Costs'!C15</f>
        <v>0.19999999999999996</v>
      </c>
      <c r="K6" s="8" t="s">
        <v>117</v>
      </c>
    </row>
    <row r="7" spans="1:11" x14ac:dyDescent="0.2">
      <c r="A7" s="89">
        <v>4</v>
      </c>
      <c r="B7" s="8" t="s">
        <v>4</v>
      </c>
      <c r="C7" s="9">
        <v>70678010.089287356</v>
      </c>
      <c r="I7" s="90">
        <v>1</v>
      </c>
      <c r="J7" s="90"/>
      <c r="K7" s="8" t="s">
        <v>118</v>
      </c>
    </row>
    <row r="8" spans="1:11" x14ac:dyDescent="0.2">
      <c r="A8" s="89">
        <v>5</v>
      </c>
      <c r="B8" s="8" t="s">
        <v>5</v>
      </c>
      <c r="C8" s="9">
        <v>1371879239.6496124</v>
      </c>
      <c r="I8" s="90"/>
      <c r="J8" s="90">
        <v>1</v>
      </c>
      <c r="K8" s="8" t="s">
        <v>8</v>
      </c>
    </row>
    <row r="9" spans="1:11" x14ac:dyDescent="0.2">
      <c r="A9" s="89">
        <f>+A8+1</f>
        <v>6</v>
      </c>
      <c r="C9" s="10">
        <f>SUM(C6:C8)</f>
        <v>1566105551.6115065</v>
      </c>
    </row>
    <row r="10" spans="1:11" x14ac:dyDescent="0.2">
      <c r="A10" s="89">
        <f>+A9+1</f>
        <v>7</v>
      </c>
      <c r="B10" s="11" t="s">
        <v>6</v>
      </c>
      <c r="C10" s="12">
        <v>6.8599999999999994E-2</v>
      </c>
      <c r="D10" s="13"/>
      <c r="E10" s="13"/>
      <c r="F10" s="14" t="s">
        <v>7</v>
      </c>
      <c r="G10" s="14" t="s">
        <v>8</v>
      </c>
    </row>
    <row r="11" spans="1:11" x14ac:dyDescent="0.2">
      <c r="A11" s="89">
        <f>+A10+1</f>
        <v>8</v>
      </c>
      <c r="B11" s="11"/>
      <c r="C11" s="12"/>
      <c r="D11" s="14" t="s">
        <v>9</v>
      </c>
      <c r="E11" s="14"/>
      <c r="F11" s="14" t="s">
        <v>10</v>
      </c>
      <c r="G11" s="14" t="s">
        <v>10</v>
      </c>
      <c r="I11" s="103" t="s">
        <v>58</v>
      </c>
      <c r="J11" s="103"/>
    </row>
    <row r="12" spans="1:11" x14ac:dyDescent="0.2">
      <c r="A12" s="89">
        <f>+A11+1</f>
        <v>9</v>
      </c>
      <c r="B12" s="15"/>
      <c r="C12" s="12"/>
      <c r="D12" s="56" t="s">
        <v>11</v>
      </c>
      <c r="E12" s="56"/>
      <c r="F12" s="16" t="s">
        <v>12</v>
      </c>
      <c r="G12" s="16" t="s">
        <v>13</v>
      </c>
      <c r="I12" s="91" t="s">
        <v>57</v>
      </c>
      <c r="J12" s="91" t="s">
        <v>59</v>
      </c>
    </row>
    <row r="13" spans="1:11" x14ac:dyDescent="0.2">
      <c r="A13" s="89" t="s">
        <v>14</v>
      </c>
      <c r="B13" s="11"/>
      <c r="C13" s="14" t="s">
        <v>15</v>
      </c>
      <c r="D13" s="17" t="s">
        <v>16</v>
      </c>
      <c r="E13" s="17" t="s">
        <v>17</v>
      </c>
      <c r="F13" s="17" t="s">
        <v>18</v>
      </c>
      <c r="G13" s="17" t="s">
        <v>19</v>
      </c>
    </row>
    <row r="14" spans="1:11" x14ac:dyDescent="0.2">
      <c r="A14" s="89">
        <v>10</v>
      </c>
      <c r="B14" s="11" t="s">
        <v>71</v>
      </c>
      <c r="C14" s="18">
        <v>10728371.529697228</v>
      </c>
      <c r="D14" s="19">
        <f t="shared" ref="D14:D22" si="0">ROUND(C14/C$39,3)</f>
        <v>0.54500000000000004</v>
      </c>
      <c r="E14" s="20" t="s">
        <v>20</v>
      </c>
      <c r="F14" s="18">
        <f>+C14</f>
        <v>10728371.529697228</v>
      </c>
      <c r="G14" s="18"/>
      <c r="I14" s="9">
        <f>+C14*$I$6</f>
        <v>8582697.223757783</v>
      </c>
      <c r="J14" s="9">
        <f>+C14*$J$6</f>
        <v>2145674.3059394453</v>
      </c>
      <c r="K14" s="93"/>
    </row>
    <row r="15" spans="1:11" x14ac:dyDescent="0.2">
      <c r="A15" s="89" t="s">
        <v>21</v>
      </c>
      <c r="B15" s="11" t="s">
        <v>22</v>
      </c>
      <c r="C15" s="18">
        <v>4094424.0000000005</v>
      </c>
      <c r="D15" s="19">
        <f t="shared" si="0"/>
        <v>0.20799999999999999</v>
      </c>
      <c r="E15" s="20" t="s">
        <v>23</v>
      </c>
      <c r="F15" s="21"/>
      <c r="G15" s="21">
        <f>+C15</f>
        <v>4094424.0000000005</v>
      </c>
      <c r="I15" s="9"/>
      <c r="J15" s="9">
        <f>+C15</f>
        <v>4094424.0000000005</v>
      </c>
      <c r="K15" s="93"/>
    </row>
    <row r="16" spans="1:11" x14ac:dyDescent="0.2">
      <c r="A16" s="89">
        <v>11</v>
      </c>
      <c r="B16" s="22" t="s">
        <v>72</v>
      </c>
      <c r="C16" s="18">
        <v>6137356.3191457121</v>
      </c>
      <c r="D16" s="19">
        <f t="shared" si="0"/>
        <v>0.312</v>
      </c>
      <c r="E16" s="20" t="s">
        <v>20</v>
      </c>
      <c r="F16" s="21">
        <f>+C16</f>
        <v>6137356.3191457121</v>
      </c>
      <c r="G16" s="21"/>
      <c r="I16" s="9">
        <f>+C16*$I$7</f>
        <v>6137356.3191457121</v>
      </c>
      <c r="J16" s="9">
        <f>+C16*$J$7</f>
        <v>0</v>
      </c>
      <c r="K16" s="93"/>
    </row>
    <row r="17" spans="1:11" x14ac:dyDescent="0.2">
      <c r="A17" s="89">
        <v>12</v>
      </c>
      <c r="B17" s="22" t="s">
        <v>73</v>
      </c>
      <c r="C17" s="18">
        <v>119127741.56957392</v>
      </c>
      <c r="D17" s="19">
        <f t="shared" si="0"/>
        <v>6.056</v>
      </c>
      <c r="E17" s="20" t="s">
        <v>20</v>
      </c>
      <c r="F17" s="21">
        <f>+C17</f>
        <v>119127741.56957392</v>
      </c>
      <c r="G17" s="21"/>
      <c r="I17" s="9">
        <f>+C17*$I$6</f>
        <v>95302193.255659148</v>
      </c>
      <c r="J17" s="9">
        <f>+C17*$J$6</f>
        <v>23825548.31391478</v>
      </c>
      <c r="K17" s="93"/>
    </row>
    <row r="18" spans="1:11" x14ac:dyDescent="0.2">
      <c r="A18" s="89">
        <v>13</v>
      </c>
      <c r="B18" s="22" t="s">
        <v>24</v>
      </c>
      <c r="C18" s="18">
        <v>47133028.890000001</v>
      </c>
      <c r="D18" s="19">
        <f t="shared" si="0"/>
        <v>2.3959999999999999</v>
      </c>
      <c r="E18" s="20" t="s">
        <v>23</v>
      </c>
      <c r="F18" s="21"/>
      <c r="G18" s="21">
        <f>+C18</f>
        <v>47133028.890000001</v>
      </c>
      <c r="I18" s="9"/>
      <c r="J18" s="9">
        <f>+C18</f>
        <v>47133028.890000001</v>
      </c>
      <c r="K18" s="93"/>
    </row>
    <row r="19" spans="1:11" x14ac:dyDescent="0.2">
      <c r="A19" s="89">
        <v>14</v>
      </c>
      <c r="B19" s="22" t="s">
        <v>25</v>
      </c>
      <c r="C19" s="18">
        <v>663356527.19452906</v>
      </c>
      <c r="D19" s="19">
        <f t="shared" si="0"/>
        <v>33.722000000000001</v>
      </c>
      <c r="E19" s="20" t="s">
        <v>23</v>
      </c>
      <c r="F19" s="21"/>
      <c r="G19" s="21">
        <f>+C19</f>
        <v>663356527.19452906</v>
      </c>
      <c r="I19" s="9"/>
      <c r="J19" s="9">
        <f>+C19</f>
        <v>663356527.19452906</v>
      </c>
      <c r="K19" s="93"/>
    </row>
    <row r="20" spans="1:11" x14ac:dyDescent="0.2">
      <c r="A20" s="89">
        <v>15</v>
      </c>
      <c r="B20" s="22" t="s">
        <v>26</v>
      </c>
      <c r="C20" s="18">
        <v>13689650.642035643</v>
      </c>
      <c r="D20" s="19">
        <f t="shared" si="0"/>
        <v>0.69599999999999995</v>
      </c>
      <c r="E20" s="20" t="s">
        <v>20</v>
      </c>
      <c r="F20" s="21">
        <f>+C20</f>
        <v>13689650.642035643</v>
      </c>
      <c r="G20" s="21"/>
      <c r="I20" s="9">
        <f>+C20*$I$6</f>
        <v>10951720.513628514</v>
      </c>
      <c r="J20" s="9">
        <f>+C20*$J$6</f>
        <v>2737930.1284071277</v>
      </c>
      <c r="K20" s="93"/>
    </row>
    <row r="21" spans="1:11" x14ac:dyDescent="0.2">
      <c r="A21" s="89" t="s">
        <v>27</v>
      </c>
      <c r="B21" s="23" t="s">
        <v>28</v>
      </c>
      <c r="C21" s="18">
        <v>8696041.0687875245</v>
      </c>
      <c r="D21" s="19">
        <f t="shared" si="0"/>
        <v>0.442</v>
      </c>
      <c r="E21" s="20" t="s">
        <v>20</v>
      </c>
      <c r="F21" s="21">
        <f>+C21</f>
        <v>8696041.0687875245</v>
      </c>
      <c r="G21" s="21"/>
      <c r="I21" s="9">
        <f>+C21*$I$6</f>
        <v>6956832.8550300198</v>
      </c>
      <c r="J21" s="9">
        <f>+C21*$J$6</f>
        <v>1739208.2137575045</v>
      </c>
      <c r="K21" s="93"/>
    </row>
    <row r="22" spans="1:11" x14ac:dyDescent="0.2">
      <c r="A22" s="89" t="s">
        <v>29</v>
      </c>
      <c r="B22" s="23" t="s">
        <v>30</v>
      </c>
      <c r="C22" s="18">
        <v>4192840</v>
      </c>
      <c r="D22" s="19">
        <f t="shared" si="0"/>
        <v>0.21299999999999999</v>
      </c>
      <c r="E22" s="20" t="s">
        <v>20</v>
      </c>
      <c r="F22" s="21">
        <f>+C22</f>
        <v>4192840</v>
      </c>
      <c r="G22" s="21"/>
      <c r="I22" s="9">
        <f>+C22*$I$6</f>
        <v>3354272</v>
      </c>
      <c r="J22" s="9">
        <f>+C22*$J$6</f>
        <v>838567.99999999977</v>
      </c>
      <c r="K22" s="93"/>
    </row>
    <row r="23" spans="1:11" x14ac:dyDescent="0.2">
      <c r="A23" s="89" t="s">
        <v>31</v>
      </c>
      <c r="B23" s="23" t="s">
        <v>60</v>
      </c>
      <c r="C23" s="18" t="s">
        <v>61</v>
      </c>
      <c r="D23" s="17" t="s">
        <v>61</v>
      </c>
      <c r="E23" s="20" t="s">
        <v>23</v>
      </c>
      <c r="F23" s="21"/>
      <c r="G23" s="17"/>
      <c r="I23" s="9"/>
      <c r="J23" s="9" t="str">
        <f>+C23</f>
        <v>in tracker</v>
      </c>
      <c r="K23" s="93"/>
    </row>
    <row r="24" spans="1:11" x14ac:dyDescent="0.2">
      <c r="A24" s="89" t="s">
        <v>32</v>
      </c>
      <c r="B24" s="23" t="s">
        <v>33</v>
      </c>
      <c r="C24" s="18">
        <v>2560258.6045864965</v>
      </c>
      <c r="D24" s="19">
        <f t="shared" ref="D24:D35" si="1">ROUND(C24/C$39,3)</f>
        <v>0.13</v>
      </c>
      <c r="E24" s="20" t="s">
        <v>20</v>
      </c>
      <c r="F24" s="21">
        <f>+C24</f>
        <v>2560258.6045864965</v>
      </c>
      <c r="G24" s="21"/>
      <c r="I24" s="9">
        <f>+C24*$I$6</f>
        <v>2048206.8836691973</v>
      </c>
      <c r="J24" s="9">
        <f>+C24*$J$6</f>
        <v>512051.72091729916</v>
      </c>
      <c r="K24" s="93"/>
    </row>
    <row r="25" spans="1:11" x14ac:dyDescent="0.2">
      <c r="A25" s="89" t="s">
        <v>34</v>
      </c>
      <c r="B25" s="23" t="s">
        <v>35</v>
      </c>
      <c r="C25" s="18">
        <v>521380.09600000002</v>
      </c>
      <c r="D25" s="19">
        <f t="shared" si="1"/>
        <v>2.7E-2</v>
      </c>
      <c r="E25" s="20" t="s">
        <v>23</v>
      </c>
      <c r="F25" s="21"/>
      <c r="G25" s="21">
        <f>+C25</f>
        <v>521380.09600000002</v>
      </c>
      <c r="I25" s="9"/>
      <c r="J25" s="9">
        <f>+C25</f>
        <v>521380.09600000002</v>
      </c>
      <c r="K25" s="93"/>
    </row>
    <row r="26" spans="1:11" x14ac:dyDescent="0.2">
      <c r="A26" s="89">
        <v>16</v>
      </c>
      <c r="B26" s="22" t="s">
        <v>36</v>
      </c>
      <c r="C26" s="18">
        <v>211780599.1982111</v>
      </c>
      <c r="D26" s="19">
        <f t="shared" si="1"/>
        <v>10.766</v>
      </c>
      <c r="E26" s="20" t="s">
        <v>23</v>
      </c>
      <c r="F26" s="21"/>
      <c r="G26" s="21">
        <f>+C26</f>
        <v>211780599.1982111</v>
      </c>
      <c r="I26" s="9"/>
      <c r="J26" s="9">
        <f>+C26</f>
        <v>211780599.1982111</v>
      </c>
      <c r="K26" s="93"/>
    </row>
    <row r="27" spans="1:11" x14ac:dyDescent="0.2">
      <c r="A27" s="89">
        <v>17</v>
      </c>
      <c r="B27" s="22" t="s">
        <v>37</v>
      </c>
      <c r="C27" s="18">
        <v>135862200.25238866</v>
      </c>
      <c r="D27" s="19">
        <f t="shared" si="1"/>
        <v>6.907</v>
      </c>
      <c r="E27" s="20" t="s">
        <v>23</v>
      </c>
      <c r="F27" s="21"/>
      <c r="G27" s="21">
        <f>+C27</f>
        <v>135862200.25238866</v>
      </c>
      <c r="I27" s="9"/>
      <c r="J27" s="9">
        <f>+C27</f>
        <v>135862200.25238866</v>
      </c>
      <c r="K27" s="93"/>
    </row>
    <row r="28" spans="1:11" x14ac:dyDescent="0.2">
      <c r="A28" s="89">
        <v>18</v>
      </c>
      <c r="B28" s="22" t="s">
        <v>38</v>
      </c>
      <c r="C28" s="18">
        <v>-4966372.7605920909</v>
      </c>
      <c r="D28" s="19">
        <f t="shared" si="1"/>
        <v>-0.252</v>
      </c>
      <c r="E28" s="20" t="s">
        <v>20</v>
      </c>
      <c r="F28" s="21">
        <f>+C28</f>
        <v>-4966372.7605920909</v>
      </c>
      <c r="G28" s="21"/>
      <c r="I28" s="9">
        <f>+C28*$I$7</f>
        <v>-4966372.7605920909</v>
      </c>
      <c r="J28" s="9">
        <f>+C28*$J$7</f>
        <v>0</v>
      </c>
      <c r="K28" s="93"/>
    </row>
    <row r="29" spans="1:11" x14ac:dyDescent="0.2">
      <c r="A29" s="89">
        <v>19</v>
      </c>
      <c r="B29" s="22" t="s">
        <v>39</v>
      </c>
      <c r="C29" s="18">
        <v>95361604.0746582</v>
      </c>
      <c r="D29" s="19">
        <f t="shared" si="1"/>
        <v>4.8479999999999999</v>
      </c>
      <c r="E29" s="20" t="s">
        <v>20</v>
      </c>
      <c r="F29" s="21">
        <f>+C29</f>
        <v>95361604.0746582</v>
      </c>
      <c r="G29" s="21"/>
      <c r="I29" s="9">
        <f>+C29*$I$6</f>
        <v>76289283.259726569</v>
      </c>
      <c r="J29" s="9">
        <f>+C29*$J$6</f>
        <v>19072320.814931635</v>
      </c>
      <c r="K29" s="93"/>
    </row>
    <row r="30" spans="1:11" x14ac:dyDescent="0.2">
      <c r="A30" s="89">
        <v>20</v>
      </c>
      <c r="B30" s="22" t="s">
        <v>40</v>
      </c>
      <c r="C30" s="18">
        <v>-128535201.91999999</v>
      </c>
      <c r="D30" s="19">
        <f t="shared" si="1"/>
        <v>-6.5339999999999998</v>
      </c>
      <c r="E30" s="20" t="s">
        <v>23</v>
      </c>
      <c r="F30" s="21"/>
      <c r="G30" s="21">
        <f>+C30</f>
        <v>-128535201.91999999</v>
      </c>
      <c r="I30" s="9"/>
      <c r="J30" s="9">
        <f>+C30</f>
        <v>-128535201.91999999</v>
      </c>
      <c r="K30" s="93"/>
    </row>
    <row r="31" spans="1:11" x14ac:dyDescent="0.2">
      <c r="A31" s="89">
        <v>21</v>
      </c>
      <c r="B31" s="24" t="s">
        <v>41</v>
      </c>
      <c r="C31" s="18">
        <v>-43938971.690573826</v>
      </c>
      <c r="D31" s="19">
        <f t="shared" si="1"/>
        <v>-2.234</v>
      </c>
      <c r="E31" s="20" t="s">
        <v>23</v>
      </c>
      <c r="F31" s="21"/>
      <c r="G31" s="21">
        <f>+C31</f>
        <v>-43938971.690573826</v>
      </c>
      <c r="I31" s="9"/>
      <c r="J31" s="9">
        <f>+C31</f>
        <v>-43938971.690573826</v>
      </c>
      <c r="K31" s="93"/>
    </row>
    <row r="32" spans="1:11" x14ac:dyDescent="0.2">
      <c r="A32" s="89">
        <v>22</v>
      </c>
      <c r="B32" s="22" t="s">
        <v>42</v>
      </c>
      <c r="C32" s="18">
        <v>607112.90474832</v>
      </c>
      <c r="D32" s="19">
        <f t="shared" si="1"/>
        <v>3.1E-2</v>
      </c>
      <c r="E32" s="20" t="s">
        <v>20</v>
      </c>
      <c r="F32" s="21">
        <f>+C32</f>
        <v>607112.90474832</v>
      </c>
      <c r="G32" s="21"/>
      <c r="I32" s="9">
        <f>+C32</f>
        <v>607112.90474832</v>
      </c>
      <c r="J32" s="9"/>
      <c r="K32" s="93"/>
    </row>
    <row r="33" spans="1:11" x14ac:dyDescent="0.2">
      <c r="A33" s="89">
        <v>23</v>
      </c>
      <c r="B33" s="25" t="s">
        <v>43</v>
      </c>
      <c r="C33" s="18">
        <v>127589262.47920007</v>
      </c>
      <c r="D33" s="19">
        <f t="shared" si="1"/>
        <v>6.4859999999999998</v>
      </c>
      <c r="E33" s="20" t="s">
        <v>20</v>
      </c>
      <c r="F33" s="21">
        <f>+C33</f>
        <v>127589262.47920007</v>
      </c>
      <c r="G33" s="21"/>
      <c r="I33" s="9">
        <f>+C33*$I$6</f>
        <v>102071409.98336005</v>
      </c>
      <c r="J33" s="9">
        <f>+C33*$J$6</f>
        <v>25517852.495840006</v>
      </c>
      <c r="K33" s="93"/>
    </row>
    <row r="34" spans="1:11" x14ac:dyDescent="0.2">
      <c r="A34" s="89">
        <v>24</v>
      </c>
      <c r="B34" s="25" t="s">
        <v>44</v>
      </c>
      <c r="C34" s="18">
        <v>3584179.3098769998</v>
      </c>
      <c r="D34" s="19">
        <f t="shared" si="1"/>
        <v>0.182</v>
      </c>
      <c r="E34" s="20" t="s">
        <v>20</v>
      </c>
      <c r="F34" s="21">
        <f>+C34</f>
        <v>3584179.3098769998</v>
      </c>
      <c r="G34" s="21"/>
      <c r="I34" s="9">
        <f>+C34</f>
        <v>3584179.3098769998</v>
      </c>
      <c r="J34" s="9"/>
      <c r="K34" s="93"/>
    </row>
    <row r="35" spans="1:11" x14ac:dyDescent="0.2">
      <c r="A35" s="89">
        <v>25</v>
      </c>
      <c r="B35" s="25" t="s">
        <v>45</v>
      </c>
      <c r="C35" s="18">
        <v>3878829.3574087508</v>
      </c>
      <c r="D35" s="19">
        <f t="shared" si="1"/>
        <v>0.19700000000000001</v>
      </c>
      <c r="E35" s="20" t="s">
        <v>20</v>
      </c>
      <c r="F35" s="21">
        <f>+C35</f>
        <v>3878829.3574087508</v>
      </c>
      <c r="G35" s="21"/>
      <c r="I35" s="9">
        <f>+C35*$I$6</f>
        <v>3103063.4859270006</v>
      </c>
      <c r="J35" s="9">
        <f>+C35*$J$6</f>
        <v>775765.87148175004</v>
      </c>
      <c r="K35" s="93"/>
    </row>
    <row r="36" spans="1:11" ht="12" thickBot="1" x14ac:dyDescent="0.25">
      <c r="A36" s="89">
        <v>27</v>
      </c>
      <c r="B36" s="26" t="s">
        <v>46</v>
      </c>
      <c r="C36" s="27">
        <f>SUM(C14:C35)</f>
        <v>1281460861.1196816</v>
      </c>
      <c r="D36" s="28">
        <f>SUM(D14:D35)</f>
        <v>65.144000000000005</v>
      </c>
      <c r="E36" s="29"/>
      <c r="F36" s="30">
        <f>SUM(F14:F35)</f>
        <v>391186875.0991267</v>
      </c>
      <c r="G36" s="30">
        <f>SUM(G14:G35)</f>
        <v>890273986.02055502</v>
      </c>
      <c r="H36" s="9">
        <f>SUM(F36:G36)-C36</f>
        <v>0</v>
      </c>
      <c r="I36" s="9">
        <f>SUM(I14:I35)</f>
        <v>314021955.2339372</v>
      </c>
      <c r="J36" s="9">
        <f>SUM(J14:J35)</f>
        <v>967438905.88574457</v>
      </c>
      <c r="K36" s="93"/>
    </row>
    <row r="37" spans="1:11" x14ac:dyDescent="0.2">
      <c r="A37" s="89">
        <v>28</v>
      </c>
      <c r="B37" s="22" t="s">
        <v>47</v>
      </c>
      <c r="C37" s="31">
        <v>0.95234799999999997</v>
      </c>
      <c r="E37" s="32"/>
      <c r="F37" s="33">
        <f>+C37</f>
        <v>0.95234799999999997</v>
      </c>
      <c r="G37" s="33">
        <f>+C37</f>
        <v>0.95234799999999997</v>
      </c>
      <c r="I37" s="92">
        <f>+C37</f>
        <v>0.95234799999999997</v>
      </c>
      <c r="J37" s="92">
        <f>+C37</f>
        <v>0.95234799999999997</v>
      </c>
    </row>
    <row r="38" spans="1:11" x14ac:dyDescent="0.2">
      <c r="A38" s="89">
        <v>29</v>
      </c>
      <c r="B38" s="22" t="s">
        <v>48</v>
      </c>
      <c r="C38" s="34">
        <f>+C36/C37</f>
        <v>1345580461.2596252</v>
      </c>
      <c r="E38" s="21"/>
      <c r="F38" s="34">
        <f>+F36/F37</f>
        <v>410760431.16500133</v>
      </c>
      <c r="G38" s="34">
        <f>+G36/G37</f>
        <v>934820030.09462404</v>
      </c>
      <c r="H38" s="9">
        <f>SUM(F38:G38)-C38</f>
        <v>0</v>
      </c>
      <c r="I38" s="34">
        <f>+I36/I37</f>
        <v>329734461.8080126</v>
      </c>
      <c r="J38" s="34">
        <f>+J36/J37</f>
        <v>1015845999.4516128</v>
      </c>
    </row>
    <row r="39" spans="1:11" x14ac:dyDescent="0.2">
      <c r="A39" s="89">
        <v>30</v>
      </c>
      <c r="B39" s="22" t="s">
        <v>62</v>
      </c>
      <c r="C39" s="21">
        <v>19671400</v>
      </c>
      <c r="D39" s="21"/>
      <c r="E39" s="21"/>
      <c r="F39" s="35">
        <v>20409822</v>
      </c>
      <c r="G39" s="35"/>
      <c r="I39" s="90">
        <f>+I38/C38</f>
        <v>0.24504997753857208</v>
      </c>
      <c r="J39" s="90">
        <f>+J38/C38</f>
        <v>0.75495002246142806</v>
      </c>
    </row>
    <row r="40" spans="1:11" x14ac:dyDescent="0.2">
      <c r="A40" s="89">
        <v>31</v>
      </c>
      <c r="B40" s="22"/>
      <c r="C40" s="36" t="s">
        <v>63</v>
      </c>
      <c r="D40" s="37"/>
      <c r="E40" s="38"/>
      <c r="F40" s="36" t="s">
        <v>64</v>
      </c>
      <c r="G40" s="39"/>
      <c r="J40" s="94"/>
    </row>
    <row r="41" spans="1:11" x14ac:dyDescent="0.2">
      <c r="A41" s="89">
        <v>32</v>
      </c>
      <c r="B41" s="22"/>
      <c r="C41" s="40" t="s">
        <v>49</v>
      </c>
      <c r="D41" s="41" t="s">
        <v>50</v>
      </c>
      <c r="E41" s="42"/>
      <c r="F41" s="40" t="s">
        <v>49</v>
      </c>
      <c r="G41" s="41" t="s">
        <v>50</v>
      </c>
    </row>
    <row r="42" spans="1:11" x14ac:dyDescent="0.2">
      <c r="A42" s="89">
        <v>33</v>
      </c>
      <c r="B42" s="22"/>
      <c r="C42" s="43" t="s">
        <v>51</v>
      </c>
      <c r="D42" s="44" t="s">
        <v>51</v>
      </c>
      <c r="E42" s="42"/>
      <c r="F42" s="43" t="s">
        <v>51</v>
      </c>
      <c r="G42" s="44" t="s">
        <v>51</v>
      </c>
    </row>
    <row r="43" spans="1:11" x14ac:dyDescent="0.2">
      <c r="A43" s="89">
        <v>34</v>
      </c>
      <c r="B43" s="22"/>
      <c r="C43" s="45" t="s">
        <v>52</v>
      </c>
      <c r="D43" s="46"/>
      <c r="E43" s="42"/>
      <c r="F43" s="45" t="s">
        <v>52</v>
      </c>
      <c r="G43" s="46"/>
    </row>
    <row r="44" spans="1:11" x14ac:dyDescent="0.2">
      <c r="A44" s="89">
        <v>35</v>
      </c>
      <c r="B44" s="22" t="s">
        <v>53</v>
      </c>
      <c r="C44" s="47">
        <f>D36</f>
        <v>65.144000000000005</v>
      </c>
      <c r="D44" s="48">
        <f>C44/C$37</f>
        <v>68.403566763410026</v>
      </c>
      <c r="E44" s="42"/>
      <c r="F44" s="47">
        <f>+C36/F39</f>
        <v>62.786479035421358</v>
      </c>
      <c r="G44" s="48">
        <f>+C38/F39</f>
        <v>65.928084098902247</v>
      </c>
    </row>
    <row r="45" spans="1:11" ht="12" thickBot="1" x14ac:dyDescent="0.25">
      <c r="A45" s="89">
        <v>36</v>
      </c>
      <c r="B45" s="22" t="s">
        <v>54</v>
      </c>
      <c r="C45" s="47">
        <f>ROUND(SUM(D14,D16:D17,D20:D22,D24,D28:D29,D32:D35),3)</f>
        <v>19.885999999999999</v>
      </c>
      <c r="D45" s="48">
        <f>ROUND(C45/C$37,3)</f>
        <v>20.881</v>
      </c>
      <c r="E45" s="42"/>
      <c r="F45" s="49">
        <f>+F36/F39</f>
        <v>19.166599057019052</v>
      </c>
      <c r="G45" s="50">
        <f>+F38/F39</f>
        <v>20.125625356507339</v>
      </c>
    </row>
    <row r="46" spans="1:11" ht="12" thickBot="1" x14ac:dyDescent="0.25">
      <c r="A46" s="89">
        <v>37</v>
      </c>
      <c r="B46" s="22" t="s">
        <v>55</v>
      </c>
      <c r="C46" s="51">
        <f>ROUND(SUM(D15,D18:D19,D23,D25:D27,D30:D31),3)</f>
        <v>45.258000000000003</v>
      </c>
      <c r="D46" s="52">
        <f>ROUND(C46/C$37,3)</f>
        <v>47.523000000000003</v>
      </c>
      <c r="E46" s="19"/>
      <c r="F46" s="47">
        <f>+G36/F39</f>
        <v>43.619879978402309</v>
      </c>
      <c r="G46" s="57">
        <f>+G38/F39</f>
        <v>45.802458742394911</v>
      </c>
    </row>
    <row r="47" spans="1:11" x14ac:dyDescent="0.2">
      <c r="A47" s="89">
        <v>38</v>
      </c>
      <c r="B47" s="22" t="s">
        <v>53</v>
      </c>
      <c r="C47" s="47">
        <f>SUM(C45:C46)</f>
        <v>65.144000000000005</v>
      </c>
      <c r="D47" s="48">
        <f>SUM(D45:D46)</f>
        <v>68.403999999999996</v>
      </c>
      <c r="E47" s="19"/>
      <c r="F47" s="49">
        <f>SUM(F45:F46)</f>
        <v>62.786479035421365</v>
      </c>
      <c r="G47" s="48">
        <f>SUM(G45:G46)</f>
        <v>65.928084098902247</v>
      </c>
    </row>
    <row r="48" spans="1:11" x14ac:dyDescent="0.2">
      <c r="A48" s="1"/>
      <c r="C48" s="58">
        <f>+C47-C44</f>
        <v>0</v>
      </c>
      <c r="D48" s="59">
        <f>+D47-D44</f>
        <v>4.3323658996996528E-4</v>
      </c>
      <c r="E48" s="1" t="s">
        <v>65</v>
      </c>
      <c r="F48" s="58">
        <f>+F47-F44</f>
        <v>0</v>
      </c>
      <c r="G48" s="60">
        <f>+G47-G44</f>
        <v>0</v>
      </c>
    </row>
  </sheetData>
  <mergeCells count="2">
    <mergeCell ref="I11:J11"/>
    <mergeCell ref="I4:J4"/>
  </mergeCells>
  <pageMargins left="0.7" right="0.7" top="0.75" bottom="0.75" header="0.3" footer="0.3"/>
  <pageSetup scale="88" orientation="landscape" r:id="rId1"/>
  <headerFooter>
    <oddFooter>&amp;L&amp;A&amp;RExh. JAP-5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8"/>
  <sheetViews>
    <sheetView topLeftCell="A19" zoomScaleNormal="100" workbookViewId="0">
      <selection activeCell="D53" sqref="D53"/>
    </sheetView>
  </sheetViews>
  <sheetFormatPr defaultRowHeight="11.25" x14ac:dyDescent="0.2"/>
  <cols>
    <col min="1" max="1" width="4.28515625" style="8" bestFit="1" customWidth="1"/>
    <col min="2" max="2" width="32.85546875" style="8" bestFit="1" customWidth="1"/>
    <col min="3" max="3" width="14" style="8" bestFit="1" customWidth="1"/>
    <col min="4" max="4" width="11.28515625" style="8" bestFit="1" customWidth="1"/>
    <col min="5" max="5" width="8.28515625" style="8" bestFit="1" customWidth="1"/>
    <col min="6" max="7" width="11.5703125" style="8" bestFit="1" customWidth="1"/>
    <col min="8" max="8" width="9.140625" style="8"/>
    <col min="9" max="9" width="11.5703125" style="8" bestFit="1" customWidth="1"/>
    <col min="10" max="10" width="12.85546875" style="8" bestFit="1" customWidth="1"/>
    <col min="11" max="11" width="14.42578125" style="8" bestFit="1" customWidth="1"/>
    <col min="12" max="16384" width="9.140625" style="8"/>
  </cols>
  <sheetData>
    <row r="1" spans="1:11" x14ac:dyDescent="0.2">
      <c r="A1" s="85" t="s">
        <v>0</v>
      </c>
      <c r="B1" s="86"/>
      <c r="C1" s="86"/>
      <c r="D1" s="86"/>
      <c r="E1" s="86"/>
      <c r="F1" s="86"/>
      <c r="G1" s="86"/>
    </row>
    <row r="2" spans="1:11" x14ac:dyDescent="0.2">
      <c r="A2" s="85" t="s">
        <v>66</v>
      </c>
      <c r="B2" s="86"/>
      <c r="C2" s="86"/>
      <c r="D2" s="86"/>
      <c r="E2" s="86"/>
      <c r="F2" s="86"/>
      <c r="G2" s="86"/>
    </row>
    <row r="4" spans="1:11" x14ac:dyDescent="0.2">
      <c r="A4" s="1"/>
      <c r="I4" s="103" t="s">
        <v>58</v>
      </c>
      <c r="J4" s="103"/>
    </row>
    <row r="5" spans="1:11" x14ac:dyDescent="0.2">
      <c r="A5" s="1" t="s">
        <v>2</v>
      </c>
      <c r="C5" s="87" t="s">
        <v>69</v>
      </c>
      <c r="I5" s="88" t="s">
        <v>57</v>
      </c>
      <c r="J5" s="88" t="s">
        <v>59</v>
      </c>
    </row>
    <row r="6" spans="1:11" x14ac:dyDescent="0.2">
      <c r="A6" s="89">
        <v>3</v>
      </c>
      <c r="B6" s="8" t="s">
        <v>3</v>
      </c>
      <c r="C6" s="9">
        <v>109756064.14552327</v>
      </c>
      <c r="I6" s="90">
        <f>+'2022 GRC PCA Costs'!C16</f>
        <v>0.8</v>
      </c>
      <c r="J6" s="90">
        <f>+'2022 GRC PCA Costs'!C15</f>
        <v>0.19999999999999996</v>
      </c>
      <c r="K6" s="8" t="s">
        <v>117</v>
      </c>
    </row>
    <row r="7" spans="1:11" x14ac:dyDescent="0.2">
      <c r="A7" s="89">
        <v>4</v>
      </c>
      <c r="B7" s="8" t="s">
        <v>4</v>
      </c>
      <c r="C7" s="9">
        <v>67956976.598014444</v>
      </c>
      <c r="I7" s="90">
        <v>1</v>
      </c>
      <c r="J7" s="90"/>
      <c r="K7" s="8" t="s">
        <v>118</v>
      </c>
    </row>
    <row r="8" spans="1:11" x14ac:dyDescent="0.2">
      <c r="A8" s="89">
        <v>5</v>
      </c>
      <c r="B8" s="8" t="s">
        <v>5</v>
      </c>
      <c r="C8" s="9">
        <v>1320566407.8107638</v>
      </c>
      <c r="I8" s="90"/>
      <c r="J8" s="90">
        <v>1</v>
      </c>
      <c r="K8" s="8" t="s">
        <v>8</v>
      </c>
    </row>
    <row r="9" spans="1:11" x14ac:dyDescent="0.2">
      <c r="A9" s="89">
        <f>+A8+1</f>
        <v>6</v>
      </c>
      <c r="C9" s="10">
        <f>SUM(C6:C8)</f>
        <v>1498279448.5543015</v>
      </c>
    </row>
    <row r="10" spans="1:11" x14ac:dyDescent="0.2">
      <c r="A10" s="89">
        <f>+A9+1</f>
        <v>7</v>
      </c>
      <c r="B10" s="11" t="s">
        <v>6</v>
      </c>
      <c r="C10" s="12">
        <v>6.9099999999999995E-2</v>
      </c>
      <c r="D10" s="13"/>
      <c r="E10" s="13"/>
      <c r="F10" s="14" t="s">
        <v>7</v>
      </c>
      <c r="G10" s="14" t="s">
        <v>8</v>
      </c>
    </row>
    <row r="11" spans="1:11" x14ac:dyDescent="0.2">
      <c r="A11" s="89">
        <f>+A10+1</f>
        <v>8</v>
      </c>
      <c r="B11" s="11"/>
      <c r="C11" s="12"/>
      <c r="D11" s="14" t="s">
        <v>9</v>
      </c>
      <c r="E11" s="14"/>
      <c r="F11" s="14" t="s">
        <v>10</v>
      </c>
      <c r="G11" s="14" t="s">
        <v>10</v>
      </c>
      <c r="I11" s="103" t="s">
        <v>58</v>
      </c>
      <c r="J11" s="103"/>
    </row>
    <row r="12" spans="1:11" x14ac:dyDescent="0.2">
      <c r="A12" s="89">
        <f>+A11+1</f>
        <v>9</v>
      </c>
      <c r="B12" s="15"/>
      <c r="C12" s="12"/>
      <c r="D12" s="56" t="s">
        <v>11</v>
      </c>
      <c r="E12" s="56"/>
      <c r="F12" s="16" t="s">
        <v>12</v>
      </c>
      <c r="G12" s="16" t="s">
        <v>13</v>
      </c>
      <c r="I12" s="91" t="s">
        <v>57</v>
      </c>
      <c r="J12" s="91" t="s">
        <v>59</v>
      </c>
    </row>
    <row r="13" spans="1:11" x14ac:dyDescent="0.2">
      <c r="A13" s="89" t="s">
        <v>14</v>
      </c>
      <c r="B13" s="11"/>
      <c r="C13" s="14" t="s">
        <v>15</v>
      </c>
      <c r="D13" s="17" t="s">
        <v>16</v>
      </c>
      <c r="E13" s="17" t="s">
        <v>17</v>
      </c>
      <c r="F13" s="17" t="s">
        <v>18</v>
      </c>
      <c r="G13" s="17" t="s">
        <v>19</v>
      </c>
    </row>
    <row r="14" spans="1:11" x14ac:dyDescent="0.2">
      <c r="A14" s="89">
        <v>10</v>
      </c>
      <c r="B14" s="11" t="s">
        <v>71</v>
      </c>
      <c r="C14" s="18">
        <v>9600182.3195641227</v>
      </c>
      <c r="D14" s="19">
        <f t="shared" ref="D14:D22" si="0">ROUND(C14/C$39,3)</f>
        <v>0.48299999999999998</v>
      </c>
      <c r="E14" s="20" t="s">
        <v>20</v>
      </c>
      <c r="F14" s="18">
        <f>+C14</f>
        <v>9600182.3195641227</v>
      </c>
      <c r="G14" s="18"/>
      <c r="I14" s="9">
        <f>+C14*$I$6</f>
        <v>7680145.8556512985</v>
      </c>
      <c r="J14" s="9">
        <f>+C14*$J$6</f>
        <v>1920036.4639128242</v>
      </c>
    </row>
    <row r="15" spans="1:11" x14ac:dyDescent="0.2">
      <c r="A15" s="89" t="s">
        <v>21</v>
      </c>
      <c r="B15" s="11" t="s">
        <v>22</v>
      </c>
      <c r="C15" s="18">
        <v>4105641.6000000006</v>
      </c>
      <c r="D15" s="19">
        <f t="shared" si="0"/>
        <v>0.20699999999999999</v>
      </c>
      <c r="E15" s="20" t="s">
        <v>23</v>
      </c>
      <c r="F15" s="21"/>
      <c r="G15" s="21">
        <f>+C15</f>
        <v>4105641.6000000006</v>
      </c>
      <c r="I15" s="9"/>
      <c r="J15" s="9">
        <f>+C15</f>
        <v>4105641.6000000006</v>
      </c>
    </row>
    <row r="16" spans="1:11" x14ac:dyDescent="0.2">
      <c r="A16" s="89">
        <v>11</v>
      </c>
      <c r="B16" s="22" t="s">
        <v>72</v>
      </c>
      <c r="C16" s="18">
        <v>5944084.9150921488</v>
      </c>
      <c r="D16" s="19">
        <f t="shared" si="0"/>
        <v>0.29899999999999999</v>
      </c>
      <c r="E16" s="20" t="s">
        <v>20</v>
      </c>
      <c r="F16" s="21">
        <f>+C16</f>
        <v>5944084.9150921488</v>
      </c>
      <c r="G16" s="21"/>
      <c r="I16" s="9">
        <f>+C16*$I$7</f>
        <v>5944084.9150921488</v>
      </c>
      <c r="J16" s="9">
        <f>+C16*$J$7</f>
        <v>0</v>
      </c>
    </row>
    <row r="17" spans="1:10" x14ac:dyDescent="0.2">
      <c r="A17" s="89">
        <v>12</v>
      </c>
      <c r="B17" s="22" t="s">
        <v>73</v>
      </c>
      <c r="C17" s="18">
        <v>115507770.60724528</v>
      </c>
      <c r="D17" s="19">
        <f t="shared" si="0"/>
        <v>5.8140000000000001</v>
      </c>
      <c r="E17" s="20" t="s">
        <v>20</v>
      </c>
      <c r="F17" s="21">
        <f>+C17</f>
        <v>115507770.60724528</v>
      </c>
      <c r="G17" s="21"/>
      <c r="I17" s="9">
        <f>+C17*$I$6</f>
        <v>92406216.485796228</v>
      </c>
      <c r="J17" s="9">
        <f>+C17*$J$6</f>
        <v>23101554.12144905</v>
      </c>
    </row>
    <row r="18" spans="1:10" x14ac:dyDescent="0.2">
      <c r="A18" s="89">
        <v>13</v>
      </c>
      <c r="B18" s="22" t="s">
        <v>24</v>
      </c>
      <c r="C18" s="18">
        <v>44057838.960000008</v>
      </c>
      <c r="D18" s="19">
        <f t="shared" si="0"/>
        <v>2.218</v>
      </c>
      <c r="E18" s="20" t="s">
        <v>23</v>
      </c>
      <c r="F18" s="21"/>
      <c r="G18" s="21">
        <f>+C18</f>
        <v>44057838.960000008</v>
      </c>
      <c r="I18" s="9"/>
      <c r="J18" s="9">
        <f>+C18</f>
        <v>44057838.960000008</v>
      </c>
    </row>
    <row r="19" spans="1:10" x14ac:dyDescent="0.2">
      <c r="A19" s="89">
        <v>14</v>
      </c>
      <c r="B19" s="22" t="s">
        <v>25</v>
      </c>
      <c r="C19" s="18">
        <v>669623690.14087367</v>
      </c>
      <c r="D19" s="19">
        <f t="shared" si="0"/>
        <v>33.703000000000003</v>
      </c>
      <c r="E19" s="20" t="s">
        <v>23</v>
      </c>
      <c r="F19" s="21"/>
      <c r="G19" s="21">
        <f>+C19</f>
        <v>669623690.14087367</v>
      </c>
      <c r="I19" s="9"/>
      <c r="J19" s="9">
        <f>+C19</f>
        <v>669623690.14087367</v>
      </c>
    </row>
    <row r="20" spans="1:10" x14ac:dyDescent="0.2">
      <c r="A20" s="89">
        <v>15</v>
      </c>
      <c r="B20" s="22" t="s">
        <v>26</v>
      </c>
      <c r="C20" s="18">
        <v>14134394.659065126</v>
      </c>
      <c r="D20" s="19">
        <f t="shared" si="0"/>
        <v>0.71099999999999997</v>
      </c>
      <c r="E20" s="20" t="s">
        <v>20</v>
      </c>
      <c r="F20" s="21">
        <f>+C20</f>
        <v>14134394.659065126</v>
      </c>
      <c r="G20" s="21"/>
      <c r="I20" s="9">
        <f>+C20*$I$6</f>
        <v>11307515.727252102</v>
      </c>
      <c r="J20" s="9">
        <f>+C20*$J$6</f>
        <v>2826878.9318130245</v>
      </c>
    </row>
    <row r="21" spans="1:10" x14ac:dyDescent="0.2">
      <c r="A21" s="89" t="s">
        <v>27</v>
      </c>
      <c r="B21" s="23" t="s">
        <v>28</v>
      </c>
      <c r="C21" s="18">
        <v>8948835.5679956824</v>
      </c>
      <c r="D21" s="19">
        <f t="shared" si="0"/>
        <v>0.45</v>
      </c>
      <c r="E21" s="20" t="s">
        <v>20</v>
      </c>
      <c r="F21" s="21">
        <f>+C21</f>
        <v>8948835.5679956824</v>
      </c>
      <c r="G21" s="21"/>
      <c r="I21" s="9">
        <f>+C21*$I$6</f>
        <v>7159068.4543965459</v>
      </c>
      <c r="J21" s="9">
        <f>+C21*$J$6</f>
        <v>1789767.113599136</v>
      </c>
    </row>
    <row r="22" spans="1:10" x14ac:dyDescent="0.2">
      <c r="A22" s="89" t="s">
        <v>29</v>
      </c>
      <c r="B22" s="23" t="s">
        <v>56</v>
      </c>
      <c r="C22" s="18">
        <v>4192840</v>
      </c>
      <c r="D22" s="19">
        <f t="shared" si="0"/>
        <v>0.21099999999999999</v>
      </c>
      <c r="E22" s="20" t="s">
        <v>20</v>
      </c>
      <c r="F22" s="21">
        <f>+C22</f>
        <v>4192840</v>
      </c>
      <c r="G22" s="21"/>
      <c r="I22" s="9">
        <f>+C22*$I$6</f>
        <v>3354272</v>
      </c>
      <c r="J22" s="9">
        <f>+C22*$J$6</f>
        <v>838567.99999999977</v>
      </c>
    </row>
    <row r="23" spans="1:10" x14ac:dyDescent="0.2">
      <c r="A23" s="89" t="s">
        <v>31</v>
      </c>
      <c r="B23" s="23" t="s">
        <v>60</v>
      </c>
      <c r="C23" s="18" t="s">
        <v>61</v>
      </c>
      <c r="D23" s="17" t="s">
        <v>61</v>
      </c>
      <c r="E23" s="20" t="s">
        <v>23</v>
      </c>
      <c r="F23" s="21"/>
      <c r="G23" s="17"/>
      <c r="I23" s="9"/>
      <c r="J23" s="9" t="str">
        <f>+C23</f>
        <v>in tracker</v>
      </c>
    </row>
    <row r="24" spans="1:10" x14ac:dyDescent="0.2">
      <c r="A24" s="89" t="s">
        <v>32</v>
      </c>
      <c r="B24" s="23" t="s">
        <v>33</v>
      </c>
      <c r="C24" s="18">
        <v>2634871.234340121</v>
      </c>
      <c r="D24" s="19">
        <f t="shared" ref="D24:D35" si="1">ROUND(C24/C$39,3)</f>
        <v>0.13300000000000001</v>
      </c>
      <c r="E24" s="20" t="s">
        <v>20</v>
      </c>
      <c r="F24" s="21">
        <f>+C24</f>
        <v>2634871.234340121</v>
      </c>
      <c r="G24" s="21"/>
      <c r="I24" s="9">
        <f>+C24*$I$6</f>
        <v>2107896.9874720969</v>
      </c>
      <c r="J24" s="9">
        <f>+C24*$J$6</f>
        <v>526974.24686802411</v>
      </c>
    </row>
    <row r="25" spans="1:10" x14ac:dyDescent="0.2">
      <c r="A25" s="89" t="s">
        <v>34</v>
      </c>
      <c r="B25" s="23" t="s">
        <v>35</v>
      </c>
      <c r="C25" s="18">
        <v>533893.21830399998</v>
      </c>
      <c r="D25" s="19">
        <f t="shared" si="1"/>
        <v>2.7E-2</v>
      </c>
      <c r="E25" s="20" t="s">
        <v>23</v>
      </c>
      <c r="F25" s="21"/>
      <c r="G25" s="21">
        <f>+C25</f>
        <v>533893.21830399998</v>
      </c>
      <c r="I25" s="9"/>
      <c r="J25" s="9">
        <f>+C25</f>
        <v>533893.21830399998</v>
      </c>
    </row>
    <row r="26" spans="1:10" x14ac:dyDescent="0.2">
      <c r="A26" s="89">
        <v>16</v>
      </c>
      <c r="B26" s="22" t="s">
        <v>36</v>
      </c>
      <c r="C26" s="18">
        <v>207585500.83758992</v>
      </c>
      <c r="D26" s="19">
        <f t="shared" si="1"/>
        <v>10.448</v>
      </c>
      <c r="E26" s="20" t="s">
        <v>23</v>
      </c>
      <c r="F26" s="21"/>
      <c r="G26" s="21">
        <f>+C26</f>
        <v>207585500.83758992</v>
      </c>
      <c r="I26" s="9"/>
      <c r="J26" s="9">
        <f>+C26</f>
        <v>207585500.83758992</v>
      </c>
    </row>
    <row r="27" spans="1:10" x14ac:dyDescent="0.2">
      <c r="A27" s="89">
        <v>17</v>
      </c>
      <c r="B27" s="22" t="s">
        <v>37</v>
      </c>
      <c r="C27" s="18">
        <v>140769859.58541867</v>
      </c>
      <c r="D27" s="19">
        <f t="shared" si="1"/>
        <v>7.085</v>
      </c>
      <c r="E27" s="20" t="s">
        <v>23</v>
      </c>
      <c r="F27" s="21"/>
      <c r="G27" s="21">
        <f>+C27</f>
        <v>140769859.58541867</v>
      </c>
      <c r="I27" s="9"/>
      <c r="J27" s="9">
        <f>+C27</f>
        <v>140769859.58541867</v>
      </c>
    </row>
    <row r="28" spans="1:10" x14ac:dyDescent="0.2">
      <c r="A28" s="89">
        <v>18</v>
      </c>
      <c r="B28" s="22" t="s">
        <v>38</v>
      </c>
      <c r="C28" s="18">
        <v>-5115744.6620968897</v>
      </c>
      <c r="D28" s="19">
        <f t="shared" si="1"/>
        <v>-0.25700000000000001</v>
      </c>
      <c r="E28" s="20" t="s">
        <v>20</v>
      </c>
      <c r="F28" s="21">
        <f>+C28</f>
        <v>-5115744.6620968897</v>
      </c>
      <c r="G28" s="21"/>
      <c r="I28" s="9">
        <f>+C28*$I$7</f>
        <v>-5115744.6620968897</v>
      </c>
      <c r="J28" s="9">
        <f>+C28*$J$7</f>
        <v>0</v>
      </c>
    </row>
    <row r="29" spans="1:10" x14ac:dyDescent="0.2">
      <c r="A29" s="89">
        <v>19</v>
      </c>
      <c r="B29" s="22" t="s">
        <v>39</v>
      </c>
      <c r="C29" s="18">
        <v>93947588.198774233</v>
      </c>
      <c r="D29" s="19">
        <f t="shared" si="1"/>
        <v>4.7290000000000001</v>
      </c>
      <c r="E29" s="20" t="s">
        <v>20</v>
      </c>
      <c r="F29" s="21">
        <f>+C29</f>
        <v>93947588.198774233</v>
      </c>
      <c r="G29" s="21"/>
      <c r="I29" s="9">
        <f>+C29*$I$6</f>
        <v>75158070.559019387</v>
      </c>
      <c r="J29" s="9">
        <f>+C29*$J$6</f>
        <v>18789517.639754843</v>
      </c>
    </row>
    <row r="30" spans="1:10" x14ac:dyDescent="0.2">
      <c r="A30" s="89">
        <v>20</v>
      </c>
      <c r="B30" s="22" t="s">
        <v>40</v>
      </c>
      <c r="C30" s="18">
        <v>-135668370.248</v>
      </c>
      <c r="D30" s="19">
        <f t="shared" si="1"/>
        <v>-6.8280000000000003</v>
      </c>
      <c r="E30" s="20" t="s">
        <v>23</v>
      </c>
      <c r="F30" s="21"/>
      <c r="G30" s="21">
        <f>+C30</f>
        <v>-135668370.248</v>
      </c>
      <c r="I30" s="9"/>
      <c r="J30" s="9">
        <f>+C30</f>
        <v>-135668370.248</v>
      </c>
    </row>
    <row r="31" spans="1:10" x14ac:dyDescent="0.2">
      <c r="A31" s="89">
        <v>21</v>
      </c>
      <c r="B31" s="24" t="s">
        <v>41</v>
      </c>
      <c r="C31" s="18">
        <v>-30092087.967653167</v>
      </c>
      <c r="D31" s="19">
        <f t="shared" si="1"/>
        <v>-1.5149999999999999</v>
      </c>
      <c r="E31" s="20" t="s">
        <v>23</v>
      </c>
      <c r="F31" s="21"/>
      <c r="G31" s="21">
        <f>+C31</f>
        <v>-30092087.967653167</v>
      </c>
      <c r="I31" s="9"/>
      <c r="J31" s="9">
        <f>+C31</f>
        <v>-30092087.967653167</v>
      </c>
    </row>
    <row r="32" spans="1:10" x14ac:dyDescent="0.2">
      <c r="A32" s="89">
        <v>22</v>
      </c>
      <c r="B32" s="22" t="s">
        <v>42</v>
      </c>
      <c r="C32" s="18">
        <v>613543.21744328644</v>
      </c>
      <c r="D32" s="19">
        <f t="shared" si="1"/>
        <v>3.1E-2</v>
      </c>
      <c r="E32" s="20" t="s">
        <v>20</v>
      </c>
      <c r="F32" s="21">
        <f>+C32</f>
        <v>613543.21744328644</v>
      </c>
      <c r="G32" s="21"/>
      <c r="I32" s="9">
        <f>+C32</f>
        <v>613543.21744328644</v>
      </c>
      <c r="J32" s="9"/>
    </row>
    <row r="33" spans="1:10" x14ac:dyDescent="0.2">
      <c r="A33" s="89">
        <v>23</v>
      </c>
      <c r="B33" s="25" t="s">
        <v>43</v>
      </c>
      <c r="C33" s="18">
        <v>130037268.66920006</v>
      </c>
      <c r="D33" s="19">
        <f t="shared" si="1"/>
        <v>6.5449999999999999</v>
      </c>
      <c r="E33" s="20" t="s">
        <v>20</v>
      </c>
      <c r="F33" s="21">
        <f>+C33</f>
        <v>130037268.66920006</v>
      </c>
      <c r="G33" s="21"/>
      <c r="I33" s="9">
        <f>+C33*$I$6</f>
        <v>104029814.93536006</v>
      </c>
      <c r="J33" s="9">
        <f>+C33*$J$6</f>
        <v>26007453.733840007</v>
      </c>
    </row>
    <row r="34" spans="1:10" x14ac:dyDescent="0.2">
      <c r="A34" s="89">
        <v>24</v>
      </c>
      <c r="B34" s="25" t="s">
        <v>44</v>
      </c>
      <c r="C34" s="18">
        <v>3448893.376377047</v>
      </c>
      <c r="D34" s="19">
        <f t="shared" si="1"/>
        <v>0.17399999999999999</v>
      </c>
      <c r="E34" s="20" t="s">
        <v>20</v>
      </c>
      <c r="F34" s="21">
        <f>+C34</f>
        <v>3448893.376377047</v>
      </c>
      <c r="G34" s="21"/>
      <c r="I34" s="9">
        <f>+C34</f>
        <v>3448893.376377047</v>
      </c>
      <c r="J34" s="9"/>
    </row>
    <row r="35" spans="1:10" x14ac:dyDescent="0.2">
      <c r="A35" s="89">
        <v>25</v>
      </c>
      <c r="B35" s="25" t="s">
        <v>45</v>
      </c>
      <c r="C35" s="18">
        <v>3572472</v>
      </c>
      <c r="D35" s="19">
        <f t="shared" si="1"/>
        <v>0.18</v>
      </c>
      <c r="E35" s="20" t="s">
        <v>20</v>
      </c>
      <c r="F35" s="21">
        <f>+C35</f>
        <v>3572472</v>
      </c>
      <c r="G35" s="21"/>
      <c r="I35" s="9">
        <f>+C35*$I$6</f>
        <v>2857977.6</v>
      </c>
      <c r="J35" s="9">
        <f>+C35*$J$6</f>
        <v>714494.39999999979</v>
      </c>
    </row>
    <row r="36" spans="1:10" ht="12" thickBot="1" x14ac:dyDescent="0.25">
      <c r="A36" s="89">
        <v>27</v>
      </c>
      <c r="B36" s="26" t="s">
        <v>46</v>
      </c>
      <c r="C36" s="27">
        <f>SUM(C14:C35)</f>
        <v>1288382966.2295332</v>
      </c>
      <c r="D36" s="28">
        <f>SUM(D14:D35)</f>
        <v>64.848000000000013</v>
      </c>
      <c r="E36" s="29"/>
      <c r="F36" s="30">
        <f>SUM(F14:F35)</f>
        <v>387467000.10300022</v>
      </c>
      <c r="G36" s="30">
        <f>SUM(G14:G35)</f>
        <v>900915966.12653327</v>
      </c>
      <c r="I36" s="9">
        <f>SUM(I14:I35)</f>
        <v>310951755.45176333</v>
      </c>
      <c r="J36" s="9">
        <f>SUM(J14:J35)</f>
        <v>977431210.77776992</v>
      </c>
    </row>
    <row r="37" spans="1:10" x14ac:dyDescent="0.2">
      <c r="A37" s="89">
        <v>28</v>
      </c>
      <c r="B37" s="22" t="s">
        <v>47</v>
      </c>
      <c r="C37" s="31">
        <f>+'MYRP 2023'!C37</f>
        <v>0.95234799999999997</v>
      </c>
      <c r="E37" s="32"/>
      <c r="F37" s="33">
        <f>+C37</f>
        <v>0.95234799999999997</v>
      </c>
      <c r="G37" s="33">
        <f>+C37</f>
        <v>0.95234799999999997</v>
      </c>
      <c r="I37" s="92">
        <f>+C37</f>
        <v>0.95234799999999997</v>
      </c>
      <c r="J37" s="92">
        <f>+C37</f>
        <v>0.95234799999999997</v>
      </c>
    </row>
    <row r="38" spans="1:10" x14ac:dyDescent="0.2">
      <c r="A38" s="89">
        <v>29</v>
      </c>
      <c r="B38" s="22" t="s">
        <v>48</v>
      </c>
      <c r="C38" s="34">
        <f>+C36/C37</f>
        <v>1352848923.1137497</v>
      </c>
      <c r="E38" s="21"/>
      <c r="F38" s="34">
        <f>+F36/F37</f>
        <v>406854427.27133381</v>
      </c>
      <c r="G38" s="34">
        <f>+G36/G37</f>
        <v>945994495.84241617</v>
      </c>
      <c r="I38" s="34">
        <f>+I36/I37</f>
        <v>326510640.49251252</v>
      </c>
      <c r="J38" s="34">
        <f>+J36/J37</f>
        <v>1026338282.6212372</v>
      </c>
    </row>
    <row r="39" spans="1:10" x14ac:dyDescent="0.2">
      <c r="A39" s="89">
        <v>30</v>
      </c>
      <c r="B39" s="22" t="s">
        <v>62</v>
      </c>
      <c r="C39" s="21">
        <v>19868188</v>
      </c>
      <c r="D39" s="21"/>
      <c r="E39" s="21"/>
      <c r="F39" s="35">
        <v>20606610</v>
      </c>
      <c r="G39" s="35"/>
      <c r="I39" s="90">
        <f>+I38/C38</f>
        <v>0.24135040869235255</v>
      </c>
      <c r="J39" s="90">
        <f>+J38/C38</f>
        <v>0.75864959130764742</v>
      </c>
    </row>
    <row r="40" spans="1:10" x14ac:dyDescent="0.2">
      <c r="A40" s="89">
        <v>31</v>
      </c>
      <c r="B40" s="22"/>
      <c r="C40" s="36" t="s">
        <v>63</v>
      </c>
      <c r="D40" s="37"/>
      <c r="E40" s="38"/>
      <c r="F40" s="36" t="s">
        <v>64</v>
      </c>
      <c r="G40" s="39"/>
    </row>
    <row r="41" spans="1:10" x14ac:dyDescent="0.2">
      <c r="A41" s="89">
        <v>32</v>
      </c>
      <c r="B41" s="22"/>
      <c r="C41" s="40" t="s">
        <v>49</v>
      </c>
      <c r="D41" s="41" t="s">
        <v>50</v>
      </c>
      <c r="E41" s="42"/>
      <c r="F41" s="40" t="s">
        <v>49</v>
      </c>
      <c r="G41" s="41" t="s">
        <v>50</v>
      </c>
    </row>
    <row r="42" spans="1:10" x14ac:dyDescent="0.2">
      <c r="A42" s="89">
        <v>33</v>
      </c>
      <c r="B42" s="22"/>
      <c r="C42" s="43" t="s">
        <v>51</v>
      </c>
      <c r="D42" s="44" t="s">
        <v>51</v>
      </c>
      <c r="E42" s="42"/>
      <c r="F42" s="43" t="s">
        <v>51</v>
      </c>
      <c r="G42" s="44" t="s">
        <v>51</v>
      </c>
    </row>
    <row r="43" spans="1:10" x14ac:dyDescent="0.2">
      <c r="A43" s="89">
        <v>34</v>
      </c>
      <c r="B43" s="22"/>
      <c r="C43" s="45" t="s">
        <v>52</v>
      </c>
      <c r="D43" s="46"/>
      <c r="E43" s="42"/>
      <c r="F43" s="45" t="s">
        <v>52</v>
      </c>
      <c r="G43" s="46"/>
    </row>
    <row r="44" spans="1:10" x14ac:dyDescent="0.2">
      <c r="A44" s="89">
        <v>35</v>
      </c>
      <c r="B44" s="22" t="s">
        <v>53</v>
      </c>
      <c r="C44" s="47">
        <f>D36</f>
        <v>64.848000000000013</v>
      </c>
      <c r="D44" s="48">
        <f>C44/C$37</f>
        <v>68.092756009357942</v>
      </c>
      <c r="E44" s="42"/>
      <c r="F44" s="47">
        <f>+C36/F39</f>
        <v>62.522800510590201</v>
      </c>
      <c r="G44" s="48">
        <f>+C38/F39</f>
        <v>65.651212068057276</v>
      </c>
    </row>
    <row r="45" spans="1:10" ht="12" thickBot="1" x14ac:dyDescent="0.25">
      <c r="A45" s="89">
        <v>36</v>
      </c>
      <c r="B45" s="22" t="s">
        <v>54</v>
      </c>
      <c r="C45" s="47">
        <f>ROUND(SUM(D14,D16:D17,D20:D22,D24,D28:D29,D32:D35),3)</f>
        <v>19.503</v>
      </c>
      <c r="D45" s="48">
        <f>ROUND(C45/C$37,3)</f>
        <v>20.478999999999999</v>
      </c>
      <c r="E45" s="42"/>
      <c r="F45" s="49">
        <f>+F36/F39</f>
        <v>18.803044270891728</v>
      </c>
      <c r="G45" s="50">
        <f>+F38/F39</f>
        <v>19.743879622671258</v>
      </c>
    </row>
    <row r="46" spans="1:10" ht="12" thickBot="1" x14ac:dyDescent="0.25">
      <c r="A46" s="89">
        <v>37</v>
      </c>
      <c r="B46" s="22" t="s">
        <v>55</v>
      </c>
      <c r="C46" s="51">
        <f>ROUND(SUM(D15,D18:D19,D23,D25:D27,D30:D31),3)</f>
        <v>45.344999999999999</v>
      </c>
      <c r="D46" s="52">
        <f>ROUND(C46/C$37,3)</f>
        <v>47.613999999999997</v>
      </c>
      <c r="E46" s="19"/>
      <c r="F46" s="47">
        <f>+G36/F39</f>
        <v>43.719756239698491</v>
      </c>
      <c r="G46" s="57">
        <f>+G38/F39</f>
        <v>45.907332445386025</v>
      </c>
    </row>
    <row r="47" spans="1:10" x14ac:dyDescent="0.2">
      <c r="A47" s="89">
        <v>38</v>
      </c>
      <c r="B47" s="22" t="s">
        <v>53</v>
      </c>
      <c r="C47" s="47">
        <f>SUM(C45:C46)</f>
        <v>64.847999999999999</v>
      </c>
      <c r="D47" s="48">
        <f>SUM(D45:D46)</f>
        <v>68.092999999999989</v>
      </c>
      <c r="E47" s="19"/>
      <c r="F47" s="49">
        <f>SUM(F45:F46)</f>
        <v>62.522800510590216</v>
      </c>
      <c r="G47" s="48">
        <f>SUM(G45:G46)</f>
        <v>65.651212068057276</v>
      </c>
    </row>
    <row r="48" spans="1:10" x14ac:dyDescent="0.2">
      <c r="A48" s="1"/>
      <c r="C48" s="58">
        <f>+C47-C44</f>
        <v>0</v>
      </c>
      <c r="D48" s="59">
        <f>+D47-D44</f>
        <v>2.4399064204772003E-4</v>
      </c>
      <c r="E48" s="1" t="s">
        <v>65</v>
      </c>
      <c r="F48" s="58">
        <f>+F47-F44</f>
        <v>0</v>
      </c>
      <c r="G48" s="60">
        <f>+G47-G44</f>
        <v>0</v>
      </c>
    </row>
  </sheetData>
  <mergeCells count="2">
    <mergeCell ref="I4:J4"/>
    <mergeCell ref="I11:J11"/>
  </mergeCells>
  <pageMargins left="0.7" right="0.7" top="0.75" bottom="0.75" header="0.3" footer="0.3"/>
  <pageSetup scale="86" orientation="landscape" r:id="rId1"/>
  <headerFooter>
    <oddFooter>&amp;L&amp;A&amp;RExh. JAP-5
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8"/>
  <sheetViews>
    <sheetView tabSelected="1" topLeftCell="A16" zoomScaleNormal="100" workbookViewId="0">
      <selection activeCell="C51" sqref="C51"/>
    </sheetView>
  </sheetViews>
  <sheetFormatPr defaultRowHeight="11.25" x14ac:dyDescent="0.2"/>
  <cols>
    <col min="1" max="1" width="4.28515625" style="8" bestFit="1" customWidth="1"/>
    <col min="2" max="2" width="32.85546875" style="8" bestFit="1" customWidth="1"/>
    <col min="3" max="3" width="14" style="8" bestFit="1" customWidth="1"/>
    <col min="4" max="4" width="11.28515625" style="8" bestFit="1" customWidth="1"/>
    <col min="5" max="5" width="8.28515625" style="8" bestFit="1" customWidth="1"/>
    <col min="6" max="7" width="11.5703125" style="8" bestFit="1" customWidth="1"/>
    <col min="8" max="8" width="9.140625" style="8"/>
    <col min="9" max="9" width="11.5703125" style="8" bestFit="1" customWidth="1"/>
    <col min="10" max="10" width="12.140625" style="8" bestFit="1" customWidth="1"/>
    <col min="11" max="11" width="14.42578125" style="8" bestFit="1" customWidth="1"/>
    <col min="12" max="16384" width="9.140625" style="8"/>
  </cols>
  <sheetData>
    <row r="1" spans="1:11" x14ac:dyDescent="0.2">
      <c r="A1" s="85" t="s">
        <v>0</v>
      </c>
      <c r="B1" s="86"/>
      <c r="C1" s="86"/>
      <c r="D1" s="86"/>
      <c r="E1" s="86"/>
      <c r="F1" s="86"/>
      <c r="G1" s="86"/>
    </row>
    <row r="2" spans="1:11" x14ac:dyDescent="0.2">
      <c r="A2" s="85" t="s">
        <v>67</v>
      </c>
      <c r="B2" s="86"/>
      <c r="C2" s="86"/>
      <c r="D2" s="86"/>
      <c r="E2" s="86"/>
      <c r="F2" s="86"/>
      <c r="G2" s="86"/>
    </row>
    <row r="4" spans="1:11" x14ac:dyDescent="0.2">
      <c r="A4" s="1"/>
      <c r="I4" s="103" t="s">
        <v>58</v>
      </c>
      <c r="J4" s="103"/>
    </row>
    <row r="5" spans="1:11" x14ac:dyDescent="0.2">
      <c r="A5" s="1" t="s">
        <v>2</v>
      </c>
      <c r="C5" s="87" t="s">
        <v>70</v>
      </c>
      <c r="I5" s="88" t="s">
        <v>57</v>
      </c>
      <c r="J5" s="88" t="s">
        <v>59</v>
      </c>
    </row>
    <row r="6" spans="1:11" x14ac:dyDescent="0.2">
      <c r="A6" s="89">
        <v>3</v>
      </c>
      <c r="B6" s="8" t="s">
        <v>3</v>
      </c>
      <c r="C6" s="9">
        <v>95537057.791840822</v>
      </c>
      <c r="I6" s="90">
        <f>+'2022 GRC PCA Costs'!C16</f>
        <v>0.8</v>
      </c>
      <c r="J6" s="90">
        <f>+'2022 GRC PCA Costs'!C15</f>
        <v>0.19999999999999996</v>
      </c>
      <c r="K6" s="8" t="s">
        <v>117</v>
      </c>
    </row>
    <row r="7" spans="1:11" x14ac:dyDescent="0.2">
      <c r="A7" s="89">
        <v>4</v>
      </c>
      <c r="B7" s="8" t="s">
        <v>4</v>
      </c>
      <c r="C7" s="9">
        <v>65443336.194616556</v>
      </c>
      <c r="I7" s="90">
        <v>1</v>
      </c>
      <c r="J7" s="90"/>
      <c r="K7" s="8" t="s">
        <v>118</v>
      </c>
    </row>
    <row r="8" spans="1:11" x14ac:dyDescent="0.2">
      <c r="A8" s="89">
        <v>5</v>
      </c>
      <c r="B8" s="8" t="s">
        <v>5</v>
      </c>
      <c r="C8" s="9">
        <v>1284000922.6863666</v>
      </c>
      <c r="I8" s="90"/>
      <c r="J8" s="90">
        <v>1</v>
      </c>
      <c r="K8" s="8" t="s">
        <v>8</v>
      </c>
    </row>
    <row r="9" spans="1:11" x14ac:dyDescent="0.2">
      <c r="A9" s="89">
        <f>+A8+1</f>
        <v>6</v>
      </c>
      <c r="C9" s="10">
        <f>SUM(C6:C8)</f>
        <v>1444981316.6728239</v>
      </c>
    </row>
    <row r="10" spans="1:11" x14ac:dyDescent="0.2">
      <c r="A10" s="89">
        <f>+A9+1</f>
        <v>7</v>
      </c>
      <c r="B10" s="11" t="s">
        <v>6</v>
      </c>
      <c r="C10" s="12">
        <v>6.9599999999999995E-2</v>
      </c>
      <c r="D10" s="13"/>
      <c r="E10" s="13"/>
      <c r="F10" s="14" t="s">
        <v>7</v>
      </c>
      <c r="G10" s="14" t="s">
        <v>8</v>
      </c>
    </row>
    <row r="11" spans="1:11" x14ac:dyDescent="0.2">
      <c r="A11" s="89">
        <f>+A10+1</f>
        <v>8</v>
      </c>
      <c r="B11" s="11"/>
      <c r="C11" s="12"/>
      <c r="D11" s="14" t="s">
        <v>9</v>
      </c>
      <c r="E11" s="14"/>
      <c r="F11" s="14" t="s">
        <v>10</v>
      </c>
      <c r="G11" s="14" t="s">
        <v>10</v>
      </c>
      <c r="I11" s="103" t="s">
        <v>58</v>
      </c>
      <c r="J11" s="103"/>
    </row>
    <row r="12" spans="1:11" x14ac:dyDescent="0.2">
      <c r="A12" s="89">
        <f>+A11+1</f>
        <v>9</v>
      </c>
      <c r="B12" s="15"/>
      <c r="C12" s="12"/>
      <c r="D12" s="56" t="s">
        <v>11</v>
      </c>
      <c r="E12" s="56"/>
      <c r="F12" s="16" t="s">
        <v>12</v>
      </c>
      <c r="G12" s="16" t="s">
        <v>13</v>
      </c>
      <c r="I12" s="91" t="s">
        <v>57</v>
      </c>
      <c r="J12" s="91" t="s">
        <v>59</v>
      </c>
    </row>
    <row r="13" spans="1:11" x14ac:dyDescent="0.2">
      <c r="A13" s="89" t="s">
        <v>14</v>
      </c>
      <c r="B13" s="11"/>
      <c r="C13" s="14" t="s">
        <v>15</v>
      </c>
      <c r="D13" s="17" t="s">
        <v>16</v>
      </c>
      <c r="E13" s="17" t="s">
        <v>17</v>
      </c>
      <c r="F13" s="17" t="s">
        <v>18</v>
      </c>
      <c r="G13" s="17" t="s">
        <v>19</v>
      </c>
    </row>
    <row r="14" spans="1:11" x14ac:dyDescent="0.2">
      <c r="A14" s="89">
        <v>10</v>
      </c>
      <c r="B14" s="11" t="s">
        <v>71</v>
      </c>
      <c r="C14" s="18">
        <v>8416935.7244457211</v>
      </c>
      <c r="D14" s="19">
        <f t="shared" ref="D14:D22" si="0">ROUND(C14/C$39,3)</f>
        <v>0.433</v>
      </c>
      <c r="E14" s="20" t="s">
        <v>20</v>
      </c>
      <c r="F14" s="18">
        <f>+C14</f>
        <v>8416935.7244457211</v>
      </c>
      <c r="G14" s="18"/>
      <c r="I14" s="9">
        <f>+C14*$I$6</f>
        <v>6733548.5795565769</v>
      </c>
      <c r="J14" s="9">
        <f>+C14*$J$6</f>
        <v>1683387.1448891438</v>
      </c>
    </row>
    <row r="15" spans="1:11" x14ac:dyDescent="0.2">
      <c r="A15" s="89" t="s">
        <v>21</v>
      </c>
      <c r="B15" s="11" t="s">
        <v>22</v>
      </c>
      <c r="C15" s="18">
        <v>3232440</v>
      </c>
      <c r="D15" s="19">
        <f t="shared" si="0"/>
        <v>0.16600000000000001</v>
      </c>
      <c r="E15" s="20" t="s">
        <v>23</v>
      </c>
      <c r="F15" s="21"/>
      <c r="G15" s="21">
        <f>+C15</f>
        <v>3232440</v>
      </c>
      <c r="I15" s="9"/>
      <c r="J15" s="9">
        <f>+C15</f>
        <v>3232440</v>
      </c>
    </row>
    <row r="16" spans="1:11" x14ac:dyDescent="0.2">
      <c r="A16" s="89">
        <v>11</v>
      </c>
      <c r="B16" s="22" t="s">
        <v>72</v>
      </c>
      <c r="C16" s="18">
        <v>5765640.7584117875</v>
      </c>
      <c r="D16" s="19">
        <f t="shared" si="0"/>
        <v>0.29699999999999999</v>
      </c>
      <c r="E16" s="20" t="s">
        <v>20</v>
      </c>
      <c r="F16" s="21">
        <f>+C16</f>
        <v>5765640.7584117875</v>
      </c>
      <c r="G16" s="21"/>
      <c r="I16" s="9">
        <f>+C16*$I$7</f>
        <v>5765640.7584117875</v>
      </c>
      <c r="J16" s="9">
        <f>+C16*$J$7</f>
        <v>0</v>
      </c>
    </row>
    <row r="17" spans="1:10" x14ac:dyDescent="0.2">
      <c r="A17" s="89">
        <v>12</v>
      </c>
      <c r="B17" s="22" t="s">
        <v>73</v>
      </c>
      <c r="C17" s="18">
        <v>111496788.9826389</v>
      </c>
      <c r="D17" s="19">
        <f t="shared" si="0"/>
        <v>5.734</v>
      </c>
      <c r="E17" s="20" t="s">
        <v>20</v>
      </c>
      <c r="F17" s="21">
        <f>+C17</f>
        <v>111496788.9826389</v>
      </c>
      <c r="G17" s="21"/>
      <c r="I17" s="9">
        <f>+C17*$I$6</f>
        <v>89197431.186111122</v>
      </c>
      <c r="J17" s="9">
        <f>+C17*$J$6</f>
        <v>22299357.796527773</v>
      </c>
    </row>
    <row r="18" spans="1:10" x14ac:dyDescent="0.2">
      <c r="A18" s="89">
        <v>13</v>
      </c>
      <c r="B18" s="22" t="s">
        <v>24</v>
      </c>
      <c r="C18" s="18">
        <v>44102798.880000003</v>
      </c>
      <c r="D18" s="19">
        <f t="shared" si="0"/>
        <v>2.2679999999999998</v>
      </c>
      <c r="E18" s="20" t="s">
        <v>23</v>
      </c>
      <c r="F18" s="21"/>
      <c r="G18" s="21">
        <f>+C18</f>
        <v>44102798.880000003</v>
      </c>
      <c r="I18" s="9"/>
      <c r="J18" s="9">
        <f>+C18</f>
        <v>44102798.880000003</v>
      </c>
    </row>
    <row r="19" spans="1:10" x14ac:dyDescent="0.2">
      <c r="A19" s="89">
        <v>14</v>
      </c>
      <c r="B19" s="22" t="s">
        <v>25</v>
      </c>
      <c r="C19" s="18">
        <v>578899870.43616784</v>
      </c>
      <c r="D19" s="19">
        <f t="shared" si="0"/>
        <v>29.773</v>
      </c>
      <c r="E19" s="20" t="s">
        <v>23</v>
      </c>
      <c r="F19" s="21"/>
      <c r="G19" s="21">
        <f>+C19</f>
        <v>578899870.43616784</v>
      </c>
      <c r="I19" s="9"/>
      <c r="J19" s="9">
        <f>+C19</f>
        <v>578899870.43616784</v>
      </c>
    </row>
    <row r="20" spans="1:10" x14ac:dyDescent="0.2">
      <c r="A20" s="89">
        <v>15</v>
      </c>
      <c r="B20" s="22" t="s">
        <v>26</v>
      </c>
      <c r="C20" s="18">
        <v>14641666.750612782</v>
      </c>
      <c r="D20" s="19">
        <f t="shared" si="0"/>
        <v>0.753</v>
      </c>
      <c r="E20" s="20" t="s">
        <v>20</v>
      </c>
      <c r="F20" s="21">
        <f>+C20</f>
        <v>14641666.750612782</v>
      </c>
      <c r="G20" s="21"/>
      <c r="I20" s="9">
        <f>+C20*$I$6</f>
        <v>11713333.400490226</v>
      </c>
      <c r="J20" s="9">
        <f>+C20*$J$6</f>
        <v>2928333.3501225556</v>
      </c>
    </row>
    <row r="21" spans="1:10" x14ac:dyDescent="0.2">
      <c r="A21" s="89" t="s">
        <v>27</v>
      </c>
      <c r="B21" s="23" t="s">
        <v>28</v>
      </c>
      <c r="C21" s="18">
        <v>9210031.3419006318</v>
      </c>
      <c r="D21" s="19">
        <f t="shared" si="0"/>
        <v>0.47399999999999998</v>
      </c>
      <c r="E21" s="20" t="s">
        <v>20</v>
      </c>
      <c r="F21" s="21">
        <f>+C21</f>
        <v>9210031.3419006318</v>
      </c>
      <c r="G21" s="21"/>
      <c r="I21" s="9">
        <f>+C21*$I$6</f>
        <v>7368025.0735205058</v>
      </c>
      <c r="J21" s="9">
        <f>+C21*$J$6</f>
        <v>1842006.268380126</v>
      </c>
    </row>
    <row r="22" spans="1:10" x14ac:dyDescent="0.2">
      <c r="A22" s="89" t="s">
        <v>29</v>
      </c>
      <c r="B22" s="23" t="s">
        <v>56</v>
      </c>
      <c r="C22" s="18">
        <v>4192840</v>
      </c>
      <c r="D22" s="19">
        <f t="shared" si="0"/>
        <v>0.216</v>
      </c>
      <c r="E22" s="20" t="s">
        <v>20</v>
      </c>
      <c r="F22" s="21">
        <f>+C22</f>
        <v>4192840</v>
      </c>
      <c r="G22" s="21"/>
      <c r="I22" s="9">
        <f>+C22*$I$6</f>
        <v>3354272</v>
      </c>
      <c r="J22" s="9">
        <f>+C22*$J$6</f>
        <v>838567.99999999977</v>
      </c>
    </row>
    <row r="23" spans="1:10" x14ac:dyDescent="0.2">
      <c r="A23" s="89" t="s">
        <v>31</v>
      </c>
      <c r="B23" s="23" t="s">
        <v>60</v>
      </c>
      <c r="C23" s="18" t="s">
        <v>61</v>
      </c>
      <c r="D23" s="17" t="s">
        <v>61</v>
      </c>
      <c r="E23" s="20" t="s">
        <v>23</v>
      </c>
      <c r="F23" s="21"/>
      <c r="G23" s="17"/>
      <c r="I23" s="9"/>
      <c r="J23" s="9" t="str">
        <f>+C23</f>
        <v>in tracker</v>
      </c>
    </row>
    <row r="24" spans="1:10" x14ac:dyDescent="0.2">
      <c r="A24" s="89" t="s">
        <v>32</v>
      </c>
      <c r="B24" s="23" t="s">
        <v>33</v>
      </c>
      <c r="C24" s="18">
        <v>2711944.1354569984</v>
      </c>
      <c r="D24" s="19">
        <f t="shared" ref="D24:D35" si="1">ROUND(C24/C$39,3)</f>
        <v>0.13900000000000001</v>
      </c>
      <c r="E24" s="20" t="s">
        <v>20</v>
      </c>
      <c r="F24" s="21">
        <f>+C24</f>
        <v>2711944.1354569984</v>
      </c>
      <c r="G24" s="21"/>
      <c r="I24" s="9">
        <f>+C24*$I$6</f>
        <v>2169555.3083655988</v>
      </c>
      <c r="J24" s="9">
        <f>+C24*$J$6</f>
        <v>542388.82709139958</v>
      </c>
    </row>
    <row r="25" spans="1:10" x14ac:dyDescent="0.2">
      <c r="A25" s="89" t="s">
        <v>34</v>
      </c>
      <c r="B25" s="23" t="s">
        <v>35</v>
      </c>
      <c r="C25" s="18">
        <v>546706.65554329602</v>
      </c>
      <c r="D25" s="19">
        <f t="shared" si="1"/>
        <v>2.8000000000000001E-2</v>
      </c>
      <c r="E25" s="20" t="s">
        <v>23</v>
      </c>
      <c r="F25" s="21"/>
      <c r="G25" s="21">
        <f>+C25</f>
        <v>546706.65554329602</v>
      </c>
      <c r="I25" s="9"/>
      <c r="J25" s="9">
        <f>+C25</f>
        <v>546706.65554329602</v>
      </c>
    </row>
    <row r="26" spans="1:10" x14ac:dyDescent="0.2">
      <c r="A26" s="89">
        <v>16</v>
      </c>
      <c r="B26" s="22" t="s">
        <v>36</v>
      </c>
      <c r="C26" s="18">
        <v>207712023.88428909</v>
      </c>
      <c r="D26" s="19">
        <f t="shared" si="1"/>
        <v>10.683</v>
      </c>
      <c r="E26" s="20" t="s">
        <v>23</v>
      </c>
      <c r="F26" s="21"/>
      <c r="G26" s="21">
        <f>+C26</f>
        <v>207712023.88428909</v>
      </c>
      <c r="I26" s="9"/>
      <c r="J26" s="9">
        <f>+C26</f>
        <v>207712023.88428909</v>
      </c>
    </row>
    <row r="27" spans="1:10" x14ac:dyDescent="0.2">
      <c r="A27" s="89">
        <v>17</v>
      </c>
      <c r="B27" s="22" t="s">
        <v>37</v>
      </c>
      <c r="C27" s="18">
        <v>142481594.35804957</v>
      </c>
      <c r="D27" s="19">
        <f t="shared" si="1"/>
        <v>7.3280000000000003</v>
      </c>
      <c r="E27" s="20" t="s">
        <v>23</v>
      </c>
      <c r="F27" s="21"/>
      <c r="G27" s="21">
        <f>+C27</f>
        <v>142481594.35804957</v>
      </c>
      <c r="I27" s="9"/>
      <c r="J27" s="9">
        <f>+C27</f>
        <v>142481594.35804957</v>
      </c>
    </row>
    <row r="28" spans="1:10" x14ac:dyDescent="0.2">
      <c r="A28" s="89">
        <v>18</v>
      </c>
      <c r="B28" s="22" t="s">
        <v>38</v>
      </c>
      <c r="C28" s="18">
        <v>-5269217.0019597961</v>
      </c>
      <c r="D28" s="19">
        <f t="shared" si="1"/>
        <v>-0.27100000000000002</v>
      </c>
      <c r="E28" s="20" t="s">
        <v>20</v>
      </c>
      <c r="F28" s="21">
        <f>+C28</f>
        <v>-5269217.0019597961</v>
      </c>
      <c r="G28" s="21"/>
      <c r="I28" s="9">
        <f>+C28*$I$7</f>
        <v>-5269217.0019597961</v>
      </c>
      <c r="J28" s="9">
        <f>+C28*$J$7</f>
        <v>0</v>
      </c>
    </row>
    <row r="29" spans="1:10" x14ac:dyDescent="0.2">
      <c r="A29" s="89">
        <v>19</v>
      </c>
      <c r="B29" s="22" t="s">
        <v>39</v>
      </c>
      <c r="C29" s="18">
        <v>96084799.616739362</v>
      </c>
      <c r="D29" s="19">
        <f t="shared" si="1"/>
        <v>4.9420000000000002</v>
      </c>
      <c r="E29" s="20" t="s">
        <v>20</v>
      </c>
      <c r="F29" s="21">
        <f>+C29</f>
        <v>96084799.616739362</v>
      </c>
      <c r="G29" s="21"/>
      <c r="I29" s="9">
        <f>+C29*$I$6</f>
        <v>76867839.693391487</v>
      </c>
      <c r="J29" s="9">
        <f>+C29*$J$6</f>
        <v>19216959.923347868</v>
      </c>
    </row>
    <row r="30" spans="1:10" x14ac:dyDescent="0.2">
      <c r="A30" s="89">
        <v>20</v>
      </c>
      <c r="B30" s="22" t="s">
        <v>40</v>
      </c>
      <c r="C30" s="18">
        <v>-115324263.748</v>
      </c>
      <c r="D30" s="19">
        <f t="shared" si="1"/>
        <v>-5.931</v>
      </c>
      <c r="E30" s="20" t="s">
        <v>23</v>
      </c>
      <c r="F30" s="21"/>
      <c r="G30" s="21">
        <f>+C30</f>
        <v>-115324263.748</v>
      </c>
      <c r="I30" s="9"/>
      <c r="J30" s="9">
        <f>+C30</f>
        <v>-115324263.748</v>
      </c>
    </row>
    <row r="31" spans="1:10" x14ac:dyDescent="0.2">
      <c r="A31" s="89">
        <v>21</v>
      </c>
      <c r="B31" s="24" t="s">
        <v>41</v>
      </c>
      <c r="C31" s="18">
        <v>-24671916.034157109</v>
      </c>
      <c r="D31" s="19">
        <f t="shared" si="1"/>
        <v>-1.2689999999999999</v>
      </c>
      <c r="E31" s="20" t="s">
        <v>23</v>
      </c>
      <c r="F31" s="21"/>
      <c r="G31" s="21">
        <f>+C31</f>
        <v>-24671916.034157109</v>
      </c>
      <c r="I31" s="9"/>
      <c r="J31" s="9">
        <f>+C31</f>
        <v>-24671916.034157109</v>
      </c>
    </row>
    <row r="32" spans="1:10" x14ac:dyDescent="0.2">
      <c r="A32" s="89">
        <v>22</v>
      </c>
      <c r="B32" s="22" t="s">
        <v>42</v>
      </c>
      <c r="C32" s="18">
        <v>620102.13639215217</v>
      </c>
      <c r="D32" s="19">
        <f t="shared" si="1"/>
        <v>3.2000000000000001E-2</v>
      </c>
      <c r="E32" s="20" t="s">
        <v>20</v>
      </c>
      <c r="F32" s="21">
        <f>+C32</f>
        <v>620102.13639215217</v>
      </c>
      <c r="G32" s="21"/>
      <c r="I32" s="9">
        <f>+C32</f>
        <v>620102.13639215217</v>
      </c>
      <c r="J32" s="9"/>
    </row>
    <row r="33" spans="1:10" x14ac:dyDescent="0.2">
      <c r="A33" s="89">
        <v>23</v>
      </c>
      <c r="B33" s="25" t="s">
        <v>43</v>
      </c>
      <c r="C33" s="18">
        <v>132651471.32920007</v>
      </c>
      <c r="D33" s="19">
        <f t="shared" si="1"/>
        <v>6.8220000000000001</v>
      </c>
      <c r="E33" s="20" t="s">
        <v>20</v>
      </c>
      <c r="F33" s="21">
        <f>+C33</f>
        <v>132651471.32920007</v>
      </c>
      <c r="G33" s="21"/>
      <c r="I33" s="9">
        <f>+C33*$I$6</f>
        <v>106121177.06336007</v>
      </c>
      <c r="J33" s="9">
        <f>+C33*$J$6</f>
        <v>26530294.265840009</v>
      </c>
    </row>
    <row r="34" spans="1:10" x14ac:dyDescent="0.2">
      <c r="A34" s="89">
        <v>24</v>
      </c>
      <c r="B34" s="25" t="s">
        <v>44</v>
      </c>
      <c r="C34" s="18">
        <v>3336056.3958769999</v>
      </c>
      <c r="D34" s="19">
        <f t="shared" si="1"/>
        <v>0.17199999999999999</v>
      </c>
      <c r="E34" s="20" t="s">
        <v>20</v>
      </c>
      <c r="F34" s="21">
        <f>+C34</f>
        <v>3336056.3958769999</v>
      </c>
      <c r="G34" s="21"/>
      <c r="I34" s="9">
        <f>+C34</f>
        <v>3336056.3958769999</v>
      </c>
      <c r="J34" s="9"/>
    </row>
    <row r="35" spans="1:10" x14ac:dyDescent="0.2">
      <c r="A35" s="89">
        <v>25</v>
      </c>
      <c r="B35" s="25" t="s">
        <v>45</v>
      </c>
      <c r="C35" s="18">
        <v>1242443.375022307</v>
      </c>
      <c r="D35" s="19">
        <f t="shared" si="1"/>
        <v>6.4000000000000001E-2</v>
      </c>
      <c r="E35" s="20" t="s">
        <v>20</v>
      </c>
      <c r="F35" s="21">
        <f>+C35</f>
        <v>1242443.375022307</v>
      </c>
      <c r="G35" s="21"/>
      <c r="I35" s="9">
        <f>+C35*$I$6</f>
        <v>993954.70001784572</v>
      </c>
      <c r="J35" s="9">
        <f>+C35*$J$6</f>
        <v>248488.67500446134</v>
      </c>
    </row>
    <row r="36" spans="1:10" ht="12" thickBot="1" x14ac:dyDescent="0.25">
      <c r="A36" s="89">
        <v>27</v>
      </c>
      <c r="B36" s="26" t="s">
        <v>46</v>
      </c>
      <c r="C36" s="27">
        <f>SUM(C14:C35)</f>
        <v>1222080757.9766307</v>
      </c>
      <c r="D36" s="28">
        <f>SUM(D14:D35)</f>
        <v>62.853000000000002</v>
      </c>
      <c r="E36" s="29"/>
      <c r="F36" s="30">
        <f>SUM(F14:F35)</f>
        <v>385101503.54473788</v>
      </c>
      <c r="G36" s="30">
        <f>SUM(G14:G35)</f>
        <v>836979254.43189263</v>
      </c>
      <c r="I36" s="9">
        <f>SUM(I14:I35)</f>
        <v>308971719.29353458</v>
      </c>
      <c r="J36" s="9">
        <f>SUM(J14:J35)</f>
        <v>913109038.68309629</v>
      </c>
    </row>
    <row r="37" spans="1:10" x14ac:dyDescent="0.2">
      <c r="A37" s="89">
        <v>28</v>
      </c>
      <c r="B37" s="22" t="s">
        <v>47</v>
      </c>
      <c r="C37" s="31">
        <f>+'MYRP 2024'!C37</f>
        <v>0.95234799999999997</v>
      </c>
      <c r="E37" s="32"/>
      <c r="F37" s="33">
        <f>+C37</f>
        <v>0.95234799999999997</v>
      </c>
      <c r="G37" s="33">
        <f>+C37</f>
        <v>0.95234799999999997</v>
      </c>
      <c r="I37" s="92">
        <f>+C37</f>
        <v>0.95234799999999997</v>
      </c>
      <c r="J37" s="92">
        <f>+C37</f>
        <v>0.95234799999999997</v>
      </c>
    </row>
    <row r="38" spans="1:10" x14ac:dyDescent="0.2">
      <c r="A38" s="89">
        <v>29</v>
      </c>
      <c r="B38" s="22" t="s">
        <v>48</v>
      </c>
      <c r="C38" s="34">
        <f>+C36/C37</f>
        <v>1283229195.6056302</v>
      </c>
      <c r="E38" s="21"/>
      <c r="F38" s="34">
        <f>+F36/F37</f>
        <v>404370569.94369483</v>
      </c>
      <c r="G38" s="34">
        <f>+G36/G37</f>
        <v>878858625.66193521</v>
      </c>
      <c r="I38" s="34">
        <f>+I36/I37</f>
        <v>324431530.58916968</v>
      </c>
      <c r="J38" s="34">
        <f>+J36/J37</f>
        <v>958797665.01646066</v>
      </c>
    </row>
    <row r="39" spans="1:10" x14ac:dyDescent="0.2">
      <c r="A39" s="89">
        <v>30</v>
      </c>
      <c r="B39" s="22" t="s">
        <v>62</v>
      </c>
      <c r="C39" s="21">
        <v>19443871</v>
      </c>
      <c r="D39" s="21"/>
      <c r="E39" s="21"/>
      <c r="F39" s="35">
        <v>20631871</v>
      </c>
      <c r="G39" s="35"/>
      <c r="I39" s="90">
        <f>+I38/C38</f>
        <v>0.25282430582172943</v>
      </c>
      <c r="J39" s="90">
        <f>+J38/C38</f>
        <v>0.74717569417827068</v>
      </c>
    </row>
    <row r="40" spans="1:10" x14ac:dyDescent="0.2">
      <c r="A40" s="89">
        <v>31</v>
      </c>
      <c r="B40" s="22"/>
      <c r="C40" s="36" t="s">
        <v>63</v>
      </c>
      <c r="D40" s="37"/>
      <c r="E40" s="38"/>
      <c r="F40" s="36" t="s">
        <v>64</v>
      </c>
      <c r="G40" s="39"/>
    </row>
    <row r="41" spans="1:10" x14ac:dyDescent="0.2">
      <c r="A41" s="22">
        <v>32</v>
      </c>
      <c r="B41" s="42"/>
      <c r="C41" s="40" t="s">
        <v>49</v>
      </c>
      <c r="D41" s="41" t="s">
        <v>50</v>
      </c>
      <c r="E41" s="42"/>
      <c r="F41" s="40" t="s">
        <v>49</v>
      </c>
      <c r="G41" s="41" t="s">
        <v>50</v>
      </c>
    </row>
    <row r="42" spans="1:10" x14ac:dyDescent="0.2">
      <c r="A42" s="22">
        <v>33</v>
      </c>
      <c r="B42" s="53"/>
      <c r="C42" s="43" t="s">
        <v>51</v>
      </c>
      <c r="D42" s="44" t="s">
        <v>51</v>
      </c>
      <c r="E42" s="42"/>
      <c r="F42" s="43" t="s">
        <v>51</v>
      </c>
      <c r="G42" s="44" t="s">
        <v>51</v>
      </c>
    </row>
    <row r="43" spans="1:10" x14ac:dyDescent="0.2">
      <c r="A43" s="22">
        <v>34</v>
      </c>
      <c r="B43" s="54"/>
      <c r="C43" s="45" t="s">
        <v>52</v>
      </c>
      <c r="D43" s="46"/>
      <c r="E43" s="42"/>
      <c r="F43" s="45" t="s">
        <v>52</v>
      </c>
      <c r="G43" s="46"/>
    </row>
    <row r="44" spans="1:10" x14ac:dyDescent="0.2">
      <c r="A44" s="22">
        <v>35</v>
      </c>
      <c r="B44" s="19" t="s">
        <v>53</v>
      </c>
      <c r="C44" s="47">
        <f>D36</f>
        <v>62.853000000000002</v>
      </c>
      <c r="D44" s="48">
        <f>C44/C$37</f>
        <v>65.997933528500084</v>
      </c>
      <c r="E44" s="42"/>
      <c r="F44" s="47">
        <f>+C36/F39</f>
        <v>59.232667651742815</v>
      </c>
      <c r="G44" s="48">
        <f>+C38/F39</f>
        <v>62.196453031604847</v>
      </c>
    </row>
    <row r="45" spans="1:10" ht="12" thickBot="1" x14ac:dyDescent="0.25">
      <c r="A45" s="22">
        <v>36</v>
      </c>
      <c r="B45" s="19" t="s">
        <v>54</v>
      </c>
      <c r="C45" s="47">
        <f>ROUND(SUM(D14,D16:D17,D20:D22,D24,D28:D29,D32:D35),3)</f>
        <v>19.806999999999999</v>
      </c>
      <c r="D45" s="48">
        <f>ROUND(C45/C$37,3)</f>
        <v>20.797999999999998</v>
      </c>
      <c r="E45" s="42"/>
      <c r="F45" s="49">
        <f>+F36/F39</f>
        <v>18.665369880644263</v>
      </c>
      <c r="G45" s="50">
        <f>+F38/F39</f>
        <v>19.599316511027759</v>
      </c>
    </row>
    <row r="46" spans="1:10" ht="12" thickBot="1" x14ac:dyDescent="0.25">
      <c r="A46" s="22">
        <v>37</v>
      </c>
      <c r="B46" s="55" t="s">
        <v>55</v>
      </c>
      <c r="C46" s="51">
        <f>ROUND(SUM(D15,D18:D19,D23,D25:D27,D30:D31),3)</f>
        <v>43.045999999999999</v>
      </c>
      <c r="D46" s="52">
        <f>ROUND(C46/C$37,3)</f>
        <v>45.2</v>
      </c>
      <c r="E46" s="19"/>
      <c r="F46" s="47">
        <f>+G36/F39</f>
        <v>40.567297771098538</v>
      </c>
      <c r="G46" s="57">
        <f>+G38/F39</f>
        <v>42.597136520577081</v>
      </c>
    </row>
    <row r="47" spans="1:10" x14ac:dyDescent="0.2">
      <c r="A47" s="22">
        <v>38</v>
      </c>
      <c r="B47" s="19" t="s">
        <v>53</v>
      </c>
      <c r="C47" s="47">
        <f>SUM(C45:C46)</f>
        <v>62.852999999999994</v>
      </c>
      <c r="D47" s="48">
        <f>SUM(D45:D46)</f>
        <v>65.998000000000005</v>
      </c>
      <c r="E47" s="19"/>
      <c r="F47" s="49">
        <f>SUM(F45:F46)</f>
        <v>59.232667651742801</v>
      </c>
      <c r="G47" s="48">
        <f>SUM(G45:G46)</f>
        <v>62.19645303160484</v>
      </c>
    </row>
    <row r="48" spans="1:10" x14ac:dyDescent="0.2">
      <c r="A48" s="1"/>
      <c r="C48" s="58">
        <f>+C47-C44</f>
        <v>0</v>
      </c>
      <c r="D48" s="59">
        <f>+D47-D44</f>
        <v>6.6471499920339738E-5</v>
      </c>
      <c r="E48" s="1" t="s">
        <v>65</v>
      </c>
      <c r="F48" s="58">
        <f>+F47-F44</f>
        <v>0</v>
      </c>
      <c r="G48" s="60">
        <f>+G47-G44</f>
        <v>0</v>
      </c>
    </row>
  </sheetData>
  <mergeCells count="2">
    <mergeCell ref="I4:J4"/>
    <mergeCell ref="I11:J11"/>
  </mergeCells>
  <pageMargins left="0.7" right="0.7" top="0.75" bottom="0.75" header="0.3" footer="0.3"/>
  <pageSetup scale="86" orientation="landscape" r:id="rId1"/>
  <headerFooter>
    <oddFooter>&amp;L&amp;A&amp;RExh. JAP-5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190AE7-5B55-408A-93A2-B16844973E70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3167A81-23A0-4FD6-BEC3-E30ED8C3B718}"/>
</file>

<file path=customXml/itemProps3.xml><?xml version="1.0" encoding="utf-8"?>
<ds:datastoreItem xmlns:ds="http://schemas.openxmlformats.org/officeDocument/2006/customXml" ds:itemID="{7B3E1959-1F13-4D8B-80F4-E34D08BB4B59}"/>
</file>

<file path=customXml/itemProps4.xml><?xml version="1.0" encoding="utf-8"?>
<ds:datastoreItem xmlns:ds="http://schemas.openxmlformats.org/officeDocument/2006/customXml" ds:itemID="{4A0CC5AE-CD1E-4BB3-BB52-63E12FE3EA3B}"/>
</file>

<file path=customXml/itemProps5.xml><?xml version="1.0" encoding="utf-8"?>
<ds:datastoreItem xmlns:ds="http://schemas.openxmlformats.org/officeDocument/2006/customXml" ds:itemID="{0BFE6B16-A8E4-4A31-A707-D59CB3583F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Sch 139 Credit Calculation</vt:lpstr>
      <vt:lpstr>2022 GRC PCA Costs</vt:lpstr>
      <vt:lpstr>Exhibit A-1 -&gt;</vt:lpstr>
      <vt:lpstr>MYRP 2023</vt:lpstr>
      <vt:lpstr>MYRP 2024</vt:lpstr>
      <vt:lpstr>MYRP 2025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2022-01-24T04:14:34Z</cp:lastPrinted>
  <dcterms:created xsi:type="dcterms:W3CDTF">2021-12-19T19:42:51Z</dcterms:created>
  <dcterms:modified xsi:type="dcterms:W3CDTF">2022-01-28T00:54:39Z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