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externalLinks/externalLink8.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3640" windowHeight="9525"/>
  </bookViews>
  <sheets>
    <sheet name="Summary" sheetId="1" r:id="rId1"/>
    <sheet name="DFIT" sheetId="2" r:id="rId2"/>
    <sheet name="Rev Norm" sheetId="8" r:id="rId3"/>
    <sheet name="Trans PCB" sheetId="6" r:id="rId4"/>
    <sheet name="STIP" sheetId="20" r:id="rId5"/>
    <sheet name="Prod Maint" sheetId="9" r:id="rId6"/>
    <sheet name="DPAD" sheetId="3" r:id="rId7"/>
    <sheet name="Perf Excel" sheetId="5" r:id="rId8"/>
    <sheet name="Discretionary" sheetId="11" r:id="rId9"/>
    <sheet name="Dues &amp; Don'ts" sheetId="12" r:id="rId10"/>
    <sheet name="Advertising DSM" sheetId="13" r:id="rId11"/>
    <sheet name="Aircraft" sheetId="14" r:id="rId12"/>
    <sheet name="Audit Errors" sheetId="15" r:id="rId13"/>
    <sheet name="SGDP to Idaho" sheetId="16" r:id="rId14"/>
    <sheet name="Spokane SGIP Savings" sheetId="17" r:id="rId15"/>
    <sheet name="BOD Stock" sheetId="24" r:id="rId16"/>
    <sheet name="BOD Retainers" sheetId="23" r:id="rId17"/>
    <sheet name="Officers Benefits" sheetId="22" r:id="rId18"/>
    <sheet name="Comp Study" sheetId="21" r:id="rId19"/>
    <sheet name="Labor" sheetId="7" r:id="rId20"/>
    <sheet name="Exec Labor" sheetId="18" r:id="rId21"/>
    <sheet name="Insurance" sheetId="19" r:id="rId22"/>
    <sheet name="Prop Tax" sheetId="4"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0">'Advertising DSM'!$A$1:$L$32</definedName>
    <definedName name="_xlnm.Print_Area" localSheetId="11">Aircraft!$A$1:$L$33</definedName>
    <definedName name="_xlnm.Print_Area" localSheetId="12">'Audit Errors'!$A$1:$L$42</definedName>
    <definedName name="_xlnm.Print_Area" localSheetId="1">DFIT!$B$1:$M$29</definedName>
    <definedName name="_xlnm.Print_Area" localSheetId="8">Discretionary!$A$1:$L$38</definedName>
    <definedName name="_xlnm.Print_Area" localSheetId="6">DPAD!$A$1:$L$36</definedName>
    <definedName name="_xlnm.Print_Area" localSheetId="9">'Dues &amp; Don''ts'!$A$1:$L$39</definedName>
    <definedName name="_xlnm.Print_Area" localSheetId="20">'Exec Labor'!$B$1:$L$40</definedName>
    <definedName name="_xlnm.Print_Area" localSheetId="19">Labor!$A$1:$L$38</definedName>
    <definedName name="_xlnm.Print_Area" localSheetId="7">'Perf Excel'!$A$1:$L$31</definedName>
    <definedName name="_xlnm.Print_Area" localSheetId="5">'Prod Maint'!$A$1:$N$74</definedName>
    <definedName name="_xlnm.Print_Area" localSheetId="22">'Prop Tax'!$A$1:$L$33</definedName>
    <definedName name="_xlnm.Print_Area" localSheetId="2">'Rev Norm'!$A$1:$L$37</definedName>
    <definedName name="_xlnm.Print_Area" localSheetId="13">'SGDP to Idaho'!$A$1:$L$49</definedName>
    <definedName name="_xlnm.Print_Area" localSheetId="14">'Spokane SGIP Savings'!$A$1:$M$31</definedName>
    <definedName name="_xlnm.Print_Area" localSheetId="0">Summary!$A$1:$Z$63</definedName>
    <definedName name="_xlnm.Print_Area" localSheetId="3">'Trans PCB'!$A$1:$L$34</definedName>
  </definedNames>
  <calcPr calcId="125725"/>
</workbook>
</file>

<file path=xl/calcChain.xml><?xml version="1.0" encoding="utf-8"?>
<calcChain xmlns="http://schemas.openxmlformats.org/spreadsheetml/2006/main">
  <c r="N44" i="1"/>
  <c r="L44"/>
  <c r="J21" i="21" s="1"/>
  <c r="J25" s="1"/>
  <c r="T43" i="1" s="1"/>
  <c r="V43" s="1"/>
  <c r="Z43" s="1"/>
  <c r="J20" i="22" s="1"/>
  <c r="J24" s="1"/>
  <c r="T42" i="1" s="1"/>
  <c r="V42" s="1"/>
  <c r="Z42" s="1"/>
  <c r="J15" i="23" l="1"/>
  <c r="J19" s="1"/>
  <c r="J15" i="24"/>
  <c r="J19" s="1"/>
  <c r="J23" l="1"/>
  <c r="T40" i="1" s="1"/>
  <c r="V40" s="1"/>
  <c r="Z40" s="1"/>
  <c r="J23" i="23"/>
  <c r="T41" i="1" s="1"/>
  <c r="V41" s="1"/>
  <c r="Z41" s="1"/>
  <c r="I17" i="20" l="1"/>
  <c r="I21" s="1"/>
  <c r="I25" l="1"/>
  <c r="I29" s="1"/>
  <c r="T28" i="1" s="1"/>
  <c r="I15" i="19"/>
  <c r="I19" s="1"/>
  <c r="I23" s="1"/>
  <c r="T50" i="1" s="1"/>
  <c r="V50" s="1"/>
  <c r="V28" l="1"/>
  <c r="I25" i="18"/>
  <c r="I24"/>
  <c r="I23"/>
  <c r="I22"/>
  <c r="I21"/>
  <c r="I20"/>
  <c r="I19"/>
  <c r="I27" l="1"/>
  <c r="I31" l="1"/>
  <c r="I35" s="1"/>
  <c r="T48" i="1" s="1"/>
  <c r="V48" s="1"/>
  <c r="I19" i="13" l="1"/>
  <c r="I13" i="12" l="1"/>
  <c r="J20" i="17" l="1"/>
  <c r="J24" s="1"/>
  <c r="T39" i="1" s="1"/>
  <c r="V39" s="1"/>
  <c r="Z39" s="1"/>
  <c r="I37" i="16"/>
  <c r="I39" s="1"/>
  <c r="I33"/>
  <c r="K20"/>
  <c r="K19"/>
  <c r="K21" s="1"/>
  <c r="K22" s="1"/>
  <c r="K23" s="1"/>
  <c r="K18"/>
  <c r="K14"/>
  <c r="K13"/>
  <c r="K15" s="1"/>
  <c r="K12"/>
  <c r="I22"/>
  <c r="I23" s="1"/>
  <c r="I21"/>
  <c r="I15"/>
  <c r="I24" s="1"/>
  <c r="O18" i="15"/>
  <c r="I16" s="1"/>
  <c r="R38" i="1" l="1"/>
  <c r="R44" s="1"/>
  <c r="K24" i="16"/>
  <c r="K27" s="1"/>
  <c r="I27"/>
  <c r="K42"/>
  <c r="I47" i="15"/>
  <c r="I29"/>
  <c r="I18"/>
  <c r="I23" s="1"/>
  <c r="I31" l="1"/>
  <c r="I35" s="1"/>
  <c r="I39" s="1"/>
  <c r="T37" i="1" s="1"/>
  <c r="V37" s="1"/>
  <c r="Z37" s="1"/>
  <c r="K48" i="16"/>
  <c r="T38" i="1" s="1"/>
  <c r="V38" s="1"/>
  <c r="Z38" s="1"/>
  <c r="I18" i="14"/>
  <c r="I15"/>
  <c r="I23" i="13"/>
  <c r="I20" i="14" l="1"/>
  <c r="I25" s="1"/>
  <c r="I29" s="1"/>
  <c r="T36" i="1" s="1"/>
  <c r="V36" s="1"/>
  <c r="Z36" s="1"/>
  <c r="I27" i="13"/>
  <c r="T35" i="1" s="1"/>
  <c r="V35" s="1"/>
  <c r="Z35" s="1"/>
  <c r="I22" i="12"/>
  <c r="I20"/>
  <c r="I18"/>
  <c r="I16"/>
  <c r="I20" i="11"/>
  <c r="I18"/>
  <c r="I16"/>
  <c r="I14"/>
  <c r="I12"/>
  <c r="I27" i="12" l="1"/>
  <c r="I31" s="1"/>
  <c r="I35" s="1"/>
  <c r="T34" i="1" s="1"/>
  <c r="I24" i="11"/>
  <c r="V34" i="1" l="1"/>
  <c r="I28" i="11"/>
  <c r="I32" s="1"/>
  <c r="T33" i="1" s="1"/>
  <c r="V33" s="1"/>
  <c r="Z33" s="1"/>
  <c r="I15" i="5"/>
  <c r="I23" l="1"/>
  <c r="T32" i="1" s="1"/>
  <c r="V32" s="1"/>
  <c r="Z32" s="1"/>
  <c r="I19" i="5"/>
  <c r="Z34" i="1"/>
  <c r="I21" i="6"/>
  <c r="I25" s="1"/>
  <c r="I28" s="1"/>
  <c r="T27" i="1" s="1"/>
  <c r="V27" s="1"/>
  <c r="E17" i="6"/>
  <c r="E18" s="1"/>
  <c r="E19" s="1"/>
  <c r="H39" i="9"/>
  <c r="J39" s="1"/>
  <c r="J23"/>
  <c r="J26" s="1"/>
  <c r="J17"/>
  <c r="J33" l="1"/>
  <c r="J42"/>
  <c r="J52" s="1"/>
  <c r="I14" i="8"/>
  <c r="I21" s="1"/>
  <c r="I28" s="1"/>
  <c r="J65" i="9" l="1"/>
  <c r="I32" i="8"/>
  <c r="I35" s="1"/>
  <c r="T25" i="1" s="1"/>
  <c r="J47" i="9"/>
  <c r="J56" s="1"/>
  <c r="J69"/>
  <c r="J72" s="1"/>
  <c r="T29" i="1" s="1"/>
  <c r="V29" s="1"/>
  <c r="I25" i="7"/>
  <c r="I24"/>
  <c r="I23"/>
  <c r="I22"/>
  <c r="I21"/>
  <c r="I20"/>
  <c r="I19"/>
  <c r="I20" i="4"/>
  <c r="I18"/>
  <c r="I16"/>
  <c r="V25" i="1" l="1"/>
  <c r="I27" i="7"/>
  <c r="I31" s="1"/>
  <c r="I34" s="1"/>
  <c r="T47" i="1" s="1"/>
  <c r="I23" i="4"/>
  <c r="I27" s="1"/>
  <c r="I30" s="1"/>
  <c r="T51" i="1" s="1"/>
  <c r="V51" s="1"/>
  <c r="V47" l="1"/>
  <c r="Q17" i="3"/>
  <c r="I22"/>
  <c r="I27" s="1"/>
  <c r="I32" s="1"/>
  <c r="I34" s="1"/>
  <c r="T31" i="1" s="1"/>
  <c r="V31" s="1"/>
  <c r="Z31" s="1"/>
  <c r="I20" i="2"/>
  <c r="I19"/>
  <c r="I23" s="1"/>
  <c r="T18" i="1" s="1"/>
  <c r="I15" i="2"/>
  <c r="P61" i="1"/>
  <c r="P60"/>
  <c r="P59"/>
  <c r="P57"/>
  <c r="Z57" s="1"/>
  <c r="P56"/>
  <c r="Z56" s="1"/>
  <c r="P55"/>
  <c r="Z55" s="1"/>
  <c r="P54"/>
  <c r="Z54" s="1"/>
  <c r="P52"/>
  <c r="P51"/>
  <c r="Z51" s="1"/>
  <c r="P50"/>
  <c r="Z50" s="1"/>
  <c r="P49"/>
  <c r="P48"/>
  <c r="Z48" s="1"/>
  <c r="P47"/>
  <c r="P46"/>
  <c r="P45"/>
  <c r="P30"/>
  <c r="P29"/>
  <c r="Z29" s="1"/>
  <c r="P28"/>
  <c r="Z28" s="1"/>
  <c r="P27"/>
  <c r="Z27" s="1"/>
  <c r="P26"/>
  <c r="P25"/>
  <c r="Z25" s="1"/>
  <c r="P24"/>
  <c r="P23"/>
  <c r="P22"/>
  <c r="P21"/>
  <c r="P20"/>
  <c r="P19"/>
  <c r="P18"/>
  <c r="P17"/>
  <c r="P16"/>
  <c r="P15"/>
  <c r="P14"/>
  <c r="P13"/>
  <c r="P12"/>
  <c r="P11"/>
  <c r="P44" s="1"/>
  <c r="T44" l="1"/>
  <c r="T53" s="1"/>
  <c r="T58" s="1"/>
  <c r="T62" s="1"/>
  <c r="V18"/>
  <c r="V44" s="1"/>
  <c r="V53" s="1"/>
  <c r="V58" s="1"/>
  <c r="V62" s="1"/>
  <c r="Z47"/>
  <c r="P53"/>
  <c r="L53"/>
  <c r="L58" s="1"/>
  <c r="L62" s="1"/>
  <c r="N53"/>
  <c r="N58" s="1"/>
  <c r="N62" s="1"/>
  <c r="C55"/>
  <c r="C56" s="1"/>
  <c r="C57" s="1"/>
  <c r="C59" s="1"/>
  <c r="C60" s="1"/>
  <c r="C61" s="1"/>
  <c r="C46"/>
  <c r="C47" s="1"/>
  <c r="C48" s="1"/>
  <c r="C49" s="1"/>
  <c r="C50" s="1"/>
  <c r="C51" s="1"/>
  <c r="C52" s="1"/>
  <c r="C15"/>
  <c r="C16" s="1"/>
  <c r="C17" s="1"/>
  <c r="C18" s="1"/>
  <c r="C19" s="1"/>
  <c r="C20" s="1"/>
  <c r="C21" s="1"/>
  <c r="C22" s="1"/>
  <c r="C23" s="1"/>
  <c r="C24" s="1"/>
  <c r="C25" s="1"/>
  <c r="C26" s="1"/>
  <c r="C27" s="1"/>
  <c r="C28" s="1"/>
  <c r="C29" s="1"/>
  <c r="C30" s="1"/>
  <c r="C12"/>
  <c r="C13" s="1"/>
  <c r="Z18" l="1"/>
  <c r="Z44" s="1"/>
  <c r="Z53" s="1"/>
  <c r="Z58" s="1"/>
  <c r="Z62" s="1"/>
  <c r="P58"/>
  <c r="P62" l="1"/>
</calcChain>
</file>

<file path=xl/sharedStrings.xml><?xml version="1.0" encoding="utf-8"?>
<sst xmlns="http://schemas.openxmlformats.org/spreadsheetml/2006/main" count="952" uniqueCount="556">
  <si>
    <t>Results of Operations</t>
  </si>
  <si>
    <t>Deferred FIT Rate Base</t>
  </si>
  <si>
    <t>Deferred Debits and Credits</t>
  </si>
  <si>
    <t>Working Capital</t>
  </si>
  <si>
    <t>Eliminate B&amp;O Taxes</t>
  </si>
  <si>
    <t>Uncollectible Expense</t>
  </si>
  <si>
    <t>Regulatory Expense</t>
  </si>
  <si>
    <t>Injuries and Damages</t>
  </si>
  <si>
    <t>FIT/DFIT/ITC/PTC Expense</t>
  </si>
  <si>
    <t>Eliminate WA Cost Defer</t>
  </si>
  <si>
    <t>Nez Perce Settlement Adjustment</t>
  </si>
  <si>
    <t>Eliminate Accounts Rec. Expenses</t>
  </si>
  <si>
    <t>Office Space Chg'd to Subsidiaries</t>
  </si>
  <si>
    <t>Restate Excise Taxes</t>
  </si>
  <si>
    <t>Net Gains/Losses</t>
  </si>
  <si>
    <t>Revenue Normalization</t>
  </si>
  <si>
    <t>Miscellaneous Restating</t>
  </si>
  <si>
    <t>PCB Transformer Restating</t>
  </si>
  <si>
    <t>Restate Incentives</t>
  </si>
  <si>
    <t>Colstrip/CS2 Maintenance</t>
  </si>
  <si>
    <t>Restate Debt Interest</t>
  </si>
  <si>
    <t>Restated Total</t>
  </si>
  <si>
    <t>Pro Forma Power Supply</t>
  </si>
  <si>
    <t>Pro Forma Transmission</t>
  </si>
  <si>
    <t>Pro Forma Labor Executive</t>
  </si>
  <si>
    <t>Pro forma Labor Non-Executive</t>
  </si>
  <si>
    <t>Pro Forma Employee Benefits</t>
  </si>
  <si>
    <t>Pro Forma Insurance</t>
  </si>
  <si>
    <t>Pro Forma Property Tax</t>
  </si>
  <si>
    <t>Restate 2011 Capital</t>
  </si>
  <si>
    <t>Pro Forma Subtotal</t>
  </si>
  <si>
    <t>Alternative - Planned Capital Add 2012</t>
  </si>
  <si>
    <t>Alternative - Planned Capital Add 2013</t>
  </si>
  <si>
    <t>Alternative - DSM</t>
  </si>
  <si>
    <t>Alternative - Other</t>
  </si>
  <si>
    <t>Attrition Adjusted Total</t>
  </si>
  <si>
    <t>Retail Revenue Credit</t>
  </si>
  <si>
    <t>Depreciation Study</t>
  </si>
  <si>
    <t>O&amp;M Offset</t>
  </si>
  <si>
    <t>Designation</t>
  </si>
  <si>
    <t>Public</t>
  </si>
  <si>
    <t>Counsel</t>
  </si>
  <si>
    <t>Adjustment Description</t>
  </si>
  <si>
    <t>Final Total</t>
  </si>
  <si>
    <t>Rate Base</t>
  </si>
  <si>
    <t>NOI</t>
  </si>
  <si>
    <t>Rev Req't</t>
  </si>
  <si>
    <t>ROR</t>
  </si>
  <si>
    <t>Tax factor</t>
  </si>
  <si>
    <t>Avista</t>
  </si>
  <si>
    <t>Adj't. No.</t>
  </si>
  <si>
    <t>Public Counsel Position</t>
  </si>
  <si>
    <t>Line</t>
  </si>
  <si>
    <t>No.</t>
  </si>
  <si>
    <t>Description</t>
  </si>
  <si>
    <t>Revised FIT Adustment Recalculated by Avista to</t>
  </si>
  <si>
    <t>Properly Synchronize Test Year Deferred Income Tax</t>
  </si>
  <si>
    <t>Expense with Test Year Temporary Schedule M</t>
  </si>
  <si>
    <t>Amounts</t>
  </si>
  <si>
    <t>Amount</t>
  </si>
  <si>
    <t>Reference</t>
  </si>
  <si>
    <t>Response</t>
  </si>
  <si>
    <t>to PC Data</t>
  </si>
  <si>
    <t>Request No.</t>
  </si>
  <si>
    <t>152-Revised</t>
  </si>
  <si>
    <t>Eliminate Two Prior Period Income Tax Expense</t>
  </si>
  <si>
    <t>Adjustments Recorded Within 2011 Historic Test</t>
  </si>
  <si>
    <t>Year That Were not Removed When Developing</t>
  </si>
  <si>
    <t>Starting Point Results of Operations Report</t>
  </si>
  <si>
    <t>Public Counsel Proposed Adjustment to Restate</t>
  </si>
  <si>
    <t>Lines 4 + 7 + 8</t>
  </si>
  <si>
    <t>Avista Corporation</t>
  </si>
  <si>
    <t>Electric Docket No. UE-120436</t>
  </si>
  <si>
    <t>Adjustment to Restate FIT/DFIT/ITC/PTC Expense</t>
  </si>
  <si>
    <t>Restate FIT for Actual DPAD</t>
  </si>
  <si>
    <t>Adjust FIT for Actual Domestic Production Activities Deduction Taken for 2011</t>
  </si>
  <si>
    <t>Estimated Total Electric Domestic Production Activities</t>
  </si>
  <si>
    <t>Deduction Used in Income Tax Expense Calculation</t>
  </si>
  <si>
    <t>for Purposes of Developing Results of Operations</t>
  </si>
  <si>
    <t>Actual Domestic Production Activities Deduction Now</t>
  </si>
  <si>
    <t>Anticipated to be Taken When Filing Avista's 2011</t>
  </si>
  <si>
    <t>Federal Income Tax Return</t>
  </si>
  <si>
    <t>Incremental Total Electric DPAD to be Reflected for</t>
  </si>
  <si>
    <t>Calculating 2011 Electric Operating Results</t>
  </si>
  <si>
    <t>Washington Jurisdictional Production Factor</t>
  </si>
  <si>
    <t>Incremental Washington Juridictional DPAD to be Reflected</t>
  </si>
  <si>
    <t>for Calculating 2011 Electric Operating Results</t>
  </si>
  <si>
    <t>Federal Income Tax Rate</t>
  </si>
  <si>
    <t>Adjustment to Reduce Washington Jurisdictional</t>
  </si>
  <si>
    <t>Electric Current Federal Income Tax Expense</t>
  </si>
  <si>
    <t>PC Data</t>
  </si>
  <si>
    <t>No. 227</t>
  </si>
  <si>
    <t>Request</t>
  </si>
  <si>
    <t>Line 7 - Line 4</t>
  </si>
  <si>
    <t>Line 9 X Line 10</t>
  </si>
  <si>
    <t>Line 12 x Line 13</t>
  </si>
  <si>
    <t>PC incremental</t>
  </si>
  <si>
    <t>PC E 2.18</t>
  </si>
  <si>
    <t>PC E 2.05</t>
  </si>
  <si>
    <t>Adjust Property Tax Expense to Synchronize with 2011 End of Test Year Plant in Service</t>
  </si>
  <si>
    <t>Total Washington Jurisdiction Proforma Property Tax</t>
  </si>
  <si>
    <t>Expense Synchronized with 2011 End of Test Year</t>
  </si>
  <si>
    <t>Actual Plant in Service:</t>
  </si>
  <si>
    <t>Production/Transmission Function</t>
  </si>
  <si>
    <t>Distribution Function</t>
  </si>
  <si>
    <t>General</t>
  </si>
  <si>
    <t>Total Proforma Washington Jurisdictional</t>
  </si>
  <si>
    <t>Property Tax Expense</t>
  </si>
  <si>
    <t>Confidential Attch</t>
  </si>
  <si>
    <t>A PC Property</t>
  </si>
  <si>
    <t>Tax Adj't.xlsx</t>
  </si>
  <si>
    <t>Staff_DR-333C</t>
  </si>
  <si>
    <t>Decrease in Related Federal Income Taxes</t>
  </si>
  <si>
    <t>Washington Jurisdictional Reduction to Net Operating</t>
  </si>
  <si>
    <t>Income Resulting from Property Tax Adjustment</t>
  </si>
  <si>
    <t>Sum Lines  4, 6, 8</t>
  </si>
  <si>
    <t>Line 10 x Line 11</t>
  </si>
  <si>
    <t>Line 12 - Line 10</t>
  </si>
  <si>
    <t>Adjust Non-Executive Labor for 2012 Wage Increases</t>
  </si>
  <si>
    <t>Expense Adjustment to Reflect Wage Increases</t>
  </si>
  <si>
    <t>Awarded in Early 2012</t>
  </si>
  <si>
    <t xml:space="preserve">Washington Jurisdictional Adjustment by Function to </t>
  </si>
  <si>
    <t>Annualize Wages for Increases Granted in 2011 and</t>
  </si>
  <si>
    <t>Early 2012</t>
  </si>
  <si>
    <t>Production</t>
  </si>
  <si>
    <t>Transmission</t>
  </si>
  <si>
    <t>Distribution</t>
  </si>
  <si>
    <t>Customer Accounts</t>
  </si>
  <si>
    <t>Sales &amp; Marketing</t>
  </si>
  <si>
    <t>Customer Service &amp; Information</t>
  </si>
  <si>
    <t>Administrative and General</t>
  </si>
  <si>
    <t>Total Non-Executive Labor Adjustment</t>
  </si>
  <si>
    <t>Labor</t>
  </si>
  <si>
    <t>Adj't 3.02.xlxs</t>
  </si>
  <si>
    <t>Sum Lines 7 - 13</t>
  </si>
  <si>
    <t>Line 14 x Line 15</t>
  </si>
  <si>
    <t>Adjustment to Normalize and Annualize Revenues for Year End Numbers of Customers</t>
  </si>
  <si>
    <t>Amount (000s)</t>
  </si>
  <si>
    <t>Normalized Electric Retail Revenues at Existing Rates</t>
  </si>
  <si>
    <t>WA Elec Revenue</t>
  </si>
  <si>
    <t xml:space="preserve">Annualized for Usage Associated with Year End </t>
  </si>
  <si>
    <t>Rev Adj w</t>
  </si>
  <si>
    <t>Number of Customers</t>
  </si>
  <si>
    <t>Dittmer edits.xlsx</t>
  </si>
  <si>
    <t>Associated with Average Number of Test Year Customers</t>
  </si>
  <si>
    <t>As Calculated by Avista</t>
  </si>
  <si>
    <t>Rev Adj.xlsx</t>
  </si>
  <si>
    <t xml:space="preserve">Increase in Electric Retail Revenues Associated With </t>
  </si>
  <si>
    <t>Annualization for Year End Number of Customers</t>
  </si>
  <si>
    <t>Line 3 - Line 6</t>
  </si>
  <si>
    <t>Original Revenue Normalization Adjustment No. 2.12</t>
  </si>
  <si>
    <t>Avista Electric</t>
  </si>
  <si>
    <t>As Calculated and Proposed by Avista</t>
  </si>
  <si>
    <t>Adj't 2.12</t>
  </si>
  <si>
    <t xml:space="preserve">Public Counsel's Proposed Revenue Normalization </t>
  </si>
  <si>
    <t>Adjustment Calculated to Consider Annualized Revenues</t>
  </si>
  <si>
    <t>Associated With Test Year End Numbers of Customers</t>
  </si>
  <si>
    <t>Line 8 + Line 10</t>
  </si>
  <si>
    <t>Line 13 x Line 14</t>
  </si>
  <si>
    <t>Line 13 - Line 15</t>
  </si>
  <si>
    <t>Colstrip &amp; Coyote Springs 2 Maintnence Adjustment</t>
  </si>
  <si>
    <t>Colstrip &amp; Coyote Springs</t>
  </si>
  <si>
    <t>Production Maintenance Expense</t>
  </si>
  <si>
    <t>Excluding Company Labor</t>
  </si>
  <si>
    <r>
      <t xml:space="preserve">2011 Actual </t>
    </r>
    <r>
      <rPr>
        <i/>
        <sz val="12"/>
        <color theme="1"/>
        <rFont val="Times New Roman"/>
        <family val="1"/>
      </rPr>
      <t>Excluding Deferrals</t>
    </r>
  </si>
  <si>
    <t xml:space="preserve">Amounts Being Recovered in </t>
  </si>
  <si>
    <t>Rates (2009 Base)</t>
  </si>
  <si>
    <t>WA Jurisdictional-</t>
  </si>
  <si>
    <t xml:space="preserve">UE-100467 </t>
  </si>
  <si>
    <t>PT Ratio 64.87%</t>
  </si>
  <si>
    <t>Total</t>
  </si>
  <si>
    <t>System</t>
  </si>
  <si>
    <t>2011 Actual Costs Being</t>
  </si>
  <si>
    <t>Recovered in Rates Based Upon</t>
  </si>
  <si>
    <t>2009 Actual Cost Incurred</t>
  </si>
  <si>
    <t>(Baseline Established in</t>
  </si>
  <si>
    <t>Docket No. UE-100467)</t>
  </si>
  <si>
    <t>Washington Jurisdictional</t>
  </si>
  <si>
    <t>Deferral for 2011</t>
  </si>
  <si>
    <t xml:space="preserve">Amortization Period </t>
  </si>
  <si>
    <t>Public Counsel Proposed Amortization</t>
  </si>
  <si>
    <t>Deferred Maintenance to Bring</t>
  </si>
  <si>
    <t>Recorded Expense to Base Line</t>
  </si>
  <si>
    <t xml:space="preserve">Amounts Being Collected in </t>
  </si>
  <si>
    <t>Base Rates</t>
  </si>
  <si>
    <t>Current Docket</t>
  </si>
  <si>
    <t>P/T Ratio 65.16%</t>
  </si>
  <si>
    <t>Test Year Actual Expense - Excludes</t>
  </si>
  <si>
    <t>Plus WA Jurisdictional Deferral</t>
  </si>
  <si>
    <t>as Shown/Calculated Above</t>
  </si>
  <si>
    <t xml:space="preserve">Actual 2011 Washington </t>
  </si>
  <si>
    <t>Jurisdictional Maintenance</t>
  </si>
  <si>
    <r>
      <t xml:space="preserve">Expense </t>
    </r>
    <r>
      <rPr>
        <i/>
        <sz val="12"/>
        <color theme="1"/>
        <rFont val="Times New Roman"/>
        <family val="1"/>
      </rPr>
      <t>Including the WA</t>
    </r>
  </si>
  <si>
    <t>Deferred Expense Amounts</t>
  </si>
  <si>
    <t xml:space="preserve">Less: "Any amount deferred during </t>
  </si>
  <si>
    <t>the test year" as provided for in</t>
  </si>
  <si>
    <t>Docket No. UE-100467</t>
  </si>
  <si>
    <t>Stipulation</t>
  </si>
  <si>
    <t>Amount to be Included in Current</t>
  </si>
  <si>
    <t>Case Adjusted Test Year Cost</t>
  </si>
  <si>
    <t>of Service</t>
  </si>
  <si>
    <t>Total Washington Jurisdictional</t>
  </si>
  <si>
    <t>Proposed by Public Counsel</t>
  </si>
  <si>
    <t>to Capture Amortization of 2011</t>
  </si>
  <si>
    <t>Deferrals and Include Test Year</t>
  </si>
  <si>
    <t>Actual Production Maintenance</t>
  </si>
  <si>
    <t>Expense "less any amount</t>
  </si>
  <si>
    <t>deferred during the test year"</t>
  </si>
  <si>
    <t>for this Test Year (Credit to Refund</t>
  </si>
  <si>
    <t>Amounts Collected in Rates Versus</t>
  </si>
  <si>
    <t>Actual Amounts Incurred)</t>
  </si>
  <si>
    <t>Washington Jurisdictional Increase to Net Operating</t>
  </si>
  <si>
    <t>Colstrip &amp; CS2</t>
  </si>
  <si>
    <t>Maint Amort.xls</t>
  </si>
  <si>
    <t>Line 11 - Line 6</t>
  </si>
  <si>
    <t>Line 13 / Line 14</t>
  </si>
  <si>
    <t>Line 13</t>
  </si>
  <si>
    <t>Line 23 + Line 25</t>
  </si>
  <si>
    <t>Line 29 - Line 33</t>
  </si>
  <si>
    <t>Line 18 + Line 33</t>
  </si>
  <si>
    <t>Line 44 x Line 45</t>
  </si>
  <si>
    <t>Line 44 + Line 46</t>
  </si>
  <si>
    <t>Eliminate Prior Period Transformer Removal Costs</t>
  </si>
  <si>
    <t>Eliminate Costs Recorded in 2011 Related to Prior</t>
  </si>
  <si>
    <t>Period Transformer Removal Project</t>
  </si>
  <si>
    <t>Year</t>
  </si>
  <si>
    <t>Total Prior Period Expenses Recorded in</t>
  </si>
  <si>
    <t>2011 Historic Test Year</t>
  </si>
  <si>
    <t>Sum Lines 4 - 7</t>
  </si>
  <si>
    <t>Line 9 x Line 10</t>
  </si>
  <si>
    <t>Line 9 - Line 11</t>
  </si>
  <si>
    <t>Staff Data</t>
  </si>
  <si>
    <t>Line 8 x Line 9</t>
  </si>
  <si>
    <t>Line 8 - Line 10</t>
  </si>
  <si>
    <t>PC E 2.19</t>
  </si>
  <si>
    <t>PC E 2.12</t>
  </si>
  <si>
    <t>PC E 2.14</t>
  </si>
  <si>
    <t>PC E 2.16</t>
  </si>
  <si>
    <t>PC E 3.02</t>
  </si>
  <si>
    <t>PC E 3.06</t>
  </si>
  <si>
    <t>WA Jurisdictional</t>
  </si>
  <si>
    <t>Request No. 269</t>
  </si>
  <si>
    <t>Eliminate Non-Recurring Booz &amp; Company Performance Excellence Initiative Cost</t>
  </si>
  <si>
    <t>Adjustment to Eliminate Non-recurring Booz &amp;</t>
  </si>
  <si>
    <t>Company Performance Excellence Costs Allocated</t>
  </si>
  <si>
    <t xml:space="preserve">to Washington Electric Jurisdictional Operating </t>
  </si>
  <si>
    <t>Expense in the 2011 Historic Test Period</t>
  </si>
  <si>
    <t>Response to</t>
  </si>
  <si>
    <t>Public Counsel</t>
  </si>
  <si>
    <t>Data Request</t>
  </si>
  <si>
    <t>Income Resulting from Eliminating Non-recurring</t>
  </si>
  <si>
    <t>Performance Excellence Costs</t>
  </si>
  <si>
    <t>Line 4 x Line 5</t>
  </si>
  <si>
    <t>Line 4 - Line 6</t>
  </si>
  <si>
    <t>Eliminate Performance Excellence Cost</t>
  </si>
  <si>
    <t>Eliminate Cost of Various Employee Functions, Awards, and Discretionary Gifts</t>
  </si>
  <si>
    <t>Trailblazer Service Appreciation Banquet</t>
  </si>
  <si>
    <t>Discretionary Employee Service Awards</t>
  </si>
  <si>
    <t>Eliminate 100% of Employee Picnic Costs</t>
  </si>
  <si>
    <t>Thank-you Gifts for Attending WEI</t>
  </si>
  <si>
    <t>Discretionary Gifts to Customers</t>
  </si>
  <si>
    <t xml:space="preserve">Total Washington Electric Jurisdictional Adjustment to </t>
  </si>
  <si>
    <t>Remove Discretionay Employee Awards/Picnics/</t>
  </si>
  <si>
    <t>Workpaper</t>
  </si>
  <si>
    <t xml:space="preserve">Proprietary </t>
  </si>
  <si>
    <t>Disallowances.</t>
  </si>
  <si>
    <t>Worksheet tabs</t>
  </si>
  <si>
    <t>"Employee Meals,</t>
  </si>
  <si>
    <t>Gifts, Awards" &amp;</t>
  </si>
  <si>
    <t>"Gift Certificates"</t>
  </si>
  <si>
    <t>"PC Misc</t>
  </si>
  <si>
    <t>xlsx"</t>
  </si>
  <si>
    <t>"Dues and Fees"</t>
  </si>
  <si>
    <t>&amp; "Charitable</t>
  </si>
  <si>
    <t>Contributions"</t>
  </si>
  <si>
    <t>Eliminate Membership Dues Charged Above the Line</t>
  </si>
  <si>
    <t>(Co. had recorded only 50% to non-utility operations)</t>
  </si>
  <si>
    <t>Charitable Contributions Booked to Utility Operations</t>
  </si>
  <si>
    <t>in Error</t>
  </si>
  <si>
    <t>Deer Park Chamber of Commerce Lunch</t>
  </si>
  <si>
    <t>School Fund Raiser Contribution</t>
  </si>
  <si>
    <t>Eliminate Miscellaneous Membership Dues and Contributions</t>
  </si>
  <si>
    <t>PC E 2.20</t>
  </si>
  <si>
    <t>PC E 2.21</t>
  </si>
  <si>
    <t>PC E 2.22</t>
  </si>
  <si>
    <t>PC E 2.23</t>
  </si>
  <si>
    <t>Eliminate Discretionary Awards/Gifts</t>
  </si>
  <si>
    <t>Eliminate Dues and Contributions</t>
  </si>
  <si>
    <t>Remove Membership Dues and Various Charitable</t>
  </si>
  <si>
    <t>Contributions</t>
  </si>
  <si>
    <t>Income Resulting from Eliminating Discretionary</t>
  </si>
  <si>
    <t>Eliminate Promotional Advertising and Energy Efficiency Expense</t>
  </si>
  <si>
    <t>"Advertising" &amp;</t>
  </si>
  <si>
    <t>"Watson and</t>
  </si>
  <si>
    <t>DSM Costs"</t>
  </si>
  <si>
    <t xml:space="preserve">Eliminate Energy Efficiency Expense Recovered </t>
  </si>
  <si>
    <t>Through Tracker</t>
  </si>
  <si>
    <t>Income Resulting from Eliminating Expenses Recovered</t>
  </si>
  <si>
    <t>Through Energy Efficiency Tracker</t>
  </si>
  <si>
    <t>Eliminate Energy Efficiency Expense</t>
  </si>
  <si>
    <t>Eliminate Corporate Aircraft Costs Associated with</t>
  </si>
  <si>
    <t>a Legislative Agenda</t>
  </si>
  <si>
    <t>Worksheet tab</t>
  </si>
  <si>
    <t>Attending American Red Cross Recognition Event</t>
  </si>
  <si>
    <t>"Aircraft"</t>
  </si>
  <si>
    <t>Total Adjustment to Eliminate Corporate Aircraft Costs</t>
  </si>
  <si>
    <t>Line 4 + Line 6</t>
  </si>
  <si>
    <t>Line 7 x Line 9</t>
  </si>
  <si>
    <t>Line 7 - Line 10</t>
  </si>
  <si>
    <t>Eliminate Corporate Aircraft Costs</t>
  </si>
  <si>
    <t>Eliminate Estimated Impact of Non-Utility Costs Recorded as Utility Operating Expense</t>
  </si>
  <si>
    <t>Dollar Value of FERC Accounts 900-935 Sampled</t>
  </si>
  <si>
    <t>for Accounting Entry Errors</t>
  </si>
  <si>
    <t>Total Dollar Value of Sample Entries Audited from</t>
  </si>
  <si>
    <t>FERC Accounts 900-935</t>
  </si>
  <si>
    <t>Dollar Value of Non-Utility Errors Identified in Sample</t>
  </si>
  <si>
    <t>of FERC Accounts 900-935 Reviewed</t>
  </si>
  <si>
    <t>Non-Utility Errors as a % of Sample</t>
  </si>
  <si>
    <t>Total System Adjustment</t>
  </si>
  <si>
    <t>Allocate to Electric Operations</t>
  </si>
  <si>
    <t>Allocate to Washington</t>
  </si>
  <si>
    <t>Composite WA Electric Allocator</t>
  </si>
  <si>
    <t>Allocate to Gas Operations</t>
  </si>
  <si>
    <t>Composite WA Gas Allocator</t>
  </si>
  <si>
    <t>Allocated on the Basis of Account 930:</t>
  </si>
  <si>
    <t>Washington Electric Jurisdictional Adjustment</t>
  </si>
  <si>
    <t>PC E 2.24</t>
  </si>
  <si>
    <t>Andrews</t>
  </si>
  <si>
    <t>Exhibit EMA-4</t>
  </si>
  <si>
    <t xml:space="preserve">Response to </t>
  </si>
  <si>
    <t>PC DR No. 11</t>
  </si>
  <si>
    <t>Line 4 / Line 2</t>
  </si>
  <si>
    <t>Line 5 X Line 7</t>
  </si>
  <si>
    <t>Line 10 X Line 11</t>
  </si>
  <si>
    <t>Line 8 X Line 13</t>
  </si>
  <si>
    <t>Line 13 X Line 14</t>
  </si>
  <si>
    <t>Allocate a Portion of the Pullman Smart Grid Demonstration Project to Idaho Electric Operations</t>
  </si>
  <si>
    <t>Estimated Capital Investment</t>
  </si>
  <si>
    <t>Accumulated Depreciation</t>
  </si>
  <si>
    <t>Accumulated Deferred DFIT</t>
  </si>
  <si>
    <t>Estimated Net Rate Base</t>
  </si>
  <si>
    <t>Depreciation Expense</t>
  </si>
  <si>
    <t>O&amp;M Related Expenses</t>
  </si>
  <si>
    <t>Total Expenses</t>
  </si>
  <si>
    <t>Net Operating Income Before FIT</t>
  </si>
  <si>
    <t>FIT Benefit of Depreciation and Property Tax</t>
  </si>
  <si>
    <t>FIT Benefit of Interest Expense</t>
  </si>
  <si>
    <t>Company</t>
  </si>
  <si>
    <t>Idaho Allocated</t>
  </si>
  <si>
    <t>Amount @ PT</t>
  </si>
  <si>
    <t>Factor of  34.76%</t>
  </si>
  <si>
    <t>Weighted average cost of debt</t>
  </si>
  <si>
    <t>Not Included in Company's COS Development</t>
  </si>
  <si>
    <t>Pullman Project Costs Newly Identified Within Response</t>
  </si>
  <si>
    <t>to Public Counsel Data Request 244 REVISED</t>
  </si>
  <si>
    <t>(PC DR 244)</t>
  </si>
  <si>
    <t>Washington Jurisdictional PT Factor</t>
  </si>
  <si>
    <t>Adjustment to Increase WA Jurisdictional Operating</t>
  </si>
  <si>
    <t>Expense for Additional Pullman Project Costs -</t>
  </si>
  <si>
    <t>Before Tax</t>
  </si>
  <si>
    <t>FIT Benefit of Additional WA O&amp;M Expense</t>
  </si>
  <si>
    <t>Decrease to WA Jurisdictional NOI Related to Newly</t>
  </si>
  <si>
    <t>Identified Pullman Project O&amp;M Expenses</t>
  </si>
  <si>
    <t xml:space="preserve">Total Adjustment to Washington Jurisdictional Net </t>
  </si>
  <si>
    <t>Operating Income to Reflect an Allocation of Pullman</t>
  </si>
  <si>
    <t>Project Expenses to Idaho and Reflect an Allocation</t>
  </si>
  <si>
    <t>of Newly Identified Pullman Project O&amp;M Expenses</t>
  </si>
  <si>
    <t>to Washington</t>
  </si>
  <si>
    <t>Eliminate Estimated Non-Utility Cost</t>
  </si>
  <si>
    <t>Allocate Portion of SGDP to Idaho</t>
  </si>
  <si>
    <t>Saving Offset to Spokane SGIG</t>
  </si>
  <si>
    <t>Expense Savings as an Offset to the Cost of Spokane Smart Circuit Project</t>
  </si>
  <si>
    <t>Spokane Smart Circuit Project</t>
  </si>
  <si>
    <t>Expense Saving Expected to Result From</t>
  </si>
  <si>
    <t>Income Resulting from Reflecting Expected Expense</t>
  </si>
  <si>
    <t>241 REVISED</t>
  </si>
  <si>
    <t>2 thru 7</t>
  </si>
  <si>
    <t>Sum Lines</t>
  </si>
  <si>
    <t>Line 10 - Line 12</t>
  </si>
  <si>
    <t>PC E 2.25</t>
  </si>
  <si>
    <t>PC E 2.26</t>
  </si>
  <si>
    <t>PC Modidied</t>
  </si>
  <si>
    <t>PC Oppose</t>
  </si>
  <si>
    <t>SUMMARY OF PUBLIC COUNSEL ELECTRIC ADJUSTMENT</t>
  </si>
  <si>
    <t>AND COMPARISON TO AVISTA'S DIRECT FILING ELECTRIC ADJUSTMENTS</t>
  </si>
  <si>
    <t>Requirement</t>
  </si>
  <si>
    <t>Impact</t>
  </si>
  <si>
    <t>Diffference</t>
  </si>
  <si>
    <t>Schedule No. 2</t>
  </si>
  <si>
    <t>PC Support</t>
  </si>
  <si>
    <t>Eliminate Certain Company Corporate Aircraft Costs</t>
  </si>
  <si>
    <t xml:space="preserve">Sum Lines 1 </t>
  </si>
  <si>
    <t>thru 5</t>
  </si>
  <si>
    <t>Schedule No. 3</t>
  </si>
  <si>
    <t>Schedule No. 4</t>
  </si>
  <si>
    <t>Schedule No. 5</t>
  </si>
  <si>
    <t>Schedule No. 6</t>
  </si>
  <si>
    <t>Schedule No. 7</t>
  </si>
  <si>
    <t>Schedule No. 8</t>
  </si>
  <si>
    <t>Schedule No. 9</t>
  </si>
  <si>
    <t>Schedule No. 10</t>
  </si>
  <si>
    <t>Schedule No. 11</t>
  </si>
  <si>
    <t>Schedule No. 12</t>
  </si>
  <si>
    <t>Schedule No. 13</t>
  </si>
  <si>
    <t>Schedule No. 14</t>
  </si>
  <si>
    <t>Schedule No. 15</t>
  </si>
  <si>
    <t>Schedule No. 16</t>
  </si>
  <si>
    <t>Avista Adjustments - Original Filing</t>
  </si>
  <si>
    <t>Pubic Counsel Adjustments</t>
  </si>
  <si>
    <t>Relative to the Company's</t>
  </si>
  <si>
    <t>Original Filed Position</t>
  </si>
  <si>
    <t>Washington Jurisdictional Increase to NOI Resulting</t>
  </si>
  <si>
    <t>from Removal of Prior Period Expense</t>
  </si>
  <si>
    <t>from Production Maintnenance Adjustment</t>
  </si>
  <si>
    <t>ROOs Report</t>
  </si>
  <si>
    <t>Banquets and Other Discretionary Gifts</t>
  </si>
  <si>
    <t>Employee Functions, Awards, and Gifts</t>
  </si>
  <si>
    <t>Washington Jurisdictional Increase to NOI</t>
  </si>
  <si>
    <t>Increase in Related Federal Income Taxes</t>
  </si>
  <si>
    <t>Savings Resulting from Spokane Smart Circuit Project</t>
  </si>
  <si>
    <t>Total Washington Jurisdictional Non-executive Labor</t>
  </si>
  <si>
    <t>Line 14 - Line 16</t>
  </si>
  <si>
    <t>Resulting from Eliminating Corporate Aircraft Costs</t>
  </si>
  <si>
    <t>Incurred for Below-the-Line Activities</t>
  </si>
  <si>
    <t>Resulting From Eliminating an Estimate of Costs</t>
  </si>
  <si>
    <t>Erroneously Booked Above-the-Line</t>
  </si>
  <si>
    <t xml:space="preserve">Resulting From Eliminating Membership Dues </t>
  </si>
  <si>
    <t>and Charitable Contributions</t>
  </si>
  <si>
    <t>Washington Jurisdictional Increase to NOI to Normalize</t>
  </si>
  <si>
    <t>Revenues Associated with Year End Customers</t>
  </si>
  <si>
    <t xml:space="preserve">Washington Jurisdictional Reduction to NOI to </t>
  </si>
  <si>
    <t>Washington State Community Weatherization Sponsorship</t>
  </si>
  <si>
    <t>(Co. Original #)</t>
  </si>
  <si>
    <t>No. 305</t>
  </si>
  <si>
    <t>The supporting workpaper for amounts flowing into this schedule are confidential.  However, given that Avista did not designate its proforma property tax adjustment "Confidential," but only the supporting workpaper Staff DR-333, these amounts shown on this schedule should not be deemed "Confidential."</t>
  </si>
  <si>
    <t>PC E 3.03</t>
  </si>
  <si>
    <t>Adjust Executive Labor Expense</t>
  </si>
  <si>
    <t>Labor &amp;</t>
  </si>
  <si>
    <t>Benefit Total-</t>
  </si>
  <si>
    <t>With Revised</t>
  </si>
  <si>
    <t>Salary &amp;</t>
  </si>
  <si>
    <t>Alloc.xlsx"</t>
  </si>
  <si>
    <t>"WA PF -2012</t>
  </si>
  <si>
    <t>Washington Jurisdictional Increase to NOI to Reflect</t>
  </si>
  <si>
    <t>Executive Labor Costs and Allocations as Proposed</t>
  </si>
  <si>
    <t>by PC Witness S. Coppola</t>
  </si>
  <si>
    <t>Total Washington Jurisdictional Executive Labor</t>
  </si>
  <si>
    <t>Expense Adjustment to Reflect Compensation</t>
  </si>
  <si>
    <t>Levels and Allocations Proposed by Public Counsel</t>
  </si>
  <si>
    <t>Reflect Compensation Levels and Allocations</t>
  </si>
  <si>
    <t>Proposed by Seb Coppola</t>
  </si>
  <si>
    <t>PC E 3.05</t>
  </si>
  <si>
    <t>Proforma Insurance Expense - Reflects 50% Allocation of D&amp;O to Non-Utility Operations</t>
  </si>
  <si>
    <t>Avista Adj't</t>
  </si>
  <si>
    <t>Operations</t>
  </si>
  <si>
    <t xml:space="preserve">Proforma Insurance Expense - Includes 50% Allocation </t>
  </si>
  <si>
    <t>of Directors and Officer's Insurance to Non-Utility</t>
  </si>
  <si>
    <t>2012 Insurance</t>
  </si>
  <si>
    <t>Adjustment with</t>
  </si>
  <si>
    <t>50 Percent Alloc</t>
  </si>
  <si>
    <t>to N-Utility.xlsx</t>
  </si>
  <si>
    <t>Insurance Expense and Allocations as Proposed</t>
  </si>
  <si>
    <t>PC E 2.15</t>
  </si>
  <si>
    <t>Adjustment to Restate Short Term Incentive Compensation - and Remove Officer STIP</t>
  </si>
  <si>
    <t>Restating Adjustment for Short Term Incentive</t>
  </si>
  <si>
    <t>Compensation as Proposed by Avista</t>
  </si>
  <si>
    <t>No. 2.15</t>
  </si>
  <si>
    <t xml:space="preserve">of Short Term Incentive Compensation Included </t>
  </si>
  <si>
    <t>Within Avista's Restating Adjustment 2.15</t>
  </si>
  <si>
    <t>Exhibit SC-10C</t>
  </si>
  <si>
    <t>Executive STIP</t>
  </si>
  <si>
    <t>Adjustment.xlsx</t>
  </si>
  <si>
    <t>Compensation as Proposed by Public Counsel</t>
  </si>
  <si>
    <t>Witness Seb Coppola</t>
  </si>
  <si>
    <t>Line 2 + Line 5</t>
  </si>
  <si>
    <t>Washington Jurisdictional Decrease to NOI Resulting</t>
  </si>
  <si>
    <t>from Public Counsel's Adjustment to Restate</t>
  </si>
  <si>
    <t>Short Term Incentive Compensatin Expense</t>
  </si>
  <si>
    <t>PC E 2.27</t>
  </si>
  <si>
    <t>PC E 2.28</t>
  </si>
  <si>
    <t>PC E 2.29</t>
  </si>
  <si>
    <t>Board of Directors - Stock Comp</t>
  </si>
  <si>
    <t>Board of Directors - Retainers</t>
  </si>
  <si>
    <t>Remove Compensation Study Costs</t>
  </si>
  <si>
    <t>PC E 2.30</t>
  </si>
  <si>
    <t>Board of Directors - Stock Compensation</t>
  </si>
  <si>
    <t>Adjust Washington Jurisdictional Board of Directors</t>
  </si>
  <si>
    <t>Stock Compensation Expense as Proposed by Public</t>
  </si>
  <si>
    <t>Counsel Witness Seb Coppola</t>
  </si>
  <si>
    <t>Income Resulting from Board of Directors - Stock</t>
  </si>
  <si>
    <t>Compensation Expense Adjustment</t>
  </si>
  <si>
    <t>Exhibit SC 13 &amp;</t>
  </si>
  <si>
    <t>14 Board of</t>
  </si>
  <si>
    <t>Directors Fees</t>
  </si>
  <si>
    <t>Line 5 x Line 6</t>
  </si>
  <si>
    <t>Line 5 - Line 7</t>
  </si>
  <si>
    <t xml:space="preserve">Adjust Washington Jurisdictional Officers' </t>
  </si>
  <si>
    <t xml:space="preserve">culation of </t>
  </si>
  <si>
    <t>Officers Utility</t>
  </si>
  <si>
    <t>&amp; Other Adj.xlsx</t>
  </si>
  <si>
    <t xml:space="preserve">Remove Cost of Compensation Study as Proposed </t>
  </si>
  <si>
    <t>by Public Counsel Witness Seb Coppola</t>
  </si>
  <si>
    <t>Exhibit SC 8C &amp;</t>
  </si>
  <si>
    <t>9C &amp;16 Recal-</t>
  </si>
  <si>
    <t>Schedule No. 17</t>
  </si>
  <si>
    <t>Schedule No. 18</t>
  </si>
  <si>
    <t>Schedule No. 19</t>
  </si>
  <si>
    <t>Schedule No. 20</t>
  </si>
  <si>
    <t>Schedule No. 21</t>
  </si>
  <si>
    <t>Schedule No. 22</t>
  </si>
  <si>
    <t>Schedule No. 23</t>
  </si>
  <si>
    <t>Incremental Adjustment Proposed to Eliminate 100%</t>
  </si>
  <si>
    <t>Retainer Fees Expense as Proposed by Public</t>
  </si>
  <si>
    <t>Income Resulting from Board of Directors - Retainer</t>
  </si>
  <si>
    <t>Fees Expense Adjustment</t>
  </si>
  <si>
    <t>Adjustment Proposed by Public Counsel</t>
  </si>
  <si>
    <t xml:space="preserve">Income Resulting from Removal of Cost of </t>
  </si>
  <si>
    <t>Compensation Study</t>
  </si>
  <si>
    <t>Reflect 2012 Non-executive Labor Costs</t>
  </si>
  <si>
    <t>Officers' Benefits Adjustment</t>
  </si>
  <si>
    <t>Benefits Expense as Proposed by Public</t>
  </si>
  <si>
    <t>Income Resulting from Officers' Benefits Expense</t>
  </si>
  <si>
    <t>Officer's Benefits</t>
  </si>
  <si>
    <t>PC Neutral in Direct</t>
  </si>
  <si>
    <t>NOI Impact Before Newly Identified Costs</t>
  </si>
  <si>
    <t>Adjustment Impact on Net Operating Income</t>
  </si>
  <si>
    <t>Exhibit No. JRD-2</t>
  </si>
  <si>
    <t>Docket No. UE-090704 et. al.</t>
  </si>
  <si>
    <t>Revenue</t>
  </si>
  <si>
    <t>Docket No. UE-120436 et. al.</t>
  </si>
  <si>
    <t>Docket No.UE-120436 et. al.,</t>
  </si>
  <si>
    <t>Docket No. UE-120436 et. al.,</t>
  </si>
  <si>
    <t>Page 23 of 23</t>
  </si>
  <si>
    <t>Page 22 of 23</t>
  </si>
  <si>
    <t>Page 21 of 23</t>
  </si>
  <si>
    <t>Page 20 of 23</t>
  </si>
  <si>
    <t>Page 19 of 23</t>
  </si>
  <si>
    <t>Page 18 of 23</t>
  </si>
  <si>
    <t>Page 1 of 23</t>
  </si>
  <si>
    <t>Page 2 of 23</t>
  </si>
  <si>
    <t>Page 3 of 23</t>
  </si>
  <si>
    <t>Page 4 of 23</t>
  </si>
  <si>
    <t>Page 5 of 23</t>
  </si>
  <si>
    <t>Page 6 of 23</t>
  </si>
  <si>
    <t>Page 7 of 23</t>
  </si>
  <si>
    <t>Page 8 of 23</t>
  </si>
  <si>
    <t>Page 9 of 23</t>
  </si>
  <si>
    <t>Page 10 of 23</t>
  </si>
  <si>
    <t>Page 11 of 23</t>
  </si>
  <si>
    <t>Page 12 of 23</t>
  </si>
  <si>
    <t>Page 13 of 23</t>
  </si>
  <si>
    <t>Page 14 of 23</t>
  </si>
  <si>
    <t>Page 15 of 23</t>
  </si>
  <si>
    <t>Page 16 of 23</t>
  </si>
  <si>
    <t>Page 17 of 23</t>
  </si>
  <si>
    <t>Schedule No. 1</t>
  </si>
</sst>
</file>

<file path=xl/styles.xml><?xml version="1.0" encoding="utf-8"?>
<styleSheet xmlns="http://schemas.openxmlformats.org/spreadsheetml/2006/main">
  <numFmts count="9">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000"/>
    <numFmt numFmtId="167" formatCode="0.0%"/>
    <numFmt numFmtId="168" formatCode="0.000%"/>
  </numFmts>
  <fonts count="19">
    <font>
      <sz val="12"/>
      <color theme="1"/>
      <name val="Times New Roman"/>
      <family val="2"/>
    </font>
    <font>
      <sz val="12"/>
      <color theme="1"/>
      <name val="Times New Roman"/>
      <family val="2"/>
    </font>
    <font>
      <sz val="10"/>
      <name val="Arial"/>
      <family val="2"/>
    </font>
    <font>
      <sz val="10"/>
      <name val="Arial"/>
      <family val="2"/>
    </font>
    <font>
      <sz val="10"/>
      <name val="Geneva"/>
      <family val="2"/>
    </font>
    <font>
      <sz val="10"/>
      <name val="Times New Roman"/>
      <family val="1"/>
    </font>
    <font>
      <sz val="12"/>
      <name val="Times New Roman"/>
      <family val="1"/>
    </font>
    <font>
      <u/>
      <sz val="7.5"/>
      <color theme="0"/>
      <name val="Arial"/>
      <family val="2"/>
    </font>
    <font>
      <sz val="12"/>
      <color indexed="10"/>
      <name val="Times New Roman"/>
      <family val="1"/>
    </font>
    <font>
      <sz val="12"/>
      <color theme="1"/>
      <name val="Times New Roman"/>
      <family val="1"/>
    </font>
    <font>
      <b/>
      <sz val="12"/>
      <name val="Times New Roman"/>
      <family val="1"/>
    </font>
    <font>
      <i/>
      <sz val="12"/>
      <color theme="1"/>
      <name val="Times New Roman"/>
      <family val="1"/>
    </font>
    <font>
      <b/>
      <sz val="12"/>
      <color theme="1"/>
      <name val="Times New Roman"/>
      <family val="1"/>
    </font>
    <font>
      <sz val="10"/>
      <color theme="1"/>
      <name val="Tahoma"/>
      <family val="2"/>
    </font>
    <font>
      <sz val="12"/>
      <name val="Times New Roman"/>
      <family val="2"/>
    </font>
    <font>
      <sz val="11"/>
      <color theme="1"/>
      <name val="Calibri"/>
      <family val="2"/>
      <scheme val="minor"/>
    </font>
    <font>
      <sz val="10"/>
      <color theme="1"/>
      <name val="Arial"/>
      <family val="2"/>
    </font>
    <font>
      <sz val="10"/>
      <name val="Tahoma"/>
      <family val="2"/>
    </font>
    <font>
      <b/>
      <sz val="16"/>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s>
  <cellStyleXfs count="2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 fillId="0" borderId="0"/>
    <xf numFmtId="0" fontId="3"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0" fontId="6" fillId="0" borderId="0"/>
    <xf numFmtId="0" fontId="8" fillId="2" borderId="0"/>
    <xf numFmtId="0" fontId="13" fillId="0" borderId="0"/>
    <xf numFmtId="43" fontId="13" fillId="0" borderId="0" applyFont="0" applyFill="0" applyBorder="0" applyAlignment="0" applyProtection="0"/>
    <xf numFmtId="0" fontId="15" fillId="0" borderId="0"/>
    <xf numFmtId="43" fontId="15" fillId="0" borderId="0" applyFont="0" applyFill="0" applyBorder="0" applyAlignment="0" applyProtection="0"/>
    <xf numFmtId="0" fontId="16" fillId="0" borderId="0"/>
    <xf numFmtId="43" fontId="16" fillId="0" borderId="0" applyFont="0" applyFill="0" applyBorder="0" applyAlignment="0" applyProtection="0"/>
    <xf numFmtId="44" fontId="15" fillId="0" borderId="0" applyFont="0" applyFill="0" applyBorder="0" applyAlignment="0" applyProtection="0"/>
    <xf numFmtId="43" fontId="17" fillId="0" borderId="0" applyFont="0" applyFill="0" applyBorder="0" applyAlignment="0" applyProtection="0"/>
    <xf numFmtId="9" fontId="15" fillId="0" borderId="0" applyFont="0" applyFill="0" applyBorder="0" applyAlignment="0" applyProtection="0"/>
  </cellStyleXfs>
  <cellXfs count="93">
    <xf numFmtId="0" fontId="0" fillId="0" borderId="0" xfId="0"/>
    <xf numFmtId="0" fontId="0" fillId="0" borderId="0" xfId="0" applyAlignment="1">
      <alignment horizontal="center"/>
    </xf>
    <xf numFmtId="0" fontId="0" fillId="0" borderId="1" xfId="0" applyBorder="1" applyAlignment="1">
      <alignment horizontal="center"/>
    </xf>
    <xf numFmtId="43" fontId="0" fillId="0" borderId="0" xfId="1" applyFont="1"/>
    <xf numFmtId="0" fontId="0" fillId="0" borderId="1" xfId="0" applyBorder="1"/>
    <xf numFmtId="0" fontId="0" fillId="0" borderId="0" xfId="0" applyBorder="1"/>
    <xf numFmtId="0" fontId="0" fillId="0" borderId="2" xfId="0" applyBorder="1" applyAlignment="1">
      <alignment horizontal="center"/>
    </xf>
    <xf numFmtId="41" fontId="6" fillId="0" borderId="0" xfId="13" applyNumberFormat="1" applyFont="1"/>
    <xf numFmtId="0" fontId="9" fillId="0" borderId="0" xfId="0" applyFont="1"/>
    <xf numFmtId="41" fontId="6" fillId="0" borderId="0" xfId="13" applyNumberFormat="1" applyFont="1" applyFill="1"/>
    <xf numFmtId="41" fontId="9" fillId="0" borderId="0" xfId="13" applyNumberFormat="1" applyFont="1"/>
    <xf numFmtId="41" fontId="6" fillId="0" borderId="1" xfId="13" applyNumberFormat="1" applyFont="1" applyFill="1" applyBorder="1"/>
    <xf numFmtId="41" fontId="10" fillId="0" borderId="0" xfId="13" applyNumberFormat="1" applyFont="1"/>
    <xf numFmtId="164" fontId="9" fillId="0" borderId="0" xfId="1" applyNumberFormat="1" applyFont="1"/>
    <xf numFmtId="164" fontId="0" fillId="0" borderId="0" xfId="1" applyNumberFormat="1" applyFont="1"/>
    <xf numFmtId="164" fontId="9" fillId="0" borderId="1" xfId="1" applyNumberFormat="1" applyFont="1" applyBorder="1"/>
    <xf numFmtId="165" fontId="0" fillId="0" borderId="0" xfId="2" applyNumberFormat="1" applyFont="1"/>
    <xf numFmtId="164" fontId="0" fillId="0" borderId="1" xfId="1" applyNumberFormat="1" applyFont="1" applyBorder="1"/>
    <xf numFmtId="165" fontId="0" fillId="0" borderId="3" xfId="0" applyNumberFormat="1" applyBorder="1"/>
    <xf numFmtId="0" fontId="0" fillId="0" borderId="0" xfId="0" applyAlignment="1">
      <alignment horizontal="center"/>
    </xf>
    <xf numFmtId="41" fontId="6" fillId="0" borderId="0" xfId="13" applyNumberFormat="1" applyFont="1" applyFill="1" applyBorder="1"/>
    <xf numFmtId="164" fontId="9" fillId="0" borderId="0" xfId="1" applyNumberFormat="1" applyFont="1" applyBorder="1"/>
    <xf numFmtId="0" fontId="9" fillId="0" borderId="0" xfId="0" applyFont="1" applyBorder="1"/>
    <xf numFmtId="166" fontId="0" fillId="0" borderId="0" xfId="0" applyNumberFormat="1"/>
    <xf numFmtId="164" fontId="0" fillId="0" borderId="0" xfId="1" applyNumberFormat="1" applyFont="1" applyBorder="1"/>
    <xf numFmtId="165" fontId="0" fillId="0" borderId="0" xfId="0" applyNumberFormat="1" applyBorder="1"/>
    <xf numFmtId="10" fontId="0" fillId="0" borderId="0" xfId="3" applyNumberFormat="1" applyFont="1" applyBorder="1"/>
    <xf numFmtId="10" fontId="0" fillId="0" borderId="1" xfId="3" applyNumberFormat="1" applyFont="1" applyBorder="1"/>
    <xf numFmtId="165" fontId="0" fillId="0" borderId="0" xfId="2" applyNumberFormat="1" applyFont="1" applyBorder="1"/>
    <xf numFmtId="165" fontId="0" fillId="0" borderId="3" xfId="2" applyNumberFormat="1" applyFont="1" applyBorder="1"/>
    <xf numFmtId="0" fontId="0" fillId="0" borderId="0" xfId="0" quotePrefix="1" applyBorder="1"/>
    <xf numFmtId="0" fontId="0" fillId="0" borderId="0" xfId="0" applyFill="1" applyBorder="1"/>
    <xf numFmtId="3" fontId="0" fillId="0" borderId="0" xfId="0" applyNumberFormat="1" applyBorder="1"/>
    <xf numFmtId="165" fontId="0" fillId="0" borderId="4" xfId="0" applyNumberFormat="1" applyBorder="1"/>
    <xf numFmtId="0" fontId="5" fillId="0" borderId="0" xfId="0" applyFont="1"/>
    <xf numFmtId="0" fontId="0" fillId="0" borderId="0" xfId="0" applyBorder="1" applyAlignment="1">
      <alignment horizontal="center"/>
    </xf>
    <xf numFmtId="0" fontId="0" fillId="0" borderId="0" xfId="0" applyFill="1" applyBorder="1" applyAlignment="1">
      <alignment horizontal="center"/>
    </xf>
    <xf numFmtId="0" fontId="12" fillId="0" borderId="0" xfId="0" applyFont="1" applyBorder="1"/>
    <xf numFmtId="0" fontId="12" fillId="0" borderId="0" xfId="0" applyFont="1" applyFill="1" applyBorder="1"/>
    <xf numFmtId="165" fontId="0" fillId="0" borderId="0" xfId="0" applyNumberFormat="1"/>
    <xf numFmtId="0" fontId="11" fillId="0" borderId="0" xfId="0" applyFont="1"/>
    <xf numFmtId="164" fontId="0" fillId="0" borderId="1" xfId="0" applyNumberFormat="1" applyBorder="1"/>
    <xf numFmtId="5" fontId="9" fillId="0" borderId="0" xfId="19" applyNumberFormat="1" applyFont="1"/>
    <xf numFmtId="0" fontId="0" fillId="0" borderId="0" xfId="0" applyAlignment="1">
      <alignment horizontal="center"/>
    </xf>
    <xf numFmtId="9" fontId="0" fillId="0" borderId="0" xfId="3" applyFont="1"/>
    <xf numFmtId="164"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5" fontId="14" fillId="0" borderId="0" xfId="2" applyNumberFormat="1" applyFont="1"/>
    <xf numFmtId="0" fontId="0" fillId="0" borderId="0" xfId="0" applyFill="1" applyAlignment="1"/>
    <xf numFmtId="168" fontId="0" fillId="0" borderId="0" xfId="3" applyNumberFormat="1" applyFont="1" applyFill="1"/>
    <xf numFmtId="0" fontId="0" fillId="0" borderId="0" xfId="0" applyFill="1"/>
    <xf numFmtId="168" fontId="0" fillId="0" borderId="1" xfId="3" applyNumberFormat="1" applyFont="1" applyFill="1" applyBorder="1"/>
    <xf numFmtId="0" fontId="0" fillId="0" borderId="0" xfId="0" applyFill="1" applyAlignment="1">
      <alignment wrapText="1"/>
    </xf>
    <xf numFmtId="0" fontId="0" fillId="0" borderId="0" xfId="0" applyAlignment="1">
      <alignment horizontal="center"/>
    </xf>
    <xf numFmtId="10" fontId="0" fillId="0" borderId="0" xfId="3" applyNumberFormat="1" applyFont="1"/>
    <xf numFmtId="10" fontId="0" fillId="0" borderId="1" xfId="0" applyNumberFormat="1" applyBorder="1"/>
    <xf numFmtId="0" fontId="0" fillId="0" borderId="0" xfId="0" quotePrefix="1" applyFill="1" applyBorder="1" applyAlignment="1">
      <alignment horizontal="center"/>
    </xf>
    <xf numFmtId="41" fontId="10" fillId="0" borderId="2" xfId="13" applyNumberFormat="1" applyFont="1" applyFill="1" applyBorder="1"/>
    <xf numFmtId="41" fontId="10" fillId="0" borderId="6" xfId="13" applyNumberFormat="1" applyFont="1" applyBorder="1"/>
    <xf numFmtId="41" fontId="10" fillId="0" borderId="4" xfId="13" applyNumberFormat="1" applyFont="1" applyBorder="1"/>
    <xf numFmtId="0" fontId="0" fillId="0" borderId="0" xfId="0" applyAlignment="1">
      <alignment horizontal="right"/>
    </xf>
    <xf numFmtId="0" fontId="12" fillId="0" borderId="0" xfId="0" applyFont="1" applyAlignment="1">
      <alignment horizontal="center"/>
    </xf>
    <xf numFmtId="43" fontId="0" fillId="0" borderId="0" xfId="1" applyFont="1" applyAlignment="1">
      <alignment horizontal="right"/>
    </xf>
    <xf numFmtId="0" fontId="0" fillId="0" borderId="0" xfId="0" applyAlignment="1">
      <alignment horizontal="center"/>
    </xf>
    <xf numFmtId="0" fontId="12" fillId="0" borderId="0" xfId="0" applyFont="1"/>
    <xf numFmtId="0" fontId="0" fillId="0" borderId="0" xfId="0" quotePrefix="1" applyAlignment="1">
      <alignment horizontal="center"/>
    </xf>
    <xf numFmtId="43" fontId="14" fillId="0" borderId="1" xfId="1" applyFont="1" applyBorder="1"/>
    <xf numFmtId="167" fontId="0" fillId="0" borderId="0" xfId="3" applyNumberFormat="1" applyFont="1" applyBorder="1"/>
    <xf numFmtId="165" fontId="0" fillId="0" borderId="1" xfId="2" applyNumberFormat="1" applyFont="1" applyBorder="1"/>
    <xf numFmtId="0" fontId="9" fillId="0" borderId="0" xfId="20" applyFont="1"/>
    <xf numFmtId="164" fontId="9" fillId="0" borderId="0" xfId="21" applyNumberFormat="1" applyFont="1"/>
    <xf numFmtId="165" fontId="9" fillId="0" borderId="0" xfId="2" applyNumberFormat="1" applyFont="1" applyBorder="1" applyAlignment="1">
      <alignment horizontal="center"/>
    </xf>
    <xf numFmtId="164" fontId="9" fillId="0" borderId="1" xfId="21" applyNumberFormat="1" applyFont="1" applyBorder="1"/>
    <xf numFmtId="164" fontId="9" fillId="0" borderId="4" xfId="21" applyNumberFormat="1" applyFont="1" applyBorder="1"/>
    <xf numFmtId="0" fontId="9" fillId="0" borderId="0" xfId="20" applyFont="1" applyFill="1"/>
    <xf numFmtId="164" fontId="9" fillId="0" borderId="0" xfId="21" applyNumberFormat="1" applyFont="1" applyFill="1"/>
    <xf numFmtId="164" fontId="9" fillId="0" borderId="1" xfId="21" applyNumberFormat="1" applyFont="1" applyFill="1" applyBorder="1"/>
    <xf numFmtId="0" fontId="9" fillId="0" borderId="1" xfId="0" applyFont="1" applyBorder="1"/>
    <xf numFmtId="164" fontId="9" fillId="0" borderId="5" xfId="21" applyNumberFormat="1" applyFont="1" applyFill="1" applyBorder="1"/>
    <xf numFmtId="164" fontId="9" fillId="0" borderId="0" xfId="21" applyNumberFormat="1" applyFont="1" applyFill="1" applyBorder="1"/>
    <xf numFmtId="165" fontId="9" fillId="0" borderId="0" xfId="2" applyNumberFormat="1" applyFon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9" fillId="0" borderId="0" xfId="1" applyNumberFormat="1" applyFont="1" applyBorder="1" applyAlignment="1">
      <alignment horizontal="center"/>
    </xf>
    <xf numFmtId="164" fontId="9" fillId="0" borderId="1" xfId="1" applyNumberFormat="1" applyFont="1" applyBorder="1" applyAlignment="1">
      <alignment horizontal="center"/>
    </xf>
    <xf numFmtId="0" fontId="0" fillId="0" borderId="0" xfId="0" applyAlignment="1"/>
    <xf numFmtId="0" fontId="18" fillId="0" borderId="0" xfId="0" applyFont="1" applyAlignment="1"/>
    <xf numFmtId="0" fontId="18" fillId="0" borderId="0" xfId="0" applyFont="1"/>
    <xf numFmtId="0" fontId="0" fillId="0" borderId="0" xfId="0" applyAlignment="1">
      <alignment horizontal="center"/>
    </xf>
    <xf numFmtId="0" fontId="0" fillId="3" borderId="0" xfId="0" applyFill="1" applyAlignment="1">
      <alignment horizontal="left" vertical="top" wrapText="1"/>
    </xf>
  </cellXfs>
  <cellStyles count="27">
    <cellStyle name="Comma" xfId="1" builtinId="3"/>
    <cellStyle name="Comma 2" xfId="5"/>
    <cellStyle name="Comma 2 2" xfId="23"/>
    <cellStyle name="Comma 3" xfId="19"/>
    <cellStyle name="Comma 3 2" xfId="25"/>
    <cellStyle name="Comma 4" xfId="21"/>
    <cellStyle name="Currency" xfId="2" builtinId="4"/>
    <cellStyle name="Currency 2" xfId="7"/>
    <cellStyle name="Currency 3" xfId="6"/>
    <cellStyle name="Currency 4" xfId="24"/>
    <cellStyle name="Followed Hyperlink" xfId="8" builtinId="9" customBuiltin="1"/>
    <cellStyle name="Hyperlink" xfId="9" builtinId="8" customBuiltin="1"/>
    <cellStyle name="Manual-Input" xfId="17"/>
    <cellStyle name="Normal" xfId="0" builtinId="0"/>
    <cellStyle name="Normal 2" xfId="16"/>
    <cellStyle name="Normal 2 2" xfId="10"/>
    <cellStyle name="Normal 2 3" xfId="11"/>
    <cellStyle name="Normal 2 4" xfId="22"/>
    <cellStyle name="Normal 3" xfId="4"/>
    <cellStyle name="Normal 4" xfId="18"/>
    <cellStyle name="Normal 5" xfId="20"/>
    <cellStyle name="Normal 6" xfId="12"/>
    <cellStyle name="Normal_WAElec6_97" xfId="13"/>
    <cellStyle name="Percent" xfId="3" builtinId="5"/>
    <cellStyle name="Percent 2" xfId="15"/>
    <cellStyle name="Percent 3" xfId="14"/>
    <cellStyle name="Percent 4" xf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Workpapers\WA%20Elec%20Revenue%20-%20Rev%20Adj%20w%20Dittmer%20edi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Coppola%20Testimony%20and%20Exhibits\Coppola%20Workpapers\Exhibit%20SC-10C%20Executive%20STIP%20Adjust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Lea's%20Adjustments\PC%20Misc%20Proprietary%20Disallow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Coppola%20Testimony%20and%20Exhibits\Coppola%20Workpapers\Exhibit%20SC-13%20&amp;%2014%20Board%20of%20Directors%20Fees%20Adjustmen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Workpapers\Public%20Counsel%20Labor%20Adjt%203.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Coppola%20Testimony%20and%20Exhibits\Coppola%20Workpapers\WA%20PF%20-%202012%20Labor%20&amp;%20Benefit%20Total%20-%20with%20Revised%20Salary%20&amp;%20Allo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Coppola%20Testimony%20and%20Exhibits\Coppola%20Workpapers\2012%20Insurance%20Adjustment%20with%2050%20Percet%20to%20N-Utilit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lead\Local%20Settings\Temporary%20Internet%20Files\Content.Outlook\B0CZ9CZ2\Workpapers\Staff_DR_333C%20Confidential%20Attch%20A%20PC%20Prop%20Tax%20Adj'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es &amp; Prop Rev"/>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130">
          <cell r="C130">
            <v>460040091.96726209</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h SC10C"/>
      <sheetName val="Sheet2"/>
      <sheetName val="Sheet3"/>
    </sheetNames>
    <sheetDataSet>
      <sheetData sheetId="0">
        <row r="17">
          <cell r="J17">
            <v>-279801</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mployee Meals, Gifts, Awards"/>
      <sheetName val="Gift Certificates"/>
      <sheetName val="Dues and Fees"/>
      <sheetName val="Charitable Contributions"/>
      <sheetName val="Advertising"/>
      <sheetName val="Wattson and DSM Costs"/>
      <sheetName val="Aircraft"/>
      <sheetName val="Audit"/>
    </sheetNames>
    <sheetDataSet>
      <sheetData sheetId="0">
        <row r="2">
          <cell r="D2">
            <v>12792</v>
          </cell>
        </row>
        <row r="3">
          <cell r="D3">
            <v>15479</v>
          </cell>
        </row>
        <row r="4">
          <cell r="D4">
            <v>19017</v>
          </cell>
        </row>
        <row r="5">
          <cell r="D5">
            <v>5379</v>
          </cell>
        </row>
      </sheetData>
      <sheetData sheetId="1">
        <row r="2">
          <cell r="D2">
            <v>4718</v>
          </cell>
        </row>
      </sheetData>
      <sheetData sheetId="2">
        <row r="240">
          <cell r="N240">
            <v>83291.936649308045</v>
          </cell>
        </row>
      </sheetData>
      <sheetData sheetId="3">
        <row r="2">
          <cell r="D2">
            <v>689.63</v>
          </cell>
        </row>
        <row r="3">
          <cell r="D3">
            <v>242.58800535</v>
          </cell>
        </row>
        <row r="4">
          <cell r="D4">
            <v>60.72</v>
          </cell>
        </row>
        <row r="5">
          <cell r="D5">
            <v>33.049999999999997</v>
          </cell>
        </row>
      </sheetData>
      <sheetData sheetId="4">
        <row r="15">
          <cell r="D15">
            <v>2035.5308015981941</v>
          </cell>
        </row>
      </sheetData>
      <sheetData sheetId="5">
        <row r="10">
          <cell r="D10">
            <v>639.343005925645</v>
          </cell>
        </row>
      </sheetData>
      <sheetData sheetId="6">
        <row r="3">
          <cell r="D3">
            <v>4077</v>
          </cell>
        </row>
        <row r="4">
          <cell r="D4">
            <v>611</v>
          </cell>
        </row>
      </sheetData>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 SC13"/>
      <sheetName val="Exh SC14"/>
      <sheetName val="SC14WP"/>
    </sheetNames>
    <sheetDataSet>
      <sheetData sheetId="0">
        <row r="13">
          <cell r="O13">
            <v>-255587</v>
          </cell>
        </row>
      </sheetData>
      <sheetData sheetId="1">
        <row r="18">
          <cell r="R18">
            <v>-177832.89743590041</v>
          </cell>
        </row>
      </sheetData>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mpare Avista vs PC"/>
      <sheetName val="Summary"/>
      <sheetName val="PLN "/>
      <sheetName val="E-PLN-1"/>
      <sheetName val="PLE-1"/>
      <sheetName val="E-PLN-5"/>
      <sheetName val="PLE-2"/>
      <sheetName val="E-PLN-6"/>
      <sheetName val="PLE-4"/>
      <sheetName val="PLE-3"/>
      <sheetName val="G-WA-ADJ"/>
      <sheetName val="E-ID-ADJ"/>
      <sheetName val="G-ID-ADJ"/>
      <sheetName val="G-OR-ADJ"/>
      <sheetName val="G-PLN-1"/>
      <sheetName val="G-PLN-2"/>
      <sheetName val="PEB-1"/>
      <sheetName val="PEB-2"/>
      <sheetName val="PEB-3"/>
      <sheetName val="G-PLN-3"/>
      <sheetName val="G-PLN-4"/>
      <sheetName val="Sheet1"/>
    </sheetNames>
    <sheetDataSet>
      <sheetData sheetId="0"/>
      <sheetData sheetId="1">
        <row r="9">
          <cell r="E9">
            <v>357593</v>
          </cell>
        </row>
        <row r="10">
          <cell r="E10">
            <v>94687</v>
          </cell>
        </row>
        <row r="13">
          <cell r="E13">
            <v>329885</v>
          </cell>
        </row>
        <row r="15">
          <cell r="E15">
            <v>150896</v>
          </cell>
        </row>
        <row r="16">
          <cell r="E16">
            <v>12709</v>
          </cell>
        </row>
        <row r="17">
          <cell r="E17">
            <v>21</v>
          </cell>
        </row>
        <row r="19">
          <cell r="E19">
            <v>346770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PLN "/>
      <sheetName val="E-PLN-1"/>
      <sheetName val="PLE-1"/>
      <sheetName val="E-PLN-5"/>
      <sheetName val="PLE-2"/>
      <sheetName val="E-PLN-6"/>
      <sheetName val="PLE-4"/>
      <sheetName val="PLE-3"/>
      <sheetName val="G-WA-ADJ"/>
      <sheetName val="E-ID-ADJ"/>
      <sheetName val="G-ID-ADJ"/>
      <sheetName val="G-OR-ADJ"/>
      <sheetName val="G-PLN-1"/>
      <sheetName val="G-PLN-2"/>
      <sheetName val="PEB-1"/>
      <sheetName val="PEB-2"/>
      <sheetName val="PEB-3"/>
      <sheetName val="G-PLN-3"/>
      <sheetName val="G-PLN-4"/>
      <sheetName val="Sheet1"/>
    </sheetNames>
    <sheetDataSet>
      <sheetData sheetId="0">
        <row r="9">
          <cell r="F9">
            <v>-4385</v>
          </cell>
        </row>
        <row r="10">
          <cell r="F10">
            <v>0</v>
          </cell>
        </row>
        <row r="13">
          <cell r="F13">
            <v>0</v>
          </cell>
        </row>
        <row r="15">
          <cell r="F15">
            <v>0</v>
          </cell>
        </row>
        <row r="16">
          <cell r="F16">
            <v>0</v>
          </cell>
        </row>
        <row r="17">
          <cell r="F17">
            <v>0</v>
          </cell>
        </row>
        <row r="19">
          <cell r="F19">
            <v>-284781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EPI-1"/>
      <sheetName val="EPI-2"/>
    </sheetNames>
    <sheetDataSet>
      <sheetData sheetId="0">
        <row r="18">
          <cell r="E18">
            <v>-308372</v>
          </cell>
        </row>
      </sheetData>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ummary"/>
      <sheetName val="C-PT"/>
      <sheetName val="C-PT-1"/>
      <sheetName val="HPA-1"/>
    </sheetNames>
    <sheetDataSet>
      <sheetData sheetId="0"/>
      <sheetData sheetId="1">
        <row r="12">
          <cell r="F12">
            <v>799546</v>
          </cell>
        </row>
        <row r="14">
          <cell r="F14">
            <v>396901</v>
          </cell>
        </row>
        <row r="16">
          <cell r="F16">
            <v>8546</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C1:AE95"/>
  <sheetViews>
    <sheetView tabSelected="1" topLeftCell="C1" workbookViewId="0">
      <selection activeCell="X5" sqref="X5"/>
    </sheetView>
  </sheetViews>
  <sheetFormatPr defaultRowHeight="15.75"/>
  <cols>
    <col min="4" max="4" width="1.625" customWidth="1"/>
    <col min="6" max="6" width="1.625" customWidth="1"/>
    <col min="10" max="10" width="5.625" customWidth="1"/>
    <col min="11" max="11" width="3.625" customWidth="1"/>
    <col min="12" max="12" width="11.375" customWidth="1"/>
    <col min="13" max="13" width="1.625" customWidth="1"/>
    <col min="15" max="15" width="1.625" customWidth="1"/>
    <col min="16" max="16" width="10.125" bestFit="1" customWidth="1"/>
    <col min="18" max="18" width="10.125" bestFit="1" customWidth="1"/>
    <col min="19" max="19" width="1.625" customWidth="1"/>
    <col min="21" max="21" width="1.625" customWidth="1"/>
    <col min="22" max="22" width="10.125" bestFit="1" customWidth="1"/>
    <col min="23" max="23" width="2.625" customWidth="1"/>
    <col min="24" max="24" width="19" bestFit="1" customWidth="1"/>
    <col min="25" max="25" width="2.625" customWidth="1"/>
    <col min="26" max="26" width="10.375" bestFit="1" customWidth="1"/>
  </cols>
  <sheetData>
    <row r="1" spans="3:31" ht="20.25">
      <c r="X1" s="89" t="s">
        <v>527</v>
      </c>
      <c r="Y1" s="88"/>
      <c r="Z1" s="88"/>
    </row>
    <row r="2" spans="3:31" ht="20.25">
      <c r="I2" s="63" t="s">
        <v>383</v>
      </c>
      <c r="X2" s="89" t="s">
        <v>526</v>
      </c>
      <c r="Y2" s="88"/>
      <c r="Z2" s="88"/>
      <c r="AC2" t="s">
        <v>47</v>
      </c>
      <c r="AE2">
        <v>8.2500000000000004E-2</v>
      </c>
    </row>
    <row r="3" spans="3:31" ht="20.25">
      <c r="I3" s="63" t="s">
        <v>384</v>
      </c>
      <c r="X3" s="89" t="s">
        <v>538</v>
      </c>
      <c r="Y3" s="88"/>
      <c r="Z3" s="88"/>
      <c r="AC3" t="s">
        <v>48</v>
      </c>
      <c r="AE3">
        <v>0.62082000000000004</v>
      </c>
    </row>
    <row r="4" spans="3:31" ht="20.25">
      <c r="X4" s="90" t="s">
        <v>555</v>
      </c>
    </row>
    <row r="5" spans="3:31">
      <c r="E5" s="1" t="s">
        <v>40</v>
      </c>
      <c r="Z5" s="35" t="s">
        <v>528</v>
      </c>
    </row>
    <row r="6" spans="3:31">
      <c r="C6" s="1" t="s">
        <v>49</v>
      </c>
      <c r="D6" s="1"/>
      <c r="E6" s="1" t="s">
        <v>41</v>
      </c>
      <c r="X6" s="65" t="s">
        <v>51</v>
      </c>
      <c r="Z6" s="35" t="s">
        <v>385</v>
      </c>
    </row>
    <row r="7" spans="3:31">
      <c r="C7" s="1" t="s">
        <v>50</v>
      </c>
      <c r="D7" s="1"/>
      <c r="E7" s="1" t="s">
        <v>50</v>
      </c>
      <c r="L7" s="4"/>
      <c r="M7" s="4"/>
      <c r="N7" s="2" t="s">
        <v>407</v>
      </c>
      <c r="O7" s="4"/>
      <c r="P7" s="4"/>
      <c r="R7" s="4"/>
      <c r="S7" s="4"/>
      <c r="T7" s="2" t="s">
        <v>408</v>
      </c>
      <c r="U7" s="4"/>
      <c r="V7" s="4"/>
      <c r="X7" s="65" t="s">
        <v>409</v>
      </c>
      <c r="Z7" s="35" t="s">
        <v>386</v>
      </c>
    </row>
    <row r="8" spans="3:31">
      <c r="C8" s="2" t="s">
        <v>39</v>
      </c>
      <c r="D8" s="1"/>
      <c r="E8" s="2" t="s">
        <v>39</v>
      </c>
      <c r="G8" s="4" t="s">
        <v>42</v>
      </c>
      <c r="H8" s="4"/>
      <c r="I8" s="4"/>
      <c r="J8" s="4"/>
      <c r="K8" s="5"/>
      <c r="L8" s="6" t="s">
        <v>44</v>
      </c>
      <c r="M8" s="1"/>
      <c r="N8" s="6" t="s">
        <v>45</v>
      </c>
      <c r="O8" s="1"/>
      <c r="P8" s="6" t="s">
        <v>46</v>
      </c>
      <c r="R8" s="6" t="s">
        <v>44</v>
      </c>
      <c r="S8" s="1"/>
      <c r="T8" s="6" t="s">
        <v>45</v>
      </c>
      <c r="U8" s="1"/>
      <c r="V8" s="6" t="s">
        <v>46</v>
      </c>
      <c r="X8" s="2" t="s">
        <v>410</v>
      </c>
      <c r="Y8" s="5"/>
      <c r="Z8" s="2" t="s">
        <v>387</v>
      </c>
    </row>
    <row r="9" spans="3:31">
      <c r="C9" s="3">
        <v>1</v>
      </c>
      <c r="D9" s="3"/>
      <c r="E9" s="3"/>
      <c r="G9" t="s">
        <v>0</v>
      </c>
      <c r="L9" s="9">
        <v>1123911</v>
      </c>
      <c r="M9" s="8"/>
      <c r="N9" s="9">
        <v>76024</v>
      </c>
      <c r="O9" s="8"/>
      <c r="P9" s="13">
        <v>26898</v>
      </c>
      <c r="Q9" s="14"/>
      <c r="R9" s="14"/>
      <c r="S9" s="14"/>
      <c r="T9" s="14"/>
      <c r="U9" s="14"/>
      <c r="V9" s="14"/>
    </row>
    <row r="10" spans="3:31">
      <c r="C10" s="3"/>
      <c r="D10" s="3"/>
      <c r="E10" s="3"/>
      <c r="L10" s="8"/>
      <c r="M10" s="8"/>
      <c r="N10" s="8"/>
      <c r="O10" s="8"/>
      <c r="P10" s="13"/>
      <c r="Q10" s="14"/>
      <c r="R10" s="14"/>
      <c r="S10" s="14"/>
      <c r="T10" s="14"/>
      <c r="U10" s="14"/>
      <c r="V10" s="14"/>
    </row>
    <row r="11" spans="3:31">
      <c r="C11" s="3">
        <v>1.01</v>
      </c>
      <c r="D11" s="3"/>
      <c r="E11" s="3"/>
      <c r="G11" t="s">
        <v>1</v>
      </c>
      <c r="L11" s="7">
        <v>285</v>
      </c>
      <c r="M11" s="8"/>
      <c r="N11" s="7">
        <v>2.9625750000000002</v>
      </c>
      <c r="O11" s="8"/>
      <c r="P11" s="13">
        <f t="shared" ref="P11:P30" si="0">(+L11*$AE$2-N11)/$AE$3</f>
        <v>33.101261235140619</v>
      </c>
      <c r="Q11" s="14"/>
      <c r="R11" s="14"/>
      <c r="S11" s="14"/>
      <c r="T11" s="14"/>
      <c r="U11" s="14"/>
      <c r="V11" s="14"/>
      <c r="X11" t="s">
        <v>523</v>
      </c>
    </row>
    <row r="12" spans="3:31">
      <c r="C12" s="3">
        <f>+C11+0.01</f>
        <v>1.02</v>
      </c>
      <c r="D12" s="3"/>
      <c r="E12" s="3"/>
      <c r="G12" t="s">
        <v>2</v>
      </c>
      <c r="L12" s="7">
        <v>-7013</v>
      </c>
      <c r="M12" s="8"/>
      <c r="N12" s="7">
        <v>-83.900134999999992</v>
      </c>
      <c r="O12" s="8"/>
      <c r="P12" s="13">
        <f t="shared" si="0"/>
        <v>-796.80481460004512</v>
      </c>
      <c r="Q12" s="14"/>
      <c r="R12" s="14"/>
      <c r="S12" s="14"/>
      <c r="T12" s="14"/>
      <c r="U12" s="14"/>
      <c r="V12" s="14"/>
      <c r="X12" t="s">
        <v>523</v>
      </c>
    </row>
    <row r="13" spans="3:31">
      <c r="C13" s="3">
        <f>+C12+0.01</f>
        <v>1.03</v>
      </c>
      <c r="D13" s="3"/>
      <c r="E13" s="3"/>
      <c r="G13" t="s">
        <v>3</v>
      </c>
      <c r="L13" s="9">
        <v>13689</v>
      </c>
      <c r="M13" s="8"/>
      <c r="N13" s="9">
        <v>142.297155</v>
      </c>
      <c r="O13" s="8"/>
      <c r="P13" s="13">
        <f t="shared" si="0"/>
        <v>1589.9058422731225</v>
      </c>
      <c r="Q13" s="14"/>
      <c r="R13" s="14"/>
      <c r="S13" s="14"/>
      <c r="T13" s="14"/>
      <c r="U13" s="14"/>
      <c r="V13" s="14"/>
      <c r="X13" t="s">
        <v>523</v>
      </c>
    </row>
    <row r="14" spans="3:31">
      <c r="C14" s="3">
        <v>2.0099999999999998</v>
      </c>
      <c r="D14" s="3"/>
      <c r="E14" s="3"/>
      <c r="G14" t="s">
        <v>4</v>
      </c>
      <c r="L14" s="10">
        <v>0</v>
      </c>
      <c r="M14" s="8"/>
      <c r="N14" s="10">
        <v>-45.5</v>
      </c>
      <c r="O14" s="8"/>
      <c r="P14" s="13">
        <f t="shared" si="0"/>
        <v>73.290164620985138</v>
      </c>
      <c r="Q14" s="14"/>
      <c r="R14" s="14"/>
      <c r="S14" s="14"/>
      <c r="T14" s="14"/>
      <c r="U14" s="14"/>
      <c r="V14" s="14"/>
      <c r="X14" t="s">
        <v>523</v>
      </c>
    </row>
    <row r="15" spans="3:31">
      <c r="C15" s="3">
        <f t="shared" ref="C15:C30" si="1">+C14+0.01</f>
        <v>2.0199999999999996</v>
      </c>
      <c r="D15" s="3"/>
      <c r="E15" s="3"/>
      <c r="G15" t="s">
        <v>5</v>
      </c>
      <c r="L15" s="10">
        <v>0</v>
      </c>
      <c r="M15" s="8"/>
      <c r="N15" s="10">
        <v>-206.05</v>
      </c>
      <c r="O15" s="8"/>
      <c r="P15" s="13">
        <f t="shared" si="0"/>
        <v>331.89974549788991</v>
      </c>
      <c r="Q15" s="14"/>
      <c r="R15" s="14"/>
      <c r="S15" s="14"/>
      <c r="T15" s="14"/>
      <c r="U15" s="14"/>
      <c r="V15" s="14"/>
      <c r="X15" t="s">
        <v>523</v>
      </c>
    </row>
    <row r="16" spans="3:31">
      <c r="C16" s="3">
        <f t="shared" si="1"/>
        <v>2.0299999999999994</v>
      </c>
      <c r="D16" s="3"/>
      <c r="E16" s="3"/>
      <c r="G16" t="s">
        <v>6</v>
      </c>
      <c r="L16" s="7">
        <v>0</v>
      </c>
      <c r="M16" s="8"/>
      <c r="N16" s="7">
        <v>-31.200000000000003</v>
      </c>
      <c r="O16" s="8"/>
      <c r="P16" s="13">
        <f t="shared" si="0"/>
        <v>50.256112882961247</v>
      </c>
      <c r="Q16" s="14"/>
      <c r="R16" s="14"/>
      <c r="S16" s="14"/>
      <c r="T16" s="14"/>
      <c r="U16" s="14"/>
      <c r="V16" s="14"/>
      <c r="X16" t="s">
        <v>523</v>
      </c>
    </row>
    <row r="17" spans="3:26">
      <c r="C17" s="3">
        <f t="shared" si="1"/>
        <v>2.0399999999999991</v>
      </c>
      <c r="D17" s="3"/>
      <c r="E17" s="3"/>
      <c r="G17" t="s">
        <v>7</v>
      </c>
      <c r="L17" s="10">
        <v>0</v>
      </c>
      <c r="M17" s="8"/>
      <c r="N17" s="10">
        <v>149.5</v>
      </c>
      <c r="O17" s="8"/>
      <c r="P17" s="13">
        <f t="shared" si="0"/>
        <v>-240.81054089752263</v>
      </c>
      <c r="Q17" s="14"/>
      <c r="R17" s="14"/>
      <c r="S17" s="14"/>
      <c r="T17" s="14"/>
      <c r="U17" s="14"/>
      <c r="V17" s="14"/>
      <c r="X17" t="s">
        <v>523</v>
      </c>
    </row>
    <row r="18" spans="3:26">
      <c r="C18" s="3">
        <f t="shared" si="1"/>
        <v>2.0499999999999989</v>
      </c>
      <c r="D18" s="3"/>
      <c r="E18" s="3" t="s">
        <v>98</v>
      </c>
      <c r="G18" t="s">
        <v>8</v>
      </c>
      <c r="L18" s="7">
        <v>0</v>
      </c>
      <c r="M18" s="8"/>
      <c r="N18" s="7">
        <v>-5</v>
      </c>
      <c r="O18" s="8"/>
      <c r="P18" s="13">
        <f t="shared" si="0"/>
        <v>8.053864244064302</v>
      </c>
      <c r="Q18" s="14"/>
      <c r="R18" s="14"/>
      <c r="S18" s="14"/>
      <c r="T18" s="7">
        <f>-DFIT!I23/1000</f>
        <v>1820.81</v>
      </c>
      <c r="U18" s="8"/>
      <c r="V18" s="13">
        <f>(+R18*$AE$2-T18)/$AE$3</f>
        <v>-2932.9113108469442</v>
      </c>
      <c r="X18" t="s">
        <v>381</v>
      </c>
      <c r="Z18" s="45">
        <f>+V18-P18</f>
        <v>-2940.9651750910084</v>
      </c>
    </row>
    <row r="19" spans="3:26">
      <c r="C19" s="3">
        <f t="shared" si="1"/>
        <v>2.0599999999999987</v>
      </c>
      <c r="D19" s="3"/>
      <c r="E19" s="3"/>
      <c r="G19" t="s">
        <v>9</v>
      </c>
      <c r="L19" s="7">
        <v>0</v>
      </c>
      <c r="M19" s="8"/>
      <c r="N19" s="7">
        <v>8312</v>
      </c>
      <c r="O19" s="8"/>
      <c r="P19" s="13">
        <f t="shared" si="0"/>
        <v>-13388.743919332495</v>
      </c>
      <c r="Q19" s="14"/>
      <c r="R19" s="14"/>
      <c r="S19" s="14"/>
      <c r="T19" s="14"/>
      <c r="U19" s="14"/>
      <c r="V19" s="14"/>
      <c r="X19" t="s">
        <v>523</v>
      </c>
    </row>
    <row r="20" spans="3:26">
      <c r="C20" s="3">
        <f t="shared" si="1"/>
        <v>2.0699999999999985</v>
      </c>
      <c r="D20" s="3"/>
      <c r="E20" s="3"/>
      <c r="G20" t="s">
        <v>10</v>
      </c>
      <c r="L20" s="10">
        <v>0</v>
      </c>
      <c r="M20" s="8"/>
      <c r="N20" s="10">
        <v>-9.1000000000000014</v>
      </c>
      <c r="O20" s="8"/>
      <c r="P20" s="13">
        <f t="shared" si="0"/>
        <v>14.65803292419703</v>
      </c>
      <c r="Q20" s="14"/>
      <c r="R20" s="14"/>
      <c r="S20" s="14"/>
      <c r="T20" s="14"/>
      <c r="U20" s="14"/>
      <c r="V20" s="14"/>
      <c r="X20" t="s">
        <v>523</v>
      </c>
    </row>
    <row r="21" spans="3:26">
      <c r="C21" s="3">
        <f t="shared" si="1"/>
        <v>2.0799999999999983</v>
      </c>
      <c r="D21" s="3"/>
      <c r="E21" s="3"/>
      <c r="G21" t="s">
        <v>11</v>
      </c>
      <c r="L21" s="10">
        <v>0</v>
      </c>
      <c r="M21" s="8"/>
      <c r="N21" s="10">
        <v>1.3</v>
      </c>
      <c r="O21" s="8"/>
      <c r="P21" s="13">
        <f t="shared" si="0"/>
        <v>-2.0940047034567186</v>
      </c>
      <c r="Q21" s="14"/>
      <c r="R21" s="14"/>
      <c r="S21" s="14"/>
      <c r="T21" s="14"/>
      <c r="U21" s="14"/>
      <c r="V21" s="14"/>
      <c r="X21" t="s">
        <v>523</v>
      </c>
    </row>
    <row r="22" spans="3:26">
      <c r="C22" s="3">
        <f t="shared" si="1"/>
        <v>2.0899999999999981</v>
      </c>
      <c r="D22" s="3"/>
      <c r="E22" s="3"/>
      <c r="G22" t="s">
        <v>12</v>
      </c>
      <c r="L22" s="10">
        <v>0</v>
      </c>
      <c r="M22" s="8"/>
      <c r="N22" s="10">
        <v>3.25</v>
      </c>
      <c r="O22" s="8"/>
      <c r="P22" s="13">
        <f t="shared" si="0"/>
        <v>-5.2350117586417957</v>
      </c>
      <c r="Q22" s="14"/>
      <c r="R22" s="14"/>
      <c r="S22" s="14"/>
      <c r="T22" s="14"/>
      <c r="U22" s="14"/>
      <c r="V22" s="14"/>
      <c r="X22" t="s">
        <v>523</v>
      </c>
    </row>
    <row r="23" spans="3:26">
      <c r="C23" s="3">
        <f t="shared" si="1"/>
        <v>2.0999999999999979</v>
      </c>
      <c r="D23" s="3"/>
      <c r="E23" s="3"/>
      <c r="G23" t="s">
        <v>13</v>
      </c>
      <c r="L23" s="10">
        <v>0</v>
      </c>
      <c r="M23" s="8"/>
      <c r="N23" s="10">
        <v>66.95</v>
      </c>
      <c r="O23" s="8"/>
      <c r="P23" s="13">
        <f t="shared" si="0"/>
        <v>-107.841242228021</v>
      </c>
      <c r="Q23" s="14"/>
      <c r="R23" s="14"/>
      <c r="S23" s="14"/>
      <c r="T23" s="14"/>
      <c r="U23" s="14"/>
      <c r="V23" s="14"/>
      <c r="X23" t="s">
        <v>523</v>
      </c>
    </row>
    <row r="24" spans="3:26">
      <c r="C24" s="3">
        <f t="shared" si="1"/>
        <v>2.1099999999999977</v>
      </c>
      <c r="D24" s="3"/>
      <c r="E24" s="3"/>
      <c r="G24" t="s">
        <v>14</v>
      </c>
      <c r="L24" s="10">
        <v>0</v>
      </c>
      <c r="M24" s="8"/>
      <c r="N24" s="10">
        <v>52</v>
      </c>
      <c r="O24" s="8"/>
      <c r="P24" s="13">
        <f t="shared" si="0"/>
        <v>-83.760188138268731</v>
      </c>
      <c r="Q24" s="14"/>
      <c r="R24" s="14"/>
      <c r="S24" s="14"/>
      <c r="T24" s="14"/>
      <c r="U24" s="14"/>
      <c r="V24" s="14"/>
      <c r="X24" t="s">
        <v>523</v>
      </c>
    </row>
    <row r="25" spans="3:26">
      <c r="C25" s="3">
        <f t="shared" si="1"/>
        <v>2.1199999999999974</v>
      </c>
      <c r="D25" s="3"/>
      <c r="E25" s="3" t="s">
        <v>235</v>
      </c>
      <c r="G25" t="s">
        <v>15</v>
      </c>
      <c r="L25" s="7">
        <v>0</v>
      </c>
      <c r="M25" s="8"/>
      <c r="N25" s="7">
        <v>10115.950000000001</v>
      </c>
      <c r="O25" s="8"/>
      <c r="P25" s="13">
        <f t="shared" si="0"/>
        <v>-16294.497599948456</v>
      </c>
      <c r="Q25" s="14"/>
      <c r="R25" s="14"/>
      <c r="S25" s="14"/>
      <c r="T25" s="14">
        <f>+'Rev Norm'!I35</f>
        <v>11053.309778720362</v>
      </c>
      <c r="U25" s="14"/>
      <c r="V25" s="13">
        <f>(+R25*$AE$2-T25)/$AE$3</f>
        <v>-17804.371281080446</v>
      </c>
      <c r="X25" t="s">
        <v>381</v>
      </c>
      <c r="Z25" s="45">
        <f>+V25-P25</f>
        <v>-1509.8736811319905</v>
      </c>
    </row>
    <row r="26" spans="3:26">
      <c r="C26" s="3">
        <f t="shared" si="1"/>
        <v>2.1299999999999972</v>
      </c>
      <c r="D26" s="3"/>
      <c r="E26" s="3"/>
      <c r="G26" t="s">
        <v>16</v>
      </c>
      <c r="L26" s="9">
        <v>0</v>
      </c>
      <c r="M26" s="8"/>
      <c r="N26" s="9">
        <v>58.5</v>
      </c>
      <c r="O26" s="8"/>
      <c r="P26" s="13">
        <f t="shared" si="0"/>
        <v>-94.230211655552324</v>
      </c>
      <c r="Q26" s="14"/>
      <c r="R26" s="14"/>
      <c r="S26" s="14"/>
      <c r="T26" s="14"/>
      <c r="U26" s="14"/>
      <c r="V26" s="14"/>
      <c r="X26" t="s">
        <v>523</v>
      </c>
    </row>
    <row r="27" spans="3:26">
      <c r="C27" s="3">
        <f t="shared" si="1"/>
        <v>2.139999999999997</v>
      </c>
      <c r="D27" s="3"/>
      <c r="E27" s="3" t="s">
        <v>236</v>
      </c>
      <c r="G27" t="s">
        <v>17</v>
      </c>
      <c r="L27" s="9">
        <v>0</v>
      </c>
      <c r="M27" s="8"/>
      <c r="N27" s="9">
        <v>553.79999999999995</v>
      </c>
      <c r="O27" s="8"/>
      <c r="P27" s="13">
        <f t="shared" si="0"/>
        <v>-892.04600367256194</v>
      </c>
      <c r="Q27" s="14"/>
      <c r="R27" s="14"/>
      <c r="S27" s="14"/>
      <c r="T27" s="14">
        <f>+'Trans PCB'!I28/1000</f>
        <v>756.56685000000004</v>
      </c>
      <c r="U27" s="14"/>
      <c r="V27" s="13">
        <f>(+R27*$AE$2-T27)/$AE$3</f>
        <v>-1218.6573402918721</v>
      </c>
      <c r="X27" t="s">
        <v>381</v>
      </c>
      <c r="Z27" s="45">
        <f>+V27-P27</f>
        <v>-326.61133661931012</v>
      </c>
    </row>
    <row r="28" spans="3:26">
      <c r="C28" s="3">
        <f t="shared" si="1"/>
        <v>2.1499999999999968</v>
      </c>
      <c r="D28" s="3"/>
      <c r="E28" s="3" t="s">
        <v>462</v>
      </c>
      <c r="G28" t="s">
        <v>18</v>
      </c>
      <c r="L28" s="9">
        <v>0</v>
      </c>
      <c r="M28" s="8"/>
      <c r="N28" s="9">
        <v>-486.85</v>
      </c>
      <c r="O28" s="8"/>
      <c r="P28" s="13">
        <f t="shared" si="0"/>
        <v>784.20476144454108</v>
      </c>
      <c r="Q28" s="14"/>
      <c r="R28" s="14"/>
      <c r="S28" s="14"/>
      <c r="T28" s="14">
        <f>+STIP!I29/1000</f>
        <v>-304.88705000000004</v>
      </c>
      <c r="U28" s="14"/>
      <c r="V28" s="13">
        <f>(+R28*$AE$2-T28)/$AE$3</f>
        <v>491.10378209464903</v>
      </c>
      <c r="X28" t="s">
        <v>381</v>
      </c>
      <c r="Z28" s="45">
        <f>+V28-P28</f>
        <v>-293.10097934989204</v>
      </c>
    </row>
    <row r="29" spans="3:26">
      <c r="C29" s="3">
        <f t="shared" si="1"/>
        <v>2.1599999999999966</v>
      </c>
      <c r="D29" s="3"/>
      <c r="E29" s="3" t="s">
        <v>237</v>
      </c>
      <c r="G29" t="s">
        <v>19</v>
      </c>
      <c r="L29" s="9">
        <v>0</v>
      </c>
      <c r="M29" s="8"/>
      <c r="N29" s="9">
        <v>-637.65000000000009</v>
      </c>
      <c r="O29" s="8"/>
      <c r="P29" s="13">
        <f t="shared" si="0"/>
        <v>1027.1093070455206</v>
      </c>
      <c r="Q29" s="14"/>
      <c r="R29" s="14"/>
      <c r="S29" s="14"/>
      <c r="T29" s="14">
        <f>+'Prod Maint'!J72/1000</f>
        <v>419.45396089999957</v>
      </c>
      <c r="U29" s="14"/>
      <c r="V29" s="13">
        <f>(+R29*$AE$2-T29)/$AE$3</f>
        <v>-675.64505154473045</v>
      </c>
      <c r="X29" t="s">
        <v>381</v>
      </c>
      <c r="Z29" s="45">
        <f>+V29-P29</f>
        <v>-1702.7543585902511</v>
      </c>
    </row>
    <row r="30" spans="3:26">
      <c r="C30" s="3">
        <f t="shared" si="1"/>
        <v>2.1699999999999964</v>
      </c>
      <c r="D30" s="3"/>
      <c r="E30" s="3"/>
      <c r="G30" t="s">
        <v>20</v>
      </c>
      <c r="L30" s="20">
        <v>0</v>
      </c>
      <c r="M30" s="22"/>
      <c r="N30" s="20">
        <v>126</v>
      </c>
      <c r="O30" s="22"/>
      <c r="P30" s="21">
        <f t="shared" si="0"/>
        <v>-202.95737895042041</v>
      </c>
      <c r="Q30" s="14"/>
      <c r="R30" s="14"/>
      <c r="S30" s="14"/>
      <c r="T30" s="14"/>
      <c r="U30" s="14"/>
      <c r="V30" s="14"/>
      <c r="X30" t="s">
        <v>523</v>
      </c>
    </row>
    <row r="31" spans="3:26">
      <c r="C31" s="3"/>
      <c r="D31" s="3"/>
      <c r="E31" s="3" t="s">
        <v>97</v>
      </c>
      <c r="G31" t="s">
        <v>74</v>
      </c>
      <c r="L31" s="20"/>
      <c r="M31" s="22"/>
      <c r="N31" s="20"/>
      <c r="O31" s="22"/>
      <c r="P31" s="21"/>
      <c r="Q31" s="14"/>
      <c r="R31" s="14"/>
      <c r="S31" s="14"/>
      <c r="T31" s="14">
        <f>+DPAD!I34/1000</f>
        <v>319.54858627999999</v>
      </c>
      <c r="U31" s="14"/>
      <c r="V31" s="13">
        <f t="shared" ref="V31:V43" si="2">(+R31*$AE$2-T31)/$AE$3</f>
        <v>-514.72018665635767</v>
      </c>
      <c r="X31" t="s">
        <v>96</v>
      </c>
      <c r="Z31" s="45">
        <f t="shared" ref="Z31:Z36" si="3">+V31-P31</f>
        <v>-514.72018665635767</v>
      </c>
    </row>
    <row r="32" spans="3:26">
      <c r="C32" s="3"/>
      <c r="D32" s="3"/>
      <c r="E32" s="3" t="s">
        <v>234</v>
      </c>
      <c r="G32" t="s">
        <v>254</v>
      </c>
      <c r="L32" s="20"/>
      <c r="M32" s="22"/>
      <c r="N32" s="20"/>
      <c r="O32" s="22"/>
      <c r="P32" s="21"/>
      <c r="Q32" s="14"/>
      <c r="R32" s="14"/>
      <c r="S32" s="14"/>
      <c r="T32" s="14">
        <f>+'Perf Excel'!I23/1000</f>
        <v>734.62025000000006</v>
      </c>
      <c r="U32" s="14"/>
      <c r="V32" s="13">
        <f t="shared" si="2"/>
        <v>-1183.3063528881157</v>
      </c>
      <c r="X32" t="s">
        <v>96</v>
      </c>
      <c r="Z32" s="45">
        <f t="shared" si="3"/>
        <v>-1183.3063528881157</v>
      </c>
    </row>
    <row r="33" spans="3:26">
      <c r="C33" s="3"/>
      <c r="D33" s="3"/>
      <c r="E33" s="3" t="s">
        <v>282</v>
      </c>
      <c r="G33" t="s">
        <v>286</v>
      </c>
      <c r="L33" s="20"/>
      <c r="M33" s="8"/>
      <c r="N33" s="20"/>
      <c r="O33" s="8"/>
      <c r="P33" s="21"/>
      <c r="Q33" s="14"/>
      <c r="R33" s="14"/>
      <c r="S33" s="14"/>
      <c r="T33" s="14">
        <f>+Discretionary!I32/1000</f>
        <v>37.300249999999998</v>
      </c>
      <c r="U33" s="14"/>
      <c r="V33" s="13">
        <f t="shared" si="2"/>
        <v>-60.082229953931893</v>
      </c>
      <c r="X33" t="s">
        <v>96</v>
      </c>
      <c r="Z33" s="45">
        <f t="shared" si="3"/>
        <v>-60.082229953931893</v>
      </c>
    </row>
    <row r="34" spans="3:26">
      <c r="C34" s="3"/>
      <c r="D34" s="3"/>
      <c r="E34" s="3" t="s">
        <v>283</v>
      </c>
      <c r="G34" t="s">
        <v>287</v>
      </c>
      <c r="L34" s="20"/>
      <c r="M34" s="8"/>
      <c r="N34" s="20"/>
      <c r="O34" s="8"/>
      <c r="P34" s="21"/>
      <c r="Q34" s="14"/>
      <c r="R34" s="14"/>
      <c r="S34" s="14"/>
      <c r="T34" s="14">
        <f>+'Dues &amp; Don''ts'!I35/1000</f>
        <v>54.806651025527742</v>
      </c>
      <c r="U34" s="14"/>
      <c r="V34" s="13">
        <f t="shared" si="2"/>
        <v>-88.281065406281598</v>
      </c>
      <c r="X34" t="s">
        <v>96</v>
      </c>
      <c r="Z34" s="45">
        <f t="shared" si="3"/>
        <v>-88.281065406281598</v>
      </c>
    </row>
    <row r="35" spans="3:26">
      <c r="C35" s="3"/>
      <c r="D35" s="3"/>
      <c r="E35" s="3" t="s">
        <v>284</v>
      </c>
      <c r="G35" t="s">
        <v>299</v>
      </c>
      <c r="L35" s="20"/>
      <c r="M35" s="8"/>
      <c r="N35" s="20"/>
      <c r="O35" s="8"/>
      <c r="P35" s="21"/>
      <c r="Q35" s="14"/>
      <c r="R35" s="14"/>
      <c r="S35" s="14"/>
      <c r="T35" s="14">
        <f>+'Advertising DSM'!I27/1000</f>
        <v>1.7386679748904954</v>
      </c>
      <c r="U35" s="14"/>
      <c r="V35" s="13">
        <f t="shared" si="2"/>
        <v>-2.8005991670540498</v>
      </c>
      <c r="X35" t="s">
        <v>96</v>
      </c>
      <c r="Z35" s="45">
        <f t="shared" si="3"/>
        <v>-2.8005991670540498</v>
      </c>
    </row>
    <row r="36" spans="3:26">
      <c r="C36" s="3"/>
      <c r="D36" s="3"/>
      <c r="E36" s="3" t="s">
        <v>285</v>
      </c>
      <c r="G36" t="s">
        <v>309</v>
      </c>
      <c r="L36" s="20"/>
      <c r="M36" s="22"/>
      <c r="N36" s="20"/>
      <c r="O36" s="22"/>
      <c r="P36" s="21"/>
      <c r="Q36" s="14"/>
      <c r="R36" s="14"/>
      <c r="S36" s="14"/>
      <c r="T36" s="14">
        <f>+Aircraft!I29/1000</f>
        <v>3.0471999999999997</v>
      </c>
      <c r="U36" s="14"/>
      <c r="V36" s="13">
        <f t="shared" si="2"/>
        <v>-4.9083470249025476</v>
      </c>
      <c r="X36" t="s">
        <v>96</v>
      </c>
      <c r="Z36" s="45">
        <f t="shared" si="3"/>
        <v>-4.9083470249025476</v>
      </c>
    </row>
    <row r="37" spans="3:26">
      <c r="C37" s="3"/>
      <c r="D37" s="3"/>
      <c r="E37" s="3" t="s">
        <v>326</v>
      </c>
      <c r="G37" t="s">
        <v>368</v>
      </c>
      <c r="L37" s="20"/>
      <c r="M37" s="22"/>
      <c r="N37" s="20"/>
      <c r="O37" s="22"/>
      <c r="P37" s="21"/>
      <c r="Q37" s="14"/>
      <c r="R37" s="14"/>
      <c r="S37" s="14"/>
      <c r="T37" s="14">
        <f>+'Audit Errors'!I39/1000</f>
        <v>11.100321986501612</v>
      </c>
      <c r="U37" s="14"/>
      <c r="V37" s="13">
        <f t="shared" si="2"/>
        <v>-17.880097268937231</v>
      </c>
      <c r="X37" t="s">
        <v>96</v>
      </c>
      <c r="Z37" s="45">
        <f>+V37-P37</f>
        <v>-17.880097268937231</v>
      </c>
    </row>
    <row r="38" spans="3:26">
      <c r="C38" s="3"/>
      <c r="D38" s="3"/>
      <c r="E38" s="3" t="s">
        <v>379</v>
      </c>
      <c r="G38" t="s">
        <v>369</v>
      </c>
      <c r="L38" s="20"/>
      <c r="M38" s="8"/>
      <c r="N38" s="20"/>
      <c r="O38" s="8"/>
      <c r="P38" s="21"/>
      <c r="Q38" s="14"/>
      <c r="R38" s="14">
        <f>+'SGDP to Idaho'!K15/1000</f>
        <v>-1548.4608576462081</v>
      </c>
      <c r="S38" s="14"/>
      <c r="T38" s="14">
        <f>+'SGDP to Idaho'!K48/1000</f>
        <v>158.99999333705966</v>
      </c>
      <c r="U38" s="14"/>
      <c r="V38" s="13">
        <f t="shared" si="2"/>
        <v>-461.88591555180534</v>
      </c>
      <c r="X38" t="s">
        <v>96</v>
      </c>
      <c r="Z38" s="45">
        <f t="shared" ref="Z38" si="4">+V38-P38</f>
        <v>-461.88591555180534</v>
      </c>
    </row>
    <row r="39" spans="3:26">
      <c r="C39" s="3"/>
      <c r="D39" s="3"/>
      <c r="E39" s="3" t="s">
        <v>380</v>
      </c>
      <c r="G39" t="s">
        <v>370</v>
      </c>
      <c r="L39" s="20"/>
      <c r="M39" s="8"/>
      <c r="N39" s="20"/>
      <c r="O39" s="8"/>
      <c r="P39" s="21"/>
      <c r="Q39" s="14"/>
      <c r="R39" s="14"/>
      <c r="S39" s="14"/>
      <c r="T39" s="14">
        <f>+'Spokane SGIP Savings'!J24/1000</f>
        <v>101.12505</v>
      </c>
      <c r="U39" s="14"/>
      <c r="V39" s="13">
        <f t="shared" si="2"/>
        <v>-162.88948487484294</v>
      </c>
      <c r="X39" t="s">
        <v>96</v>
      </c>
      <c r="Z39" s="45">
        <f t="shared" ref="Z39:Z43" si="5">+V39-P39</f>
        <v>-162.88948487484294</v>
      </c>
    </row>
    <row r="40" spans="3:26">
      <c r="C40" s="3"/>
      <c r="D40" s="3"/>
      <c r="E40" s="3" t="s">
        <v>478</v>
      </c>
      <c r="G40" t="s">
        <v>481</v>
      </c>
      <c r="L40" s="20"/>
      <c r="M40" s="8"/>
      <c r="N40" s="20"/>
      <c r="O40" s="8"/>
      <c r="P40" s="21"/>
      <c r="Q40" s="14"/>
      <c r="R40" s="14"/>
      <c r="S40" s="14"/>
      <c r="T40" s="14">
        <f>+'BOD Stock'!J23/1000</f>
        <v>166.13154999999998</v>
      </c>
      <c r="U40" s="14"/>
      <c r="V40" s="13">
        <f t="shared" si="2"/>
        <v>-267.6001900711961</v>
      </c>
      <c r="X40" t="s">
        <v>96</v>
      </c>
      <c r="Z40" s="45">
        <f t="shared" si="5"/>
        <v>-267.6001900711961</v>
      </c>
    </row>
    <row r="41" spans="3:26">
      <c r="C41" s="3"/>
      <c r="D41" s="3"/>
      <c r="E41" s="3" t="s">
        <v>479</v>
      </c>
      <c r="G41" t="s">
        <v>482</v>
      </c>
      <c r="L41" s="20"/>
      <c r="M41" s="8"/>
      <c r="N41" s="20"/>
      <c r="O41" s="8"/>
      <c r="P41" s="21"/>
      <c r="Q41" s="14"/>
      <c r="R41" s="14"/>
      <c r="S41" s="14"/>
      <c r="T41" s="14">
        <f>+'BOD Retainers'!J23/1000</f>
        <v>115.59138333333527</v>
      </c>
      <c r="U41" s="14"/>
      <c r="V41" s="13">
        <f t="shared" si="2"/>
        <v>-186.19146183005583</v>
      </c>
      <c r="X41" t="s">
        <v>96</v>
      </c>
      <c r="Z41" s="45">
        <f t="shared" si="5"/>
        <v>-186.19146183005583</v>
      </c>
    </row>
    <row r="42" spans="3:26">
      <c r="C42" s="3"/>
      <c r="D42" s="3"/>
      <c r="E42" s="3" t="s">
        <v>480</v>
      </c>
      <c r="G42" t="s">
        <v>522</v>
      </c>
      <c r="L42" s="20"/>
      <c r="M42" s="8"/>
      <c r="N42" s="20"/>
      <c r="O42" s="8"/>
      <c r="P42" s="21"/>
      <c r="Q42" s="14"/>
      <c r="R42" s="14"/>
      <c r="S42" s="14"/>
      <c r="T42" s="14">
        <f>+'Officers Benefits'!J24/1000</f>
        <v>129.59516414121379</v>
      </c>
      <c r="U42" s="14"/>
      <c r="V42" s="13">
        <f t="shared" si="2"/>
        <v>-208.74837173611317</v>
      </c>
      <c r="X42" t="s">
        <v>96</v>
      </c>
      <c r="Z42" s="45">
        <f t="shared" si="5"/>
        <v>-208.74837173611317</v>
      </c>
    </row>
    <row r="43" spans="3:26">
      <c r="C43" s="3"/>
      <c r="D43" s="3"/>
      <c r="E43" s="3" t="s">
        <v>484</v>
      </c>
      <c r="G43" t="s">
        <v>483</v>
      </c>
      <c r="L43" s="20"/>
      <c r="M43" s="8"/>
      <c r="N43" s="20"/>
      <c r="O43" s="8"/>
      <c r="P43" s="21"/>
      <c r="Q43" s="14"/>
      <c r="R43" s="14"/>
      <c r="S43" s="14"/>
      <c r="T43" s="14">
        <f>+'Comp Study'!J25/1000</f>
        <v>3.1538000000000004</v>
      </c>
      <c r="U43" s="14"/>
      <c r="V43" s="13">
        <f t="shared" si="2"/>
        <v>-5.0800554105859996</v>
      </c>
      <c r="X43" t="s">
        <v>96</v>
      </c>
      <c r="Z43" s="45">
        <f t="shared" si="5"/>
        <v>-5.0800554105859996</v>
      </c>
    </row>
    <row r="44" spans="3:26">
      <c r="C44" s="3"/>
      <c r="D44" s="3"/>
      <c r="E44" s="3"/>
      <c r="G44" s="66" t="s">
        <v>21</v>
      </c>
      <c r="L44" s="59">
        <f>SUM(L9:L43)</f>
        <v>1130872</v>
      </c>
      <c r="M44" s="8"/>
      <c r="N44" s="59">
        <f>SUM(N9:N43)</f>
        <v>94103.259594999981</v>
      </c>
      <c r="O44" s="8"/>
      <c r="P44" s="59">
        <f>SUM(P9:P43)</f>
        <v>-1298.5418237170179</v>
      </c>
      <c r="Q44" s="14"/>
      <c r="R44" s="59">
        <f>SUM(R9:R43)</f>
        <v>-1548.4608576462081</v>
      </c>
      <c r="S44" s="14"/>
      <c r="T44" s="59">
        <f>SUM(T9:T43)</f>
        <v>15582.012407698894</v>
      </c>
      <c r="U44" s="14"/>
      <c r="V44" s="59">
        <f>SUM(V9:V43)</f>
        <v>-25304.855559509524</v>
      </c>
      <c r="Z44" s="59">
        <f>SUM(Z9:Z43)</f>
        <v>-9937.6798886226352</v>
      </c>
    </row>
    <row r="45" spans="3:26">
      <c r="C45" s="3">
        <v>3</v>
      </c>
      <c r="D45" s="3"/>
      <c r="E45" s="3"/>
      <c r="G45" t="s">
        <v>22</v>
      </c>
      <c r="L45" s="9">
        <v>0</v>
      </c>
      <c r="M45" s="8"/>
      <c r="N45" s="9">
        <v>-5237.7000000000007</v>
      </c>
      <c r="O45" s="8"/>
      <c r="P45" s="13">
        <f t="shared" ref="P45:P52" si="6">(+L45*$AE$2-N45)/$AE$3</f>
        <v>8436.7449502271193</v>
      </c>
      <c r="Q45" s="14"/>
      <c r="R45" s="14"/>
      <c r="S45" s="14"/>
      <c r="T45" s="14"/>
      <c r="U45" s="14"/>
      <c r="V45" s="14"/>
      <c r="X45" t="s">
        <v>523</v>
      </c>
    </row>
    <row r="46" spans="3:26">
      <c r="C46" s="3">
        <f t="shared" ref="C46:C52" si="7">+C45+0.01</f>
        <v>3.01</v>
      </c>
      <c r="D46" s="3"/>
      <c r="E46" s="3"/>
      <c r="G46" t="s">
        <v>23</v>
      </c>
      <c r="L46" s="9">
        <v>0</v>
      </c>
      <c r="M46" s="8"/>
      <c r="N46" s="9">
        <v>-525.85</v>
      </c>
      <c r="O46" s="8"/>
      <c r="P46" s="13">
        <f t="shared" si="6"/>
        <v>847.02490254824261</v>
      </c>
      <c r="Q46" s="14"/>
      <c r="R46" s="14"/>
      <c r="S46" s="14"/>
      <c r="T46" s="14"/>
      <c r="U46" s="14"/>
      <c r="V46" s="14"/>
      <c r="X46" t="s">
        <v>523</v>
      </c>
    </row>
    <row r="47" spans="3:26">
      <c r="C47" s="3">
        <f t="shared" si="7"/>
        <v>3.0199999999999996</v>
      </c>
      <c r="D47" s="3"/>
      <c r="E47" s="3" t="s">
        <v>238</v>
      </c>
      <c r="G47" t="s">
        <v>25</v>
      </c>
      <c r="L47" s="9">
        <v>0</v>
      </c>
      <c r="M47" s="8"/>
      <c r="N47" s="9">
        <v>-1370.2</v>
      </c>
      <c r="O47" s="8"/>
      <c r="P47" s="13">
        <f t="shared" si="6"/>
        <v>2207.0809574433811</v>
      </c>
      <c r="Q47" s="14"/>
      <c r="R47" s="14"/>
      <c r="S47" s="14"/>
      <c r="T47" s="14">
        <f>+Labor!I34/1000</f>
        <v>-840.16465000000005</v>
      </c>
      <c r="U47" s="14"/>
      <c r="V47" s="13">
        <f>(+R47*$AE$2-T47)/$AE$3</f>
        <v>1353.3144067523597</v>
      </c>
      <c r="X47" t="s">
        <v>381</v>
      </c>
      <c r="Z47" s="45">
        <f>+V47-P47</f>
        <v>-853.76655069102139</v>
      </c>
    </row>
    <row r="48" spans="3:26">
      <c r="C48" s="3">
        <f t="shared" si="7"/>
        <v>3.0299999999999994</v>
      </c>
      <c r="D48" s="3"/>
      <c r="E48" s="3" t="s">
        <v>435</v>
      </c>
      <c r="G48" t="s">
        <v>24</v>
      </c>
      <c r="L48" s="9">
        <v>0</v>
      </c>
      <c r="M48" s="8"/>
      <c r="N48" s="9">
        <v>8.4499999999999993</v>
      </c>
      <c r="O48" s="8"/>
      <c r="P48" s="13">
        <f t="shared" si="6"/>
        <v>-13.611030572468669</v>
      </c>
      <c r="Q48" s="14"/>
      <c r="R48" s="14"/>
      <c r="S48" s="14"/>
      <c r="T48" s="14">
        <f>+'Exec Labor'!I35/1000</f>
        <v>187.95790000000002</v>
      </c>
      <c r="U48" s="14"/>
      <c r="V48" s="13">
        <f>(+R48*$AE$2-T48)/$AE$3</f>
        <v>-302.75748203988275</v>
      </c>
      <c r="X48" t="s">
        <v>381</v>
      </c>
      <c r="Z48" s="45">
        <f>+V48-P48</f>
        <v>-289.14645146741407</v>
      </c>
    </row>
    <row r="49" spans="3:27">
      <c r="C49" s="3">
        <f t="shared" si="7"/>
        <v>3.0399999999999991</v>
      </c>
      <c r="D49" s="3"/>
      <c r="E49" s="3"/>
      <c r="G49" t="s">
        <v>26</v>
      </c>
      <c r="L49" s="9">
        <v>0</v>
      </c>
      <c r="M49" s="8"/>
      <c r="N49" s="9">
        <v>-2144.3500000000004</v>
      </c>
      <c r="O49" s="8"/>
      <c r="P49" s="13">
        <f t="shared" si="6"/>
        <v>3454.0607583518577</v>
      </c>
      <c r="Q49" s="14"/>
      <c r="R49" s="14"/>
      <c r="S49" s="14"/>
      <c r="T49" s="14"/>
      <c r="U49" s="14"/>
      <c r="V49" s="14"/>
      <c r="X49" t="s">
        <v>523</v>
      </c>
    </row>
    <row r="50" spans="3:27">
      <c r="C50" s="3">
        <f t="shared" si="7"/>
        <v>3.0499999999999989</v>
      </c>
      <c r="D50" s="3"/>
      <c r="E50" s="3" t="s">
        <v>451</v>
      </c>
      <c r="G50" t="s">
        <v>27</v>
      </c>
      <c r="L50" s="7">
        <v>0</v>
      </c>
      <c r="M50" s="8"/>
      <c r="N50" s="7">
        <v>66.300000000000011</v>
      </c>
      <c r="O50" s="8"/>
      <c r="P50" s="13">
        <f t="shared" si="6"/>
        <v>-106.79423987629265</v>
      </c>
      <c r="Q50" s="14"/>
      <c r="R50" s="14"/>
      <c r="S50" s="14"/>
      <c r="T50" s="14">
        <f>+Insurance!I23/1000</f>
        <v>200.4418</v>
      </c>
      <c r="U50" s="14"/>
      <c r="V50" s="13">
        <f>(+R50*$AE$2-T50)/$AE$3</f>
        <v>-322.86620920717758</v>
      </c>
      <c r="X50" t="s">
        <v>381</v>
      </c>
      <c r="Z50" s="45">
        <f>+V50-P50</f>
        <v>-216.07196933088494</v>
      </c>
    </row>
    <row r="51" spans="3:27">
      <c r="C51" s="3">
        <f t="shared" si="7"/>
        <v>3.0599999999999987</v>
      </c>
      <c r="D51" s="3"/>
      <c r="E51" s="3" t="s">
        <v>239</v>
      </c>
      <c r="G51" t="s">
        <v>28</v>
      </c>
      <c r="L51" s="7">
        <v>0</v>
      </c>
      <c r="M51" s="8"/>
      <c r="N51" s="7">
        <v>-1303.25</v>
      </c>
      <c r="O51" s="8"/>
      <c r="P51" s="13">
        <f t="shared" si="6"/>
        <v>2099.2397152153603</v>
      </c>
      <c r="Q51" s="14"/>
      <c r="R51" s="14"/>
      <c r="S51" s="14"/>
      <c r="T51" s="14">
        <f>+'Prop Tax'!I30/1000</f>
        <v>-783.24545000000001</v>
      </c>
      <c r="U51" s="14"/>
      <c r="V51" s="13">
        <f>(+R51*$AE$2-T51)/$AE$3</f>
        <v>1261.6305048162108</v>
      </c>
      <c r="X51" t="s">
        <v>381</v>
      </c>
      <c r="Z51" s="45">
        <f>+V51-P51</f>
        <v>-837.60921039914956</v>
      </c>
    </row>
    <row r="52" spans="3:27">
      <c r="C52" s="3">
        <f t="shared" si="7"/>
        <v>3.0699999999999985</v>
      </c>
      <c r="D52" s="3"/>
      <c r="E52" s="3"/>
      <c r="G52" t="s">
        <v>29</v>
      </c>
      <c r="L52" s="11">
        <v>30915</v>
      </c>
      <c r="M52" s="8"/>
      <c r="N52" s="11">
        <v>-779.08857499999999</v>
      </c>
      <c r="O52" s="8"/>
      <c r="P52" s="15">
        <f t="shared" si="6"/>
        <v>5363.1907396668921</v>
      </c>
      <c r="Q52" s="14"/>
      <c r="R52" s="14"/>
      <c r="S52" s="14"/>
      <c r="T52" s="14"/>
      <c r="U52" s="14"/>
      <c r="V52" s="14"/>
      <c r="X52" t="s">
        <v>389</v>
      </c>
    </row>
    <row r="53" spans="3:27">
      <c r="C53" s="3"/>
      <c r="D53" s="3"/>
      <c r="E53" s="3"/>
      <c r="G53" s="66" t="s">
        <v>30</v>
      </c>
      <c r="L53" s="12">
        <f>SUM(L44:L52)</f>
        <v>1161787</v>
      </c>
      <c r="M53" s="8"/>
      <c r="N53" s="12">
        <f>SUM(N44:N52)</f>
        <v>82817.571019999974</v>
      </c>
      <c r="O53" s="8"/>
      <c r="P53" s="12">
        <f>SUM(P44:P52)</f>
        <v>20988.394929287075</v>
      </c>
      <c r="Q53" s="14"/>
      <c r="R53" s="14"/>
      <c r="S53" s="14"/>
      <c r="T53" s="60">
        <f>SUM(T44:T52)</f>
        <v>14347.002007698893</v>
      </c>
      <c r="U53" s="14"/>
      <c r="V53" s="60">
        <f>SUM(V44:V52)</f>
        <v>-23315.534339188016</v>
      </c>
      <c r="Z53" s="60">
        <f>SUM(Z44:Z52)</f>
        <v>-12134.274070511106</v>
      </c>
    </row>
    <row r="54" spans="3:27">
      <c r="C54" s="3">
        <v>4</v>
      </c>
      <c r="D54" s="3"/>
      <c r="E54" s="3"/>
      <c r="G54" t="s">
        <v>31</v>
      </c>
      <c r="L54" s="9">
        <v>63456</v>
      </c>
      <c r="M54" s="8"/>
      <c r="N54" s="9">
        <v>-3968.0248799999999</v>
      </c>
      <c r="O54" s="8"/>
      <c r="P54" s="13">
        <f>(+L54*$AE$2-N54)/$AE$3</f>
        <v>14824.175896395089</v>
      </c>
      <c r="Q54" s="14"/>
      <c r="R54" s="14"/>
      <c r="S54" s="14"/>
      <c r="T54" s="14"/>
      <c r="U54" s="14"/>
      <c r="V54" s="14"/>
      <c r="X54" t="s">
        <v>382</v>
      </c>
      <c r="Z54" s="45">
        <f t="shared" ref="Z54:Z57" si="8">+V54-P54</f>
        <v>-14824.175896395089</v>
      </c>
    </row>
    <row r="55" spans="3:27">
      <c r="C55" s="3">
        <f t="shared" ref="C55:C61" si="9">+C54+0.01</f>
        <v>4.01</v>
      </c>
      <c r="D55" s="3"/>
      <c r="E55" s="3"/>
      <c r="G55" t="s">
        <v>32</v>
      </c>
      <c r="L55" s="9">
        <v>-2618</v>
      </c>
      <c r="M55" s="8"/>
      <c r="N55" s="9">
        <v>-1098.4141100000002</v>
      </c>
      <c r="O55" s="8"/>
      <c r="P55" s="13">
        <f>(+L55*$AE$2-N55)/$AE$3</f>
        <v>1421.3928513900971</v>
      </c>
      <c r="Q55" s="14"/>
      <c r="R55" s="14"/>
      <c r="S55" s="14"/>
      <c r="T55" s="14"/>
      <c r="U55" s="14"/>
      <c r="V55" s="14"/>
      <c r="X55" t="s">
        <v>382</v>
      </c>
      <c r="Z55" s="45">
        <f t="shared" si="8"/>
        <v>-1421.3928513900971</v>
      </c>
    </row>
    <row r="56" spans="3:27">
      <c r="C56" s="3">
        <f t="shared" si="9"/>
        <v>4.0199999999999996</v>
      </c>
      <c r="D56" s="3"/>
      <c r="E56" s="3"/>
      <c r="G56" t="s">
        <v>33</v>
      </c>
      <c r="L56" s="9">
        <v>0</v>
      </c>
      <c r="M56" s="8"/>
      <c r="N56" s="9">
        <v>-2585.0500000000002</v>
      </c>
      <c r="O56" s="8"/>
      <c r="P56" s="13">
        <f>(+L56*$AE$2-N56)/$AE$3</f>
        <v>4163.9283528236847</v>
      </c>
      <c r="Q56" s="14"/>
      <c r="R56" s="14"/>
      <c r="S56" s="14"/>
      <c r="T56" s="14"/>
      <c r="U56" s="14"/>
      <c r="V56" s="14"/>
      <c r="X56" t="s">
        <v>382</v>
      </c>
      <c r="Z56" s="45">
        <f t="shared" si="8"/>
        <v>-4163.9283528236847</v>
      </c>
    </row>
    <row r="57" spans="3:27">
      <c r="C57" s="3">
        <f t="shared" si="9"/>
        <v>4.0299999999999994</v>
      </c>
      <c r="D57" s="3"/>
      <c r="E57" s="3"/>
      <c r="G57" t="s">
        <v>34</v>
      </c>
      <c r="L57" s="11">
        <v>0</v>
      </c>
      <c r="M57" s="8"/>
      <c r="N57" s="11">
        <v>-65</v>
      </c>
      <c r="O57" s="8"/>
      <c r="P57" s="15">
        <f>(+L57*$AE$2-N57)/$AE$3</f>
        <v>104.70023517283592</v>
      </c>
      <c r="Q57" s="14"/>
      <c r="R57" s="14"/>
      <c r="S57" s="14"/>
      <c r="T57" s="14"/>
      <c r="U57" s="14"/>
      <c r="V57" s="14"/>
      <c r="X57" t="s">
        <v>382</v>
      </c>
      <c r="Z57" s="45">
        <f t="shared" si="8"/>
        <v>-104.70023517283592</v>
      </c>
      <c r="AA57" s="45"/>
    </row>
    <row r="58" spans="3:27">
      <c r="D58" s="3"/>
      <c r="E58" s="3"/>
      <c r="G58" s="66" t="s">
        <v>35</v>
      </c>
      <c r="L58" s="12">
        <f>SUM(L53:L57)</f>
        <v>1222625</v>
      </c>
      <c r="M58" s="8"/>
      <c r="N58" s="12">
        <f>SUM(N53:N57)</f>
        <v>75101.082029999976</v>
      </c>
      <c r="O58" s="8"/>
      <c r="P58" s="12">
        <f>SUM(P53:P57)</f>
        <v>41502.592265068786</v>
      </c>
      <c r="Q58" s="44"/>
      <c r="R58" s="14"/>
      <c r="S58" s="14"/>
      <c r="T58" s="60">
        <f>SUM(T53:T57)</f>
        <v>14347.002007698893</v>
      </c>
      <c r="U58" s="14"/>
      <c r="V58" s="60">
        <f>SUM(V53:V57)</f>
        <v>-23315.534339188016</v>
      </c>
      <c r="Z58" s="60">
        <f>SUM(Z53:Z57)</f>
        <v>-32648.471406292814</v>
      </c>
    </row>
    <row r="59" spans="3:27">
      <c r="C59" s="3">
        <f>+C57+0.01</f>
        <v>4.0399999999999991</v>
      </c>
      <c r="D59" s="3"/>
      <c r="E59" s="3"/>
      <c r="G59" t="s">
        <v>36</v>
      </c>
      <c r="L59" s="9">
        <v>0</v>
      </c>
      <c r="M59" s="8"/>
      <c r="N59" s="9">
        <v>-2254.8500000000004</v>
      </c>
      <c r="O59" s="8"/>
      <c r="P59" s="13">
        <f>(+L59*$AE$2-N59)/$AE$3</f>
        <v>3632.0511581456785</v>
      </c>
      <c r="Q59" s="14"/>
      <c r="R59" s="14"/>
      <c r="S59" s="14"/>
      <c r="T59" s="14"/>
      <c r="U59" s="14"/>
      <c r="V59" s="14"/>
      <c r="X59" t="s">
        <v>523</v>
      </c>
    </row>
    <row r="60" spans="3:27">
      <c r="C60" s="3">
        <f t="shared" si="9"/>
        <v>4.0499999999999989</v>
      </c>
      <c r="D60" s="3"/>
      <c r="E60" s="3"/>
      <c r="G60" t="s">
        <v>37</v>
      </c>
      <c r="L60" s="9">
        <v>0</v>
      </c>
      <c r="M60" s="8"/>
      <c r="N60" s="9">
        <v>1944.15</v>
      </c>
      <c r="O60" s="8"/>
      <c r="P60" s="13">
        <f>(+L60*$AE$2-N60)/$AE$3</f>
        <v>-3131.5840340195227</v>
      </c>
      <c r="Q60" s="14"/>
      <c r="R60" s="14"/>
      <c r="S60" s="14"/>
      <c r="T60" s="14"/>
      <c r="U60" s="14"/>
      <c r="V60" s="14"/>
      <c r="X60" t="s">
        <v>523</v>
      </c>
    </row>
    <row r="61" spans="3:27">
      <c r="C61" s="3">
        <f t="shared" si="9"/>
        <v>4.0599999999999987</v>
      </c>
      <c r="D61" s="3"/>
      <c r="E61" s="3"/>
      <c r="G61" t="s">
        <v>38</v>
      </c>
      <c r="L61" s="11">
        <v>0</v>
      </c>
      <c r="M61" s="8"/>
      <c r="N61" s="11">
        <v>633.75</v>
      </c>
      <c r="O61" s="8"/>
      <c r="P61" s="15">
        <f>(+L61*$AE$2-N61)/$AE$3</f>
        <v>-1020.8272929351502</v>
      </c>
      <c r="Q61" s="14"/>
      <c r="R61" s="14"/>
      <c r="S61" s="14"/>
      <c r="T61" s="14"/>
      <c r="U61" s="14"/>
      <c r="V61" s="14"/>
      <c r="X61" t="s">
        <v>523</v>
      </c>
    </row>
    <row r="62" spans="3:27" ht="16.5" thickBot="1">
      <c r="C62" s="3"/>
      <c r="D62" s="3"/>
      <c r="E62" s="3"/>
      <c r="G62" s="66" t="s">
        <v>43</v>
      </c>
      <c r="L62" s="12">
        <f>SUM(L58:L61)</f>
        <v>1222625</v>
      </c>
      <c r="M62" s="8"/>
      <c r="N62" s="12">
        <f>SUM(N58:N61)</f>
        <v>75424.132029999964</v>
      </c>
      <c r="O62" s="8"/>
      <c r="P62" s="12">
        <f>SUM(P58:P61)</f>
        <v>40982.232096259795</v>
      </c>
      <c r="Q62" s="14"/>
      <c r="R62" s="14"/>
      <c r="S62" s="14"/>
      <c r="T62" s="61">
        <f>SUM(T58:T61)</f>
        <v>14347.002007698893</v>
      </c>
      <c r="U62" s="14"/>
      <c r="V62" s="61">
        <f>SUM(V58:V61)</f>
        <v>-23315.534339188016</v>
      </c>
      <c r="Z62" s="61">
        <f>SUM(Z58:Z61)</f>
        <v>-32648.471406292814</v>
      </c>
    </row>
    <row r="63" spans="3:27" ht="16.5" thickTop="1">
      <c r="C63" s="3"/>
      <c r="D63" s="3"/>
      <c r="E63" s="3"/>
      <c r="L63" s="8"/>
      <c r="M63" s="8"/>
      <c r="N63" s="8"/>
      <c r="O63" s="8"/>
      <c r="P63" s="13"/>
      <c r="Q63" s="14"/>
      <c r="R63" s="14"/>
      <c r="S63" s="14"/>
      <c r="T63" s="14"/>
      <c r="U63" s="14"/>
      <c r="V63" s="14"/>
    </row>
    <row r="64" spans="3:27">
      <c r="C64" s="3"/>
      <c r="D64" s="3"/>
      <c r="E64" s="3"/>
      <c r="L64" s="8"/>
      <c r="M64" s="8"/>
      <c r="N64" s="8"/>
      <c r="O64" s="8"/>
      <c r="P64" s="13"/>
      <c r="Q64" s="14"/>
      <c r="R64" s="14"/>
      <c r="S64" s="14"/>
      <c r="T64" s="14"/>
      <c r="U64" s="14"/>
      <c r="V64" s="14"/>
      <c r="Z64" s="45"/>
    </row>
    <row r="65" spans="3:22">
      <c r="C65" s="3"/>
      <c r="D65" s="3"/>
      <c r="E65" s="3"/>
      <c r="L65" s="8"/>
      <c r="M65" s="8"/>
      <c r="N65" s="8"/>
      <c r="O65" s="8"/>
      <c r="P65" s="13"/>
      <c r="Q65" s="14"/>
      <c r="R65" s="14"/>
      <c r="S65" s="14"/>
      <c r="T65" s="14"/>
      <c r="U65" s="14"/>
      <c r="V65" s="14"/>
    </row>
    <row r="66" spans="3:22">
      <c r="C66" s="3"/>
      <c r="D66" s="3"/>
      <c r="E66" s="3"/>
      <c r="L66" s="8"/>
      <c r="M66" s="8"/>
      <c r="N66" s="8"/>
      <c r="O66" s="8"/>
      <c r="P66" s="13"/>
      <c r="Q66" s="14"/>
      <c r="R66" s="14"/>
      <c r="S66" s="14"/>
      <c r="T66" s="14"/>
      <c r="U66" s="14"/>
      <c r="V66" s="14"/>
    </row>
    <row r="67" spans="3:22">
      <c r="C67" s="3"/>
      <c r="D67" s="3"/>
      <c r="E67" s="3"/>
      <c r="L67" s="8"/>
      <c r="M67" s="8"/>
      <c r="N67" s="8"/>
      <c r="O67" s="8"/>
      <c r="P67" s="13"/>
      <c r="Q67" s="14"/>
      <c r="R67" s="14"/>
      <c r="S67" s="14"/>
      <c r="T67" s="14"/>
      <c r="U67" s="14"/>
      <c r="V67" s="14"/>
    </row>
    <row r="68" spans="3:22">
      <c r="C68" s="3"/>
      <c r="D68" s="3"/>
      <c r="E68" s="3"/>
      <c r="L68" s="8"/>
      <c r="M68" s="8"/>
      <c r="N68" s="8"/>
      <c r="O68" s="8"/>
      <c r="P68" s="13"/>
      <c r="Q68" s="14"/>
      <c r="R68" s="14"/>
      <c r="S68" s="14"/>
      <c r="T68" s="14"/>
      <c r="U68" s="14"/>
      <c r="V68" s="14"/>
    </row>
    <row r="69" spans="3:22">
      <c r="C69" s="3"/>
      <c r="D69" s="3"/>
      <c r="E69" s="3"/>
      <c r="L69" s="8"/>
      <c r="M69" s="8"/>
      <c r="N69" s="8"/>
      <c r="O69" s="8"/>
      <c r="P69" s="13"/>
      <c r="Q69" s="14"/>
      <c r="R69" s="14"/>
      <c r="S69" s="14"/>
      <c r="T69" s="14"/>
      <c r="U69" s="14"/>
      <c r="V69" s="14"/>
    </row>
    <row r="70" spans="3:22">
      <c r="C70" s="3"/>
      <c r="D70" s="3"/>
      <c r="E70" s="3"/>
      <c r="L70" s="8"/>
      <c r="M70" s="8"/>
      <c r="N70" s="8"/>
      <c r="O70" s="8"/>
      <c r="P70" s="13"/>
      <c r="Q70" s="14"/>
      <c r="R70" s="14"/>
      <c r="S70" s="14"/>
      <c r="T70" s="14"/>
      <c r="U70" s="14"/>
      <c r="V70" s="14"/>
    </row>
    <row r="71" spans="3:22">
      <c r="C71" s="3"/>
      <c r="D71" s="3"/>
      <c r="E71" s="3"/>
      <c r="L71" s="8"/>
      <c r="M71" s="8"/>
      <c r="N71" s="8"/>
      <c r="O71" s="8"/>
      <c r="P71" s="13"/>
      <c r="Q71" s="14"/>
      <c r="R71" s="14"/>
      <c r="S71" s="14"/>
      <c r="T71" s="14"/>
      <c r="U71" s="14"/>
      <c r="V71" s="14"/>
    </row>
    <row r="72" spans="3:22">
      <c r="C72" s="3"/>
      <c r="D72" s="3"/>
      <c r="E72" s="3"/>
      <c r="L72" s="8"/>
      <c r="M72" s="8"/>
      <c r="N72" s="8"/>
      <c r="O72" s="8"/>
      <c r="P72" s="13"/>
      <c r="Q72" s="14"/>
      <c r="R72" s="14"/>
      <c r="S72" s="14"/>
      <c r="T72" s="14"/>
      <c r="U72" s="14"/>
      <c r="V72" s="14"/>
    </row>
    <row r="73" spans="3:22">
      <c r="C73" s="3"/>
      <c r="D73" s="3"/>
      <c r="E73" s="3"/>
      <c r="L73" s="8"/>
      <c r="M73" s="8"/>
      <c r="N73" s="8"/>
      <c r="O73" s="8"/>
      <c r="P73" s="13"/>
      <c r="Q73" s="14"/>
      <c r="R73" s="14"/>
      <c r="S73" s="14"/>
      <c r="T73" s="14"/>
      <c r="U73" s="14"/>
      <c r="V73" s="14"/>
    </row>
    <row r="74" spans="3:22">
      <c r="C74" s="3"/>
      <c r="D74" s="3"/>
      <c r="E74" s="3"/>
      <c r="P74" s="14"/>
      <c r="Q74" s="14"/>
      <c r="R74" s="14"/>
      <c r="S74" s="14"/>
      <c r="T74" s="14"/>
      <c r="U74" s="14"/>
      <c r="V74" s="14"/>
    </row>
    <row r="75" spans="3:22">
      <c r="C75" s="3"/>
      <c r="D75" s="3"/>
      <c r="E75" s="3"/>
      <c r="P75" s="14"/>
      <c r="Q75" s="14"/>
      <c r="R75" s="14"/>
      <c r="S75" s="14"/>
      <c r="T75" s="14"/>
      <c r="U75" s="14"/>
      <c r="V75" s="14"/>
    </row>
    <row r="76" spans="3:22">
      <c r="C76" s="3"/>
      <c r="D76" s="3"/>
      <c r="E76" s="3"/>
      <c r="P76" s="14"/>
      <c r="Q76" s="14"/>
      <c r="R76" s="14"/>
      <c r="S76" s="14"/>
      <c r="T76" s="14"/>
      <c r="U76" s="14"/>
      <c r="V76" s="14"/>
    </row>
    <row r="77" spans="3:22">
      <c r="C77" s="3"/>
      <c r="D77" s="3"/>
      <c r="E77" s="3"/>
      <c r="P77" s="14"/>
      <c r="Q77" s="14"/>
      <c r="R77" s="14"/>
      <c r="S77" s="14"/>
      <c r="T77" s="14"/>
      <c r="U77" s="14"/>
      <c r="V77" s="14"/>
    </row>
    <row r="78" spans="3:22">
      <c r="C78" s="3"/>
      <c r="D78" s="3"/>
      <c r="E78" s="3"/>
      <c r="P78" s="14"/>
      <c r="Q78" s="14"/>
      <c r="R78" s="14"/>
      <c r="S78" s="14"/>
      <c r="T78" s="14"/>
      <c r="U78" s="14"/>
      <c r="V78" s="14"/>
    </row>
    <row r="79" spans="3:22">
      <c r="C79" s="3"/>
      <c r="D79" s="3"/>
      <c r="E79" s="3"/>
      <c r="P79" s="14"/>
      <c r="Q79" s="14"/>
      <c r="R79" s="14"/>
      <c r="S79" s="14"/>
      <c r="T79" s="14"/>
      <c r="U79" s="14"/>
      <c r="V79" s="14"/>
    </row>
    <row r="80" spans="3:22">
      <c r="C80" s="3"/>
      <c r="D80" s="3"/>
      <c r="E80" s="3"/>
      <c r="P80" s="14"/>
      <c r="Q80" s="14"/>
      <c r="R80" s="14"/>
      <c r="S80" s="14"/>
      <c r="T80" s="14"/>
      <c r="U80" s="14"/>
      <c r="V80" s="14"/>
    </row>
    <row r="81" spans="3:22">
      <c r="C81" s="3"/>
      <c r="D81" s="3"/>
      <c r="E81" s="3"/>
      <c r="P81" s="14"/>
      <c r="Q81" s="14"/>
      <c r="R81" s="14"/>
      <c r="S81" s="14"/>
      <c r="T81" s="14"/>
      <c r="U81" s="14"/>
      <c r="V81" s="14"/>
    </row>
    <row r="82" spans="3:22">
      <c r="C82" s="3"/>
      <c r="D82" s="3"/>
      <c r="E82" s="3"/>
      <c r="P82" s="14"/>
      <c r="Q82" s="14"/>
      <c r="R82" s="14"/>
      <c r="S82" s="14"/>
      <c r="T82" s="14"/>
      <c r="U82" s="14"/>
      <c r="V82" s="14"/>
    </row>
    <row r="83" spans="3:22">
      <c r="C83" s="3"/>
      <c r="D83" s="3"/>
      <c r="E83" s="3"/>
      <c r="P83" s="14"/>
      <c r="Q83" s="14"/>
      <c r="R83" s="14"/>
      <c r="S83" s="14"/>
      <c r="T83" s="14"/>
      <c r="U83" s="14"/>
      <c r="V83" s="14"/>
    </row>
    <row r="84" spans="3:22">
      <c r="C84" s="3"/>
      <c r="D84" s="3"/>
      <c r="E84" s="3"/>
      <c r="P84" s="14"/>
      <c r="Q84" s="14"/>
      <c r="R84" s="14"/>
      <c r="S84" s="14"/>
      <c r="T84" s="14"/>
      <c r="U84" s="14"/>
      <c r="V84" s="14"/>
    </row>
    <row r="85" spans="3:22">
      <c r="C85" s="3"/>
      <c r="D85" s="3"/>
      <c r="E85" s="3"/>
      <c r="P85" s="14"/>
      <c r="Q85" s="14"/>
      <c r="R85" s="14"/>
      <c r="S85" s="14"/>
      <c r="T85" s="14"/>
      <c r="U85" s="14"/>
      <c r="V85" s="14"/>
    </row>
    <row r="86" spans="3:22">
      <c r="C86" s="3"/>
      <c r="D86" s="3"/>
      <c r="E86" s="3"/>
      <c r="P86" s="14"/>
      <c r="Q86" s="14"/>
      <c r="R86" s="14"/>
      <c r="S86" s="14"/>
      <c r="T86" s="14"/>
      <c r="U86" s="14"/>
      <c r="V86" s="14"/>
    </row>
    <row r="87" spans="3:22">
      <c r="C87" s="3"/>
      <c r="D87" s="3"/>
      <c r="E87" s="3"/>
      <c r="P87" s="14"/>
      <c r="Q87" s="14"/>
      <c r="R87" s="14"/>
      <c r="S87" s="14"/>
      <c r="T87" s="14"/>
      <c r="U87" s="14"/>
      <c r="V87" s="14"/>
    </row>
    <row r="88" spans="3:22">
      <c r="C88" s="3"/>
      <c r="D88" s="3"/>
      <c r="E88" s="3"/>
      <c r="P88" s="14"/>
      <c r="Q88" s="14"/>
      <c r="R88" s="14"/>
      <c r="S88" s="14"/>
      <c r="T88" s="14"/>
      <c r="U88" s="14"/>
      <c r="V88" s="14"/>
    </row>
    <row r="89" spans="3:22">
      <c r="C89" s="3"/>
      <c r="D89" s="3"/>
      <c r="E89" s="3"/>
      <c r="P89" s="14"/>
      <c r="Q89" s="14"/>
      <c r="R89" s="14"/>
      <c r="S89" s="14"/>
      <c r="T89" s="14"/>
      <c r="U89" s="14"/>
      <c r="V89" s="14"/>
    </row>
    <row r="90" spans="3:22">
      <c r="C90" s="3"/>
      <c r="D90" s="3"/>
      <c r="E90" s="3"/>
    </row>
    <row r="91" spans="3:22">
      <c r="C91" s="3"/>
      <c r="D91" s="3"/>
      <c r="E91" s="3"/>
    </row>
    <row r="92" spans="3:22">
      <c r="C92" s="3"/>
      <c r="D92" s="3"/>
      <c r="E92" s="3"/>
    </row>
    <row r="93" spans="3:22">
      <c r="C93" s="3"/>
      <c r="D93" s="3"/>
      <c r="E93" s="3"/>
    </row>
    <row r="94" spans="3:22">
      <c r="C94" s="3"/>
      <c r="D94" s="3"/>
      <c r="E94" s="3"/>
    </row>
    <row r="95" spans="3:22">
      <c r="C95" s="3"/>
      <c r="D95" s="3"/>
      <c r="E95" s="3"/>
    </row>
  </sheetData>
  <printOptions horizontalCentered="1"/>
  <pageMargins left="0.7" right="0.7" top="1" bottom="0.5" header="0.3" footer="0.3"/>
  <pageSetup scale="51"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B1:L36"/>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547</v>
      </c>
      <c r="L3" s="64"/>
    </row>
    <row r="4" spans="2:12">
      <c r="D4" s="91" t="s">
        <v>71</v>
      </c>
      <c r="E4" s="91"/>
      <c r="F4" s="91"/>
      <c r="G4" s="91"/>
      <c r="H4" s="91"/>
      <c r="I4" s="91"/>
      <c r="J4" s="91"/>
      <c r="K4" s="91"/>
      <c r="L4" s="62" t="s">
        <v>400</v>
      </c>
    </row>
    <row r="5" spans="2:12">
      <c r="D5" s="91" t="s">
        <v>72</v>
      </c>
      <c r="E5" s="91"/>
      <c r="F5" s="91"/>
      <c r="G5" s="91"/>
      <c r="H5" s="91"/>
      <c r="I5" s="91"/>
      <c r="J5" s="91"/>
      <c r="K5" s="91"/>
      <c r="L5" s="64" t="s">
        <v>283</v>
      </c>
    </row>
    <row r="6" spans="2:12">
      <c r="D6" s="91" t="s">
        <v>281</v>
      </c>
      <c r="E6" s="91"/>
      <c r="F6" s="91"/>
      <c r="G6" s="91"/>
      <c r="H6" s="91"/>
      <c r="I6" s="91"/>
      <c r="J6" s="91"/>
      <c r="K6" s="91"/>
    </row>
    <row r="9" spans="2:12">
      <c r="B9" s="47" t="s">
        <v>52</v>
      </c>
    </row>
    <row r="10" spans="2:12">
      <c r="B10" s="2" t="s">
        <v>53</v>
      </c>
      <c r="D10" s="4" t="s">
        <v>54</v>
      </c>
      <c r="E10" s="4"/>
      <c r="F10" s="4"/>
      <c r="G10" s="4"/>
      <c r="I10" s="2" t="s">
        <v>59</v>
      </c>
      <c r="J10" s="47"/>
      <c r="K10" s="2" t="s">
        <v>60</v>
      </c>
    </row>
    <row r="12" spans="2:12">
      <c r="B12" s="47">
        <v>1</v>
      </c>
      <c r="D12" s="5" t="s">
        <v>275</v>
      </c>
      <c r="E12" s="5"/>
      <c r="F12" s="5"/>
      <c r="G12" s="5"/>
      <c r="H12" s="5"/>
      <c r="J12" s="5"/>
      <c r="K12" s="35" t="s">
        <v>263</v>
      </c>
      <c r="L12" s="5"/>
    </row>
    <row r="13" spans="2:12">
      <c r="B13" s="47">
        <v>2</v>
      </c>
      <c r="D13" s="5" t="s">
        <v>276</v>
      </c>
      <c r="E13" s="5"/>
      <c r="F13" s="5"/>
      <c r="G13" s="5"/>
      <c r="H13" s="5"/>
      <c r="I13" s="28">
        <f>-'[3]Dues and Fees'!$N$240</f>
        <v>-83291.936649308045</v>
      </c>
      <c r="J13" s="5"/>
      <c r="K13" s="35" t="s">
        <v>270</v>
      </c>
      <c r="L13" s="5"/>
    </row>
    <row r="14" spans="2:12">
      <c r="B14" s="47"/>
      <c r="E14" s="5"/>
      <c r="F14" s="5"/>
      <c r="G14" s="5"/>
      <c r="H14" s="5"/>
      <c r="I14" s="24"/>
      <c r="J14" s="5"/>
      <c r="K14" s="36" t="s">
        <v>264</v>
      </c>
      <c r="L14" s="5"/>
    </row>
    <row r="15" spans="2:12">
      <c r="B15" s="47">
        <v>3</v>
      </c>
      <c r="D15" s="5" t="s">
        <v>277</v>
      </c>
      <c r="E15" s="5"/>
      <c r="F15" s="5"/>
      <c r="G15" s="5"/>
      <c r="H15" s="5"/>
      <c r="J15" s="5"/>
      <c r="K15" s="36" t="s">
        <v>265</v>
      </c>
      <c r="L15" s="5"/>
    </row>
    <row r="16" spans="2:12">
      <c r="B16" s="47">
        <v>4</v>
      </c>
      <c r="D16" s="31" t="s">
        <v>278</v>
      </c>
      <c r="E16" s="5"/>
      <c r="F16" s="5"/>
      <c r="G16" s="5"/>
      <c r="H16" s="5"/>
      <c r="I16" s="24">
        <f>-'[3]Charitable Contributions'!D2</f>
        <v>-689.63</v>
      </c>
      <c r="J16" s="5"/>
      <c r="K16" s="36" t="s">
        <v>271</v>
      </c>
      <c r="L16" s="5"/>
    </row>
    <row r="17" spans="2:12">
      <c r="B17" s="47"/>
      <c r="D17" s="5"/>
      <c r="E17" s="5"/>
      <c r="F17" s="5"/>
      <c r="G17" s="5"/>
      <c r="H17" s="5"/>
      <c r="J17" s="5"/>
      <c r="K17" s="36" t="s">
        <v>266</v>
      </c>
      <c r="L17" s="5"/>
    </row>
    <row r="18" spans="2:12">
      <c r="B18" s="47">
        <v>5</v>
      </c>
      <c r="D18" s="31" t="s">
        <v>431</v>
      </c>
      <c r="E18" s="5"/>
      <c r="F18" s="5"/>
      <c r="G18" s="5"/>
      <c r="H18" s="5"/>
      <c r="I18" s="24">
        <f>-'[3]Charitable Contributions'!D3</f>
        <v>-242.58800535</v>
      </c>
      <c r="J18" s="5"/>
      <c r="K18" s="36"/>
      <c r="L18" s="5"/>
    </row>
    <row r="19" spans="2:12">
      <c r="B19" s="47"/>
      <c r="D19" s="5"/>
      <c r="E19" s="5"/>
      <c r="F19" s="5"/>
      <c r="G19" s="5"/>
      <c r="H19" s="5"/>
      <c r="J19" s="5"/>
      <c r="K19" s="36" t="s">
        <v>272</v>
      </c>
      <c r="L19" s="5"/>
    </row>
    <row r="20" spans="2:12">
      <c r="B20" s="47">
        <v>6</v>
      </c>
      <c r="D20" s="31" t="s">
        <v>279</v>
      </c>
      <c r="E20" s="5"/>
      <c r="F20" s="5"/>
      <c r="G20" s="5"/>
      <c r="H20" s="5"/>
      <c r="I20" s="24">
        <f>-'[3]Charitable Contributions'!D4</f>
        <v>-60.72</v>
      </c>
      <c r="J20" s="5"/>
      <c r="K20" s="36" t="s">
        <v>273</v>
      </c>
      <c r="L20" s="5"/>
    </row>
    <row r="21" spans="2:12">
      <c r="B21" s="47"/>
      <c r="D21" s="5"/>
      <c r="E21" s="5"/>
      <c r="F21" s="5"/>
      <c r="G21" s="5"/>
      <c r="H21" s="5"/>
      <c r="J21" s="5"/>
      <c r="K21" s="36" t="s">
        <v>274</v>
      </c>
      <c r="L21" s="5"/>
    </row>
    <row r="22" spans="2:12">
      <c r="B22" s="47">
        <v>7</v>
      </c>
      <c r="D22" s="5" t="s">
        <v>280</v>
      </c>
      <c r="E22" s="5"/>
      <c r="F22" s="5"/>
      <c r="G22" s="5"/>
      <c r="H22" s="5"/>
      <c r="I22" s="17">
        <f>-'[3]Charitable Contributions'!D5</f>
        <v>-33.049999999999997</v>
      </c>
      <c r="J22" s="5"/>
      <c r="L22" s="5"/>
    </row>
    <row r="23" spans="2:12">
      <c r="B23" s="47"/>
      <c r="D23" s="5"/>
      <c r="E23" s="5"/>
      <c r="F23" s="5"/>
      <c r="G23" s="5"/>
      <c r="H23" s="5"/>
      <c r="I23" s="24"/>
      <c r="J23" s="5"/>
      <c r="L23" s="5"/>
    </row>
    <row r="24" spans="2:12">
      <c r="B24" s="47"/>
      <c r="D24" s="5"/>
      <c r="E24" s="5"/>
      <c r="F24" s="5"/>
      <c r="G24" s="5"/>
      <c r="H24" s="5"/>
      <c r="I24" s="24"/>
      <c r="J24" s="5"/>
      <c r="L24" s="5"/>
    </row>
    <row r="25" spans="2:12">
      <c r="B25" s="47">
        <v>8</v>
      </c>
      <c r="D25" s="31" t="s">
        <v>261</v>
      </c>
      <c r="E25" s="5"/>
      <c r="F25" s="5"/>
      <c r="G25" s="5"/>
      <c r="H25" s="5"/>
      <c r="I25" s="24"/>
      <c r="J25" s="5"/>
      <c r="K25" s="5"/>
      <c r="L25" s="5"/>
    </row>
    <row r="26" spans="2:12">
      <c r="B26" s="47">
        <v>9</v>
      </c>
      <c r="D26" s="31" t="s">
        <v>288</v>
      </c>
      <c r="E26" s="5"/>
      <c r="F26" s="5"/>
      <c r="G26" s="5"/>
      <c r="H26" s="5"/>
      <c r="I26" s="24"/>
      <c r="J26" s="5"/>
      <c r="K26" s="35" t="s">
        <v>377</v>
      </c>
      <c r="L26" s="5"/>
    </row>
    <row r="27" spans="2:12">
      <c r="B27" s="55">
        <v>10</v>
      </c>
      <c r="D27" s="31" t="s">
        <v>289</v>
      </c>
      <c r="E27" s="5"/>
      <c r="F27" s="5"/>
      <c r="G27" s="5"/>
      <c r="H27" s="5"/>
      <c r="I27" s="24">
        <f>SUM(I7:I24)</f>
        <v>-84317.924654658054</v>
      </c>
      <c r="J27" s="5"/>
      <c r="K27" s="35" t="s">
        <v>376</v>
      </c>
      <c r="L27" s="5"/>
    </row>
    <row r="28" spans="2:12">
      <c r="D28" s="5"/>
      <c r="E28" s="5"/>
      <c r="F28" s="5"/>
      <c r="G28" s="5"/>
      <c r="H28" s="5"/>
      <c r="I28" s="24"/>
      <c r="J28" s="5"/>
      <c r="L28" s="5"/>
    </row>
    <row r="29" spans="2:12">
      <c r="B29" s="55">
        <v>11</v>
      </c>
      <c r="D29" s="5" t="s">
        <v>87</v>
      </c>
      <c r="E29" s="5"/>
      <c r="F29" s="5"/>
      <c r="G29" s="5"/>
      <c r="H29" s="5"/>
      <c r="I29" s="27">
        <v>0.35</v>
      </c>
      <c r="J29" s="5"/>
      <c r="K29" s="5"/>
    </row>
    <row r="30" spans="2:12">
      <c r="D30" s="5"/>
      <c r="E30" s="5"/>
      <c r="F30" s="5"/>
      <c r="G30" s="5"/>
      <c r="H30" s="5"/>
      <c r="I30" s="5"/>
      <c r="J30" s="5"/>
      <c r="K30" s="5"/>
    </row>
    <row r="31" spans="2:12">
      <c r="B31" s="55">
        <v>12</v>
      </c>
      <c r="D31" t="s">
        <v>418</v>
      </c>
      <c r="E31" s="5"/>
      <c r="F31" s="5"/>
      <c r="G31" s="5"/>
      <c r="H31" s="5"/>
      <c r="I31" s="28">
        <f>-I27*I29</f>
        <v>29511.273629130315</v>
      </c>
      <c r="J31" s="5"/>
      <c r="K31" s="35" t="s">
        <v>116</v>
      </c>
    </row>
    <row r="32" spans="2:12">
      <c r="B32" s="55"/>
      <c r="E32" s="5"/>
      <c r="F32" s="5"/>
      <c r="G32" s="5"/>
      <c r="H32" s="5"/>
      <c r="I32" s="5"/>
      <c r="J32" s="5"/>
      <c r="K32" s="5"/>
    </row>
    <row r="33" spans="2:11">
      <c r="B33" s="55">
        <v>13</v>
      </c>
      <c r="D33" s="5" t="s">
        <v>417</v>
      </c>
      <c r="E33" s="5"/>
      <c r="F33" s="5"/>
      <c r="G33" s="5"/>
      <c r="H33" s="5"/>
      <c r="I33" s="26"/>
      <c r="J33" s="5"/>
      <c r="K33" s="5"/>
    </row>
    <row r="34" spans="2:11">
      <c r="B34" s="55">
        <v>14</v>
      </c>
      <c r="D34" s="31" t="s">
        <v>426</v>
      </c>
      <c r="E34" s="5"/>
      <c r="F34" s="5"/>
      <c r="G34" s="5"/>
      <c r="H34" s="5"/>
    </row>
    <row r="35" spans="2:11" ht="16.5" thickBot="1">
      <c r="B35" s="55">
        <v>15</v>
      </c>
      <c r="D35" s="31" t="s">
        <v>427</v>
      </c>
      <c r="E35" s="5"/>
      <c r="F35" s="5"/>
      <c r="G35" s="5"/>
      <c r="H35" s="5"/>
      <c r="I35" s="33">
        <f>-I27-I31</f>
        <v>54806.651025527739</v>
      </c>
      <c r="J35" s="5"/>
      <c r="K35" s="35" t="s">
        <v>378</v>
      </c>
    </row>
    <row r="36" spans="2:11" ht="16.5" thickTop="1"/>
  </sheetData>
  <mergeCells count="3">
    <mergeCell ref="D4:K4"/>
    <mergeCell ref="D5:K5"/>
    <mergeCell ref="D6:K6"/>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B1:L28"/>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548</v>
      </c>
      <c r="L3" s="64"/>
    </row>
    <row r="4" spans="2:12">
      <c r="D4" s="91" t="s">
        <v>71</v>
      </c>
      <c r="E4" s="91"/>
      <c r="F4" s="91"/>
      <c r="G4" s="91"/>
      <c r="H4" s="91"/>
      <c r="I4" s="91"/>
      <c r="J4" s="91"/>
      <c r="K4" s="91"/>
      <c r="L4" s="62" t="s">
        <v>401</v>
      </c>
    </row>
    <row r="5" spans="2:12">
      <c r="D5" s="91" t="s">
        <v>72</v>
      </c>
      <c r="E5" s="91"/>
      <c r="F5" s="91"/>
      <c r="G5" s="91"/>
      <c r="H5" s="91"/>
      <c r="I5" s="91"/>
      <c r="J5" s="91"/>
      <c r="K5" s="91"/>
      <c r="L5" s="64" t="s">
        <v>284</v>
      </c>
    </row>
    <row r="6" spans="2:12">
      <c r="D6" s="91" t="s">
        <v>291</v>
      </c>
      <c r="E6" s="91"/>
      <c r="F6" s="91"/>
      <c r="G6" s="91"/>
      <c r="H6" s="91"/>
      <c r="I6" s="91"/>
      <c r="J6" s="91"/>
      <c r="K6" s="91"/>
    </row>
    <row r="9" spans="2:12">
      <c r="B9" s="47" t="s">
        <v>52</v>
      </c>
    </row>
    <row r="10" spans="2:12">
      <c r="B10" s="2" t="s">
        <v>53</v>
      </c>
      <c r="D10" s="4" t="s">
        <v>54</v>
      </c>
      <c r="E10" s="4"/>
      <c r="F10" s="4"/>
      <c r="G10" s="4"/>
      <c r="I10" s="2" t="s">
        <v>59</v>
      </c>
      <c r="J10" s="47"/>
      <c r="K10" s="2" t="s">
        <v>60</v>
      </c>
    </row>
    <row r="11" spans="2:12">
      <c r="B11" s="47">
        <v>1</v>
      </c>
      <c r="D11" s="31"/>
      <c r="E11" s="5"/>
      <c r="F11" s="5"/>
      <c r="G11" s="5"/>
      <c r="H11" s="5"/>
      <c r="I11" s="24"/>
      <c r="J11" s="5"/>
      <c r="K11" s="35" t="s">
        <v>263</v>
      </c>
      <c r="L11" s="5"/>
    </row>
    <row r="12" spans="2:12">
      <c r="B12" s="65">
        <v>2</v>
      </c>
      <c r="D12" s="31"/>
      <c r="E12" s="31"/>
      <c r="F12" s="31"/>
      <c r="G12" s="5"/>
      <c r="H12" s="5"/>
      <c r="I12" s="24"/>
      <c r="J12" s="5"/>
      <c r="K12" s="35" t="s">
        <v>270</v>
      </c>
      <c r="L12" s="5"/>
    </row>
    <row r="13" spans="2:12">
      <c r="B13" s="47">
        <v>3</v>
      </c>
      <c r="D13" s="5"/>
      <c r="E13" s="5"/>
      <c r="F13" s="5"/>
      <c r="G13" s="5"/>
      <c r="H13" s="5"/>
      <c r="I13" s="24"/>
      <c r="J13" s="5"/>
      <c r="K13" s="36" t="s">
        <v>264</v>
      </c>
      <c r="L13" s="5"/>
    </row>
    <row r="14" spans="2:12">
      <c r="B14" s="47">
        <v>4</v>
      </c>
      <c r="D14" s="5"/>
      <c r="E14" s="5"/>
      <c r="F14" s="5"/>
      <c r="G14" s="5"/>
      <c r="H14" s="5"/>
      <c r="I14" s="24"/>
      <c r="J14" s="5"/>
      <c r="K14" s="36" t="s">
        <v>265</v>
      </c>
      <c r="L14" s="5"/>
    </row>
    <row r="15" spans="2:12">
      <c r="B15" s="47">
        <v>5</v>
      </c>
      <c r="D15" s="5"/>
      <c r="E15" s="5"/>
      <c r="F15" s="5"/>
      <c r="G15" s="5"/>
      <c r="H15" s="5"/>
      <c r="I15" s="24"/>
      <c r="J15" s="5"/>
      <c r="K15" s="36" t="s">
        <v>271</v>
      </c>
      <c r="L15" s="5"/>
    </row>
    <row r="16" spans="2:12">
      <c r="B16" s="47">
        <v>6</v>
      </c>
      <c r="D16" s="5"/>
      <c r="E16" s="5"/>
      <c r="F16" s="5"/>
      <c r="G16" s="5"/>
      <c r="H16" s="5"/>
      <c r="I16" s="24"/>
      <c r="J16" s="5"/>
      <c r="K16" s="36" t="s">
        <v>266</v>
      </c>
      <c r="L16" s="5"/>
    </row>
    <row r="17" spans="2:12">
      <c r="B17" s="47">
        <v>7</v>
      </c>
      <c r="D17" s="5"/>
      <c r="E17" s="5"/>
      <c r="F17" s="5"/>
      <c r="G17" s="5"/>
      <c r="H17" s="5"/>
      <c r="I17" s="24"/>
      <c r="J17" s="5"/>
      <c r="K17" s="36" t="s">
        <v>292</v>
      </c>
      <c r="L17" s="5"/>
    </row>
    <row r="18" spans="2:12">
      <c r="B18" s="47">
        <v>8</v>
      </c>
      <c r="D18" s="5" t="s">
        <v>295</v>
      </c>
      <c r="E18" s="5"/>
      <c r="F18" s="5"/>
      <c r="G18" s="5"/>
      <c r="H18" s="5"/>
      <c r="I18" s="24"/>
      <c r="J18" s="5"/>
      <c r="K18" s="36" t="s">
        <v>293</v>
      </c>
      <c r="L18" s="5"/>
    </row>
    <row r="19" spans="2:12">
      <c r="B19" s="55">
        <v>9</v>
      </c>
      <c r="D19" s="5" t="s">
        <v>296</v>
      </c>
      <c r="E19" s="5"/>
      <c r="F19" s="5"/>
      <c r="G19" s="5"/>
      <c r="H19" s="5"/>
      <c r="I19" s="24">
        <f>-[3]Advertising!$D$15-'[3]Wattson and DSM Costs'!$D$10</f>
        <v>-2674.8738075238389</v>
      </c>
      <c r="J19" s="5"/>
      <c r="K19" s="36" t="s">
        <v>294</v>
      </c>
      <c r="L19" s="5"/>
    </row>
    <row r="20" spans="2:12">
      <c r="B20" s="55"/>
      <c r="D20" s="5"/>
      <c r="E20" s="5"/>
      <c r="F20" s="5"/>
      <c r="G20" s="5"/>
      <c r="H20" s="5"/>
      <c r="I20" s="24"/>
      <c r="J20" s="5"/>
      <c r="K20" s="5"/>
      <c r="L20" s="5"/>
    </row>
    <row r="21" spans="2:12">
      <c r="B21" s="55">
        <v>10</v>
      </c>
      <c r="D21" s="5" t="s">
        <v>87</v>
      </c>
      <c r="E21" s="5"/>
      <c r="F21" s="5"/>
      <c r="G21" s="5"/>
      <c r="H21" s="5"/>
      <c r="I21" s="27">
        <v>0.35</v>
      </c>
      <c r="J21" s="5"/>
      <c r="K21" s="55"/>
    </row>
    <row r="22" spans="2:12">
      <c r="B22" s="55"/>
      <c r="D22" s="5"/>
      <c r="E22" s="5"/>
      <c r="F22" s="5"/>
      <c r="G22" s="5"/>
      <c r="H22" s="5"/>
      <c r="I22" s="5"/>
      <c r="J22" s="5"/>
      <c r="K22" s="55"/>
    </row>
    <row r="23" spans="2:12">
      <c r="B23" s="55">
        <v>11</v>
      </c>
      <c r="D23" t="s">
        <v>418</v>
      </c>
      <c r="E23" s="5"/>
      <c r="F23" s="5"/>
      <c r="G23" s="5"/>
      <c r="H23" s="5"/>
      <c r="I23" s="28">
        <f>-I19*I21</f>
        <v>936.20583263334356</v>
      </c>
      <c r="J23" s="5"/>
      <c r="K23" s="35" t="s">
        <v>229</v>
      </c>
    </row>
    <row r="24" spans="2:12">
      <c r="B24" s="55"/>
      <c r="E24" s="5"/>
      <c r="F24" s="5"/>
      <c r="G24" s="5"/>
      <c r="H24" s="5"/>
      <c r="I24" s="5"/>
      <c r="J24" s="5"/>
      <c r="K24" s="35"/>
    </row>
    <row r="25" spans="2:12">
      <c r="B25" s="55">
        <v>12</v>
      </c>
      <c r="D25" s="5" t="s">
        <v>211</v>
      </c>
      <c r="E25" s="5"/>
      <c r="F25" s="5"/>
      <c r="G25" s="5"/>
      <c r="H25" s="5"/>
      <c r="I25" s="26"/>
      <c r="J25" s="5"/>
      <c r="K25" s="35"/>
    </row>
    <row r="26" spans="2:12">
      <c r="B26" s="55">
        <v>13</v>
      </c>
      <c r="D26" s="31" t="s">
        <v>297</v>
      </c>
      <c r="E26" s="5"/>
      <c r="F26" s="5"/>
      <c r="G26" s="5"/>
      <c r="H26" s="5"/>
      <c r="K26" s="55"/>
    </row>
    <row r="27" spans="2:12" ht="16.5" thickBot="1">
      <c r="B27" s="55">
        <v>14</v>
      </c>
      <c r="D27" s="31" t="s">
        <v>298</v>
      </c>
      <c r="E27" s="5"/>
      <c r="F27" s="5"/>
      <c r="G27" s="5"/>
      <c r="H27" s="5"/>
      <c r="I27" s="33">
        <f>-I19-I23</f>
        <v>1738.6679748904953</v>
      </c>
      <c r="J27" s="5"/>
      <c r="K27" s="35" t="s">
        <v>230</v>
      </c>
    </row>
    <row r="28" spans="2:12" ht="16.5" thickTop="1">
      <c r="K28" s="55"/>
    </row>
  </sheetData>
  <mergeCells count="3">
    <mergeCell ref="D4:K4"/>
    <mergeCell ref="D5:K5"/>
    <mergeCell ref="D6:K6"/>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B1:L31"/>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549</v>
      </c>
      <c r="L3" s="64"/>
    </row>
    <row r="4" spans="2:12">
      <c r="D4" s="91" t="s">
        <v>71</v>
      </c>
      <c r="E4" s="91"/>
      <c r="F4" s="91"/>
      <c r="G4" s="91"/>
      <c r="H4" s="91"/>
      <c r="I4" s="91"/>
      <c r="J4" s="91"/>
      <c r="K4" s="91"/>
      <c r="L4" s="62" t="s">
        <v>402</v>
      </c>
    </row>
    <row r="5" spans="2:12">
      <c r="D5" s="91" t="s">
        <v>72</v>
      </c>
      <c r="E5" s="91"/>
      <c r="F5" s="91"/>
      <c r="G5" s="91"/>
      <c r="H5" s="91"/>
      <c r="I5" s="91"/>
      <c r="J5" s="91"/>
      <c r="K5" s="91"/>
      <c r="L5" s="64" t="s">
        <v>285</v>
      </c>
    </row>
    <row r="6" spans="2:12">
      <c r="D6" s="91" t="s">
        <v>390</v>
      </c>
      <c r="E6" s="91"/>
      <c r="F6" s="91"/>
      <c r="G6" s="91"/>
      <c r="H6" s="91"/>
      <c r="I6" s="91"/>
      <c r="J6" s="91"/>
      <c r="K6" s="91"/>
    </row>
    <row r="9" spans="2:12">
      <c r="B9" s="47" t="s">
        <v>52</v>
      </c>
    </row>
    <row r="10" spans="2:12">
      <c r="B10" s="2" t="s">
        <v>53</v>
      </c>
      <c r="D10" s="4" t="s">
        <v>54</v>
      </c>
      <c r="E10" s="4"/>
      <c r="F10" s="4"/>
      <c r="G10" s="4"/>
      <c r="I10" s="2" t="s">
        <v>59</v>
      </c>
      <c r="J10" s="47"/>
      <c r="K10" s="2" t="s">
        <v>60</v>
      </c>
    </row>
    <row r="12" spans="2:12">
      <c r="B12" s="47">
        <v>1</v>
      </c>
      <c r="J12" s="5"/>
      <c r="K12" s="35" t="s">
        <v>263</v>
      </c>
    </row>
    <row r="13" spans="2:12">
      <c r="B13" s="47">
        <v>2</v>
      </c>
      <c r="J13" s="5"/>
      <c r="K13" s="35" t="s">
        <v>270</v>
      </c>
    </row>
    <row r="14" spans="2:12">
      <c r="B14" s="47">
        <v>3</v>
      </c>
      <c r="D14" t="s">
        <v>300</v>
      </c>
      <c r="J14" s="5"/>
      <c r="K14" s="36" t="s">
        <v>264</v>
      </c>
    </row>
    <row r="15" spans="2:12">
      <c r="B15" s="47">
        <v>4</v>
      </c>
      <c r="D15" t="s">
        <v>301</v>
      </c>
      <c r="I15" s="49">
        <f>-[3]Aircraft!$D$3</f>
        <v>-4077</v>
      </c>
      <c r="J15" s="5"/>
      <c r="K15" s="36" t="s">
        <v>265</v>
      </c>
    </row>
    <row r="16" spans="2:12">
      <c r="D16" s="5"/>
      <c r="E16" s="5"/>
      <c r="F16" s="5"/>
      <c r="G16" s="5"/>
      <c r="H16" s="5"/>
      <c r="I16" s="24"/>
      <c r="J16" s="5"/>
      <c r="K16" s="36" t="s">
        <v>271</v>
      </c>
    </row>
    <row r="17" spans="2:11">
      <c r="B17" s="47">
        <v>5</v>
      </c>
      <c r="D17" t="s">
        <v>300</v>
      </c>
      <c r="E17" s="5"/>
      <c r="F17" s="5"/>
      <c r="G17" s="5"/>
      <c r="H17" s="5"/>
      <c r="I17" s="24"/>
      <c r="J17" s="5"/>
      <c r="K17" s="36" t="s">
        <v>302</v>
      </c>
    </row>
    <row r="18" spans="2:11">
      <c r="B18" s="47">
        <v>6</v>
      </c>
      <c r="D18" s="31" t="s">
        <v>303</v>
      </c>
      <c r="E18" s="31"/>
      <c r="F18" s="31"/>
      <c r="G18" s="5"/>
      <c r="H18" s="5"/>
      <c r="I18" s="17">
        <f>-[3]Aircraft!$D$4</f>
        <v>-611</v>
      </c>
      <c r="J18" s="5"/>
      <c r="K18" s="36" t="s">
        <v>304</v>
      </c>
    </row>
    <row r="19" spans="2:11">
      <c r="B19" s="47"/>
      <c r="D19" s="5"/>
      <c r="E19" s="5"/>
      <c r="F19" s="5"/>
      <c r="G19" s="5"/>
      <c r="H19" s="5"/>
      <c r="I19" s="24"/>
      <c r="J19" s="5"/>
    </row>
    <row r="20" spans="2:11">
      <c r="B20" s="47">
        <v>7</v>
      </c>
      <c r="D20" s="5" t="s">
        <v>305</v>
      </c>
      <c r="E20" s="5"/>
      <c r="F20" s="5"/>
      <c r="G20" s="5"/>
      <c r="H20" s="5"/>
      <c r="I20" s="24">
        <f>SUM(I15:I18)</f>
        <v>-4688</v>
      </c>
      <c r="J20" s="5"/>
      <c r="K20" s="36" t="s">
        <v>306</v>
      </c>
    </row>
    <row r="21" spans="2:11">
      <c r="B21" s="47">
        <v>8</v>
      </c>
      <c r="D21" s="5" t="s">
        <v>296</v>
      </c>
      <c r="E21" s="5"/>
      <c r="F21" s="5"/>
      <c r="G21" s="5"/>
      <c r="H21" s="5"/>
      <c r="J21" s="5"/>
      <c r="K21" s="35"/>
    </row>
    <row r="22" spans="2:11">
      <c r="D22" s="5"/>
      <c r="E22" s="5"/>
      <c r="F22" s="5"/>
      <c r="G22" s="5"/>
      <c r="H22" s="5"/>
      <c r="I22" s="24"/>
      <c r="J22" s="5"/>
      <c r="K22" s="35"/>
    </row>
    <row r="23" spans="2:11">
      <c r="B23" s="47">
        <v>9</v>
      </c>
      <c r="D23" s="5" t="s">
        <v>87</v>
      </c>
      <c r="E23" s="5"/>
      <c r="F23" s="5"/>
      <c r="G23" s="5"/>
      <c r="H23" s="5"/>
      <c r="I23" s="27">
        <v>0.35</v>
      </c>
      <c r="J23" s="5"/>
      <c r="K23" s="35"/>
    </row>
    <row r="24" spans="2:11">
      <c r="D24" s="5"/>
      <c r="E24" s="5"/>
      <c r="F24" s="5"/>
      <c r="G24" s="5"/>
      <c r="H24" s="5"/>
      <c r="I24" s="5"/>
      <c r="J24" s="5"/>
      <c r="K24" s="35"/>
    </row>
    <row r="25" spans="2:11">
      <c r="B25" s="47">
        <v>10</v>
      </c>
      <c r="D25" t="s">
        <v>418</v>
      </c>
      <c r="E25" s="5"/>
      <c r="F25" s="5"/>
      <c r="G25" s="5"/>
      <c r="H25" s="5"/>
      <c r="I25" s="28">
        <f>-I20*I23</f>
        <v>1640.8</v>
      </c>
      <c r="J25" s="5"/>
      <c r="K25" s="35" t="s">
        <v>307</v>
      </c>
    </row>
    <row r="26" spans="2:11">
      <c r="B26" s="85"/>
      <c r="E26" s="5"/>
      <c r="F26" s="5"/>
      <c r="G26" s="5"/>
      <c r="H26" s="5"/>
      <c r="I26" s="5"/>
      <c r="J26" s="5"/>
      <c r="K26" s="35"/>
    </row>
    <row r="27" spans="2:11">
      <c r="B27" s="85">
        <v>11</v>
      </c>
      <c r="D27" s="5" t="s">
        <v>417</v>
      </c>
      <c r="E27" s="5"/>
      <c r="F27" s="5"/>
      <c r="G27" s="5"/>
      <c r="H27" s="5"/>
      <c r="I27" s="26"/>
      <c r="J27" s="5"/>
      <c r="K27" s="35"/>
    </row>
    <row r="28" spans="2:11">
      <c r="B28" s="85">
        <v>12</v>
      </c>
      <c r="D28" s="31" t="s">
        <v>422</v>
      </c>
      <c r="E28" s="5"/>
      <c r="F28" s="5"/>
      <c r="G28" s="5"/>
      <c r="H28" s="5"/>
      <c r="K28" s="55"/>
    </row>
    <row r="29" spans="2:11" ht="16.5" thickBot="1">
      <c r="B29" s="85">
        <v>13</v>
      </c>
      <c r="D29" s="31" t="s">
        <v>423</v>
      </c>
      <c r="E29" s="5"/>
      <c r="F29" s="5"/>
      <c r="G29" s="5"/>
      <c r="H29" s="5"/>
      <c r="I29" s="33">
        <f>-I20-I25</f>
        <v>3047.2</v>
      </c>
      <c r="J29" s="5"/>
      <c r="K29" s="35" t="s">
        <v>308</v>
      </c>
    </row>
    <row r="30" spans="2:11" ht="16.5" thickTop="1">
      <c r="B30" s="85"/>
    </row>
    <row r="31" spans="2:11">
      <c r="B31" s="85"/>
    </row>
  </sheetData>
  <mergeCells count="3">
    <mergeCell ref="D4:K4"/>
    <mergeCell ref="D5:K5"/>
    <mergeCell ref="D6:K6"/>
  </mergeCells>
  <pageMargins left="0.7" right="0.7" top="0.75" bottom="0.75" header="0.3" footer="0.3"/>
  <pageSetup scale="82"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B1:O48"/>
  <sheetViews>
    <sheetView tabSelected="1" workbookViewId="0">
      <selection activeCell="X5" sqref="X5"/>
    </sheetView>
  </sheetViews>
  <sheetFormatPr defaultRowHeight="15.75"/>
  <cols>
    <col min="2" max="2" width="5.625" customWidth="1"/>
    <col min="3" max="3" width="1.625" customWidth="1"/>
    <col min="9" max="9" width="14.75" bestFit="1" customWidth="1"/>
    <col min="10" max="10" width="2.625" customWidth="1"/>
    <col min="11" max="11" width="14.375" bestFit="1" customWidth="1"/>
    <col min="12" max="12" width="11.375" customWidth="1"/>
  </cols>
  <sheetData>
    <row r="1" spans="2:15">
      <c r="K1" t="s">
        <v>530</v>
      </c>
      <c r="L1" s="62"/>
    </row>
    <row r="2" spans="2:15">
      <c r="K2" t="s">
        <v>526</v>
      </c>
      <c r="L2" s="62"/>
    </row>
    <row r="3" spans="2:15">
      <c r="K3" t="s">
        <v>550</v>
      </c>
      <c r="L3" s="64"/>
    </row>
    <row r="4" spans="2:15">
      <c r="D4" s="91" t="s">
        <v>71</v>
      </c>
      <c r="E4" s="91"/>
      <c r="F4" s="91"/>
      <c r="G4" s="91"/>
      <c r="H4" s="91"/>
      <c r="I4" s="91"/>
      <c r="J4" s="91"/>
      <c r="K4" s="91"/>
      <c r="L4" s="62" t="s">
        <v>403</v>
      </c>
    </row>
    <row r="5" spans="2:15">
      <c r="D5" s="91" t="s">
        <v>72</v>
      </c>
      <c r="E5" s="91"/>
      <c r="F5" s="91"/>
      <c r="G5" s="91"/>
      <c r="H5" s="91"/>
      <c r="I5" s="91"/>
      <c r="J5" s="91"/>
      <c r="K5" s="91"/>
      <c r="L5" s="64" t="s">
        <v>326</v>
      </c>
    </row>
    <row r="6" spans="2:15">
      <c r="D6" s="91" t="s">
        <v>310</v>
      </c>
      <c r="E6" s="91"/>
      <c r="F6" s="91"/>
      <c r="G6" s="91"/>
      <c r="H6" s="91"/>
      <c r="I6" s="91"/>
      <c r="J6" s="91"/>
      <c r="K6" s="91"/>
    </row>
    <row r="9" spans="2:15">
      <c r="B9" s="47" t="s">
        <v>52</v>
      </c>
    </row>
    <row r="10" spans="2:15">
      <c r="B10" s="2" t="s">
        <v>53</v>
      </c>
      <c r="D10" s="4" t="s">
        <v>54</v>
      </c>
      <c r="E10" s="4"/>
      <c r="F10" s="4"/>
      <c r="G10" s="4"/>
      <c r="I10" s="2" t="s">
        <v>59</v>
      </c>
      <c r="J10" s="47"/>
      <c r="K10" s="2" t="s">
        <v>60</v>
      </c>
    </row>
    <row r="12" spans="2:15">
      <c r="B12" s="47">
        <v>1</v>
      </c>
      <c r="D12" t="s">
        <v>313</v>
      </c>
      <c r="J12" s="5"/>
      <c r="K12" s="35" t="s">
        <v>329</v>
      </c>
    </row>
    <row r="13" spans="2:15">
      <c r="B13" s="47">
        <v>2</v>
      </c>
      <c r="D13" t="s">
        <v>314</v>
      </c>
      <c r="I13" s="16">
        <v>400658</v>
      </c>
      <c r="J13" s="5"/>
      <c r="K13" s="35" t="s">
        <v>330</v>
      </c>
    </row>
    <row r="14" spans="2:15">
      <c r="B14" s="47"/>
      <c r="J14" s="5"/>
      <c r="K14" s="36"/>
    </row>
    <row r="15" spans="2:15">
      <c r="B15" s="47">
        <v>3</v>
      </c>
      <c r="D15" t="s">
        <v>315</v>
      </c>
      <c r="J15" s="5"/>
      <c r="K15" s="36" t="s">
        <v>327</v>
      </c>
      <c r="O15">
        <v>15</v>
      </c>
    </row>
    <row r="16" spans="2:15">
      <c r="B16" s="47">
        <v>4</v>
      </c>
      <c r="D16" t="s">
        <v>316</v>
      </c>
      <c r="E16" s="5"/>
      <c r="F16" s="5"/>
      <c r="G16" s="5"/>
      <c r="H16" s="5"/>
      <c r="I16" s="68">
        <f>+O18</f>
        <v>294.76</v>
      </c>
      <c r="J16" s="5"/>
      <c r="K16" s="36" t="s">
        <v>328</v>
      </c>
      <c r="O16">
        <v>104.03</v>
      </c>
    </row>
    <row r="17" spans="2:15">
      <c r="B17" s="47"/>
      <c r="E17" s="5"/>
      <c r="F17" s="5"/>
      <c r="G17" s="5"/>
      <c r="H17" s="5"/>
      <c r="I17" s="24"/>
      <c r="J17" s="5"/>
      <c r="K17" s="36"/>
      <c r="O17" s="4">
        <v>175.73</v>
      </c>
    </row>
    <row r="18" spans="2:15">
      <c r="B18" s="47">
        <v>5</v>
      </c>
      <c r="D18" s="31" t="s">
        <v>317</v>
      </c>
      <c r="E18" s="31"/>
      <c r="F18" s="31"/>
      <c r="G18" s="5"/>
      <c r="H18" s="5"/>
      <c r="I18" s="69">
        <f>+I16/I13</f>
        <v>7.3568979029496476E-4</v>
      </c>
      <c r="J18" s="5"/>
      <c r="K18" s="36" t="s">
        <v>331</v>
      </c>
      <c r="O18">
        <f>SUM(O15:O17)</f>
        <v>294.76</v>
      </c>
    </row>
    <row r="19" spans="2:15">
      <c r="B19" s="47"/>
      <c r="D19" s="5"/>
      <c r="E19" s="5"/>
      <c r="F19" s="5"/>
      <c r="G19" s="5"/>
      <c r="H19" s="5"/>
      <c r="I19" s="24"/>
      <c r="J19" s="5"/>
    </row>
    <row r="20" spans="2:15">
      <c r="B20" s="47">
        <v>6</v>
      </c>
      <c r="D20" t="s">
        <v>311</v>
      </c>
      <c r="E20" s="5"/>
      <c r="F20" s="5"/>
      <c r="G20" s="5"/>
      <c r="H20" s="5"/>
      <c r="I20" s="24"/>
      <c r="J20" s="5"/>
      <c r="K20" s="35" t="s">
        <v>329</v>
      </c>
    </row>
    <row r="21" spans="2:15">
      <c r="B21" s="47">
        <v>7</v>
      </c>
      <c r="D21" t="s">
        <v>312</v>
      </c>
      <c r="E21" s="5"/>
      <c r="F21" s="5"/>
      <c r="G21" s="5"/>
      <c r="H21" s="5"/>
      <c r="I21" s="70">
        <v>47844076</v>
      </c>
      <c r="J21" s="5"/>
      <c r="K21" s="35" t="s">
        <v>330</v>
      </c>
    </row>
    <row r="22" spans="2:15">
      <c r="D22" s="5"/>
      <c r="E22" s="5"/>
      <c r="F22" s="5"/>
      <c r="G22" s="5"/>
      <c r="H22" s="5"/>
      <c r="I22" s="24"/>
      <c r="J22" s="5"/>
      <c r="K22" s="5"/>
    </row>
    <row r="23" spans="2:15">
      <c r="B23" s="47">
        <v>8</v>
      </c>
      <c r="D23" s="31" t="s">
        <v>318</v>
      </c>
      <c r="E23" s="5"/>
      <c r="F23" s="5"/>
      <c r="G23" s="5"/>
      <c r="H23" s="5"/>
      <c r="I23" s="28">
        <f>+I18*I21</f>
        <v>35198.398239296359</v>
      </c>
      <c r="J23" s="5"/>
      <c r="K23" s="36" t="s">
        <v>332</v>
      </c>
    </row>
    <row r="24" spans="2:15">
      <c r="D24" s="5"/>
      <c r="E24" s="5"/>
      <c r="F24" s="5"/>
      <c r="G24" s="5"/>
      <c r="H24" s="5"/>
      <c r="I24" s="5"/>
      <c r="J24" s="5"/>
      <c r="K24" s="5"/>
    </row>
    <row r="25" spans="2:15">
      <c r="B25" s="47">
        <v>9</v>
      </c>
      <c r="D25" s="50" t="s">
        <v>324</v>
      </c>
      <c r="E25" s="51"/>
      <c r="F25" s="5"/>
      <c r="G25" s="5"/>
      <c r="H25" s="5"/>
      <c r="I25" s="28"/>
      <c r="J25" s="5"/>
      <c r="K25" s="5"/>
    </row>
    <row r="26" spans="2:15">
      <c r="D26" s="50"/>
      <c r="E26" s="51"/>
      <c r="F26" s="5"/>
      <c r="G26" s="5"/>
      <c r="H26" s="5"/>
      <c r="I26" s="5"/>
      <c r="J26" s="5"/>
      <c r="K26" s="5"/>
    </row>
    <row r="27" spans="2:15">
      <c r="B27" s="65">
        <v>10</v>
      </c>
      <c r="D27" s="50" t="s">
        <v>319</v>
      </c>
      <c r="F27" s="5"/>
      <c r="G27" s="5"/>
      <c r="H27" s="5"/>
      <c r="I27" s="51">
        <v>0.72382999999999997</v>
      </c>
      <c r="J27" s="5"/>
      <c r="K27" s="5"/>
    </row>
    <row r="28" spans="2:15">
      <c r="B28" s="65">
        <v>11</v>
      </c>
      <c r="D28" s="52" t="s">
        <v>320</v>
      </c>
      <c r="F28" s="5"/>
      <c r="G28" s="5"/>
      <c r="H28" s="5"/>
      <c r="I28" s="53">
        <v>0.67029000000000005</v>
      </c>
    </row>
    <row r="29" spans="2:15">
      <c r="B29" s="65">
        <v>12</v>
      </c>
      <c r="D29" s="50" t="s">
        <v>321</v>
      </c>
      <c r="F29" s="5"/>
      <c r="G29" s="5"/>
      <c r="H29" s="5"/>
      <c r="I29" s="51">
        <f>+I27*I28</f>
        <v>0.48517601069999999</v>
      </c>
      <c r="J29" s="5"/>
      <c r="K29" s="5" t="s">
        <v>333</v>
      </c>
    </row>
    <row r="30" spans="2:15">
      <c r="B30" s="65"/>
      <c r="D30" s="52"/>
      <c r="I30" s="51"/>
    </row>
    <row r="31" spans="2:15">
      <c r="B31" s="65">
        <v>13</v>
      </c>
      <c r="D31" s="52" t="s">
        <v>325</v>
      </c>
      <c r="I31" s="16">
        <f>-I23*I29</f>
        <v>-17077.418440771711</v>
      </c>
      <c r="K31" t="s">
        <v>334</v>
      </c>
    </row>
    <row r="32" spans="2:15">
      <c r="B32" s="65"/>
    </row>
    <row r="33" spans="2:11">
      <c r="B33" s="65">
        <v>14</v>
      </c>
      <c r="D33" s="5" t="s">
        <v>87</v>
      </c>
      <c r="E33" s="5"/>
      <c r="F33" s="5"/>
      <c r="G33" s="5"/>
      <c r="H33" s="5"/>
      <c r="I33" s="27">
        <v>0.35</v>
      </c>
      <c r="J33" s="5"/>
      <c r="K33" s="5"/>
    </row>
    <row r="34" spans="2:11">
      <c r="B34" s="65"/>
      <c r="D34" s="5"/>
      <c r="E34" s="5"/>
      <c r="F34" s="5"/>
      <c r="G34" s="5"/>
      <c r="H34" s="5"/>
      <c r="I34" s="5"/>
      <c r="J34" s="5"/>
      <c r="K34" s="5"/>
    </row>
    <row r="35" spans="2:11">
      <c r="B35" s="65">
        <v>15</v>
      </c>
      <c r="D35" t="s">
        <v>418</v>
      </c>
      <c r="E35" s="5"/>
      <c r="F35" s="5"/>
      <c r="G35" s="5"/>
      <c r="H35" s="5"/>
      <c r="I35" s="28">
        <f>-I31*I33</f>
        <v>5977.0964542700985</v>
      </c>
      <c r="J35" s="5"/>
      <c r="K35" s="5" t="s">
        <v>335</v>
      </c>
    </row>
    <row r="36" spans="2:11">
      <c r="B36" s="65"/>
      <c r="E36" s="5"/>
      <c r="F36" s="5"/>
      <c r="G36" s="5"/>
      <c r="H36" s="5"/>
      <c r="I36" s="5"/>
      <c r="J36" s="5"/>
      <c r="K36" s="5"/>
    </row>
    <row r="37" spans="2:11">
      <c r="B37" s="65">
        <v>16</v>
      </c>
      <c r="D37" s="5" t="s">
        <v>417</v>
      </c>
      <c r="E37" s="5"/>
      <c r="F37" s="5"/>
      <c r="G37" s="5"/>
      <c r="H37" s="5"/>
      <c r="I37" s="26"/>
      <c r="J37" s="5"/>
      <c r="K37" s="5"/>
    </row>
    <row r="38" spans="2:11">
      <c r="B38" s="65">
        <v>17</v>
      </c>
      <c r="D38" s="31" t="s">
        <v>424</v>
      </c>
      <c r="E38" s="5"/>
      <c r="F38" s="5"/>
      <c r="G38" s="5"/>
      <c r="H38" s="5"/>
    </row>
    <row r="39" spans="2:11" ht="16.5" thickBot="1">
      <c r="B39" s="65">
        <v>18</v>
      </c>
      <c r="D39" s="31" t="s">
        <v>425</v>
      </c>
      <c r="E39" s="5"/>
      <c r="F39" s="5"/>
      <c r="G39" s="5"/>
      <c r="H39" s="5"/>
      <c r="I39" s="33">
        <f>-I31-I35</f>
        <v>11100.321986501613</v>
      </c>
      <c r="J39" s="5"/>
      <c r="K39" s="5" t="s">
        <v>159</v>
      </c>
    </row>
    <row r="40" spans="2:11" ht="16.5" thickTop="1"/>
    <row r="45" spans="2:11">
      <c r="D45" s="50" t="s">
        <v>322</v>
      </c>
      <c r="I45" s="51">
        <v>0.19477</v>
      </c>
    </row>
    <row r="46" spans="2:11">
      <c r="D46" s="52" t="s">
        <v>320</v>
      </c>
      <c r="I46" s="53">
        <v>0.67586999999999997</v>
      </c>
    </row>
    <row r="47" spans="2:11" ht="47.25">
      <c r="D47" s="54" t="s">
        <v>323</v>
      </c>
      <c r="I47" s="51">
        <f>+I45*I46</f>
        <v>0.1316391999</v>
      </c>
    </row>
    <row r="48" spans="2:11">
      <c r="D48" s="52"/>
      <c r="E48" s="51"/>
    </row>
  </sheetData>
  <mergeCells count="3">
    <mergeCell ref="D4:K4"/>
    <mergeCell ref="D5:K5"/>
    <mergeCell ref="D6:K6"/>
  </mergeCells>
  <pageMargins left="0.7" right="0.7" top="0.75" bottom="0.75" header="0.3" footer="0.3"/>
  <pageSetup scale="81"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B1:R49"/>
  <sheetViews>
    <sheetView tabSelected="1" workbookViewId="0">
      <selection activeCell="X5" sqref="X5"/>
    </sheetView>
  </sheetViews>
  <sheetFormatPr defaultRowHeight="15.75"/>
  <cols>
    <col min="2" max="2" width="5.625" customWidth="1"/>
    <col min="3" max="3" width="1.625" customWidth="1"/>
    <col min="9" max="9" width="14.75" bestFit="1" customWidth="1"/>
    <col min="10" max="10" width="3.625" customWidth="1"/>
    <col min="11" max="11" width="14.375" bestFit="1" customWidth="1"/>
    <col min="12" max="12" width="11.375" customWidth="1"/>
  </cols>
  <sheetData>
    <row r="1" spans="2:16">
      <c r="K1" t="s">
        <v>530</v>
      </c>
      <c r="L1" s="62"/>
    </row>
    <row r="2" spans="2:16">
      <c r="K2" t="s">
        <v>526</v>
      </c>
      <c r="L2" s="62"/>
    </row>
    <row r="3" spans="2:16">
      <c r="K3" t="s">
        <v>551</v>
      </c>
      <c r="L3" s="64"/>
    </row>
    <row r="4" spans="2:16">
      <c r="D4" s="91" t="s">
        <v>71</v>
      </c>
      <c r="E4" s="91"/>
      <c r="F4" s="91"/>
      <c r="G4" s="91"/>
      <c r="H4" s="91"/>
      <c r="I4" s="91"/>
      <c r="J4" s="91"/>
      <c r="K4" s="91"/>
      <c r="L4" s="62" t="s">
        <v>404</v>
      </c>
    </row>
    <row r="5" spans="2:16">
      <c r="D5" s="91" t="s">
        <v>72</v>
      </c>
      <c r="E5" s="91"/>
      <c r="F5" s="91"/>
      <c r="G5" s="91"/>
      <c r="H5" s="91"/>
      <c r="I5" s="91"/>
      <c r="J5" s="91"/>
      <c r="K5" s="91"/>
      <c r="L5" s="64" t="s">
        <v>379</v>
      </c>
    </row>
    <row r="6" spans="2:16">
      <c r="D6" s="91" t="s">
        <v>336</v>
      </c>
      <c r="E6" s="91"/>
      <c r="F6" s="91"/>
      <c r="G6" s="91"/>
      <c r="H6" s="91"/>
      <c r="I6" s="91"/>
      <c r="J6" s="91"/>
      <c r="K6" s="91"/>
    </row>
    <row r="8" spans="2:16">
      <c r="I8" s="48" t="s">
        <v>170</v>
      </c>
      <c r="K8" t="s">
        <v>348</v>
      </c>
    </row>
    <row r="9" spans="2:16">
      <c r="B9" s="48" t="s">
        <v>52</v>
      </c>
      <c r="I9" s="48" t="s">
        <v>347</v>
      </c>
      <c r="K9" t="s">
        <v>349</v>
      </c>
    </row>
    <row r="10" spans="2:16">
      <c r="B10" s="2" t="s">
        <v>53</v>
      </c>
      <c r="D10" s="4" t="s">
        <v>54</v>
      </c>
      <c r="E10" s="4"/>
      <c r="F10" s="4"/>
      <c r="G10" s="4"/>
      <c r="I10" s="2" t="s">
        <v>59</v>
      </c>
      <c r="J10" s="48"/>
      <c r="K10" s="2" t="s">
        <v>350</v>
      </c>
    </row>
    <row r="11" spans="2:16">
      <c r="I11" s="36" t="s">
        <v>355</v>
      </c>
    </row>
    <row r="12" spans="2:16">
      <c r="B12" s="48">
        <v>1</v>
      </c>
      <c r="D12" s="71" t="s">
        <v>337</v>
      </c>
      <c r="E12" s="8"/>
      <c r="F12" s="8"/>
      <c r="G12" s="8"/>
      <c r="H12" s="8"/>
      <c r="I12" s="82">
        <v>4827814</v>
      </c>
      <c r="J12" s="22"/>
      <c r="K12" s="73">
        <f>-I12*$P$12</f>
        <v>-1678148.1464000002</v>
      </c>
      <c r="O12" s="56">
        <v>0.65239999999999998</v>
      </c>
      <c r="P12" s="56">
        <v>0.34760000000000002</v>
      </c>
    </row>
    <row r="13" spans="2:16">
      <c r="B13" s="55">
        <v>2</v>
      </c>
      <c r="D13" s="71" t="s">
        <v>338</v>
      </c>
      <c r="E13" s="8"/>
      <c r="F13" s="8"/>
      <c r="G13" s="8"/>
      <c r="H13" s="8"/>
      <c r="I13" s="72">
        <v>-476505.24179999996</v>
      </c>
      <c r="J13" s="8"/>
      <c r="K13" s="86">
        <f t="shared" ref="K13:K14" si="0">-I13*$P$12</f>
        <v>165633.22204967999</v>
      </c>
    </row>
    <row r="14" spans="2:16">
      <c r="B14" s="55">
        <v>3</v>
      </c>
      <c r="D14" s="71" t="s">
        <v>339</v>
      </c>
      <c r="E14" s="8"/>
      <c r="F14" s="8"/>
      <c r="G14" s="8"/>
      <c r="H14" s="8"/>
      <c r="I14" s="74">
        <v>103411.77587999997</v>
      </c>
      <c r="J14" s="8"/>
      <c r="K14" s="86">
        <f t="shared" si="0"/>
        <v>-35945.93329588799</v>
      </c>
    </row>
    <row r="15" spans="2:16" ht="16.5" thickBot="1">
      <c r="B15" s="55">
        <v>4</v>
      </c>
      <c r="D15" s="71" t="s">
        <v>340</v>
      </c>
      <c r="E15" s="8"/>
      <c r="F15" s="8"/>
      <c r="G15" s="8"/>
      <c r="H15" s="8"/>
      <c r="I15" s="75">
        <f>SUM(I12:I14)</f>
        <v>4454720.5340799997</v>
      </c>
      <c r="J15" s="8"/>
      <c r="K15" s="75">
        <f>SUM(K12:K14)</f>
        <v>-1548460.857646208</v>
      </c>
    </row>
    <row r="16" spans="2:16" ht="16.5" thickTop="1">
      <c r="B16" s="55"/>
      <c r="D16" s="71"/>
      <c r="E16" s="8"/>
      <c r="F16" s="8"/>
      <c r="G16" s="8"/>
      <c r="H16" s="8"/>
      <c r="I16" s="72"/>
      <c r="J16" s="8"/>
      <c r="K16" s="8"/>
    </row>
    <row r="17" spans="2:18">
      <c r="B17" s="55"/>
      <c r="D17" s="8"/>
      <c r="E17" s="8"/>
      <c r="F17" s="8"/>
      <c r="G17" s="8"/>
      <c r="H17" s="8"/>
      <c r="I17" s="72"/>
      <c r="J17" s="8"/>
      <c r="K17" s="8"/>
    </row>
    <row r="18" spans="2:18">
      <c r="B18" s="55">
        <v>5</v>
      </c>
      <c r="D18" s="71" t="s">
        <v>341</v>
      </c>
      <c r="E18" s="8"/>
      <c r="F18" s="8"/>
      <c r="G18" s="8"/>
      <c r="H18" s="8"/>
      <c r="I18" s="72">
        <v>476505.24179999996</v>
      </c>
      <c r="J18" s="8"/>
      <c r="K18" s="86">
        <f t="shared" ref="K18:K20" si="1">-I18*$P$12</f>
        <v>-165633.22204967999</v>
      </c>
    </row>
    <row r="19" spans="2:18">
      <c r="B19" s="55">
        <v>6</v>
      </c>
      <c r="D19" s="76" t="s">
        <v>107</v>
      </c>
      <c r="E19" s="8"/>
      <c r="F19" s="8"/>
      <c r="G19" s="8"/>
      <c r="H19" s="8"/>
      <c r="I19" s="77">
        <v>58899</v>
      </c>
      <c r="J19" s="8"/>
      <c r="K19" s="86">
        <f t="shared" si="1"/>
        <v>-20473.292400000002</v>
      </c>
      <c r="O19" t="s">
        <v>351</v>
      </c>
      <c r="R19" s="56">
        <v>2.9700000000000001E-2</v>
      </c>
    </row>
    <row r="20" spans="2:18">
      <c r="B20" s="55">
        <v>7</v>
      </c>
      <c r="D20" s="76" t="s">
        <v>342</v>
      </c>
      <c r="E20" s="8"/>
      <c r="F20" s="8"/>
      <c r="G20" s="8"/>
      <c r="H20" s="8"/>
      <c r="I20" s="78">
        <v>446055</v>
      </c>
      <c r="J20" s="8"/>
      <c r="K20" s="87">
        <f t="shared" si="1"/>
        <v>-155048.71800000002</v>
      </c>
    </row>
    <row r="21" spans="2:18">
      <c r="B21" s="55">
        <v>8</v>
      </c>
      <c r="D21" s="76" t="s">
        <v>343</v>
      </c>
      <c r="E21" s="8"/>
      <c r="F21" s="8"/>
      <c r="G21" s="8"/>
      <c r="H21" s="8"/>
      <c r="I21" s="77">
        <f>SUM(I18:I20)</f>
        <v>981459.24179999996</v>
      </c>
      <c r="J21" s="8"/>
      <c r="K21" s="77">
        <f>SUM(K18:K20)</f>
        <v>-341155.23244967998</v>
      </c>
    </row>
    <row r="22" spans="2:18">
      <c r="B22" s="55">
        <v>9</v>
      </c>
      <c r="D22" s="76" t="s">
        <v>344</v>
      </c>
      <c r="E22" s="8"/>
      <c r="F22" s="8"/>
      <c r="G22" s="8"/>
      <c r="H22" s="8"/>
      <c r="I22" s="77">
        <f>-I21</f>
        <v>-981459.24179999996</v>
      </c>
      <c r="J22" s="8"/>
      <c r="K22" s="77">
        <f>-K21</f>
        <v>341155.23244967998</v>
      </c>
    </row>
    <row r="23" spans="2:18">
      <c r="B23" s="55">
        <v>10</v>
      </c>
      <c r="D23" s="76" t="s">
        <v>345</v>
      </c>
      <c r="E23" s="8"/>
      <c r="F23" s="8"/>
      <c r="G23" s="8"/>
      <c r="H23" s="8"/>
      <c r="I23" s="77">
        <f>-I22*0.35</f>
        <v>343510.73462999996</v>
      </c>
      <c r="J23" s="8"/>
      <c r="K23" s="77">
        <f>-K22*0.35</f>
        <v>-119404.33135738799</v>
      </c>
    </row>
    <row r="24" spans="2:18">
      <c r="B24" s="55">
        <v>11</v>
      </c>
      <c r="D24" s="76" t="s">
        <v>346</v>
      </c>
      <c r="E24" s="8"/>
      <c r="F24" s="8"/>
      <c r="G24" s="8"/>
      <c r="H24" s="8"/>
      <c r="I24" s="77">
        <f>+I15*$R$19*0.35</f>
        <v>46306.819951761594</v>
      </c>
      <c r="J24" s="8"/>
      <c r="K24" s="77">
        <f>+K15*$R$19*0.35</f>
        <v>-16096.250615232331</v>
      </c>
    </row>
    <row r="25" spans="2:18">
      <c r="B25" s="85"/>
      <c r="D25" s="76"/>
      <c r="E25" s="8"/>
      <c r="F25" s="8"/>
      <c r="G25" s="8"/>
      <c r="H25" s="8"/>
      <c r="I25" s="77"/>
      <c r="J25" s="8"/>
      <c r="K25" s="77"/>
    </row>
    <row r="26" spans="2:18">
      <c r="B26" s="55">
        <v>12</v>
      </c>
      <c r="D26" s="76" t="s">
        <v>524</v>
      </c>
      <c r="E26" s="8"/>
      <c r="F26" s="8"/>
      <c r="G26" s="8"/>
      <c r="H26" s="8"/>
      <c r="I26" s="8"/>
      <c r="J26" s="8"/>
      <c r="K26" s="79"/>
    </row>
    <row r="27" spans="2:18" ht="16.5" thickBot="1">
      <c r="B27" s="55">
        <v>13</v>
      </c>
      <c r="D27" s="76" t="s">
        <v>352</v>
      </c>
      <c r="E27" s="8"/>
      <c r="F27" s="8"/>
      <c r="G27" s="8"/>
      <c r="H27" s="8"/>
      <c r="I27" s="80">
        <f>SUM(I22:I24)</f>
        <v>-591641.68721823837</v>
      </c>
      <c r="J27" s="8"/>
      <c r="K27" s="81">
        <f>SUM(K22:K24)</f>
        <v>205654.65047705965</v>
      </c>
    </row>
    <row r="28" spans="2:18">
      <c r="B28" s="55"/>
      <c r="D28" s="8"/>
      <c r="E28" s="8"/>
      <c r="F28" s="8"/>
      <c r="G28" s="8"/>
      <c r="H28" s="8"/>
      <c r="I28" s="8"/>
      <c r="J28" s="8"/>
      <c r="K28" s="22"/>
    </row>
    <row r="29" spans="2:18">
      <c r="B29" s="55"/>
      <c r="D29" s="8"/>
      <c r="E29" s="8"/>
      <c r="F29" s="8"/>
      <c r="G29" s="8"/>
      <c r="H29" s="8"/>
      <c r="I29" s="8"/>
      <c r="J29" s="8"/>
      <c r="K29" s="8"/>
    </row>
    <row r="30" spans="2:18">
      <c r="B30" s="55">
        <v>14</v>
      </c>
      <c r="D30" s="76" t="s">
        <v>353</v>
      </c>
      <c r="E30" s="8"/>
      <c r="F30" s="8"/>
      <c r="G30" s="8"/>
      <c r="H30" s="8"/>
      <c r="I30" s="8"/>
      <c r="J30" s="8"/>
      <c r="K30" s="8"/>
    </row>
    <row r="31" spans="2:18">
      <c r="B31" s="55">
        <v>15</v>
      </c>
      <c r="D31" s="76" t="s">
        <v>354</v>
      </c>
      <c r="E31" s="8"/>
      <c r="F31" s="8"/>
      <c r="G31" s="8"/>
      <c r="H31" s="8"/>
      <c r="I31" s="82">
        <v>110019</v>
      </c>
      <c r="J31" s="8"/>
      <c r="K31" s="8"/>
    </row>
    <row r="32" spans="2:18">
      <c r="B32" s="55"/>
      <c r="D32" s="8"/>
      <c r="E32" s="8"/>
      <c r="F32" s="8"/>
      <c r="G32" s="8"/>
      <c r="H32" s="8"/>
      <c r="I32" s="8"/>
      <c r="J32" s="8"/>
      <c r="K32" s="8"/>
    </row>
    <row r="33" spans="2:11">
      <c r="B33" s="55">
        <v>16</v>
      </c>
      <c r="D33" t="s">
        <v>356</v>
      </c>
      <c r="I33" s="57">
        <f>+O12</f>
        <v>0.65239999999999998</v>
      </c>
    </row>
    <row r="34" spans="2:11">
      <c r="B34" s="55"/>
    </row>
    <row r="35" spans="2:11">
      <c r="B35" s="55">
        <v>17</v>
      </c>
      <c r="D35" t="s">
        <v>357</v>
      </c>
    </row>
    <row r="36" spans="2:11">
      <c r="B36" s="55">
        <v>18</v>
      </c>
      <c r="D36" t="s">
        <v>358</v>
      </c>
    </row>
    <row r="37" spans="2:11">
      <c r="B37" s="55">
        <v>19</v>
      </c>
      <c r="D37" t="s">
        <v>359</v>
      </c>
      <c r="I37" s="16">
        <f>+I31*I33</f>
        <v>71776.395600000003</v>
      </c>
    </row>
    <row r="38" spans="2:11">
      <c r="B38" s="55"/>
    </row>
    <row r="39" spans="2:11">
      <c r="B39" s="55">
        <v>20</v>
      </c>
      <c r="D39" t="s">
        <v>360</v>
      </c>
      <c r="I39" s="17">
        <f>-I37*0.35</f>
        <v>-25121.73846</v>
      </c>
    </row>
    <row r="40" spans="2:11">
      <c r="B40" s="55"/>
    </row>
    <row r="41" spans="2:11">
      <c r="B41" s="55">
        <v>21</v>
      </c>
      <c r="D41" t="s">
        <v>361</v>
      </c>
    </row>
    <row r="42" spans="2:11">
      <c r="B42" s="55">
        <v>22</v>
      </c>
      <c r="D42" t="s">
        <v>362</v>
      </c>
      <c r="K42" s="17">
        <f>-I37-I39</f>
        <v>-46654.657140000003</v>
      </c>
    </row>
    <row r="43" spans="2:11">
      <c r="B43" s="55"/>
    </row>
    <row r="44" spans="2:11">
      <c r="B44" s="55">
        <v>23</v>
      </c>
      <c r="D44" t="s">
        <v>363</v>
      </c>
    </row>
    <row r="45" spans="2:11">
      <c r="B45" s="55">
        <v>24</v>
      </c>
      <c r="D45" t="s">
        <v>364</v>
      </c>
    </row>
    <row r="46" spans="2:11">
      <c r="B46" s="55">
        <v>25</v>
      </c>
      <c r="D46" t="s">
        <v>365</v>
      </c>
    </row>
    <row r="47" spans="2:11">
      <c r="B47" s="55">
        <v>26</v>
      </c>
      <c r="D47" t="s">
        <v>366</v>
      </c>
    </row>
    <row r="48" spans="2:11" ht="16.5" thickBot="1">
      <c r="B48" s="55">
        <v>27</v>
      </c>
      <c r="D48" t="s">
        <v>367</v>
      </c>
      <c r="K48" s="29">
        <f>+K27+K42</f>
        <v>158999.99333705966</v>
      </c>
    </row>
    <row r="49" ht="16.5" thickTop="1"/>
  </sheetData>
  <mergeCells count="3">
    <mergeCell ref="D4:K4"/>
    <mergeCell ref="D5:K5"/>
    <mergeCell ref="D6:K6"/>
  </mergeCells>
  <pageMargins left="0.7" right="0.7" top="0.75" bottom="0.75" header="0.3" footer="0.3"/>
  <pageSetup scale="8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B1:M25"/>
  <sheetViews>
    <sheetView tabSelected="1" workbookViewId="0">
      <selection activeCell="X5" sqref="X5"/>
    </sheetView>
  </sheetViews>
  <sheetFormatPr defaultRowHeight="15.75"/>
  <cols>
    <col min="2" max="2" width="5.625" customWidth="1"/>
    <col min="3" max="3" width="2.625" customWidth="1"/>
    <col min="9" max="9" width="2.625" customWidth="1"/>
    <col min="10" max="10" width="9.625" bestFit="1" customWidth="1"/>
    <col min="11" max="11" width="2.625" customWidth="1"/>
    <col min="12" max="12" width="11.375" customWidth="1"/>
    <col min="13" max="13" width="13.875" bestFit="1" customWidth="1"/>
  </cols>
  <sheetData>
    <row r="1" spans="2:13">
      <c r="L1" t="s">
        <v>530</v>
      </c>
      <c r="M1" s="62"/>
    </row>
    <row r="2" spans="2:13">
      <c r="L2" t="s">
        <v>526</v>
      </c>
      <c r="M2" s="62"/>
    </row>
    <row r="3" spans="2:13">
      <c r="L3" t="s">
        <v>552</v>
      </c>
      <c r="M3" s="64"/>
    </row>
    <row r="4" spans="2:13">
      <c r="D4" s="91" t="s">
        <v>71</v>
      </c>
      <c r="E4" s="91"/>
      <c r="F4" s="91"/>
      <c r="G4" s="91"/>
      <c r="H4" s="91"/>
      <c r="I4" s="91"/>
      <c r="J4" s="91"/>
      <c r="K4" s="91"/>
      <c r="L4" s="91"/>
      <c r="M4" s="62" t="s">
        <v>405</v>
      </c>
    </row>
    <row r="5" spans="2:13">
      <c r="D5" s="91" t="s">
        <v>72</v>
      </c>
      <c r="E5" s="91"/>
      <c r="F5" s="91"/>
      <c r="G5" s="91"/>
      <c r="H5" s="91"/>
      <c r="I5" s="91"/>
      <c r="J5" s="91"/>
      <c r="K5" s="91"/>
      <c r="L5" s="91"/>
      <c r="M5" s="64" t="s">
        <v>380</v>
      </c>
    </row>
    <row r="6" spans="2:13">
      <c r="D6" s="91" t="s">
        <v>371</v>
      </c>
      <c r="E6" s="91"/>
      <c r="F6" s="91"/>
      <c r="G6" s="91"/>
      <c r="H6" s="91"/>
      <c r="I6" s="91"/>
      <c r="J6" s="91"/>
      <c r="K6" s="91"/>
      <c r="L6" s="91"/>
    </row>
    <row r="9" spans="2:13">
      <c r="B9" s="55" t="s">
        <v>52</v>
      </c>
    </row>
    <row r="10" spans="2:13">
      <c r="B10" s="2" t="s">
        <v>53</v>
      </c>
      <c r="D10" s="4" t="s">
        <v>54</v>
      </c>
      <c r="E10" s="4"/>
      <c r="F10" s="4"/>
      <c r="G10" s="4"/>
      <c r="H10" s="4"/>
      <c r="I10" s="5"/>
      <c r="J10" s="2" t="s">
        <v>59</v>
      </c>
      <c r="K10" s="55"/>
      <c r="L10" s="2" t="s">
        <v>60</v>
      </c>
    </row>
    <row r="11" spans="2:13">
      <c r="I11" s="5"/>
    </row>
    <row r="12" spans="2:13">
      <c r="B12" s="55">
        <v>1</v>
      </c>
      <c r="I12" s="5"/>
      <c r="K12" s="5"/>
      <c r="L12" s="35" t="s">
        <v>329</v>
      </c>
    </row>
    <row r="13" spans="2:13">
      <c r="B13" s="55">
        <v>2</v>
      </c>
      <c r="I13" s="5"/>
      <c r="K13" s="5"/>
      <c r="L13" s="35" t="s">
        <v>248</v>
      </c>
    </row>
    <row r="14" spans="2:13">
      <c r="B14" s="55">
        <v>3</v>
      </c>
      <c r="D14" t="s">
        <v>373</v>
      </c>
      <c r="K14" s="5"/>
      <c r="L14" s="36" t="s">
        <v>249</v>
      </c>
    </row>
    <row r="15" spans="2:13">
      <c r="B15" s="55">
        <v>4</v>
      </c>
      <c r="D15" t="s">
        <v>372</v>
      </c>
      <c r="J15" s="49">
        <v>155577</v>
      </c>
      <c r="K15" s="5"/>
      <c r="L15" s="58" t="s">
        <v>375</v>
      </c>
    </row>
    <row r="16" spans="2:13">
      <c r="D16" s="5"/>
      <c r="E16" s="5"/>
      <c r="F16" s="5"/>
      <c r="G16" s="5"/>
      <c r="H16" s="5"/>
      <c r="I16" s="5"/>
      <c r="J16" s="24"/>
      <c r="K16" s="5"/>
      <c r="L16" s="36"/>
    </row>
    <row r="17" spans="2:12">
      <c r="D17" s="5"/>
      <c r="E17" s="5"/>
      <c r="F17" s="5"/>
      <c r="G17" s="5"/>
      <c r="H17" s="5"/>
      <c r="I17" s="5"/>
      <c r="J17" s="24"/>
      <c r="K17" s="5"/>
      <c r="L17" s="5"/>
    </row>
    <row r="18" spans="2:12">
      <c r="B18" s="55">
        <v>5</v>
      </c>
      <c r="D18" s="5" t="s">
        <v>87</v>
      </c>
      <c r="E18" s="5"/>
      <c r="F18" s="5"/>
      <c r="G18" s="5"/>
      <c r="H18" s="5"/>
      <c r="I18" s="5"/>
      <c r="J18" s="27">
        <v>0.35</v>
      </c>
      <c r="K18" s="5"/>
      <c r="L18" s="5"/>
    </row>
    <row r="19" spans="2:12">
      <c r="D19" s="5"/>
      <c r="E19" s="5"/>
      <c r="F19" s="5"/>
      <c r="G19" s="5"/>
      <c r="H19" s="5"/>
      <c r="I19" s="5"/>
      <c r="J19" s="5"/>
      <c r="K19" s="5"/>
      <c r="L19" s="5"/>
    </row>
    <row r="20" spans="2:12">
      <c r="B20" s="55">
        <v>6</v>
      </c>
      <c r="D20" t="s">
        <v>112</v>
      </c>
      <c r="E20" s="5"/>
      <c r="F20" s="5"/>
      <c r="G20" s="5"/>
      <c r="H20" s="5"/>
      <c r="I20" s="5"/>
      <c r="J20" s="28">
        <f>-J15*J18</f>
        <v>-54451.95</v>
      </c>
      <c r="K20" s="5"/>
      <c r="L20" s="5" t="s">
        <v>252</v>
      </c>
    </row>
    <row r="21" spans="2:12">
      <c r="B21" s="55"/>
      <c r="E21" s="5"/>
      <c r="F21" s="5"/>
      <c r="G21" s="5"/>
      <c r="H21" s="5"/>
      <c r="I21" s="5"/>
      <c r="J21" s="5"/>
      <c r="K21" s="5"/>
      <c r="L21" s="5"/>
    </row>
    <row r="22" spans="2:12">
      <c r="B22" s="55">
        <v>7</v>
      </c>
      <c r="D22" s="5" t="s">
        <v>211</v>
      </c>
      <c r="E22" s="5"/>
      <c r="F22" s="5"/>
      <c r="G22" s="5"/>
      <c r="H22" s="5"/>
      <c r="I22" s="5"/>
      <c r="J22" s="26"/>
      <c r="K22" s="5"/>
      <c r="L22" s="5"/>
    </row>
    <row r="23" spans="2:12">
      <c r="B23" s="55">
        <v>8</v>
      </c>
      <c r="D23" s="31" t="s">
        <v>374</v>
      </c>
      <c r="E23" s="5"/>
      <c r="F23" s="5"/>
      <c r="G23" s="5"/>
      <c r="H23" s="5"/>
      <c r="I23" s="5"/>
    </row>
    <row r="24" spans="2:12" ht="16.5" thickBot="1">
      <c r="B24" s="55">
        <v>9</v>
      </c>
      <c r="D24" s="31" t="s">
        <v>419</v>
      </c>
      <c r="E24" s="5"/>
      <c r="F24" s="5"/>
      <c r="G24" s="5"/>
      <c r="H24" s="5"/>
      <c r="I24" s="5"/>
      <c r="J24" s="33">
        <f>+J15+J20</f>
        <v>101125.05</v>
      </c>
      <c r="K24" s="5"/>
      <c r="L24" s="5" t="s">
        <v>253</v>
      </c>
    </row>
    <row r="25" spans="2:12" ht="16.5" thickTop="1">
      <c r="B25" s="55"/>
    </row>
  </sheetData>
  <mergeCells count="3">
    <mergeCell ref="D4:L4"/>
    <mergeCell ref="D5:L5"/>
    <mergeCell ref="D6:L6"/>
  </mergeCells>
  <pageMargins left="0.7" right="0.7" top="0.75" bottom="0.75" header="0.3" footer="0.3"/>
  <pageSetup scale="83"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B1:M24"/>
  <sheetViews>
    <sheetView tabSelected="1" workbookViewId="0">
      <selection activeCell="X5" sqref="X5"/>
    </sheetView>
  </sheetViews>
  <sheetFormatPr defaultRowHeight="15.75"/>
  <cols>
    <col min="2" max="2" width="5.625" customWidth="1"/>
    <col min="3" max="3" width="2.625" customWidth="1"/>
    <col min="9" max="9" width="2.625" customWidth="1"/>
    <col min="10" max="10" width="12.75" bestFit="1" customWidth="1"/>
    <col min="11" max="11" width="2.625" customWidth="1"/>
    <col min="12" max="12" width="11.375" customWidth="1"/>
    <col min="13" max="13" width="13.875" bestFit="1" customWidth="1"/>
  </cols>
  <sheetData>
    <row r="1" spans="2:13">
      <c r="L1" t="s">
        <v>530</v>
      </c>
      <c r="M1" s="62"/>
    </row>
    <row r="2" spans="2:13">
      <c r="L2" t="s">
        <v>526</v>
      </c>
      <c r="M2" s="62"/>
    </row>
    <row r="3" spans="2:13">
      <c r="L3" t="s">
        <v>553</v>
      </c>
      <c r="M3" s="64"/>
    </row>
    <row r="4" spans="2:13">
      <c r="D4" s="91" t="s">
        <v>71</v>
      </c>
      <c r="E4" s="91"/>
      <c r="F4" s="91"/>
      <c r="G4" s="91"/>
      <c r="H4" s="91"/>
      <c r="I4" s="91"/>
      <c r="J4" s="91"/>
      <c r="K4" s="91"/>
      <c r="L4" s="91"/>
      <c r="M4" s="62" t="s">
        <v>406</v>
      </c>
    </row>
    <row r="5" spans="2:13">
      <c r="D5" s="91" t="s">
        <v>72</v>
      </c>
      <c r="E5" s="91"/>
      <c r="F5" s="91"/>
      <c r="G5" s="91"/>
      <c r="H5" s="91"/>
      <c r="I5" s="91"/>
      <c r="J5" s="91"/>
      <c r="K5" s="91"/>
      <c r="L5" s="91"/>
      <c r="M5" s="64" t="s">
        <v>478</v>
      </c>
    </row>
    <row r="6" spans="2:13">
      <c r="D6" s="91" t="s">
        <v>485</v>
      </c>
      <c r="E6" s="91"/>
      <c r="F6" s="91"/>
      <c r="G6" s="91"/>
      <c r="H6" s="91"/>
      <c r="I6" s="91"/>
      <c r="J6" s="91"/>
      <c r="K6" s="91"/>
      <c r="L6" s="91"/>
    </row>
    <row r="9" spans="2:13">
      <c r="B9" s="84" t="s">
        <v>52</v>
      </c>
    </row>
    <row r="10" spans="2:13">
      <c r="B10" s="2" t="s">
        <v>53</v>
      </c>
      <c r="D10" s="4" t="s">
        <v>54</v>
      </c>
      <c r="E10" s="4"/>
      <c r="F10" s="4"/>
      <c r="G10" s="4"/>
      <c r="H10" s="4"/>
      <c r="I10" s="5"/>
      <c r="J10" s="2" t="s">
        <v>59</v>
      </c>
      <c r="K10" s="84"/>
      <c r="L10" s="2" t="s">
        <v>60</v>
      </c>
    </row>
    <row r="11" spans="2:13">
      <c r="I11" s="5"/>
    </row>
    <row r="12" spans="2:13">
      <c r="B12" s="84">
        <v>1</v>
      </c>
      <c r="L12" s="84" t="s">
        <v>491</v>
      </c>
    </row>
    <row r="13" spans="2:13">
      <c r="B13" s="84">
        <v>2</v>
      </c>
      <c r="D13" t="s">
        <v>486</v>
      </c>
      <c r="L13" s="84" t="s">
        <v>492</v>
      </c>
    </row>
    <row r="14" spans="2:13">
      <c r="B14" s="84">
        <v>3</v>
      </c>
      <c r="D14" t="s">
        <v>487</v>
      </c>
      <c r="L14" s="84" t="s">
        <v>493</v>
      </c>
    </row>
    <row r="15" spans="2:13">
      <c r="B15" s="84">
        <v>5</v>
      </c>
      <c r="D15" t="s">
        <v>488</v>
      </c>
      <c r="J15" s="16">
        <f>+'[4]Exh SC13'!$O$13</f>
        <v>-255587</v>
      </c>
      <c r="L15" s="84" t="s">
        <v>471</v>
      </c>
    </row>
    <row r="16" spans="2:13">
      <c r="B16" s="84"/>
      <c r="J16" s="16"/>
    </row>
    <row r="17" spans="2:12">
      <c r="B17" s="84">
        <v>6</v>
      </c>
      <c r="D17" s="5" t="s">
        <v>87</v>
      </c>
      <c r="E17" s="5"/>
      <c r="F17" s="5"/>
      <c r="G17" s="5"/>
      <c r="H17" s="5"/>
      <c r="I17" s="5"/>
      <c r="J17" s="27">
        <v>0.35</v>
      </c>
      <c r="K17" s="5"/>
      <c r="L17" s="5"/>
    </row>
    <row r="18" spans="2:12">
      <c r="B18" s="84"/>
      <c r="D18" s="5"/>
      <c r="E18" s="5"/>
      <c r="F18" s="5"/>
      <c r="G18" s="5"/>
      <c r="H18" s="5"/>
      <c r="I18" s="5"/>
      <c r="J18" s="5"/>
      <c r="K18" s="5"/>
      <c r="L18" s="5"/>
    </row>
    <row r="19" spans="2:12">
      <c r="B19" s="84">
        <v>7</v>
      </c>
      <c r="D19" t="s">
        <v>418</v>
      </c>
      <c r="E19" s="5"/>
      <c r="F19" s="5"/>
      <c r="G19" s="5"/>
      <c r="H19" s="5"/>
      <c r="I19" s="5"/>
      <c r="J19" s="28">
        <f>-J15*J17</f>
        <v>89455.45</v>
      </c>
      <c r="K19" s="5"/>
      <c r="L19" s="5" t="s">
        <v>494</v>
      </c>
    </row>
    <row r="20" spans="2:12">
      <c r="B20" s="84"/>
      <c r="E20" s="5"/>
      <c r="F20" s="5"/>
      <c r="G20" s="5"/>
      <c r="H20" s="5"/>
      <c r="I20" s="5"/>
      <c r="J20" s="5"/>
      <c r="K20" s="5"/>
      <c r="L20" s="5"/>
    </row>
    <row r="21" spans="2:12">
      <c r="B21" s="84">
        <v>8</v>
      </c>
      <c r="D21" s="5" t="s">
        <v>211</v>
      </c>
      <c r="E21" s="5"/>
      <c r="F21" s="5"/>
      <c r="G21" s="5"/>
      <c r="H21" s="5"/>
      <c r="I21" s="5"/>
      <c r="J21" s="26"/>
      <c r="K21" s="5"/>
      <c r="L21" s="5"/>
    </row>
    <row r="22" spans="2:12">
      <c r="B22" s="84">
        <v>9</v>
      </c>
      <c r="D22" s="31" t="s">
        <v>489</v>
      </c>
      <c r="E22" s="5"/>
      <c r="F22" s="5"/>
      <c r="G22" s="5"/>
      <c r="H22" s="5"/>
      <c r="I22" s="5"/>
    </row>
    <row r="23" spans="2:12" ht="16.5" thickBot="1">
      <c r="B23" s="84">
        <v>10</v>
      </c>
      <c r="D23" s="31" t="s">
        <v>490</v>
      </c>
      <c r="E23" s="5"/>
      <c r="F23" s="5"/>
      <c r="G23" s="5"/>
      <c r="H23" s="5"/>
      <c r="I23" s="5"/>
      <c r="J23" s="33">
        <f>-J15-J19</f>
        <v>166131.54999999999</v>
      </c>
      <c r="K23" s="5"/>
      <c r="L23" s="5" t="s">
        <v>495</v>
      </c>
    </row>
    <row r="24" spans="2:12" ht="16.5" thickTop="1"/>
  </sheetData>
  <mergeCells count="3">
    <mergeCell ref="D4:L4"/>
    <mergeCell ref="D5:L5"/>
    <mergeCell ref="D6:L6"/>
  </mergeCells>
  <pageMargins left="0.7" right="0.7" top="0.75" bottom="0.75" header="0.3" footer="0.3"/>
  <pageSetup scale="80"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B1:M24"/>
  <sheetViews>
    <sheetView tabSelected="1" workbookViewId="0">
      <selection activeCell="X5" sqref="X5"/>
    </sheetView>
  </sheetViews>
  <sheetFormatPr defaultRowHeight="15.75"/>
  <cols>
    <col min="2" max="2" width="5.625" customWidth="1"/>
    <col min="3" max="3" width="2.625" customWidth="1"/>
    <col min="9" max="9" width="2.625" customWidth="1"/>
    <col min="10" max="10" width="12.75" bestFit="1" customWidth="1"/>
    <col min="11" max="11" width="2.625" customWidth="1"/>
    <col min="12" max="12" width="11.375" customWidth="1"/>
    <col min="13" max="13" width="13.875" bestFit="1" customWidth="1"/>
  </cols>
  <sheetData>
    <row r="1" spans="2:13">
      <c r="L1" t="s">
        <v>530</v>
      </c>
      <c r="M1" s="62"/>
    </row>
    <row r="2" spans="2:13">
      <c r="L2" t="s">
        <v>526</v>
      </c>
      <c r="M2" s="62"/>
    </row>
    <row r="3" spans="2:13">
      <c r="L3" t="s">
        <v>554</v>
      </c>
      <c r="M3" s="64"/>
    </row>
    <row r="4" spans="2:13">
      <c r="D4" s="91" t="s">
        <v>71</v>
      </c>
      <c r="E4" s="91"/>
      <c r="F4" s="91"/>
      <c r="G4" s="91"/>
      <c r="H4" s="91"/>
      <c r="I4" s="91"/>
      <c r="J4" s="91"/>
      <c r="K4" s="91"/>
      <c r="L4" s="91"/>
      <c r="M4" s="62" t="s">
        <v>504</v>
      </c>
    </row>
    <row r="5" spans="2:13">
      <c r="D5" s="91" t="s">
        <v>72</v>
      </c>
      <c r="E5" s="91"/>
      <c r="F5" s="91"/>
      <c r="G5" s="91"/>
      <c r="H5" s="91"/>
      <c r="I5" s="91"/>
      <c r="J5" s="91"/>
      <c r="K5" s="91"/>
      <c r="L5" s="91"/>
      <c r="M5" s="64" t="s">
        <v>479</v>
      </c>
    </row>
    <row r="6" spans="2:13">
      <c r="D6" s="91" t="s">
        <v>482</v>
      </c>
      <c r="E6" s="91"/>
      <c r="F6" s="91"/>
      <c r="G6" s="91"/>
      <c r="H6" s="91"/>
      <c r="I6" s="91"/>
      <c r="J6" s="91"/>
      <c r="K6" s="91"/>
      <c r="L6" s="91"/>
    </row>
    <row r="9" spans="2:13">
      <c r="B9" s="84" t="s">
        <v>52</v>
      </c>
    </row>
    <row r="10" spans="2:13">
      <c r="B10" s="2" t="s">
        <v>53</v>
      </c>
      <c r="D10" s="4" t="s">
        <v>54</v>
      </c>
      <c r="E10" s="4"/>
      <c r="F10" s="4"/>
      <c r="G10" s="4"/>
      <c r="H10" s="4"/>
      <c r="I10" s="5"/>
      <c r="J10" s="2" t="s">
        <v>59</v>
      </c>
      <c r="K10" s="84"/>
      <c r="L10" s="2" t="s">
        <v>60</v>
      </c>
    </row>
    <row r="11" spans="2:13">
      <c r="I11" s="5"/>
    </row>
    <row r="12" spans="2:13">
      <c r="B12" s="84">
        <v>1</v>
      </c>
      <c r="L12" s="84" t="s">
        <v>491</v>
      </c>
    </row>
    <row r="13" spans="2:13">
      <c r="B13" s="84">
        <v>2</v>
      </c>
      <c r="D13" t="s">
        <v>486</v>
      </c>
      <c r="L13" s="84" t="s">
        <v>492</v>
      </c>
    </row>
    <row r="14" spans="2:13">
      <c r="B14" s="84">
        <v>3</v>
      </c>
      <c r="D14" t="s">
        <v>512</v>
      </c>
      <c r="L14" s="84" t="s">
        <v>493</v>
      </c>
    </row>
    <row r="15" spans="2:13">
      <c r="B15" s="84">
        <v>4</v>
      </c>
      <c r="D15" t="s">
        <v>488</v>
      </c>
      <c r="J15" s="16">
        <f>+'[4]Exh SC14'!$R$18</f>
        <v>-177832.89743590041</v>
      </c>
      <c r="L15" s="84" t="s">
        <v>471</v>
      </c>
    </row>
    <row r="16" spans="2:13">
      <c r="B16" s="84"/>
      <c r="J16" s="16"/>
    </row>
    <row r="17" spans="2:12">
      <c r="B17" s="84">
        <v>5</v>
      </c>
      <c r="D17" s="5" t="s">
        <v>87</v>
      </c>
      <c r="E17" s="5"/>
      <c r="F17" s="5"/>
      <c r="G17" s="5"/>
      <c r="H17" s="5"/>
      <c r="I17" s="5"/>
      <c r="J17" s="27">
        <v>0.35</v>
      </c>
      <c r="K17" s="5"/>
      <c r="L17" s="5"/>
    </row>
    <row r="18" spans="2:12">
      <c r="B18" s="84"/>
      <c r="D18" s="5"/>
      <c r="E18" s="5"/>
      <c r="F18" s="5"/>
      <c r="G18" s="5"/>
      <c r="H18" s="5"/>
      <c r="I18" s="5"/>
      <c r="J18" s="5"/>
      <c r="K18" s="5"/>
      <c r="L18" s="5"/>
    </row>
    <row r="19" spans="2:12">
      <c r="B19" s="84">
        <v>6</v>
      </c>
      <c r="D19" t="s">
        <v>418</v>
      </c>
      <c r="E19" s="5"/>
      <c r="F19" s="5"/>
      <c r="G19" s="5"/>
      <c r="H19" s="5"/>
      <c r="I19" s="5"/>
      <c r="J19" s="28">
        <f>-J15*J17</f>
        <v>62241.514102565139</v>
      </c>
      <c r="K19" s="5"/>
      <c r="L19" s="5" t="s">
        <v>252</v>
      </c>
    </row>
    <row r="20" spans="2:12">
      <c r="B20" s="84"/>
      <c r="E20" s="5"/>
      <c r="F20" s="5"/>
      <c r="G20" s="5"/>
      <c r="H20" s="5"/>
      <c r="I20" s="5"/>
      <c r="J20" s="5"/>
      <c r="K20" s="5"/>
      <c r="L20" s="5"/>
    </row>
    <row r="21" spans="2:12">
      <c r="B21" s="84">
        <v>7</v>
      </c>
      <c r="D21" s="5" t="s">
        <v>211</v>
      </c>
      <c r="E21" s="5"/>
      <c r="F21" s="5"/>
      <c r="G21" s="5"/>
      <c r="H21" s="5"/>
      <c r="I21" s="5"/>
      <c r="J21" s="26"/>
      <c r="K21" s="5"/>
      <c r="L21" s="5"/>
    </row>
    <row r="22" spans="2:12">
      <c r="B22" s="84">
        <v>8</v>
      </c>
      <c r="D22" s="31" t="s">
        <v>513</v>
      </c>
      <c r="E22" s="5"/>
      <c r="F22" s="5"/>
      <c r="G22" s="5"/>
      <c r="H22" s="5"/>
      <c r="I22" s="5"/>
    </row>
    <row r="23" spans="2:12" ht="16.5" thickBot="1">
      <c r="B23" s="84">
        <v>9</v>
      </c>
      <c r="D23" s="31" t="s">
        <v>514</v>
      </c>
      <c r="E23" s="5"/>
      <c r="F23" s="5"/>
      <c r="G23" s="5"/>
      <c r="H23" s="5"/>
      <c r="I23" s="5"/>
      <c r="J23" s="33">
        <f>-J15-J19</f>
        <v>115591.38333333527</v>
      </c>
      <c r="K23" s="5"/>
      <c r="L23" s="5" t="s">
        <v>253</v>
      </c>
    </row>
    <row r="24" spans="2:12" ht="16.5" thickTop="1"/>
  </sheetData>
  <mergeCells count="3">
    <mergeCell ref="D4:L4"/>
    <mergeCell ref="D5:L5"/>
    <mergeCell ref="D6:L6"/>
  </mergeCells>
  <pageMargins left="0.7" right="0.7" top="0.75" bottom="0.75" header="0.3" footer="0.3"/>
  <pageSetup scale="8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B1:M25"/>
  <sheetViews>
    <sheetView tabSelected="1" workbookViewId="0">
      <selection activeCell="X5" sqref="X5"/>
    </sheetView>
  </sheetViews>
  <sheetFormatPr defaultRowHeight="15.75"/>
  <cols>
    <col min="2" max="2" width="5.625" customWidth="1"/>
    <col min="3" max="3" width="2.625" customWidth="1"/>
    <col min="9" max="9" width="2.625" customWidth="1"/>
    <col min="10" max="10" width="12.75" bestFit="1" customWidth="1"/>
    <col min="11" max="11" width="2.625" customWidth="1"/>
    <col min="12" max="12" width="11.375" customWidth="1"/>
    <col min="13" max="13" width="13.875" bestFit="1" customWidth="1"/>
  </cols>
  <sheetData>
    <row r="1" spans="2:13">
      <c r="L1" t="s">
        <v>530</v>
      </c>
      <c r="M1" s="62"/>
    </row>
    <row r="2" spans="2:13">
      <c r="L2" t="s">
        <v>526</v>
      </c>
      <c r="M2" s="62"/>
    </row>
    <row r="3" spans="2:13">
      <c r="L3" t="s">
        <v>537</v>
      </c>
      <c r="M3" s="64"/>
    </row>
    <row r="4" spans="2:13">
      <c r="D4" s="91" t="s">
        <v>71</v>
      </c>
      <c r="E4" s="91"/>
      <c r="F4" s="91"/>
      <c r="G4" s="91"/>
      <c r="H4" s="91"/>
      <c r="I4" s="91"/>
      <c r="J4" s="91"/>
      <c r="K4" s="91"/>
      <c r="L4" s="91"/>
      <c r="M4" s="62" t="s">
        <v>505</v>
      </c>
    </row>
    <row r="5" spans="2:13">
      <c r="D5" s="91" t="s">
        <v>72</v>
      </c>
      <c r="E5" s="91"/>
      <c r="F5" s="91"/>
      <c r="G5" s="91"/>
      <c r="H5" s="91"/>
      <c r="I5" s="91"/>
      <c r="J5" s="91"/>
      <c r="K5" s="91"/>
      <c r="L5" s="91"/>
      <c r="M5" s="64" t="s">
        <v>480</v>
      </c>
    </row>
    <row r="6" spans="2:13">
      <c r="D6" s="91" t="s">
        <v>519</v>
      </c>
      <c r="E6" s="91"/>
      <c r="F6" s="91"/>
      <c r="G6" s="91"/>
      <c r="H6" s="91"/>
      <c r="I6" s="91"/>
      <c r="J6" s="91"/>
      <c r="K6" s="91"/>
      <c r="L6" s="91"/>
    </row>
    <row r="9" spans="2:13">
      <c r="B9" s="84" t="s">
        <v>52</v>
      </c>
    </row>
    <row r="10" spans="2:13">
      <c r="B10" s="2" t="s">
        <v>53</v>
      </c>
      <c r="D10" s="4" t="s">
        <v>54</v>
      </c>
      <c r="E10" s="4"/>
      <c r="F10" s="4"/>
      <c r="G10" s="4"/>
      <c r="H10" s="4"/>
      <c r="I10" s="5"/>
      <c r="J10" s="2" t="s">
        <v>59</v>
      </c>
      <c r="K10" s="84"/>
      <c r="L10" s="2" t="s">
        <v>60</v>
      </c>
    </row>
    <row r="11" spans="2:13">
      <c r="I11" s="5"/>
    </row>
    <row r="12" spans="2:13">
      <c r="B12" s="84">
        <v>1</v>
      </c>
      <c r="L12" s="84" t="s">
        <v>502</v>
      </c>
    </row>
    <row r="13" spans="2:13">
      <c r="B13" s="84">
        <v>2</v>
      </c>
      <c r="L13" s="84" t="s">
        <v>503</v>
      </c>
    </row>
    <row r="14" spans="2:13">
      <c r="B14" s="84">
        <v>3</v>
      </c>
      <c r="D14" t="s">
        <v>496</v>
      </c>
      <c r="L14" s="84" t="s">
        <v>497</v>
      </c>
    </row>
    <row r="15" spans="2:13">
      <c r="B15" s="84">
        <v>4</v>
      </c>
      <c r="D15" t="s">
        <v>520</v>
      </c>
      <c r="L15" s="84" t="s">
        <v>498</v>
      </c>
    </row>
    <row r="16" spans="2:13">
      <c r="B16" s="84">
        <v>5</v>
      </c>
      <c r="D16" t="s">
        <v>488</v>
      </c>
      <c r="J16" s="16">
        <v>-199377.17560186735</v>
      </c>
      <c r="L16" s="84" t="s">
        <v>499</v>
      </c>
    </row>
    <row r="17" spans="2:12">
      <c r="B17" s="84"/>
      <c r="J17" s="16"/>
      <c r="K17" s="5"/>
      <c r="L17" s="5"/>
    </row>
    <row r="18" spans="2:12">
      <c r="B18" s="84">
        <v>6</v>
      </c>
      <c r="D18" s="5" t="s">
        <v>87</v>
      </c>
      <c r="E18" s="5"/>
      <c r="F18" s="5"/>
      <c r="G18" s="5"/>
      <c r="H18" s="5"/>
      <c r="I18" s="5"/>
      <c r="J18" s="27">
        <v>0.35</v>
      </c>
      <c r="K18" s="5"/>
      <c r="L18" s="5"/>
    </row>
    <row r="19" spans="2:12">
      <c r="B19" s="84"/>
      <c r="D19" s="5"/>
      <c r="E19" s="5"/>
      <c r="F19" s="5"/>
      <c r="G19" s="5"/>
      <c r="H19" s="5"/>
      <c r="I19" s="5"/>
      <c r="J19" s="5"/>
      <c r="K19" s="5"/>
    </row>
    <row r="20" spans="2:12">
      <c r="B20" s="84">
        <v>7</v>
      </c>
      <c r="D20" t="s">
        <v>418</v>
      </c>
      <c r="E20" s="5"/>
      <c r="F20" s="5"/>
      <c r="G20" s="5"/>
      <c r="H20" s="5"/>
      <c r="I20" s="5"/>
      <c r="J20" s="28">
        <f>-J16*J18</f>
        <v>69782.011460653564</v>
      </c>
      <c r="K20" s="5"/>
      <c r="L20" s="35" t="s">
        <v>494</v>
      </c>
    </row>
    <row r="21" spans="2:12">
      <c r="B21" s="84"/>
      <c r="E21" s="5"/>
      <c r="F21" s="5"/>
      <c r="G21" s="5"/>
      <c r="H21" s="5"/>
      <c r="I21" s="5"/>
      <c r="J21" s="5"/>
      <c r="K21" s="5"/>
      <c r="L21" s="5"/>
    </row>
    <row r="22" spans="2:12">
      <c r="B22" s="84">
        <v>8</v>
      </c>
      <c r="D22" s="5" t="s">
        <v>211</v>
      </c>
      <c r="E22" s="5"/>
      <c r="F22" s="5"/>
      <c r="G22" s="5"/>
      <c r="H22" s="5"/>
      <c r="I22" s="5"/>
      <c r="J22" s="26"/>
    </row>
    <row r="23" spans="2:12">
      <c r="B23" s="84">
        <v>9</v>
      </c>
      <c r="D23" s="31" t="s">
        <v>521</v>
      </c>
      <c r="E23" s="5"/>
      <c r="F23" s="5"/>
      <c r="G23" s="5"/>
      <c r="H23" s="5"/>
      <c r="I23" s="5"/>
      <c r="K23" s="5"/>
    </row>
    <row r="24" spans="2:12" ht="16.5" thickBot="1">
      <c r="B24" s="84">
        <v>10</v>
      </c>
      <c r="D24" s="31" t="s">
        <v>515</v>
      </c>
      <c r="E24" s="5"/>
      <c r="F24" s="5"/>
      <c r="G24" s="5"/>
      <c r="H24" s="5"/>
      <c r="I24" s="5"/>
      <c r="J24" s="33">
        <f>-J16-J20</f>
        <v>129595.16414121378</v>
      </c>
      <c r="L24" s="35" t="s">
        <v>495</v>
      </c>
    </row>
    <row r="25" spans="2:12" ht="16.5" thickTop="1"/>
  </sheetData>
  <mergeCells count="3">
    <mergeCell ref="D4:L4"/>
    <mergeCell ref="D5:L5"/>
    <mergeCell ref="D6:L6"/>
  </mergeCells>
  <pageMargins left="0.7" right="0.7" top="0.75" bottom="0.75" header="0.3" footer="0.3"/>
  <pageSetup scale="8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B1:M26"/>
  <sheetViews>
    <sheetView tabSelected="1" workbookViewId="0">
      <selection activeCell="X5" sqref="X5"/>
    </sheetView>
  </sheetViews>
  <sheetFormatPr defaultRowHeight="15.75"/>
  <cols>
    <col min="2" max="2" width="5.625" customWidth="1"/>
    <col min="3" max="3" width="2.625" customWidth="1"/>
    <col min="9" max="9" width="2.625" customWidth="1"/>
    <col min="10" max="10" width="10.75" bestFit="1" customWidth="1"/>
    <col min="11" max="11" width="2.625" customWidth="1"/>
    <col min="12" max="12" width="11.375" customWidth="1"/>
    <col min="13" max="13" width="13.875" bestFit="1" customWidth="1"/>
  </cols>
  <sheetData>
    <row r="1" spans="2:13">
      <c r="L1" t="s">
        <v>530</v>
      </c>
      <c r="M1" s="62"/>
    </row>
    <row r="2" spans="2:13">
      <c r="L2" t="s">
        <v>526</v>
      </c>
      <c r="M2" s="62"/>
    </row>
    <row r="3" spans="2:13">
      <c r="L3" t="s">
        <v>536</v>
      </c>
      <c r="M3" s="64"/>
    </row>
    <row r="4" spans="2:13">
      <c r="D4" s="91" t="s">
        <v>71</v>
      </c>
      <c r="E4" s="91"/>
      <c r="F4" s="91"/>
      <c r="G4" s="91"/>
      <c r="H4" s="91"/>
      <c r="I4" s="91"/>
      <c r="J4" s="91"/>
      <c r="K4" s="91"/>
      <c r="L4" s="91"/>
      <c r="M4" s="62" t="s">
        <v>506</v>
      </c>
    </row>
    <row r="5" spans="2:13">
      <c r="D5" s="91" t="s">
        <v>72</v>
      </c>
      <c r="E5" s="91"/>
      <c r="F5" s="91"/>
      <c r="G5" s="91"/>
      <c r="H5" s="91"/>
      <c r="I5" s="91"/>
      <c r="J5" s="91"/>
      <c r="K5" s="91"/>
      <c r="L5" s="91"/>
      <c r="M5" s="64" t="s">
        <v>484</v>
      </c>
    </row>
    <row r="6" spans="2:13">
      <c r="D6" s="91" t="s">
        <v>483</v>
      </c>
      <c r="E6" s="91"/>
      <c r="F6" s="91"/>
      <c r="G6" s="91"/>
      <c r="H6" s="91"/>
      <c r="I6" s="91"/>
      <c r="J6" s="91"/>
      <c r="K6" s="91"/>
      <c r="L6" s="91"/>
    </row>
    <row r="9" spans="2:13">
      <c r="B9" s="84" t="s">
        <v>52</v>
      </c>
    </row>
    <row r="10" spans="2:13">
      <c r="B10" s="2" t="s">
        <v>53</v>
      </c>
      <c r="D10" s="4" t="s">
        <v>54</v>
      </c>
      <c r="E10" s="4"/>
      <c r="F10" s="4"/>
      <c r="G10" s="4"/>
      <c r="H10" s="4"/>
      <c r="I10" s="5"/>
      <c r="J10" s="2" t="s">
        <v>59</v>
      </c>
      <c r="K10" s="84"/>
      <c r="L10" s="2" t="s">
        <v>60</v>
      </c>
    </row>
    <row r="11" spans="2:13">
      <c r="I11" s="5"/>
    </row>
    <row r="13" spans="2:13">
      <c r="B13" s="84">
        <v>1</v>
      </c>
      <c r="L13" s="84" t="s">
        <v>502</v>
      </c>
    </row>
    <row r="14" spans="2:13">
      <c r="B14" s="84">
        <v>2</v>
      </c>
      <c r="L14" s="84" t="s">
        <v>503</v>
      </c>
    </row>
    <row r="15" spans="2:13">
      <c r="B15" s="84">
        <v>3</v>
      </c>
      <c r="L15" s="84" t="s">
        <v>497</v>
      </c>
    </row>
    <row r="16" spans="2:13">
      <c r="B16" s="84">
        <v>4</v>
      </c>
      <c r="D16" t="s">
        <v>500</v>
      </c>
      <c r="L16" s="84" t="s">
        <v>498</v>
      </c>
    </row>
    <row r="17" spans="2:12">
      <c r="B17" s="84">
        <v>5</v>
      </c>
      <c r="D17" t="s">
        <v>501</v>
      </c>
      <c r="J17" s="16">
        <v>-4852</v>
      </c>
      <c r="L17" s="84" t="s">
        <v>499</v>
      </c>
    </row>
    <row r="18" spans="2:12">
      <c r="B18" s="84"/>
    </row>
    <row r="19" spans="2:12">
      <c r="B19" s="84">
        <v>6</v>
      </c>
      <c r="D19" s="5" t="s">
        <v>87</v>
      </c>
      <c r="E19" s="5"/>
      <c r="F19" s="5"/>
      <c r="G19" s="5"/>
      <c r="H19" s="5"/>
      <c r="I19" s="5"/>
      <c r="J19" s="27">
        <v>0.35</v>
      </c>
      <c r="K19" s="5"/>
      <c r="L19" s="5"/>
    </row>
    <row r="20" spans="2:12">
      <c r="B20" s="84"/>
      <c r="D20" s="5"/>
      <c r="E20" s="5"/>
      <c r="F20" s="5"/>
      <c r="G20" s="5"/>
      <c r="H20" s="5"/>
      <c r="I20" s="5"/>
      <c r="J20" s="5"/>
      <c r="K20" s="5"/>
    </row>
    <row r="21" spans="2:12">
      <c r="B21" s="84">
        <v>7</v>
      </c>
      <c r="D21" t="s">
        <v>418</v>
      </c>
      <c r="E21" s="5"/>
      <c r="F21" s="5"/>
      <c r="G21" s="5"/>
      <c r="H21" s="5"/>
      <c r="I21" s="5"/>
      <c r="J21" s="28">
        <f>-J17*J19</f>
        <v>1698.1999999999998</v>
      </c>
      <c r="K21" s="5"/>
      <c r="L21" s="5" t="s">
        <v>494</v>
      </c>
    </row>
    <row r="22" spans="2:12">
      <c r="B22" s="84"/>
      <c r="E22" s="5"/>
      <c r="F22" s="5"/>
      <c r="G22" s="5"/>
      <c r="H22" s="5"/>
      <c r="I22" s="5"/>
      <c r="J22" s="5"/>
      <c r="K22" s="5"/>
      <c r="L22" s="5"/>
    </row>
    <row r="23" spans="2:12">
      <c r="B23" s="84">
        <v>8</v>
      </c>
      <c r="D23" s="5" t="s">
        <v>211</v>
      </c>
      <c r="E23" s="5"/>
      <c r="F23" s="5"/>
      <c r="G23" s="5"/>
      <c r="H23" s="5"/>
      <c r="I23" s="5"/>
      <c r="J23" s="26"/>
    </row>
    <row r="24" spans="2:12">
      <c r="B24" s="84">
        <v>9</v>
      </c>
      <c r="D24" s="31" t="s">
        <v>516</v>
      </c>
      <c r="E24" s="5"/>
      <c r="F24" s="5"/>
      <c r="G24" s="5"/>
      <c r="H24" s="5"/>
      <c r="I24" s="5"/>
      <c r="K24" s="5"/>
    </row>
    <row r="25" spans="2:12" ht="16.5" thickBot="1">
      <c r="B25" s="84">
        <v>10</v>
      </c>
      <c r="D25" s="31" t="s">
        <v>517</v>
      </c>
      <c r="E25" s="5"/>
      <c r="F25" s="5"/>
      <c r="G25" s="5"/>
      <c r="H25" s="5"/>
      <c r="I25" s="5"/>
      <c r="J25" s="33">
        <f>-J17-J21</f>
        <v>3153.8</v>
      </c>
      <c r="L25" s="5" t="s">
        <v>495</v>
      </c>
    </row>
    <row r="26" spans="2:12" ht="16.5" thickTop="1"/>
  </sheetData>
  <mergeCells count="3">
    <mergeCell ref="D4:L4"/>
    <mergeCell ref="D5:L5"/>
    <mergeCell ref="D6:L6"/>
  </mergeCells>
  <pageMargins left="0.7" right="0.7" top="0.75" bottom="0.75" header="0.3" footer="0.3"/>
  <pageSetup scale="8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L24"/>
  <sheetViews>
    <sheetView tabSelected="1" topLeftCell="A2" workbookViewId="0">
      <selection activeCell="X5" sqref="X5"/>
    </sheetView>
  </sheetViews>
  <sheetFormatPr defaultRowHeight="15.75"/>
  <cols>
    <col min="1" max="2" width="5.625" customWidth="1"/>
    <col min="3" max="3" width="1.625" customWidth="1"/>
    <col min="9" max="9" width="12.75" bestFit="1" customWidth="1"/>
    <col min="10" max="10" width="2.625" customWidth="1"/>
    <col min="11" max="11" width="12.625" bestFit="1" customWidth="1"/>
    <col min="12" max="12" width="11.375" customWidth="1"/>
  </cols>
  <sheetData>
    <row r="1" spans="2:12">
      <c r="K1" t="s">
        <v>530</v>
      </c>
      <c r="L1" s="62"/>
    </row>
    <row r="2" spans="2:12">
      <c r="K2" t="s">
        <v>526</v>
      </c>
      <c r="L2" s="62"/>
    </row>
    <row r="3" spans="2:12">
      <c r="K3" t="s">
        <v>539</v>
      </c>
      <c r="L3" s="64"/>
    </row>
    <row r="4" spans="2:12">
      <c r="D4" s="91" t="s">
        <v>71</v>
      </c>
      <c r="E4" s="91"/>
      <c r="F4" s="91"/>
      <c r="G4" s="91"/>
      <c r="H4" s="91"/>
      <c r="I4" s="91"/>
      <c r="J4" s="91"/>
      <c r="K4" s="91"/>
      <c r="L4" t="s">
        <v>388</v>
      </c>
    </row>
    <row r="5" spans="2:12">
      <c r="D5" s="91" t="s">
        <v>72</v>
      </c>
      <c r="E5" s="91"/>
      <c r="F5" s="91"/>
      <c r="G5" s="91"/>
      <c r="H5" s="91"/>
      <c r="I5" s="91"/>
      <c r="J5" s="91"/>
      <c r="K5" s="91"/>
      <c r="L5" s="64" t="s">
        <v>98</v>
      </c>
    </row>
    <row r="6" spans="2:12">
      <c r="D6" s="91" t="s">
        <v>73</v>
      </c>
      <c r="E6" s="91"/>
      <c r="F6" s="91"/>
      <c r="G6" s="91"/>
      <c r="H6" s="91"/>
      <c r="I6" s="91"/>
      <c r="J6" s="91"/>
      <c r="K6" s="91"/>
    </row>
    <row r="9" spans="2:12">
      <c r="B9" s="1" t="s">
        <v>52</v>
      </c>
    </row>
    <row r="10" spans="2:12">
      <c r="B10" s="2" t="s">
        <v>53</v>
      </c>
      <c r="D10" s="4" t="s">
        <v>54</v>
      </c>
      <c r="E10" s="4"/>
      <c r="F10" s="4"/>
      <c r="G10" s="4"/>
      <c r="I10" s="2" t="s">
        <v>59</v>
      </c>
      <c r="J10" s="1"/>
      <c r="K10" s="2" t="s">
        <v>60</v>
      </c>
    </row>
    <row r="12" spans="2:12">
      <c r="B12" s="1">
        <v>1</v>
      </c>
      <c r="D12" t="s">
        <v>55</v>
      </c>
      <c r="K12" s="65" t="s">
        <v>61</v>
      </c>
    </row>
    <row r="13" spans="2:12">
      <c r="B13" s="1">
        <v>2</v>
      </c>
      <c r="D13" t="s">
        <v>56</v>
      </c>
      <c r="K13" s="65" t="s">
        <v>62</v>
      </c>
    </row>
    <row r="14" spans="2:12">
      <c r="B14" s="1">
        <v>3</v>
      </c>
      <c r="D14" t="s">
        <v>57</v>
      </c>
      <c r="K14" s="65" t="s">
        <v>63</v>
      </c>
    </row>
    <row r="15" spans="2:12">
      <c r="B15" s="1">
        <v>4</v>
      </c>
      <c r="D15" t="s">
        <v>58</v>
      </c>
      <c r="I15" s="16">
        <f>-306960</f>
        <v>-306960</v>
      </c>
      <c r="K15" s="67" t="s">
        <v>64</v>
      </c>
    </row>
    <row r="16" spans="2:12">
      <c r="B16" s="1"/>
      <c r="K16" s="65"/>
    </row>
    <row r="17" spans="2:11">
      <c r="B17" s="1">
        <v>5</v>
      </c>
      <c r="D17" t="s">
        <v>65</v>
      </c>
      <c r="K17" s="65" t="s">
        <v>61</v>
      </c>
    </row>
    <row r="18" spans="2:11">
      <c r="B18" s="1">
        <v>6</v>
      </c>
      <c r="D18" t="s">
        <v>66</v>
      </c>
      <c r="K18" s="65" t="s">
        <v>62</v>
      </c>
    </row>
    <row r="19" spans="2:11">
      <c r="B19" s="1">
        <v>7</v>
      </c>
      <c r="D19" t="s">
        <v>67</v>
      </c>
      <c r="I19" s="14">
        <f>-910000</f>
        <v>-910000</v>
      </c>
      <c r="K19" s="65" t="s">
        <v>63</v>
      </c>
    </row>
    <row r="20" spans="2:11">
      <c r="B20" s="1">
        <v>8</v>
      </c>
      <c r="D20" t="s">
        <v>68</v>
      </c>
      <c r="I20" s="17">
        <f>-603850</f>
        <v>-603850</v>
      </c>
      <c r="K20" s="67" t="s">
        <v>64</v>
      </c>
    </row>
    <row r="21" spans="2:11">
      <c r="B21" s="1"/>
      <c r="K21" s="65"/>
    </row>
    <row r="22" spans="2:11">
      <c r="B22" s="1">
        <v>9</v>
      </c>
      <c r="D22" t="s">
        <v>69</v>
      </c>
      <c r="K22" s="65"/>
    </row>
    <row r="23" spans="2:11" ht="16.5" thickBot="1">
      <c r="B23" s="1">
        <v>10</v>
      </c>
      <c r="D23" t="s">
        <v>8</v>
      </c>
      <c r="I23" s="18">
        <f>SUM(I15:I21)</f>
        <v>-1820810</v>
      </c>
      <c r="K23" s="65" t="s">
        <v>70</v>
      </c>
    </row>
    <row r="24" spans="2:11" ht="16.5" thickTop="1"/>
  </sheetData>
  <mergeCells count="3">
    <mergeCell ref="D4:K4"/>
    <mergeCell ref="D5:K5"/>
    <mergeCell ref="D6:K6"/>
  </mergeCells>
  <pageMargins left="0.95" right="0.7" top="0.75" bottom="0.75" header="0.3" footer="0.3"/>
  <pageSetup scale="81"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B1:L35"/>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535</v>
      </c>
      <c r="L3" s="64"/>
    </row>
    <row r="4" spans="2:12">
      <c r="D4" s="91" t="s">
        <v>71</v>
      </c>
      <c r="E4" s="91"/>
      <c r="F4" s="91"/>
      <c r="G4" s="91"/>
      <c r="H4" s="91"/>
      <c r="I4" s="91"/>
      <c r="J4" s="91"/>
      <c r="K4" s="91"/>
      <c r="L4" s="62" t="s">
        <v>507</v>
      </c>
    </row>
    <row r="5" spans="2:12">
      <c r="D5" s="91" t="s">
        <v>72</v>
      </c>
      <c r="E5" s="91"/>
      <c r="F5" s="91"/>
      <c r="G5" s="91"/>
      <c r="H5" s="91"/>
      <c r="I5" s="91"/>
      <c r="J5" s="91"/>
      <c r="K5" s="91"/>
      <c r="L5" s="64" t="s">
        <v>238</v>
      </c>
    </row>
    <row r="6" spans="2:12">
      <c r="D6" s="91" t="s">
        <v>118</v>
      </c>
      <c r="E6" s="91"/>
      <c r="F6" s="91"/>
      <c r="G6" s="91"/>
      <c r="H6" s="91"/>
      <c r="I6" s="91"/>
      <c r="J6" s="91"/>
      <c r="K6" s="91"/>
    </row>
    <row r="9" spans="2:12">
      <c r="B9" s="1" t="s">
        <v>52</v>
      </c>
    </row>
    <row r="10" spans="2:12">
      <c r="B10" s="2" t="s">
        <v>53</v>
      </c>
      <c r="D10" s="4" t="s">
        <v>54</v>
      </c>
      <c r="E10" s="4"/>
      <c r="F10" s="4"/>
      <c r="G10" s="4"/>
      <c r="I10" s="2" t="s">
        <v>59</v>
      </c>
      <c r="J10" s="1"/>
      <c r="K10" s="2" t="s">
        <v>60</v>
      </c>
    </row>
    <row r="12" spans="2:12">
      <c r="B12" s="1">
        <v>1</v>
      </c>
      <c r="D12" s="5" t="s">
        <v>420</v>
      </c>
      <c r="E12" s="5"/>
      <c r="F12" s="5"/>
      <c r="G12" s="5"/>
      <c r="H12" s="5"/>
      <c r="I12" s="5"/>
      <c r="J12" s="5"/>
      <c r="K12" s="5"/>
      <c r="L12" s="5"/>
    </row>
    <row r="13" spans="2:12">
      <c r="B13" s="1">
        <v>2</v>
      </c>
      <c r="D13" s="5" t="s">
        <v>119</v>
      </c>
      <c r="E13" s="5"/>
      <c r="F13" s="5"/>
      <c r="G13" s="5"/>
      <c r="H13" s="5"/>
      <c r="I13" s="5"/>
      <c r="J13" s="5"/>
      <c r="K13" s="5"/>
      <c r="L13" s="5"/>
    </row>
    <row r="14" spans="2:12">
      <c r="B14" s="1">
        <v>3</v>
      </c>
      <c r="D14" s="31" t="s">
        <v>120</v>
      </c>
      <c r="E14" s="5"/>
      <c r="F14" s="5"/>
      <c r="G14" s="5"/>
      <c r="H14" s="5"/>
      <c r="I14" s="5"/>
      <c r="J14" s="5"/>
      <c r="K14" s="5"/>
      <c r="L14" s="5"/>
    </row>
    <row r="15" spans="2:12">
      <c r="B15" s="1"/>
      <c r="D15" s="5"/>
      <c r="E15" s="5"/>
      <c r="F15" s="5"/>
      <c r="G15" s="5"/>
      <c r="H15" s="5"/>
      <c r="I15" s="28"/>
      <c r="J15" s="5"/>
      <c r="K15" s="30"/>
      <c r="L15" s="5"/>
    </row>
    <row r="16" spans="2:12">
      <c r="B16" s="1">
        <v>4</v>
      </c>
      <c r="D16" s="31" t="s">
        <v>121</v>
      </c>
      <c r="E16" s="5"/>
      <c r="F16" s="5"/>
      <c r="G16" s="5"/>
      <c r="H16" s="5"/>
      <c r="I16" s="28"/>
      <c r="J16" s="5"/>
      <c r="K16" s="5"/>
      <c r="L16" s="5"/>
    </row>
    <row r="17" spans="2:12">
      <c r="B17" s="1">
        <v>5</v>
      </c>
      <c r="D17" s="31" t="s">
        <v>122</v>
      </c>
      <c r="E17" s="5"/>
      <c r="F17" s="5"/>
      <c r="G17" s="5"/>
      <c r="H17" s="5"/>
      <c r="I17" s="5"/>
      <c r="J17" s="5"/>
      <c r="K17" s="31"/>
      <c r="L17" s="5"/>
    </row>
    <row r="18" spans="2:12">
      <c r="B18" s="1">
        <v>6</v>
      </c>
      <c r="D18" s="31" t="s">
        <v>123</v>
      </c>
      <c r="E18" s="5"/>
      <c r="F18" s="5"/>
      <c r="G18" s="5"/>
      <c r="H18" s="5"/>
      <c r="I18" s="32"/>
      <c r="J18" s="5"/>
      <c r="K18" s="31"/>
      <c r="L18" s="5"/>
    </row>
    <row r="19" spans="2:12">
      <c r="B19" s="1">
        <v>7</v>
      </c>
      <c r="D19" s="5"/>
      <c r="E19" s="5" t="s">
        <v>124</v>
      </c>
      <c r="F19" s="5"/>
      <c r="G19" s="5"/>
      <c r="H19" s="5"/>
      <c r="I19" s="24">
        <f>+[5]Summary!E9</f>
        <v>357593</v>
      </c>
      <c r="J19" s="5"/>
      <c r="K19" s="36" t="s">
        <v>40</v>
      </c>
      <c r="L19" s="5"/>
    </row>
    <row r="20" spans="2:12">
      <c r="B20" s="1">
        <v>8</v>
      </c>
      <c r="D20" s="5"/>
      <c r="E20" s="5" t="s">
        <v>125</v>
      </c>
      <c r="F20" s="5"/>
      <c r="G20" s="5"/>
      <c r="H20" s="5"/>
      <c r="I20" s="24">
        <f>+[5]Summary!E10</f>
        <v>94687</v>
      </c>
      <c r="J20" s="5"/>
      <c r="K20" s="35" t="s">
        <v>41</v>
      </c>
      <c r="L20" s="5"/>
    </row>
    <row r="21" spans="2:12">
      <c r="B21" s="1">
        <v>9</v>
      </c>
      <c r="D21" s="5"/>
      <c r="E21" s="5" t="s">
        <v>126</v>
      </c>
      <c r="F21" s="5"/>
      <c r="G21" s="5"/>
      <c r="H21" s="5"/>
      <c r="I21" s="24">
        <f>+[5]Summary!E13</f>
        <v>329885</v>
      </c>
      <c r="J21" s="5"/>
      <c r="K21" s="35" t="s">
        <v>132</v>
      </c>
      <c r="L21" s="5"/>
    </row>
    <row r="22" spans="2:12">
      <c r="B22" s="1">
        <v>10</v>
      </c>
      <c r="D22" s="5"/>
      <c r="E22" s="31" t="s">
        <v>127</v>
      </c>
      <c r="F22" s="5"/>
      <c r="G22" s="5"/>
      <c r="H22" s="5"/>
      <c r="I22" s="24">
        <f>+[5]Summary!E15</f>
        <v>150896</v>
      </c>
      <c r="J22" s="5"/>
      <c r="K22" s="36" t="s">
        <v>133</v>
      </c>
      <c r="L22" s="5"/>
    </row>
    <row r="23" spans="2:12">
      <c r="B23" s="1">
        <v>11</v>
      </c>
      <c r="D23" s="34"/>
      <c r="E23" s="31" t="s">
        <v>129</v>
      </c>
      <c r="F23" s="5"/>
      <c r="G23" s="5"/>
      <c r="H23" s="5"/>
      <c r="I23" s="24">
        <f>+[5]Summary!E16</f>
        <v>12709</v>
      </c>
      <c r="J23" s="5"/>
      <c r="K23" s="5"/>
      <c r="L23" s="5"/>
    </row>
    <row r="24" spans="2:12">
      <c r="B24" s="1">
        <v>12</v>
      </c>
      <c r="D24" s="34"/>
      <c r="E24" s="31" t="s">
        <v>128</v>
      </c>
      <c r="F24" s="5"/>
      <c r="G24" s="5"/>
      <c r="H24" s="5"/>
      <c r="I24" s="24">
        <f>+[5]Summary!E17</f>
        <v>21</v>
      </c>
      <c r="J24" s="5"/>
      <c r="K24" s="5"/>
      <c r="L24" s="5"/>
    </row>
    <row r="25" spans="2:12">
      <c r="B25" s="1">
        <v>13</v>
      </c>
      <c r="D25" s="31"/>
      <c r="E25" s="31" t="s">
        <v>130</v>
      </c>
      <c r="F25" s="31"/>
      <c r="G25" s="5"/>
      <c r="H25" s="5"/>
      <c r="I25" s="17">
        <f>+[5]Summary!E19</f>
        <v>346770</v>
      </c>
      <c r="J25" s="5"/>
      <c r="K25" s="5"/>
      <c r="L25" s="5"/>
    </row>
    <row r="26" spans="2:12">
      <c r="B26" s="1"/>
      <c r="D26" s="31"/>
      <c r="E26" s="31"/>
      <c r="F26" s="31"/>
      <c r="G26" s="5"/>
      <c r="H26" s="5"/>
      <c r="J26" s="5"/>
      <c r="K26" s="5"/>
      <c r="L26" s="5"/>
    </row>
    <row r="27" spans="2:12">
      <c r="B27" s="1">
        <v>14</v>
      </c>
      <c r="D27" s="31"/>
      <c r="E27" s="31" t="s">
        <v>131</v>
      </c>
      <c r="F27" s="31"/>
      <c r="G27" s="5"/>
      <c r="H27" s="5"/>
      <c r="I27" s="24">
        <f>SUM(I19:I26)</f>
        <v>1292561</v>
      </c>
      <c r="J27" s="5"/>
      <c r="K27" s="5" t="s">
        <v>134</v>
      </c>
      <c r="L27" s="5"/>
    </row>
    <row r="28" spans="2:12">
      <c r="D28" s="31"/>
      <c r="E28" s="31"/>
      <c r="F28" s="31"/>
      <c r="G28" s="5"/>
      <c r="H28" s="5"/>
      <c r="I28" s="24"/>
      <c r="J28" s="5"/>
      <c r="K28" s="5"/>
      <c r="L28" s="5"/>
    </row>
    <row r="29" spans="2:12">
      <c r="B29" s="1">
        <v>15</v>
      </c>
      <c r="D29" s="5" t="s">
        <v>87</v>
      </c>
      <c r="E29" s="5"/>
      <c r="F29" s="5"/>
      <c r="G29" s="5"/>
      <c r="H29" s="5"/>
      <c r="I29" s="27">
        <v>0.35</v>
      </c>
      <c r="J29" s="5"/>
      <c r="K29" s="5"/>
      <c r="L29" s="5"/>
    </row>
    <row r="30" spans="2:12">
      <c r="B30" s="1"/>
      <c r="D30" s="5"/>
      <c r="E30" s="5"/>
      <c r="F30" s="5"/>
      <c r="G30" s="5"/>
      <c r="H30" s="5"/>
      <c r="I30" s="5"/>
      <c r="J30" s="5"/>
      <c r="K30" s="5"/>
      <c r="L30" s="5"/>
    </row>
    <row r="31" spans="2:12">
      <c r="B31" s="1">
        <v>16</v>
      </c>
      <c r="D31" t="s">
        <v>112</v>
      </c>
      <c r="E31" s="5"/>
      <c r="F31" s="5"/>
      <c r="G31" s="5"/>
      <c r="H31" s="5"/>
      <c r="I31" s="28">
        <f>-I27*I29</f>
        <v>-452396.35</v>
      </c>
      <c r="J31" s="5"/>
      <c r="K31" s="5" t="s">
        <v>135</v>
      </c>
      <c r="L31" s="5"/>
    </row>
    <row r="32" spans="2:12">
      <c r="B32" s="1"/>
      <c r="E32" s="5"/>
      <c r="F32" s="5"/>
      <c r="G32" s="5"/>
      <c r="H32" s="5"/>
      <c r="I32" s="5"/>
      <c r="J32" s="5"/>
      <c r="K32" s="5"/>
      <c r="L32" s="5"/>
    </row>
    <row r="33" spans="2:11">
      <c r="B33" s="1">
        <v>17</v>
      </c>
      <c r="D33" s="5" t="s">
        <v>430</v>
      </c>
      <c r="E33" s="5"/>
      <c r="F33" s="5"/>
      <c r="G33" s="5"/>
      <c r="H33" s="5"/>
      <c r="I33" s="26"/>
      <c r="J33" s="5"/>
      <c r="K33" s="5"/>
    </row>
    <row r="34" spans="2:11" ht="16.5" thickBot="1">
      <c r="B34" s="1">
        <v>18</v>
      </c>
      <c r="D34" s="31" t="s">
        <v>518</v>
      </c>
      <c r="E34" s="5"/>
      <c r="F34" s="5"/>
      <c r="G34" s="5"/>
      <c r="H34" s="5"/>
      <c r="I34" s="33">
        <f>-I27-I31</f>
        <v>-840164.65</v>
      </c>
      <c r="J34" s="5"/>
      <c r="K34" s="5" t="s">
        <v>421</v>
      </c>
    </row>
    <row r="35" spans="2:11" ht="16.5" thickTop="1">
      <c r="D35" s="5"/>
      <c r="E35" s="5"/>
      <c r="F35" s="5"/>
      <c r="G35" s="5"/>
      <c r="H35" s="5"/>
      <c r="I35" s="5"/>
      <c r="J35" s="5"/>
      <c r="K35" s="5"/>
    </row>
  </sheetData>
  <mergeCells count="3">
    <mergeCell ref="D4:K4"/>
    <mergeCell ref="D5:K5"/>
    <mergeCell ref="D6:K6"/>
  </mergeCells>
  <pageMargins left="0.7" right="0.7" top="0.75" bottom="0.75" header="0.3" footer="0.3"/>
  <pageSetup scale="82"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B1:L36"/>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534</v>
      </c>
      <c r="L3" s="64"/>
    </row>
    <row r="4" spans="2:12">
      <c r="D4" s="91" t="s">
        <v>71</v>
      </c>
      <c r="E4" s="91"/>
      <c r="F4" s="91"/>
      <c r="G4" s="91"/>
      <c r="H4" s="91"/>
      <c r="I4" s="91"/>
      <c r="J4" s="91"/>
      <c r="K4" s="91"/>
      <c r="L4" s="62" t="s">
        <v>508</v>
      </c>
    </row>
    <row r="5" spans="2:12">
      <c r="D5" s="91" t="s">
        <v>72</v>
      </c>
      <c r="E5" s="91"/>
      <c r="F5" s="91"/>
      <c r="G5" s="91"/>
      <c r="H5" s="91"/>
      <c r="I5" s="91"/>
      <c r="J5" s="91"/>
      <c r="K5" s="91"/>
      <c r="L5" s="64" t="s">
        <v>435</v>
      </c>
    </row>
    <row r="6" spans="2:12">
      <c r="D6" s="91" t="s">
        <v>436</v>
      </c>
      <c r="E6" s="91"/>
      <c r="F6" s="91"/>
      <c r="G6" s="91"/>
      <c r="H6" s="91"/>
      <c r="I6" s="91"/>
      <c r="J6" s="91"/>
      <c r="K6" s="91"/>
    </row>
    <row r="9" spans="2:12">
      <c r="B9" s="84" t="s">
        <v>52</v>
      </c>
    </row>
    <row r="10" spans="2:12">
      <c r="B10" s="2" t="s">
        <v>53</v>
      </c>
      <c r="D10" s="4" t="s">
        <v>54</v>
      </c>
      <c r="E10" s="4"/>
      <c r="F10" s="4"/>
      <c r="G10" s="4"/>
      <c r="I10" s="2" t="s">
        <v>59</v>
      </c>
      <c r="J10" s="84"/>
      <c r="K10" s="2" t="s">
        <v>60</v>
      </c>
    </row>
    <row r="12" spans="2:12">
      <c r="B12" s="84">
        <v>1</v>
      </c>
      <c r="D12" s="5" t="s">
        <v>446</v>
      </c>
      <c r="E12" s="5"/>
      <c r="F12" s="5"/>
      <c r="G12" s="5"/>
      <c r="H12" s="5"/>
      <c r="I12" s="5"/>
      <c r="J12" s="5"/>
      <c r="K12" s="5"/>
      <c r="L12" s="5"/>
    </row>
    <row r="13" spans="2:12">
      <c r="B13" s="84">
        <v>2</v>
      </c>
      <c r="D13" s="5" t="s">
        <v>447</v>
      </c>
      <c r="E13" s="5"/>
      <c r="F13" s="5"/>
      <c r="G13" s="5"/>
      <c r="H13" s="5"/>
      <c r="I13" s="5"/>
      <c r="J13" s="5"/>
      <c r="K13" s="5"/>
      <c r="L13" s="5"/>
    </row>
    <row r="14" spans="2:12">
      <c r="B14" s="84">
        <v>3</v>
      </c>
      <c r="D14" s="31" t="s">
        <v>448</v>
      </c>
      <c r="E14" s="5"/>
      <c r="F14" s="5"/>
      <c r="G14" s="5"/>
      <c r="H14" s="5"/>
      <c r="I14" s="5"/>
      <c r="J14" s="5"/>
      <c r="K14" s="5"/>
      <c r="L14" s="5"/>
    </row>
    <row r="15" spans="2:12">
      <c r="B15" s="84"/>
      <c r="D15" s="5"/>
      <c r="E15" s="5"/>
      <c r="F15" s="5"/>
      <c r="G15" s="5"/>
      <c r="H15" s="5"/>
      <c r="I15" s="28"/>
      <c r="J15" s="5"/>
      <c r="K15" s="30"/>
      <c r="L15" s="5"/>
    </row>
    <row r="16" spans="2:12">
      <c r="B16" s="84">
        <v>4</v>
      </c>
      <c r="D16" s="31" t="s">
        <v>121</v>
      </c>
      <c r="E16" s="5"/>
      <c r="F16" s="5"/>
      <c r="G16" s="5"/>
      <c r="H16" s="5"/>
      <c r="I16" s="28"/>
      <c r="J16" s="5"/>
      <c r="K16" s="5"/>
      <c r="L16" s="5"/>
    </row>
    <row r="17" spans="2:12">
      <c r="B17" s="84">
        <v>5</v>
      </c>
      <c r="D17" s="31" t="s">
        <v>449</v>
      </c>
      <c r="E17" s="5"/>
      <c r="F17" s="5"/>
      <c r="G17" s="5"/>
      <c r="H17" s="5"/>
      <c r="I17" s="5"/>
      <c r="J17" s="5"/>
      <c r="K17" s="31"/>
      <c r="L17" s="5"/>
    </row>
    <row r="18" spans="2:12">
      <c r="B18" s="84">
        <v>6</v>
      </c>
      <c r="D18" s="31" t="s">
        <v>450</v>
      </c>
      <c r="E18" s="5"/>
      <c r="F18" s="5"/>
      <c r="G18" s="5"/>
      <c r="H18" s="5"/>
      <c r="I18" s="32"/>
      <c r="J18" s="5"/>
      <c r="K18" s="31"/>
      <c r="L18" s="5"/>
    </row>
    <row r="19" spans="2:12">
      <c r="B19" s="84">
        <v>7</v>
      </c>
      <c r="D19" s="5"/>
      <c r="E19" s="5" t="s">
        <v>124</v>
      </c>
      <c r="F19" s="5"/>
      <c r="G19" s="5"/>
      <c r="H19" s="5"/>
      <c r="I19" s="28">
        <f>+[6]Summary!$F$9</f>
        <v>-4385</v>
      </c>
      <c r="J19" s="5"/>
      <c r="K19" s="36" t="s">
        <v>442</v>
      </c>
      <c r="L19" s="5"/>
    </row>
    <row r="20" spans="2:12">
      <c r="B20" s="84">
        <v>8</v>
      </c>
      <c r="D20" s="5"/>
      <c r="E20" s="5" t="s">
        <v>125</v>
      </c>
      <c r="F20" s="5"/>
      <c r="G20" s="5"/>
      <c r="H20" s="5"/>
      <c r="I20" s="24">
        <f>+[6]Summary!$F$10</f>
        <v>0</v>
      </c>
      <c r="J20" s="5"/>
      <c r="K20" s="35" t="s">
        <v>437</v>
      </c>
      <c r="L20" s="5"/>
    </row>
    <row r="21" spans="2:12">
      <c r="B21" s="84">
        <v>9</v>
      </c>
      <c r="D21" s="5"/>
      <c r="E21" s="5" t="s">
        <v>126</v>
      </c>
      <c r="F21" s="5"/>
      <c r="G21" s="5"/>
      <c r="H21" s="5"/>
      <c r="I21" s="24">
        <f>+[6]Summary!$F$13</f>
        <v>0</v>
      </c>
      <c r="J21" s="5"/>
      <c r="K21" s="35" t="s">
        <v>438</v>
      </c>
      <c r="L21" s="5"/>
    </row>
    <row r="22" spans="2:12">
      <c r="B22" s="84">
        <v>10</v>
      </c>
      <c r="D22" s="5"/>
      <c r="E22" s="31" t="s">
        <v>127</v>
      </c>
      <c r="F22" s="5"/>
      <c r="G22" s="5"/>
      <c r="H22" s="5"/>
      <c r="I22" s="24">
        <f>+[6]Summary!F15</f>
        <v>0</v>
      </c>
      <c r="J22" s="5"/>
      <c r="K22" s="36" t="s">
        <v>439</v>
      </c>
      <c r="L22" s="5"/>
    </row>
    <row r="23" spans="2:12">
      <c r="B23" s="84">
        <v>11</v>
      </c>
      <c r="D23" s="34"/>
      <c r="E23" s="31" t="s">
        <v>129</v>
      </c>
      <c r="F23" s="5"/>
      <c r="G23" s="5"/>
      <c r="H23" s="5"/>
      <c r="I23" s="24">
        <f>+[6]Summary!F16</f>
        <v>0</v>
      </c>
      <c r="J23" s="5"/>
      <c r="K23" s="36" t="s">
        <v>440</v>
      </c>
      <c r="L23" s="5"/>
    </row>
    <row r="24" spans="2:12">
      <c r="B24" s="84">
        <v>12</v>
      </c>
      <c r="D24" s="34"/>
      <c r="E24" s="31" t="s">
        <v>128</v>
      </c>
      <c r="F24" s="5"/>
      <c r="G24" s="5"/>
      <c r="H24" s="5"/>
      <c r="I24" s="24">
        <f>+[6]Summary!F17</f>
        <v>0</v>
      </c>
      <c r="J24" s="5"/>
      <c r="K24" s="36" t="s">
        <v>441</v>
      </c>
      <c r="L24" s="5"/>
    </row>
    <row r="25" spans="2:12">
      <c r="B25" s="84">
        <v>13</v>
      </c>
      <c r="D25" s="31"/>
      <c r="E25" s="31" t="s">
        <v>130</v>
      </c>
      <c r="F25" s="31"/>
      <c r="G25" s="5"/>
      <c r="H25" s="5"/>
      <c r="I25" s="17">
        <f>+[6]Summary!F19</f>
        <v>-284781</v>
      </c>
      <c r="J25" s="5"/>
      <c r="K25" s="5"/>
      <c r="L25" s="5"/>
    </row>
    <row r="26" spans="2:12">
      <c r="B26" s="84"/>
      <c r="D26" s="31"/>
      <c r="E26" s="31"/>
      <c r="F26" s="31"/>
      <c r="G26" s="5"/>
      <c r="H26" s="5"/>
      <c r="J26" s="5"/>
      <c r="K26" s="5"/>
      <c r="L26" s="5"/>
    </row>
    <row r="27" spans="2:12">
      <c r="B27" s="84">
        <v>14</v>
      </c>
      <c r="D27" s="31"/>
      <c r="E27" s="31" t="s">
        <v>131</v>
      </c>
      <c r="F27" s="31"/>
      <c r="G27" s="5"/>
      <c r="H27" s="5"/>
      <c r="I27" s="24">
        <f>SUM(I19:I26)</f>
        <v>-289166</v>
      </c>
      <c r="J27" s="5"/>
      <c r="K27" s="5" t="s">
        <v>134</v>
      </c>
      <c r="L27" s="5"/>
    </row>
    <row r="28" spans="2:12">
      <c r="D28" s="31"/>
      <c r="E28" s="31"/>
      <c r="F28" s="31"/>
      <c r="G28" s="5"/>
      <c r="H28" s="5"/>
      <c r="I28" s="24"/>
      <c r="J28" s="5"/>
      <c r="K28" s="5"/>
      <c r="L28" s="5"/>
    </row>
    <row r="29" spans="2:12">
      <c r="B29" s="84">
        <v>15</v>
      </c>
      <c r="D29" s="5" t="s">
        <v>87</v>
      </c>
      <c r="E29" s="5"/>
      <c r="F29" s="5"/>
      <c r="G29" s="5"/>
      <c r="H29" s="5"/>
      <c r="I29" s="27">
        <v>0.35</v>
      </c>
      <c r="J29" s="5"/>
      <c r="K29" s="5"/>
      <c r="L29" s="5"/>
    </row>
    <row r="30" spans="2:12">
      <c r="B30" s="84"/>
      <c r="D30" s="5"/>
      <c r="E30" s="5"/>
      <c r="F30" s="5"/>
      <c r="G30" s="5"/>
      <c r="H30" s="5"/>
      <c r="I30" s="5"/>
      <c r="J30" s="5"/>
      <c r="K30" s="5"/>
      <c r="L30" s="5"/>
    </row>
    <row r="31" spans="2:12">
      <c r="B31" s="84">
        <v>16</v>
      </c>
      <c r="D31" t="s">
        <v>418</v>
      </c>
      <c r="E31" s="5"/>
      <c r="F31" s="5"/>
      <c r="G31" s="5"/>
      <c r="H31" s="5"/>
      <c r="I31" s="28">
        <f>-I27*I29</f>
        <v>101208.09999999999</v>
      </c>
      <c r="J31" s="5"/>
      <c r="K31" s="5" t="s">
        <v>135</v>
      </c>
      <c r="L31" s="5"/>
    </row>
    <row r="32" spans="2:12">
      <c r="B32" s="84"/>
      <c r="E32" s="5"/>
      <c r="F32" s="5"/>
      <c r="G32" s="5"/>
      <c r="H32" s="5"/>
      <c r="I32" s="5"/>
      <c r="J32" s="5"/>
      <c r="K32" s="5"/>
      <c r="L32" s="5"/>
    </row>
    <row r="33" spans="2:11">
      <c r="B33" s="84">
        <v>17</v>
      </c>
      <c r="D33" s="5" t="s">
        <v>443</v>
      </c>
      <c r="E33" s="5"/>
      <c r="F33" s="5"/>
      <c r="G33" s="5"/>
      <c r="H33" s="5"/>
      <c r="I33" s="26"/>
      <c r="J33" s="5"/>
      <c r="K33" s="5"/>
    </row>
    <row r="34" spans="2:11">
      <c r="B34" s="84">
        <v>18</v>
      </c>
      <c r="D34" s="31" t="s">
        <v>444</v>
      </c>
      <c r="E34" s="5"/>
      <c r="F34" s="5"/>
      <c r="G34" s="5"/>
      <c r="H34" s="5"/>
    </row>
    <row r="35" spans="2:11" ht="16.5" thickBot="1">
      <c r="B35" s="84">
        <v>19</v>
      </c>
      <c r="D35" s="31" t="s">
        <v>445</v>
      </c>
      <c r="E35" s="5"/>
      <c r="F35" s="5"/>
      <c r="G35" s="5"/>
      <c r="H35" s="5"/>
      <c r="I35" s="33">
        <f>-I27-I31</f>
        <v>187957.90000000002</v>
      </c>
      <c r="J35" s="5"/>
      <c r="K35" s="5" t="s">
        <v>421</v>
      </c>
    </row>
    <row r="36" spans="2:11" ht="16.5" thickTop="1"/>
  </sheetData>
  <mergeCells count="3">
    <mergeCell ref="D4:K4"/>
    <mergeCell ref="D5:K5"/>
    <mergeCell ref="D6:K6"/>
  </mergeCells>
  <pageMargins left="0.95" right="0.7" top="0.75" bottom="0.75" header="0.3" footer="0.3"/>
  <pageSetup scale="86"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B1:L27"/>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533</v>
      </c>
      <c r="L3" s="64"/>
    </row>
    <row r="4" spans="2:12">
      <c r="D4" s="91" t="s">
        <v>71</v>
      </c>
      <c r="E4" s="91"/>
      <c r="F4" s="91"/>
      <c r="G4" s="91"/>
      <c r="H4" s="91"/>
      <c r="I4" s="91"/>
      <c r="J4" s="91"/>
      <c r="K4" s="91"/>
      <c r="L4" s="62" t="s">
        <v>509</v>
      </c>
    </row>
    <row r="5" spans="2:12">
      <c r="D5" s="91" t="s">
        <v>72</v>
      </c>
      <c r="E5" s="91"/>
      <c r="F5" s="91"/>
      <c r="G5" s="91"/>
      <c r="H5" s="91"/>
      <c r="I5" s="91"/>
      <c r="J5" s="91"/>
      <c r="K5" s="91"/>
      <c r="L5" s="64" t="s">
        <v>451</v>
      </c>
    </row>
    <row r="6" spans="2:12">
      <c r="D6" s="91" t="s">
        <v>452</v>
      </c>
      <c r="E6" s="91"/>
      <c r="F6" s="91"/>
      <c r="G6" s="91"/>
      <c r="H6" s="91"/>
      <c r="I6" s="91"/>
      <c r="J6" s="91"/>
      <c r="K6" s="91"/>
    </row>
    <row r="9" spans="2:12">
      <c r="B9" s="84" t="s">
        <v>52</v>
      </c>
    </row>
    <row r="10" spans="2:12">
      <c r="B10" s="2" t="s">
        <v>53</v>
      </c>
      <c r="D10" s="4" t="s">
        <v>54</v>
      </c>
      <c r="E10" s="4"/>
      <c r="F10" s="4"/>
      <c r="G10" s="4"/>
      <c r="I10" s="2" t="s">
        <v>59</v>
      </c>
      <c r="J10" s="84"/>
      <c r="K10" s="2" t="s">
        <v>60</v>
      </c>
    </row>
    <row r="11" spans="2:12">
      <c r="B11" s="84"/>
    </row>
    <row r="12" spans="2:12">
      <c r="B12" s="84">
        <v>1</v>
      </c>
      <c r="K12" s="84" t="s">
        <v>457</v>
      </c>
    </row>
    <row r="13" spans="2:12">
      <c r="B13" s="84">
        <v>2</v>
      </c>
      <c r="D13" t="s">
        <v>455</v>
      </c>
      <c r="K13" s="84" t="s">
        <v>458</v>
      </c>
    </row>
    <row r="14" spans="2:12">
      <c r="B14" s="84">
        <v>3</v>
      </c>
      <c r="D14" t="s">
        <v>456</v>
      </c>
      <c r="K14" s="84" t="s">
        <v>459</v>
      </c>
    </row>
    <row r="15" spans="2:12">
      <c r="B15" s="84">
        <v>4</v>
      </c>
      <c r="D15" t="s">
        <v>454</v>
      </c>
      <c r="I15" s="16">
        <f>+'[7]EPI-1'!$E$18</f>
        <v>-308372</v>
      </c>
      <c r="K15" s="84" t="s">
        <v>460</v>
      </c>
    </row>
    <row r="16" spans="2:12">
      <c r="B16" s="84"/>
      <c r="K16" s="84"/>
    </row>
    <row r="17" spans="2:11">
      <c r="B17" s="84">
        <v>5</v>
      </c>
      <c r="D17" s="5" t="s">
        <v>87</v>
      </c>
      <c r="E17" s="5"/>
      <c r="F17" s="5"/>
      <c r="G17" s="5"/>
      <c r="H17" s="5"/>
      <c r="I17" s="27">
        <v>0.35</v>
      </c>
      <c r="J17" s="5"/>
      <c r="K17" s="5"/>
    </row>
    <row r="18" spans="2:11">
      <c r="B18" s="84"/>
      <c r="D18" s="5"/>
      <c r="E18" s="5"/>
      <c r="F18" s="5"/>
      <c r="G18" s="5"/>
      <c r="H18" s="5"/>
      <c r="I18" s="5"/>
      <c r="J18" s="5"/>
      <c r="K18" s="5"/>
    </row>
    <row r="19" spans="2:11">
      <c r="B19" s="84">
        <v>6</v>
      </c>
      <c r="D19" t="s">
        <v>418</v>
      </c>
      <c r="E19" s="5"/>
      <c r="F19" s="5"/>
      <c r="G19" s="5"/>
      <c r="H19" s="5"/>
      <c r="I19" s="28">
        <f>-I15*I17</f>
        <v>107930.2</v>
      </c>
      <c r="J19" s="5"/>
      <c r="K19" s="5" t="s">
        <v>252</v>
      </c>
    </row>
    <row r="20" spans="2:11">
      <c r="B20" s="84"/>
      <c r="E20" s="5"/>
      <c r="F20" s="5"/>
      <c r="G20" s="5"/>
      <c r="H20" s="5"/>
      <c r="I20" s="5"/>
      <c r="J20" s="5"/>
      <c r="K20" s="5"/>
    </row>
    <row r="21" spans="2:11">
      <c r="B21" s="84">
        <v>7</v>
      </c>
      <c r="D21" s="5" t="s">
        <v>443</v>
      </c>
      <c r="E21" s="5"/>
      <c r="F21" s="5"/>
      <c r="G21" s="5"/>
      <c r="H21" s="5"/>
      <c r="I21" s="26"/>
      <c r="J21" s="5"/>
      <c r="K21" s="5"/>
    </row>
    <row r="22" spans="2:11">
      <c r="B22" s="84">
        <v>8</v>
      </c>
      <c r="D22" s="31" t="s">
        <v>461</v>
      </c>
      <c r="E22" s="5"/>
      <c r="F22" s="5"/>
      <c r="G22" s="5"/>
      <c r="H22" s="5"/>
    </row>
    <row r="23" spans="2:11" ht="16.5" thickBot="1">
      <c r="B23" s="84">
        <v>9</v>
      </c>
      <c r="D23" s="31" t="s">
        <v>445</v>
      </c>
      <c r="E23" s="5"/>
      <c r="F23" s="5"/>
      <c r="G23" s="5"/>
      <c r="H23" s="5"/>
      <c r="I23" s="33">
        <f>-I15-I19</f>
        <v>200441.8</v>
      </c>
      <c r="J23" s="5"/>
      <c r="K23" s="5" t="s">
        <v>253</v>
      </c>
    </row>
    <row r="24" spans="2:11" ht="16.5" thickTop="1">
      <c r="B24" s="84"/>
    </row>
    <row r="25" spans="2:11">
      <c r="B25" s="84"/>
      <c r="K25" s="84"/>
    </row>
    <row r="26" spans="2:11">
      <c r="K26" s="84"/>
    </row>
    <row r="27" spans="2:11">
      <c r="K27" s="84"/>
    </row>
  </sheetData>
  <mergeCells count="3">
    <mergeCell ref="D4:K4"/>
    <mergeCell ref="D5:K5"/>
    <mergeCell ref="D6:K6"/>
  </mergeCells>
  <pageMargins left="0.7" right="0.7" top="0.75" bottom="0.75" header="0.3" footer="0.3"/>
  <pageSetup scale="82"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B1:R41"/>
  <sheetViews>
    <sheetView tabSelected="1" topLeftCell="F4"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8">
      <c r="K1" t="s">
        <v>530</v>
      </c>
      <c r="L1" s="62"/>
    </row>
    <row r="2" spans="2:18">
      <c r="K2" t="s">
        <v>526</v>
      </c>
      <c r="L2" s="62"/>
    </row>
    <row r="3" spans="2:18">
      <c r="K3" t="s">
        <v>532</v>
      </c>
      <c r="L3" s="64"/>
    </row>
    <row r="4" spans="2:18">
      <c r="D4" s="91" t="s">
        <v>71</v>
      </c>
      <c r="E4" s="91"/>
      <c r="F4" s="91"/>
      <c r="G4" s="91"/>
      <c r="H4" s="91"/>
      <c r="I4" s="91"/>
      <c r="J4" s="91"/>
      <c r="K4" s="91"/>
      <c r="L4" s="62" t="s">
        <v>510</v>
      </c>
    </row>
    <row r="5" spans="2:18">
      <c r="D5" s="91" t="s">
        <v>72</v>
      </c>
      <c r="E5" s="91"/>
      <c r="F5" s="91"/>
      <c r="G5" s="91"/>
      <c r="H5" s="91"/>
      <c r="I5" s="91"/>
      <c r="J5" s="91"/>
      <c r="K5" s="91"/>
      <c r="L5" s="64" t="s">
        <v>239</v>
      </c>
    </row>
    <row r="6" spans="2:18">
      <c r="D6" s="91" t="s">
        <v>99</v>
      </c>
      <c r="E6" s="91"/>
      <c r="F6" s="91"/>
      <c r="G6" s="91"/>
      <c r="H6" s="91"/>
      <c r="I6" s="91"/>
      <c r="J6" s="91"/>
      <c r="K6" s="91"/>
    </row>
    <row r="9" spans="2:18">
      <c r="B9" s="1" t="s">
        <v>52</v>
      </c>
    </row>
    <row r="10" spans="2:18">
      <c r="B10" s="2" t="s">
        <v>53</v>
      </c>
      <c r="D10" s="4" t="s">
        <v>54</v>
      </c>
      <c r="E10" s="4"/>
      <c r="F10" s="4"/>
      <c r="G10" s="4"/>
      <c r="I10" s="2" t="s">
        <v>59</v>
      </c>
      <c r="J10" s="1"/>
      <c r="K10" s="2" t="s">
        <v>60</v>
      </c>
    </row>
    <row r="12" spans="2:18">
      <c r="B12" s="1">
        <v>1</v>
      </c>
      <c r="D12" s="5" t="s">
        <v>100</v>
      </c>
      <c r="E12" s="5"/>
      <c r="F12" s="5"/>
      <c r="G12" s="5"/>
      <c r="H12" s="5"/>
      <c r="I12" s="5"/>
      <c r="J12" s="5"/>
      <c r="K12" s="5"/>
      <c r="L12" s="5"/>
    </row>
    <row r="13" spans="2:18">
      <c r="B13" s="1">
        <v>2</v>
      </c>
      <c r="D13" s="5" t="s">
        <v>101</v>
      </c>
      <c r="E13" s="5"/>
      <c r="F13" s="5"/>
      <c r="G13" s="5"/>
      <c r="H13" s="5"/>
      <c r="I13" s="5"/>
      <c r="J13" s="5"/>
      <c r="K13" s="5"/>
      <c r="L13" s="5"/>
    </row>
    <row r="14" spans="2:18">
      <c r="B14" s="1">
        <v>3</v>
      </c>
      <c r="D14" s="31" t="s">
        <v>102</v>
      </c>
      <c r="E14" s="5"/>
      <c r="F14" s="5"/>
      <c r="G14" s="5"/>
      <c r="H14" s="5"/>
      <c r="I14" s="5"/>
      <c r="J14" s="5"/>
      <c r="K14" s="5"/>
      <c r="L14" s="5"/>
    </row>
    <row r="15" spans="2:18">
      <c r="B15" s="1"/>
      <c r="D15" s="5"/>
      <c r="E15" s="5"/>
      <c r="F15" s="5"/>
      <c r="G15" s="5"/>
      <c r="H15" s="5"/>
      <c r="I15" s="28"/>
      <c r="J15" s="5"/>
      <c r="K15" s="30"/>
      <c r="L15" s="5"/>
    </row>
    <row r="16" spans="2:18" ht="15.75" customHeight="1">
      <c r="B16" s="1">
        <v>4</v>
      </c>
      <c r="D16" s="5"/>
      <c r="E16" s="5" t="s">
        <v>103</v>
      </c>
      <c r="F16" s="5"/>
      <c r="G16" s="5"/>
      <c r="H16" s="5"/>
      <c r="I16" s="28">
        <f>+'[8]C-PT'!$F$12</f>
        <v>799546</v>
      </c>
      <c r="J16" s="5"/>
      <c r="K16" s="35" t="s">
        <v>111</v>
      </c>
      <c r="L16" s="5"/>
      <c r="N16" s="92" t="s">
        <v>434</v>
      </c>
      <c r="O16" s="92"/>
      <c r="P16" s="92"/>
      <c r="Q16" s="92"/>
      <c r="R16" s="92"/>
    </row>
    <row r="17" spans="2:18">
      <c r="B17" s="1">
        <v>5</v>
      </c>
      <c r="D17" s="5"/>
      <c r="E17" s="5"/>
      <c r="F17" s="5"/>
      <c r="G17" s="5"/>
      <c r="H17" s="5"/>
      <c r="I17" s="5"/>
      <c r="J17" s="5"/>
      <c r="K17" s="36" t="s">
        <v>108</v>
      </c>
      <c r="L17" s="5"/>
      <c r="N17" s="92"/>
      <c r="O17" s="92"/>
      <c r="P17" s="92"/>
      <c r="Q17" s="92"/>
      <c r="R17" s="92"/>
    </row>
    <row r="18" spans="2:18">
      <c r="B18" s="1">
        <v>6</v>
      </c>
      <c r="D18" s="5"/>
      <c r="E18" s="5" t="s">
        <v>104</v>
      </c>
      <c r="F18" s="5"/>
      <c r="G18" s="5"/>
      <c r="H18" s="5"/>
      <c r="I18" s="32">
        <f>+'[8]C-PT'!$F$14</f>
        <v>396901</v>
      </c>
      <c r="J18" s="5"/>
      <c r="K18" s="36" t="s">
        <v>109</v>
      </c>
      <c r="L18" s="5"/>
      <c r="N18" s="92"/>
      <c r="O18" s="92"/>
      <c r="P18" s="92"/>
      <c r="Q18" s="92"/>
      <c r="R18" s="92"/>
    </row>
    <row r="19" spans="2:18">
      <c r="B19" s="1">
        <v>7</v>
      </c>
      <c r="D19" s="5"/>
      <c r="E19" s="5"/>
      <c r="F19" s="5"/>
      <c r="G19" s="5"/>
      <c r="H19" s="5"/>
      <c r="I19" s="24"/>
      <c r="J19" s="5"/>
      <c r="K19" s="36" t="s">
        <v>110</v>
      </c>
      <c r="L19" s="5"/>
      <c r="N19" s="92"/>
      <c r="O19" s="92"/>
      <c r="P19" s="92"/>
      <c r="Q19" s="92"/>
      <c r="R19" s="92"/>
    </row>
    <row r="20" spans="2:18">
      <c r="B20" s="1">
        <v>8</v>
      </c>
      <c r="D20" s="5"/>
      <c r="E20" s="5" t="s">
        <v>105</v>
      </c>
      <c r="F20" s="5"/>
      <c r="G20" s="5"/>
      <c r="H20" s="5"/>
      <c r="I20" s="17">
        <f>+'[8]C-PT'!$F$16</f>
        <v>8546</v>
      </c>
      <c r="J20" s="5"/>
      <c r="L20" s="5"/>
      <c r="N20" s="92"/>
      <c r="O20" s="92"/>
      <c r="P20" s="92"/>
      <c r="Q20" s="92"/>
      <c r="R20" s="92"/>
    </row>
    <row r="21" spans="2:18">
      <c r="B21" s="1"/>
      <c r="D21" s="5"/>
      <c r="E21" s="5"/>
      <c r="F21" s="5"/>
      <c r="G21" s="5"/>
      <c r="H21" s="5"/>
      <c r="I21" s="5"/>
      <c r="J21" s="5"/>
      <c r="L21" s="5"/>
      <c r="N21" s="92"/>
      <c r="O21" s="92"/>
      <c r="P21" s="92"/>
      <c r="Q21" s="92"/>
      <c r="R21" s="92"/>
    </row>
    <row r="22" spans="2:18">
      <c r="B22" s="1">
        <v>9</v>
      </c>
      <c r="D22" s="5"/>
      <c r="E22" s="5" t="s">
        <v>106</v>
      </c>
      <c r="F22" s="5"/>
      <c r="G22" s="5"/>
      <c r="H22" s="5"/>
      <c r="I22" s="28"/>
      <c r="J22" s="5"/>
      <c r="K22" s="5"/>
      <c r="L22" s="5"/>
    </row>
    <row r="23" spans="2:18">
      <c r="B23" s="1">
        <v>10</v>
      </c>
      <c r="D23" s="5"/>
      <c r="E23" s="31" t="s">
        <v>107</v>
      </c>
      <c r="F23" s="5"/>
      <c r="G23" s="5"/>
      <c r="H23" s="5"/>
      <c r="I23" s="25">
        <f>SUM(I16:I20)</f>
        <v>1204993</v>
      </c>
      <c r="J23" s="5"/>
      <c r="K23" s="5" t="s">
        <v>115</v>
      </c>
      <c r="L23" s="5"/>
    </row>
    <row r="24" spans="2:18">
      <c r="B24" s="1"/>
      <c r="D24" s="5"/>
      <c r="E24" s="5"/>
      <c r="F24" s="5"/>
      <c r="G24" s="5"/>
      <c r="H24" s="5"/>
      <c r="I24" s="26"/>
      <c r="J24" s="5"/>
      <c r="K24" s="5"/>
      <c r="L24" s="5"/>
    </row>
    <row r="25" spans="2:18">
      <c r="B25" s="1">
        <v>11</v>
      </c>
      <c r="D25" s="5" t="s">
        <v>87</v>
      </c>
      <c r="E25" s="5"/>
      <c r="F25" s="5"/>
      <c r="G25" s="5"/>
      <c r="H25" s="5"/>
      <c r="I25" s="27">
        <v>0.35</v>
      </c>
      <c r="J25" s="5"/>
      <c r="K25" s="5"/>
      <c r="L25" s="5"/>
    </row>
    <row r="26" spans="2:18">
      <c r="B26" s="1"/>
      <c r="D26" s="5"/>
      <c r="E26" s="5"/>
      <c r="F26" s="5"/>
      <c r="G26" s="5"/>
      <c r="H26" s="5"/>
      <c r="I26" s="5"/>
      <c r="J26" s="5"/>
      <c r="K26" s="5"/>
      <c r="L26" s="5"/>
    </row>
    <row r="27" spans="2:18">
      <c r="B27" s="1">
        <v>12</v>
      </c>
      <c r="D27" t="s">
        <v>112</v>
      </c>
      <c r="E27" s="5"/>
      <c r="F27" s="5"/>
      <c r="G27" s="5"/>
      <c r="H27" s="5"/>
      <c r="I27" s="28">
        <f>-I23*I25</f>
        <v>-421747.55</v>
      </c>
      <c r="J27" s="5"/>
      <c r="K27" s="5" t="s">
        <v>116</v>
      </c>
      <c r="L27" s="5"/>
    </row>
    <row r="28" spans="2:18">
      <c r="E28" s="5"/>
      <c r="F28" s="5"/>
      <c r="G28" s="5"/>
      <c r="H28" s="5"/>
      <c r="I28" s="5"/>
      <c r="J28" s="5"/>
      <c r="K28" s="5"/>
      <c r="L28" s="5"/>
    </row>
    <row r="29" spans="2:18">
      <c r="B29" s="1">
        <v>13</v>
      </c>
      <c r="D29" s="5" t="s">
        <v>113</v>
      </c>
      <c r="E29" s="5"/>
      <c r="F29" s="5"/>
      <c r="G29" s="5"/>
      <c r="H29" s="5"/>
      <c r="I29" s="26"/>
      <c r="J29" s="5"/>
      <c r="K29" s="5"/>
      <c r="L29" s="5"/>
    </row>
    <row r="30" spans="2:18" ht="16.5" thickBot="1">
      <c r="B30" s="1">
        <v>14</v>
      </c>
      <c r="D30" s="31" t="s">
        <v>114</v>
      </c>
      <c r="E30" s="5"/>
      <c r="F30" s="5"/>
      <c r="G30" s="5"/>
      <c r="H30" s="5"/>
      <c r="I30" s="33">
        <f>-I23-I27</f>
        <v>-783245.45</v>
      </c>
      <c r="J30" s="5"/>
      <c r="K30" s="5" t="s">
        <v>117</v>
      </c>
      <c r="L30" s="5"/>
    </row>
    <row r="31" spans="2:18" ht="16.5" thickTop="1">
      <c r="B31" s="1"/>
      <c r="D31" s="5"/>
      <c r="E31" s="5"/>
      <c r="F31" s="5"/>
      <c r="G31" s="5"/>
      <c r="H31" s="5"/>
      <c r="I31" s="5"/>
      <c r="J31" s="5"/>
      <c r="K31" s="5"/>
      <c r="L31" s="5"/>
    </row>
    <row r="32" spans="2:18">
      <c r="B32" s="1"/>
      <c r="D32" s="5"/>
      <c r="E32" s="5"/>
      <c r="F32" s="5"/>
      <c r="G32" s="5"/>
      <c r="H32" s="5"/>
      <c r="I32" s="28"/>
      <c r="J32" s="5"/>
      <c r="K32" s="5"/>
      <c r="L32" s="5"/>
    </row>
    <row r="33" spans="2:12">
      <c r="B33" s="1"/>
      <c r="D33" s="5"/>
      <c r="E33" s="5"/>
      <c r="F33" s="5"/>
      <c r="G33" s="5"/>
      <c r="H33" s="5"/>
      <c r="I33" s="5"/>
      <c r="J33" s="5"/>
      <c r="K33" s="5"/>
      <c r="L33" s="5"/>
    </row>
    <row r="34" spans="2:12">
      <c r="D34" s="5"/>
      <c r="E34" s="5"/>
      <c r="F34" s="5"/>
      <c r="G34" s="5"/>
      <c r="H34" s="5"/>
      <c r="I34" s="5"/>
      <c r="J34" s="5"/>
      <c r="K34" s="5"/>
      <c r="L34" s="5"/>
    </row>
    <row r="35" spans="2:12">
      <c r="D35" s="5"/>
      <c r="E35" s="5"/>
      <c r="F35" s="5"/>
      <c r="G35" s="5"/>
      <c r="H35" s="5"/>
      <c r="I35" s="5"/>
      <c r="J35" s="5"/>
      <c r="K35" s="5"/>
      <c r="L35" s="5"/>
    </row>
    <row r="36" spans="2:12">
      <c r="D36" s="5"/>
      <c r="E36" s="5"/>
      <c r="F36" s="5"/>
      <c r="G36" s="5"/>
      <c r="H36" s="5"/>
      <c r="I36" s="5"/>
      <c r="J36" s="5"/>
      <c r="K36" s="5"/>
      <c r="L36" s="5"/>
    </row>
    <row r="37" spans="2:12">
      <c r="D37" s="5"/>
      <c r="E37" s="5"/>
      <c r="F37" s="5"/>
      <c r="G37" s="5"/>
      <c r="H37" s="5"/>
      <c r="I37" s="5"/>
      <c r="J37" s="5"/>
      <c r="K37" s="5"/>
      <c r="L37" s="5"/>
    </row>
    <row r="38" spans="2:12">
      <c r="D38" s="5"/>
      <c r="E38" s="5"/>
      <c r="F38" s="5"/>
      <c r="G38" s="5"/>
      <c r="H38" s="5"/>
      <c r="I38" s="5"/>
      <c r="J38" s="5"/>
      <c r="K38" s="5"/>
      <c r="L38" s="5"/>
    </row>
    <row r="39" spans="2:12">
      <c r="D39" s="5"/>
      <c r="E39" s="5"/>
      <c r="F39" s="5"/>
      <c r="G39" s="5"/>
      <c r="H39" s="5"/>
      <c r="I39" s="5"/>
      <c r="J39" s="5"/>
      <c r="K39" s="5"/>
      <c r="L39" s="5"/>
    </row>
    <row r="40" spans="2:12">
      <c r="D40" s="5"/>
      <c r="E40" s="5"/>
      <c r="F40" s="5"/>
      <c r="G40" s="5"/>
      <c r="H40" s="5"/>
      <c r="I40" s="5"/>
      <c r="J40" s="5"/>
      <c r="K40" s="5"/>
      <c r="L40" s="5"/>
    </row>
    <row r="41" spans="2:12">
      <c r="D41" s="5"/>
      <c r="E41" s="5"/>
      <c r="F41" s="5"/>
      <c r="G41" s="5"/>
      <c r="H41" s="5"/>
      <c r="I41" s="5"/>
      <c r="J41" s="5"/>
      <c r="K41" s="5"/>
      <c r="L41" s="5"/>
    </row>
  </sheetData>
  <mergeCells count="4">
    <mergeCell ref="D4:K4"/>
    <mergeCell ref="D5:K5"/>
    <mergeCell ref="D6:K6"/>
    <mergeCell ref="N16:R21"/>
  </mergeCells>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L36"/>
  <sheetViews>
    <sheetView tabSelected="1" workbookViewId="0">
      <selection activeCell="X5" sqref="X5"/>
    </sheetView>
  </sheetViews>
  <sheetFormatPr defaultRowHeight="15.75"/>
  <cols>
    <col min="1" max="1" width="6.625" customWidth="1"/>
    <col min="2" max="3" width="5.625" customWidth="1"/>
    <col min="4" max="8" width="9.625" customWidth="1"/>
    <col min="9" max="9" width="12.375" customWidth="1"/>
    <col min="10" max="10" width="2.625" customWidth="1"/>
    <col min="11" max="11" width="15" customWidth="1"/>
    <col min="12" max="12" width="11.375" customWidth="1"/>
  </cols>
  <sheetData>
    <row r="1" spans="2:12">
      <c r="K1" t="s">
        <v>529</v>
      </c>
      <c r="L1" s="62"/>
    </row>
    <row r="2" spans="2:12">
      <c r="K2" t="s">
        <v>526</v>
      </c>
      <c r="L2" s="62"/>
    </row>
    <row r="3" spans="2:12">
      <c r="K3" t="s">
        <v>540</v>
      </c>
      <c r="L3" s="64"/>
    </row>
    <row r="4" spans="2:12">
      <c r="D4" s="91" t="s">
        <v>71</v>
      </c>
      <c r="E4" s="91"/>
      <c r="F4" s="91"/>
      <c r="G4" s="91"/>
      <c r="H4" s="91"/>
      <c r="I4" s="91"/>
      <c r="J4" s="91"/>
      <c r="K4" s="91"/>
      <c r="L4" s="62" t="s">
        <v>393</v>
      </c>
    </row>
    <row r="5" spans="2:12">
      <c r="D5" s="91" t="s">
        <v>72</v>
      </c>
      <c r="E5" s="91"/>
      <c r="F5" s="91"/>
      <c r="G5" s="91"/>
      <c r="H5" s="91"/>
      <c r="I5" s="91"/>
      <c r="J5" s="91"/>
      <c r="K5" s="91"/>
      <c r="L5" s="64" t="s">
        <v>235</v>
      </c>
    </row>
    <row r="6" spans="2:12">
      <c r="D6" s="91" t="s">
        <v>136</v>
      </c>
      <c r="E6" s="91"/>
      <c r="F6" s="91"/>
      <c r="G6" s="91"/>
      <c r="H6" s="91"/>
      <c r="I6" s="91"/>
      <c r="J6" s="91"/>
      <c r="K6" s="91"/>
      <c r="L6" s="62"/>
    </row>
    <row r="7" spans="2:12">
      <c r="L7" s="64"/>
    </row>
    <row r="9" spans="2:12">
      <c r="B9" s="19" t="s">
        <v>52</v>
      </c>
    </row>
    <row r="10" spans="2:12">
      <c r="B10" s="2" t="s">
        <v>53</v>
      </c>
      <c r="D10" s="4" t="s">
        <v>54</v>
      </c>
      <c r="E10" s="4"/>
      <c r="F10" s="4"/>
      <c r="G10" s="4"/>
      <c r="I10" s="2" t="s">
        <v>137</v>
      </c>
      <c r="J10" s="19"/>
      <c r="K10" s="2" t="s">
        <v>60</v>
      </c>
    </row>
    <row r="12" spans="2:12">
      <c r="B12" s="19">
        <v>1</v>
      </c>
      <c r="D12" s="5" t="s">
        <v>138</v>
      </c>
      <c r="E12" s="5"/>
      <c r="F12" s="5"/>
      <c r="G12" s="5"/>
      <c r="H12" s="5"/>
      <c r="I12" s="5"/>
      <c r="J12" s="5"/>
      <c r="K12" s="35" t="s">
        <v>139</v>
      </c>
    </row>
    <row r="13" spans="2:12">
      <c r="B13" s="19">
        <v>2</v>
      </c>
      <c r="D13" s="5" t="s">
        <v>140</v>
      </c>
      <c r="E13" s="5"/>
      <c r="F13" s="5"/>
      <c r="G13" s="5"/>
      <c r="H13" s="5"/>
      <c r="I13" s="5"/>
      <c r="J13" s="5"/>
      <c r="K13" s="35" t="s">
        <v>141</v>
      </c>
    </row>
    <row r="14" spans="2:12">
      <c r="B14" s="19">
        <v>3</v>
      </c>
      <c r="D14" s="31" t="s">
        <v>142</v>
      </c>
      <c r="E14" s="5"/>
      <c r="F14" s="5"/>
      <c r="G14" s="5"/>
      <c r="H14" s="5"/>
      <c r="I14" s="28">
        <f>+'[1]Pres &amp; Prop Rev'!$C$130/1000</f>
        <v>460040.09196726209</v>
      </c>
      <c r="J14" s="5"/>
      <c r="K14" s="36" t="s">
        <v>143</v>
      </c>
    </row>
    <row r="15" spans="2:12">
      <c r="B15" s="19"/>
      <c r="D15" s="5"/>
      <c r="E15" s="5"/>
      <c r="F15" s="5"/>
      <c r="G15" s="5"/>
      <c r="H15" s="5"/>
      <c r="I15" s="28"/>
      <c r="J15" s="5"/>
      <c r="K15" s="30"/>
    </row>
    <row r="16" spans="2:12">
      <c r="B16" s="19">
        <v>4</v>
      </c>
      <c r="D16" s="5" t="s">
        <v>138</v>
      </c>
      <c r="E16" s="5"/>
      <c r="F16" s="5"/>
      <c r="G16" s="5"/>
      <c r="H16" s="5"/>
      <c r="I16" s="5"/>
      <c r="J16" s="5"/>
      <c r="K16" s="35" t="s">
        <v>139</v>
      </c>
    </row>
    <row r="17" spans="2:11">
      <c r="B17" s="19">
        <v>5</v>
      </c>
      <c r="D17" s="31" t="s">
        <v>144</v>
      </c>
      <c r="E17" s="5"/>
      <c r="F17" s="5"/>
      <c r="G17" s="5"/>
      <c r="H17" s="5"/>
      <c r="I17" s="5"/>
      <c r="J17" s="5"/>
      <c r="K17" s="35" t="s">
        <v>146</v>
      </c>
    </row>
    <row r="18" spans="2:11">
      <c r="B18" s="19">
        <v>6</v>
      </c>
      <c r="D18" s="31" t="s">
        <v>145</v>
      </c>
      <c r="E18" s="5"/>
      <c r="F18" s="5"/>
      <c r="G18" s="5"/>
      <c r="H18" s="5"/>
      <c r="I18" s="17">
        <v>458524</v>
      </c>
      <c r="J18" s="5"/>
      <c r="K18" s="58" t="s">
        <v>432</v>
      </c>
    </row>
    <row r="19" spans="2:11">
      <c r="B19" s="19"/>
      <c r="D19" s="5"/>
      <c r="E19" s="5"/>
      <c r="F19" s="5"/>
      <c r="G19" s="5"/>
      <c r="H19" s="5"/>
      <c r="I19" s="24"/>
      <c r="J19" s="5"/>
      <c r="K19" s="5"/>
    </row>
    <row r="20" spans="2:11">
      <c r="B20" s="19">
        <v>7</v>
      </c>
      <c r="D20" s="31" t="s">
        <v>147</v>
      </c>
      <c r="E20" s="5"/>
      <c r="F20" s="5"/>
      <c r="G20" s="5"/>
      <c r="H20" s="5"/>
      <c r="I20" s="24"/>
      <c r="J20" s="5"/>
      <c r="K20" s="30"/>
    </row>
    <row r="21" spans="2:11">
      <c r="B21" s="19">
        <v>8</v>
      </c>
      <c r="D21" s="31" t="s">
        <v>148</v>
      </c>
      <c r="E21" s="5"/>
      <c r="F21" s="5"/>
      <c r="G21" s="5"/>
      <c r="H21" s="5"/>
      <c r="I21" s="28">
        <f>+I14-I18</f>
        <v>1516.0919672620948</v>
      </c>
      <c r="J21" s="5"/>
      <c r="K21" s="5" t="s">
        <v>149</v>
      </c>
    </row>
    <row r="22" spans="2:11">
      <c r="B22" s="19"/>
      <c r="D22" s="5"/>
      <c r="E22" s="5"/>
      <c r="F22" s="5"/>
      <c r="G22" s="5"/>
      <c r="H22" s="5"/>
      <c r="I22" s="5"/>
      <c r="J22" s="5"/>
      <c r="K22" s="5"/>
    </row>
    <row r="23" spans="2:11">
      <c r="B23" s="19">
        <v>9</v>
      </c>
      <c r="D23" s="31" t="s">
        <v>150</v>
      </c>
      <c r="E23" s="5"/>
      <c r="F23" s="5"/>
      <c r="G23" s="5"/>
      <c r="H23" s="5"/>
      <c r="I23" s="25"/>
      <c r="J23" s="5"/>
      <c r="K23" s="35" t="s">
        <v>151</v>
      </c>
    </row>
    <row r="24" spans="2:11">
      <c r="B24" s="19">
        <v>10</v>
      </c>
      <c r="D24" s="31" t="s">
        <v>152</v>
      </c>
      <c r="E24" s="5"/>
      <c r="F24" s="5"/>
      <c r="G24" s="5"/>
      <c r="H24" s="5"/>
      <c r="I24" s="17">
        <v>15489</v>
      </c>
      <c r="J24" s="5"/>
      <c r="K24" s="35" t="s">
        <v>153</v>
      </c>
    </row>
    <row r="25" spans="2:11">
      <c r="D25" s="5"/>
      <c r="E25" s="5"/>
      <c r="F25" s="5"/>
      <c r="G25" s="5"/>
      <c r="H25" s="5"/>
      <c r="I25" s="5"/>
      <c r="J25" s="5"/>
      <c r="K25" s="5"/>
    </row>
    <row r="26" spans="2:11">
      <c r="B26" s="19">
        <v>11</v>
      </c>
      <c r="D26" s="31" t="s">
        <v>154</v>
      </c>
      <c r="E26" s="5"/>
      <c r="F26" s="5"/>
      <c r="G26" s="5"/>
      <c r="H26" s="5"/>
      <c r="I26" s="5"/>
      <c r="J26" s="5"/>
      <c r="K26" s="5"/>
    </row>
    <row r="27" spans="2:11">
      <c r="B27" s="19">
        <v>12</v>
      </c>
      <c r="D27" s="31" t="s">
        <v>155</v>
      </c>
    </row>
    <row r="28" spans="2:11">
      <c r="B28" s="19">
        <v>13</v>
      </c>
      <c r="D28" s="31" t="s">
        <v>156</v>
      </c>
      <c r="I28" s="28">
        <f>+I21+I24</f>
        <v>17005.091967262095</v>
      </c>
      <c r="K28" s="83" t="s">
        <v>157</v>
      </c>
    </row>
    <row r="30" spans="2:11">
      <c r="B30" s="19">
        <v>14</v>
      </c>
      <c r="D30" s="5" t="s">
        <v>87</v>
      </c>
      <c r="E30" s="5"/>
      <c r="F30" s="5"/>
      <c r="G30" s="5"/>
      <c r="H30" s="5"/>
      <c r="I30" s="27">
        <v>0.35</v>
      </c>
      <c r="J30" s="5"/>
      <c r="K30" s="5"/>
    </row>
    <row r="31" spans="2:11">
      <c r="B31" s="19"/>
      <c r="D31" s="5"/>
      <c r="E31" s="5"/>
      <c r="F31" s="5"/>
      <c r="G31" s="5"/>
      <c r="H31" s="5"/>
      <c r="I31" s="5"/>
      <c r="J31" s="5"/>
      <c r="K31" s="5"/>
    </row>
    <row r="32" spans="2:11">
      <c r="B32" s="19">
        <v>15</v>
      </c>
      <c r="D32" t="s">
        <v>418</v>
      </c>
      <c r="E32" s="5"/>
      <c r="F32" s="5"/>
      <c r="G32" s="5"/>
      <c r="H32" s="5"/>
      <c r="I32" s="28">
        <f>-I28*I30</f>
        <v>-5951.7821885417325</v>
      </c>
      <c r="J32" s="5"/>
      <c r="K32" s="5" t="s">
        <v>158</v>
      </c>
    </row>
    <row r="33" spans="2:11">
      <c r="E33" s="5"/>
      <c r="F33" s="5"/>
      <c r="G33" s="5"/>
      <c r="H33" s="5"/>
      <c r="I33" s="5"/>
      <c r="J33" s="5"/>
      <c r="K33" s="5"/>
    </row>
    <row r="34" spans="2:11">
      <c r="B34" s="19">
        <v>16</v>
      </c>
      <c r="D34" s="5" t="s">
        <v>428</v>
      </c>
      <c r="E34" s="5"/>
      <c r="F34" s="5"/>
      <c r="G34" s="5"/>
      <c r="H34" s="5"/>
      <c r="I34" s="26"/>
      <c r="J34" s="5"/>
      <c r="K34" s="5"/>
    </row>
    <row r="35" spans="2:11" ht="16.5" thickBot="1">
      <c r="B35" s="19">
        <v>17</v>
      </c>
      <c r="D35" s="31" t="s">
        <v>429</v>
      </c>
      <c r="E35" s="5"/>
      <c r="F35" s="5"/>
      <c r="G35" s="5"/>
      <c r="H35" s="5"/>
      <c r="I35" s="33">
        <f>+I28+I32</f>
        <v>11053.309778720362</v>
      </c>
      <c r="J35" s="5"/>
      <c r="K35" s="5" t="s">
        <v>159</v>
      </c>
    </row>
    <row r="36" spans="2:11" ht="16.5" thickTop="1">
      <c r="B36" s="19"/>
      <c r="D36" s="5"/>
      <c r="E36" s="5"/>
      <c r="F36" s="5"/>
      <c r="G36" s="5"/>
      <c r="H36" s="5"/>
      <c r="I36" s="5"/>
      <c r="J36" s="5"/>
      <c r="K36" s="5"/>
    </row>
  </sheetData>
  <mergeCells count="3">
    <mergeCell ref="D4:K4"/>
    <mergeCell ref="D5:K5"/>
    <mergeCell ref="D6:K6"/>
  </mergeCell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B1:L29"/>
  <sheetViews>
    <sheetView tabSelected="1" workbookViewId="0">
      <selection activeCell="X5" sqref="X5"/>
    </sheetView>
  </sheetViews>
  <sheetFormatPr defaultRowHeight="15.75"/>
  <cols>
    <col min="2" max="2" width="5.625" customWidth="1"/>
    <col min="3" max="3" width="1.625" customWidth="1"/>
    <col min="9" max="9" width="12.75" bestFit="1" customWidth="1"/>
    <col min="10" max="10" width="2.625" customWidth="1"/>
    <col min="11" max="11" width="15" bestFit="1" customWidth="1"/>
    <col min="12" max="12" width="11.375" customWidth="1"/>
  </cols>
  <sheetData>
    <row r="1" spans="2:12">
      <c r="K1" t="s">
        <v>531</v>
      </c>
      <c r="L1" s="62"/>
    </row>
    <row r="2" spans="2:12">
      <c r="K2" t="s">
        <v>526</v>
      </c>
      <c r="L2" s="62"/>
    </row>
    <row r="3" spans="2:12">
      <c r="K3" t="s">
        <v>541</v>
      </c>
      <c r="L3" s="64"/>
    </row>
    <row r="4" spans="2:12">
      <c r="D4" s="91" t="s">
        <v>71</v>
      </c>
      <c r="E4" s="91"/>
      <c r="F4" s="91"/>
      <c r="G4" s="91"/>
      <c r="H4" s="91"/>
      <c r="I4" s="91"/>
      <c r="J4" s="91"/>
      <c r="K4" s="91"/>
      <c r="L4" s="62" t="s">
        <v>394</v>
      </c>
    </row>
    <row r="5" spans="2:12">
      <c r="D5" s="91" t="s">
        <v>72</v>
      </c>
      <c r="E5" s="91"/>
      <c r="F5" s="91"/>
      <c r="G5" s="91"/>
      <c r="H5" s="91"/>
      <c r="I5" s="91"/>
      <c r="J5" s="91"/>
      <c r="K5" s="91"/>
      <c r="L5" s="64" t="s">
        <v>236</v>
      </c>
    </row>
    <row r="6" spans="2:12">
      <c r="D6" s="91" t="s">
        <v>222</v>
      </c>
      <c r="E6" s="91"/>
      <c r="F6" s="91"/>
      <c r="G6" s="91"/>
      <c r="H6" s="91"/>
      <c r="I6" s="91"/>
      <c r="J6" s="91"/>
      <c r="K6" s="91"/>
    </row>
    <row r="9" spans="2:12">
      <c r="B9" s="19" t="s">
        <v>52</v>
      </c>
      <c r="I9" s="43" t="s">
        <v>240</v>
      </c>
    </row>
    <row r="10" spans="2:12">
      <c r="B10" s="2" t="s">
        <v>53</v>
      </c>
      <c r="D10" s="4" t="s">
        <v>54</v>
      </c>
      <c r="E10" s="4"/>
      <c r="F10" s="4"/>
      <c r="G10" s="4"/>
      <c r="I10" s="2" t="s">
        <v>59</v>
      </c>
      <c r="J10" s="19"/>
      <c r="K10" s="2" t="s">
        <v>60</v>
      </c>
    </row>
    <row r="12" spans="2:12">
      <c r="B12" s="19">
        <v>1</v>
      </c>
      <c r="D12" s="5" t="s">
        <v>223</v>
      </c>
      <c r="E12" s="5"/>
      <c r="F12" s="5"/>
      <c r="G12" s="5"/>
      <c r="H12" s="5"/>
      <c r="I12" s="5"/>
      <c r="J12" s="5"/>
      <c r="K12" s="35"/>
    </row>
    <row r="13" spans="2:12">
      <c r="B13" s="19">
        <v>2</v>
      </c>
      <c r="D13" s="5" t="s">
        <v>224</v>
      </c>
      <c r="E13" s="5"/>
      <c r="F13" s="5"/>
      <c r="G13" s="5"/>
      <c r="H13" s="5"/>
      <c r="I13" s="5"/>
      <c r="J13" s="5"/>
      <c r="K13" s="35"/>
    </row>
    <row r="14" spans="2:12">
      <c r="B14" s="19"/>
      <c r="D14" s="31"/>
      <c r="E14" s="5"/>
      <c r="F14" s="5"/>
      <c r="G14" s="5"/>
      <c r="H14" s="5"/>
      <c r="I14" s="28"/>
      <c r="J14" s="5"/>
      <c r="K14" s="36"/>
    </row>
    <row r="15" spans="2:12">
      <c r="B15" s="19">
        <v>3</v>
      </c>
      <c r="D15" s="5"/>
      <c r="E15" s="5" t="s">
        <v>225</v>
      </c>
      <c r="F15" s="5"/>
      <c r="G15" s="5"/>
      <c r="H15" s="5"/>
      <c r="J15" s="5"/>
      <c r="K15" s="30"/>
    </row>
    <row r="16" spans="2:12">
      <c r="B16" s="19">
        <v>4</v>
      </c>
      <c r="D16" s="5"/>
      <c r="E16" s="5">
        <v>2007</v>
      </c>
      <c r="F16" s="5"/>
      <c r="G16" s="5"/>
      <c r="H16" s="5"/>
      <c r="I16" s="42">
        <v>73047</v>
      </c>
      <c r="J16" s="5"/>
      <c r="K16" s="35" t="s">
        <v>231</v>
      </c>
    </row>
    <row r="17" spans="2:11">
      <c r="B17" s="19">
        <v>5</v>
      </c>
      <c r="D17" s="31"/>
      <c r="E17" s="5">
        <f>+E16+1</f>
        <v>2008</v>
      </c>
      <c r="F17" s="5"/>
      <c r="G17" s="5"/>
      <c r="H17" s="5"/>
      <c r="I17" s="13">
        <v>101196</v>
      </c>
      <c r="J17" s="5"/>
      <c r="K17" s="35" t="s">
        <v>241</v>
      </c>
    </row>
    <row r="18" spans="2:11">
      <c r="B18" s="19">
        <v>6</v>
      </c>
      <c r="D18" s="31"/>
      <c r="E18" s="5">
        <f t="shared" ref="E18:E19" si="0">+E17+1</f>
        <v>2009</v>
      </c>
      <c r="F18" s="5"/>
      <c r="G18" s="5"/>
      <c r="H18" s="5"/>
      <c r="I18" s="13">
        <v>503562</v>
      </c>
      <c r="J18" s="5"/>
      <c r="K18" s="35"/>
    </row>
    <row r="19" spans="2:11">
      <c r="B19" s="19">
        <v>7</v>
      </c>
      <c r="D19" s="5"/>
      <c r="E19" s="5">
        <f t="shared" si="0"/>
        <v>2010</v>
      </c>
      <c r="F19" s="5"/>
      <c r="G19" s="5"/>
      <c r="H19" s="5"/>
      <c r="I19" s="15">
        <v>486144</v>
      </c>
      <c r="J19" s="5"/>
      <c r="K19" s="5"/>
    </row>
    <row r="20" spans="2:11">
      <c r="B20" s="19">
        <v>8</v>
      </c>
      <c r="D20" s="31"/>
      <c r="E20" s="5" t="s">
        <v>226</v>
      </c>
      <c r="F20" s="5"/>
      <c r="G20" s="5"/>
      <c r="H20" s="5"/>
      <c r="I20" s="24"/>
      <c r="J20" s="5"/>
      <c r="K20" s="30"/>
    </row>
    <row r="21" spans="2:11">
      <c r="B21" s="19">
        <v>9</v>
      </c>
      <c r="D21" s="31"/>
      <c r="E21" s="5" t="s">
        <v>227</v>
      </c>
      <c r="F21" s="5"/>
      <c r="G21" s="5"/>
      <c r="H21" s="5"/>
      <c r="I21" s="28">
        <f>SUM(I16:I20)</f>
        <v>1163949</v>
      </c>
      <c r="J21" s="5"/>
      <c r="K21" s="35" t="s">
        <v>228</v>
      </c>
    </row>
    <row r="22" spans="2:11">
      <c r="D22" s="5"/>
      <c r="E22" s="5"/>
      <c r="F22" s="5"/>
      <c r="G22" s="5"/>
      <c r="H22" s="5"/>
      <c r="I22" s="5"/>
      <c r="J22" s="5"/>
      <c r="K22" s="35"/>
    </row>
    <row r="23" spans="2:11">
      <c r="B23" s="19">
        <v>10</v>
      </c>
      <c r="D23" s="5" t="s">
        <v>87</v>
      </c>
      <c r="E23" s="5"/>
      <c r="F23" s="5"/>
      <c r="G23" s="5"/>
      <c r="H23" s="5"/>
      <c r="I23" s="27">
        <v>0.35</v>
      </c>
      <c r="J23" s="5"/>
      <c r="K23" s="35"/>
    </row>
    <row r="24" spans="2:11">
      <c r="D24" s="5"/>
      <c r="E24" s="5"/>
      <c r="F24" s="5"/>
      <c r="G24" s="5"/>
      <c r="H24" s="5"/>
      <c r="I24" s="5"/>
      <c r="J24" s="5"/>
      <c r="K24" s="35"/>
    </row>
    <row r="25" spans="2:11">
      <c r="B25" s="19">
        <v>11</v>
      </c>
      <c r="D25" t="s">
        <v>418</v>
      </c>
      <c r="E25" s="5"/>
      <c r="F25" s="5"/>
      <c r="G25" s="5"/>
      <c r="H25" s="5"/>
      <c r="I25" s="28">
        <f>-I21*I23</f>
        <v>-407382.14999999997</v>
      </c>
      <c r="J25" s="5"/>
      <c r="K25" s="35" t="s">
        <v>229</v>
      </c>
    </row>
    <row r="26" spans="2:11">
      <c r="E26" s="5"/>
      <c r="F26" s="5"/>
      <c r="G26" s="5"/>
      <c r="H26" s="5"/>
      <c r="I26" s="5"/>
      <c r="J26" s="5"/>
      <c r="K26" s="35"/>
    </row>
    <row r="27" spans="2:11">
      <c r="B27" s="19">
        <v>12</v>
      </c>
      <c r="D27" s="5" t="s">
        <v>411</v>
      </c>
      <c r="E27" s="5"/>
      <c r="F27" s="5"/>
      <c r="G27" s="5"/>
      <c r="H27" s="5"/>
      <c r="I27" s="26"/>
      <c r="J27" s="5"/>
      <c r="K27" s="35"/>
    </row>
    <row r="28" spans="2:11" ht="16.5" thickBot="1">
      <c r="B28" s="19">
        <v>13</v>
      </c>
      <c r="D28" s="31" t="s">
        <v>412</v>
      </c>
      <c r="E28" s="5"/>
      <c r="F28" s="5"/>
      <c r="G28" s="5"/>
      <c r="H28" s="5"/>
      <c r="I28" s="33">
        <f>+I21+I25</f>
        <v>756566.85000000009</v>
      </c>
      <c r="J28" s="5"/>
      <c r="K28" s="35" t="s">
        <v>230</v>
      </c>
    </row>
    <row r="29" spans="2:11" ht="16.5" thickTop="1">
      <c r="D29" s="5"/>
      <c r="E29" s="5"/>
      <c r="F29" s="5"/>
      <c r="G29" s="5"/>
      <c r="H29" s="5"/>
      <c r="I29" s="5"/>
      <c r="J29" s="5"/>
      <c r="K29" s="5"/>
    </row>
  </sheetData>
  <mergeCells count="3">
    <mergeCell ref="D4:K4"/>
    <mergeCell ref="D5:K5"/>
    <mergeCell ref="D6:K6"/>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B1:L34"/>
  <sheetViews>
    <sheetView tabSelected="1" workbookViewId="0">
      <selection activeCell="X5" sqref="X5"/>
    </sheetView>
  </sheetViews>
  <sheetFormatPr defaultRowHeight="15.75"/>
  <cols>
    <col min="2" max="2" width="5.625" customWidth="1"/>
    <col min="3" max="3" width="1.625" customWidth="1"/>
    <col min="9" max="9" width="12.75" bestFit="1" customWidth="1"/>
    <col min="10" max="10" width="2.625" customWidth="1"/>
    <col min="11" max="11" width="15" bestFit="1" customWidth="1"/>
    <col min="12" max="12" width="11.375" customWidth="1"/>
  </cols>
  <sheetData>
    <row r="1" spans="2:12">
      <c r="K1" t="s">
        <v>531</v>
      </c>
      <c r="L1" s="62"/>
    </row>
    <row r="2" spans="2:12">
      <c r="K2" t="s">
        <v>526</v>
      </c>
      <c r="L2" s="62"/>
    </row>
    <row r="3" spans="2:12">
      <c r="K3" t="s">
        <v>542</v>
      </c>
      <c r="L3" s="64"/>
    </row>
    <row r="4" spans="2:12">
      <c r="D4" s="91" t="s">
        <v>71</v>
      </c>
      <c r="E4" s="91"/>
      <c r="F4" s="91"/>
      <c r="G4" s="91"/>
      <c r="H4" s="91"/>
      <c r="I4" s="91"/>
      <c r="J4" s="91"/>
      <c r="K4" s="91"/>
      <c r="L4" s="62" t="s">
        <v>395</v>
      </c>
    </row>
    <row r="5" spans="2:12">
      <c r="D5" s="91" t="s">
        <v>72</v>
      </c>
      <c r="E5" s="91"/>
      <c r="F5" s="91"/>
      <c r="G5" s="91"/>
      <c r="H5" s="91"/>
      <c r="I5" s="91"/>
      <c r="J5" s="91"/>
      <c r="K5" s="91"/>
      <c r="L5" s="64" t="s">
        <v>462</v>
      </c>
    </row>
    <row r="6" spans="2:12">
      <c r="D6" s="91" t="s">
        <v>463</v>
      </c>
      <c r="E6" s="91"/>
      <c r="F6" s="91"/>
      <c r="G6" s="91"/>
      <c r="H6" s="91"/>
      <c r="I6" s="91"/>
      <c r="J6" s="91"/>
      <c r="K6" s="91"/>
    </row>
    <row r="9" spans="2:12">
      <c r="B9" s="84" t="s">
        <v>52</v>
      </c>
      <c r="I9" s="84" t="s">
        <v>240</v>
      </c>
    </row>
    <row r="10" spans="2:12">
      <c r="B10" s="2" t="s">
        <v>53</v>
      </c>
      <c r="D10" s="4" t="s">
        <v>54</v>
      </c>
      <c r="E10" s="4"/>
      <c r="F10" s="4"/>
      <c r="G10" s="4"/>
      <c r="I10" s="2" t="s">
        <v>59</v>
      </c>
      <c r="J10" s="84"/>
      <c r="K10" s="2" t="s">
        <v>60</v>
      </c>
    </row>
    <row r="12" spans="2:12">
      <c r="B12" s="84">
        <v>1</v>
      </c>
      <c r="D12" t="s">
        <v>464</v>
      </c>
      <c r="K12" s="84" t="s">
        <v>453</v>
      </c>
    </row>
    <row r="13" spans="2:12">
      <c r="B13" s="84">
        <v>2</v>
      </c>
      <c r="D13" t="s">
        <v>465</v>
      </c>
      <c r="I13" s="16">
        <v>748858</v>
      </c>
      <c r="K13" s="84" t="s">
        <v>466</v>
      </c>
    </row>
    <row r="14" spans="2:12">
      <c r="B14" s="84"/>
      <c r="K14" s="84"/>
    </row>
    <row r="15" spans="2:12">
      <c r="B15" s="84">
        <v>3</v>
      </c>
      <c r="D15" t="s">
        <v>511</v>
      </c>
      <c r="K15" s="84" t="s">
        <v>469</v>
      </c>
    </row>
    <row r="16" spans="2:12">
      <c r="B16" s="84">
        <v>4</v>
      </c>
      <c r="D16" t="s">
        <v>467</v>
      </c>
      <c r="K16" s="84" t="s">
        <v>470</v>
      </c>
    </row>
    <row r="17" spans="2:11">
      <c r="B17" s="84">
        <v>5</v>
      </c>
      <c r="D17" t="s">
        <v>468</v>
      </c>
      <c r="I17" s="17">
        <f>+'[2]Exh SC10C'!$J$17</f>
        <v>-279801</v>
      </c>
      <c r="K17" s="84" t="s">
        <v>471</v>
      </c>
    </row>
    <row r="18" spans="2:11">
      <c r="B18" s="84"/>
      <c r="K18" s="84"/>
    </row>
    <row r="19" spans="2:11">
      <c r="B19" s="84">
        <v>6</v>
      </c>
      <c r="D19" t="s">
        <v>464</v>
      </c>
      <c r="K19" s="84"/>
    </row>
    <row r="20" spans="2:11">
      <c r="B20" s="84">
        <v>7</v>
      </c>
      <c r="D20" t="s">
        <v>472</v>
      </c>
      <c r="K20" s="84"/>
    </row>
    <row r="21" spans="2:11">
      <c r="B21" s="84">
        <v>8</v>
      </c>
      <c r="D21" t="s">
        <v>473</v>
      </c>
      <c r="I21" s="45">
        <f>+I13+I17</f>
        <v>469057</v>
      </c>
      <c r="K21" s="84" t="s">
        <v>474</v>
      </c>
    </row>
    <row r="22" spans="2:11">
      <c r="B22" s="84"/>
      <c r="K22" s="84"/>
    </row>
    <row r="23" spans="2:11">
      <c r="B23" s="84">
        <v>9</v>
      </c>
      <c r="D23" s="5" t="s">
        <v>87</v>
      </c>
      <c r="E23" s="5"/>
      <c r="F23" s="5"/>
      <c r="G23" s="5"/>
      <c r="H23" s="5"/>
      <c r="I23" s="27">
        <v>0.35</v>
      </c>
      <c r="J23" s="5"/>
      <c r="K23" s="35"/>
    </row>
    <row r="24" spans="2:11">
      <c r="B24" s="84"/>
      <c r="D24" s="5"/>
      <c r="E24" s="5"/>
      <c r="F24" s="5"/>
      <c r="G24" s="5"/>
      <c r="H24" s="5"/>
      <c r="I24" s="5"/>
      <c r="J24" s="5"/>
      <c r="K24" s="35"/>
    </row>
    <row r="25" spans="2:11">
      <c r="B25" s="84">
        <v>10</v>
      </c>
      <c r="D25" t="s">
        <v>418</v>
      </c>
      <c r="E25" s="5"/>
      <c r="F25" s="5"/>
      <c r="G25" s="5"/>
      <c r="H25" s="5"/>
      <c r="I25" s="28">
        <f>-I21*I23</f>
        <v>-164169.94999999998</v>
      </c>
      <c r="J25" s="5"/>
      <c r="K25" s="35" t="s">
        <v>232</v>
      </c>
    </row>
    <row r="26" spans="2:11">
      <c r="B26" s="84"/>
      <c r="E26" s="5"/>
      <c r="F26" s="5"/>
      <c r="G26" s="5"/>
      <c r="H26" s="5"/>
      <c r="I26" s="5"/>
      <c r="J26" s="5"/>
      <c r="K26" s="35"/>
    </row>
    <row r="27" spans="2:11">
      <c r="B27" s="84">
        <v>11</v>
      </c>
      <c r="D27" s="5" t="s">
        <v>475</v>
      </c>
      <c r="E27" s="5"/>
      <c r="F27" s="5"/>
      <c r="G27" s="5"/>
      <c r="H27" s="5"/>
      <c r="I27" s="26"/>
      <c r="J27" s="5"/>
      <c r="K27" s="35"/>
    </row>
    <row r="28" spans="2:11">
      <c r="B28" s="84">
        <v>12</v>
      </c>
      <c r="D28" s="31" t="s">
        <v>476</v>
      </c>
      <c r="E28" s="5"/>
      <c r="F28" s="5"/>
      <c r="G28" s="5"/>
      <c r="H28" s="5"/>
    </row>
    <row r="29" spans="2:11" ht="16.5" thickBot="1">
      <c r="B29" s="84">
        <v>13</v>
      </c>
      <c r="D29" s="31" t="s">
        <v>477</v>
      </c>
      <c r="E29" s="5"/>
      <c r="F29" s="5"/>
      <c r="G29" s="5"/>
      <c r="H29" s="5"/>
      <c r="I29" s="33">
        <f>-I21-I25</f>
        <v>-304887.05000000005</v>
      </c>
      <c r="J29" s="5"/>
      <c r="K29" s="35" t="s">
        <v>233</v>
      </c>
    </row>
    <row r="30" spans="2:11" ht="16.5" thickTop="1">
      <c r="B30" s="84"/>
    </row>
    <row r="31" spans="2:11">
      <c r="B31" s="84"/>
    </row>
    <row r="32" spans="2:11">
      <c r="B32" s="84"/>
    </row>
    <row r="33" spans="2:2">
      <c r="B33" s="84"/>
    </row>
    <row r="34" spans="2:2">
      <c r="B34" s="84"/>
    </row>
  </sheetData>
  <mergeCells count="3">
    <mergeCell ref="D4:K4"/>
    <mergeCell ref="D5:K5"/>
    <mergeCell ref="D6:K6"/>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Q73"/>
  <sheetViews>
    <sheetView tabSelected="1" workbookViewId="0">
      <selection activeCell="X5" sqref="X5"/>
    </sheetView>
  </sheetViews>
  <sheetFormatPr defaultRowHeight="15.75"/>
  <cols>
    <col min="2" max="2" width="5.625" customWidth="1"/>
    <col min="3" max="3" width="1.625" customWidth="1"/>
    <col min="7" max="7" width="2.625" customWidth="1"/>
    <col min="8" max="8" width="15.125" bestFit="1" customWidth="1"/>
    <col min="9" max="9" width="3.625" customWidth="1"/>
    <col min="10" max="10" width="15.125" bestFit="1" customWidth="1"/>
    <col min="11" max="11" width="2.625" customWidth="1"/>
    <col min="12" max="12" width="11.375" customWidth="1"/>
  </cols>
  <sheetData>
    <row r="1" spans="2:14">
      <c r="L1" t="s">
        <v>530</v>
      </c>
      <c r="M1" s="62"/>
    </row>
    <row r="2" spans="2:14">
      <c r="L2" t="s">
        <v>526</v>
      </c>
      <c r="M2" s="62"/>
    </row>
    <row r="3" spans="2:14">
      <c r="L3" t="s">
        <v>543</v>
      </c>
      <c r="M3" s="64"/>
    </row>
    <row r="4" spans="2:14">
      <c r="D4" s="91" t="s">
        <v>71</v>
      </c>
      <c r="E4" s="91"/>
      <c r="F4" s="91"/>
      <c r="G4" s="91"/>
      <c r="H4" s="91"/>
      <c r="I4" s="91"/>
      <c r="J4" s="91"/>
      <c r="K4" s="91"/>
      <c r="L4" s="91"/>
      <c r="N4" s="62"/>
    </row>
    <row r="5" spans="2:14">
      <c r="D5" s="91" t="s">
        <v>72</v>
      </c>
      <c r="E5" s="91"/>
      <c r="F5" s="91"/>
      <c r="G5" s="91"/>
      <c r="H5" s="91"/>
      <c r="I5" s="91"/>
      <c r="J5" s="91"/>
      <c r="K5" s="91"/>
      <c r="L5" s="91"/>
      <c r="M5" s="62"/>
      <c r="N5" s="62" t="s">
        <v>396</v>
      </c>
    </row>
    <row r="6" spans="2:14">
      <c r="D6" s="91" t="s">
        <v>160</v>
      </c>
      <c r="E6" s="91"/>
      <c r="F6" s="91"/>
      <c r="G6" s="91"/>
      <c r="H6" s="91"/>
      <c r="I6" s="91"/>
      <c r="J6" s="91"/>
      <c r="K6" s="91"/>
      <c r="L6" s="91"/>
      <c r="M6" s="62"/>
      <c r="N6" s="64" t="s">
        <v>237</v>
      </c>
    </row>
    <row r="8" spans="2:14">
      <c r="B8" s="19" t="s">
        <v>52</v>
      </c>
      <c r="H8" s="35" t="s">
        <v>170</v>
      </c>
      <c r="J8" s="19" t="s">
        <v>167</v>
      </c>
    </row>
    <row r="9" spans="2:14">
      <c r="B9" s="2" t="s">
        <v>53</v>
      </c>
      <c r="D9" s="4" t="s">
        <v>54</v>
      </c>
      <c r="E9" s="4"/>
      <c r="F9" s="4"/>
      <c r="H9" s="2" t="s">
        <v>171</v>
      </c>
      <c r="J9" s="2" t="s">
        <v>59</v>
      </c>
      <c r="K9" s="19"/>
      <c r="L9" s="2" t="s">
        <v>60</v>
      </c>
    </row>
    <row r="11" spans="2:14">
      <c r="B11" s="19">
        <v>1</v>
      </c>
      <c r="D11" s="37" t="s">
        <v>161</v>
      </c>
      <c r="E11" s="5"/>
      <c r="F11" s="5"/>
      <c r="G11" s="5"/>
      <c r="H11" s="5"/>
      <c r="I11" s="5"/>
      <c r="J11" s="5"/>
      <c r="K11" s="5"/>
      <c r="L11" s="35"/>
      <c r="M11" s="5"/>
    </row>
    <row r="12" spans="2:14">
      <c r="B12" s="19">
        <v>2</v>
      </c>
      <c r="D12" s="37" t="s">
        <v>162</v>
      </c>
      <c r="E12" s="5"/>
      <c r="F12" s="5"/>
      <c r="G12" s="5"/>
      <c r="H12" s="5"/>
      <c r="I12" s="5"/>
      <c r="J12" s="19" t="s">
        <v>168</v>
      </c>
      <c r="K12" s="5"/>
      <c r="L12" s="35"/>
      <c r="M12" s="5"/>
    </row>
    <row r="13" spans="2:14">
      <c r="B13" s="19">
        <v>3</v>
      </c>
      <c r="D13" s="38" t="s">
        <v>163</v>
      </c>
      <c r="E13" s="5"/>
      <c r="F13" s="5"/>
      <c r="G13" s="5"/>
      <c r="H13" s="5"/>
      <c r="I13" s="5"/>
      <c r="J13" s="19" t="s">
        <v>169</v>
      </c>
      <c r="K13" s="5"/>
      <c r="L13" s="36"/>
      <c r="M13" s="5"/>
    </row>
    <row r="14" spans="2:14">
      <c r="B14" s="19"/>
      <c r="D14" s="5"/>
      <c r="E14" s="5"/>
      <c r="F14" s="5"/>
      <c r="G14" s="5"/>
      <c r="H14" s="5"/>
      <c r="I14" s="5"/>
      <c r="J14" s="28"/>
      <c r="K14" s="5"/>
      <c r="L14" s="30"/>
      <c r="M14" s="5"/>
    </row>
    <row r="15" spans="2:14">
      <c r="B15" s="19">
        <v>4</v>
      </c>
      <c r="D15" s="31" t="s">
        <v>164</v>
      </c>
      <c r="E15" s="5"/>
      <c r="F15" s="5"/>
      <c r="G15" s="5"/>
      <c r="H15" s="5"/>
      <c r="I15" s="5"/>
      <c r="J15" s="5"/>
      <c r="K15" s="5"/>
      <c r="M15" s="5"/>
    </row>
    <row r="16" spans="2:14">
      <c r="B16" s="19">
        <v>5</v>
      </c>
      <c r="D16" s="31" t="s">
        <v>165</v>
      </c>
      <c r="E16" s="5"/>
      <c r="F16" s="5"/>
      <c r="G16" s="5"/>
      <c r="H16" s="5"/>
      <c r="I16" s="5"/>
      <c r="J16" s="5"/>
      <c r="K16" s="5"/>
      <c r="L16" s="35" t="s">
        <v>212</v>
      </c>
      <c r="M16" s="5"/>
    </row>
    <row r="17" spans="2:17">
      <c r="B17" s="19">
        <v>6</v>
      </c>
      <c r="D17" s="31" t="s">
        <v>166</v>
      </c>
      <c r="E17" s="5"/>
      <c r="F17" s="5"/>
      <c r="G17" s="5"/>
      <c r="H17" s="28">
        <v>8327200</v>
      </c>
      <c r="I17" s="28"/>
      <c r="J17" s="28">
        <f>+H17*Q17</f>
        <v>5401854.6400000006</v>
      </c>
      <c r="K17" s="5"/>
      <c r="L17" s="35" t="s">
        <v>213</v>
      </c>
      <c r="M17" s="5"/>
      <c r="Q17">
        <v>0.64870000000000005</v>
      </c>
    </row>
    <row r="18" spans="2:17">
      <c r="B18" s="19"/>
      <c r="D18" s="5"/>
      <c r="E18" s="5"/>
      <c r="F18" s="5"/>
      <c r="G18" s="5"/>
      <c r="H18" s="24"/>
      <c r="I18" s="24"/>
      <c r="J18" s="24"/>
      <c r="K18" s="5"/>
      <c r="L18" s="5"/>
      <c r="M18" s="5"/>
    </row>
    <row r="19" spans="2:17">
      <c r="B19" s="19">
        <v>7</v>
      </c>
      <c r="D19" s="31" t="s">
        <v>172</v>
      </c>
      <c r="E19" s="5"/>
      <c r="F19" s="5"/>
      <c r="G19" s="5"/>
      <c r="H19" s="24"/>
      <c r="I19" s="24"/>
      <c r="J19" s="24"/>
      <c r="K19" s="5"/>
      <c r="L19" s="30"/>
      <c r="M19" s="5"/>
    </row>
    <row r="20" spans="2:17">
      <c r="B20" s="19">
        <v>8</v>
      </c>
      <c r="D20" s="31" t="s">
        <v>173</v>
      </c>
      <c r="E20" s="5"/>
      <c r="F20" s="5"/>
      <c r="G20" s="5"/>
      <c r="H20" s="24"/>
      <c r="I20" s="24"/>
      <c r="J20" s="24"/>
      <c r="K20" s="5"/>
      <c r="L20" s="5"/>
      <c r="M20" s="5"/>
    </row>
    <row r="21" spans="2:17">
      <c r="B21" s="19">
        <v>9</v>
      </c>
      <c r="D21" s="31" t="s">
        <v>174</v>
      </c>
      <c r="E21" s="5"/>
      <c r="F21" s="5"/>
      <c r="G21" s="5"/>
      <c r="H21" s="24"/>
      <c r="I21" s="24"/>
      <c r="J21" s="24"/>
      <c r="K21" s="5"/>
      <c r="L21" s="5"/>
      <c r="M21" s="5"/>
    </row>
    <row r="22" spans="2:17">
      <c r="B22" s="19">
        <v>10</v>
      </c>
      <c r="D22" s="31" t="s">
        <v>175</v>
      </c>
      <c r="E22" s="5"/>
      <c r="F22" s="5"/>
      <c r="G22" s="5"/>
      <c r="H22" s="24"/>
      <c r="I22" s="24"/>
      <c r="J22" s="24"/>
      <c r="K22" s="5"/>
      <c r="L22" s="35" t="s">
        <v>212</v>
      </c>
      <c r="M22" s="5"/>
    </row>
    <row r="23" spans="2:17">
      <c r="B23" s="19">
        <v>11</v>
      </c>
      <c r="D23" s="31" t="s">
        <v>176</v>
      </c>
      <c r="E23" s="5"/>
      <c r="F23" s="5"/>
      <c r="G23" s="5"/>
      <c r="H23" s="24">
        <v>9123024</v>
      </c>
      <c r="I23" s="24"/>
      <c r="J23" s="17">
        <f>+H23*Q17</f>
        <v>5918105.6688000001</v>
      </c>
      <c r="K23" s="5"/>
      <c r="L23" s="35" t="s">
        <v>213</v>
      </c>
      <c r="M23" s="5"/>
    </row>
    <row r="24" spans="2:17">
      <c r="D24" s="5"/>
      <c r="E24" s="5"/>
      <c r="F24" s="5"/>
      <c r="G24" s="5"/>
      <c r="H24" s="24"/>
      <c r="I24" s="24"/>
      <c r="J24" s="24"/>
      <c r="K24" s="5"/>
      <c r="L24" s="5"/>
      <c r="M24" s="5"/>
    </row>
    <row r="25" spans="2:17">
      <c r="B25" s="19">
        <v>12</v>
      </c>
      <c r="D25" s="31" t="s">
        <v>177</v>
      </c>
      <c r="E25" s="5"/>
      <c r="F25" s="5"/>
      <c r="G25" s="5"/>
      <c r="H25" s="24"/>
      <c r="I25" s="24"/>
      <c r="J25" s="24"/>
      <c r="K25" s="5"/>
      <c r="L25" s="5"/>
      <c r="M25" s="5"/>
    </row>
    <row r="26" spans="2:17">
      <c r="B26" s="19">
        <v>13</v>
      </c>
      <c r="D26" s="31" t="s">
        <v>178</v>
      </c>
      <c r="E26" s="5"/>
      <c r="F26" s="5"/>
      <c r="G26" s="5"/>
      <c r="H26" s="24"/>
      <c r="I26" s="24"/>
      <c r="J26" s="28">
        <f>+J23-J17</f>
        <v>516251.02879999951</v>
      </c>
      <c r="K26" s="5"/>
      <c r="L26" s="5" t="s">
        <v>214</v>
      </c>
      <c r="M26" s="5"/>
    </row>
    <row r="27" spans="2:17">
      <c r="B27" s="19"/>
      <c r="D27" s="31"/>
      <c r="E27" s="5"/>
      <c r="F27" s="5"/>
      <c r="G27" s="5"/>
      <c r="H27" s="24"/>
      <c r="I27" s="24"/>
      <c r="J27" s="24"/>
      <c r="K27" s="5"/>
      <c r="L27" s="5"/>
      <c r="M27" s="5"/>
    </row>
    <row r="28" spans="2:17">
      <c r="B28" s="19">
        <v>14</v>
      </c>
      <c r="D28" s="31" t="s">
        <v>179</v>
      </c>
      <c r="E28" s="5"/>
      <c r="F28" s="5"/>
      <c r="G28" s="5"/>
      <c r="H28" s="24"/>
      <c r="I28" s="24"/>
      <c r="J28" s="17">
        <v>4</v>
      </c>
      <c r="K28" s="5"/>
      <c r="L28" s="5"/>
      <c r="M28" s="5"/>
    </row>
    <row r="29" spans="2:17">
      <c r="B29" s="19"/>
      <c r="D29" s="5"/>
      <c r="E29" s="5"/>
      <c r="F29" s="5"/>
      <c r="G29" s="5"/>
      <c r="H29" s="24"/>
      <c r="I29" s="24"/>
      <c r="J29" s="24"/>
      <c r="K29" s="5"/>
      <c r="L29" s="5"/>
      <c r="M29" s="5"/>
    </row>
    <row r="30" spans="2:17">
      <c r="B30" s="19">
        <v>15</v>
      </c>
      <c r="D30" s="31" t="s">
        <v>180</v>
      </c>
      <c r="E30" s="5"/>
      <c r="F30" s="5"/>
      <c r="G30" s="5"/>
      <c r="H30" s="24"/>
      <c r="I30" s="24"/>
      <c r="J30" s="24"/>
      <c r="K30" s="5"/>
      <c r="L30" s="5"/>
      <c r="M30" s="5"/>
    </row>
    <row r="31" spans="2:17">
      <c r="B31" s="19">
        <v>16</v>
      </c>
      <c r="D31" s="31" t="s">
        <v>208</v>
      </c>
      <c r="E31" s="5"/>
      <c r="F31" s="5"/>
      <c r="G31" s="5"/>
      <c r="H31" s="24"/>
      <c r="I31" s="24"/>
      <c r="K31" s="5"/>
      <c r="L31" s="5"/>
      <c r="M31" s="5"/>
    </row>
    <row r="32" spans="2:17">
      <c r="B32" s="19">
        <v>17</v>
      </c>
      <c r="D32" s="31" t="s">
        <v>209</v>
      </c>
      <c r="E32" s="5"/>
      <c r="F32" s="5"/>
      <c r="G32" s="5"/>
      <c r="H32" s="24"/>
      <c r="I32" s="24"/>
      <c r="J32" s="28"/>
      <c r="K32" s="5"/>
      <c r="L32" s="5"/>
      <c r="M32" s="5"/>
    </row>
    <row r="33" spans="2:17">
      <c r="B33" s="19">
        <v>18</v>
      </c>
      <c r="D33" s="31" t="s">
        <v>210</v>
      </c>
      <c r="E33" s="5"/>
      <c r="F33" s="5"/>
      <c r="G33" s="5"/>
      <c r="H33" s="24"/>
      <c r="I33" s="24"/>
      <c r="J33" s="28">
        <f>-J26/J28</f>
        <v>-129062.75719999988</v>
      </c>
      <c r="K33" s="5"/>
      <c r="L33" s="5" t="s">
        <v>215</v>
      </c>
      <c r="M33" s="5"/>
    </row>
    <row r="34" spans="2:17">
      <c r="D34" s="5"/>
      <c r="E34" s="5"/>
      <c r="F34" s="5"/>
      <c r="G34" s="5"/>
      <c r="H34" s="24"/>
      <c r="I34" s="24"/>
      <c r="J34" s="24"/>
      <c r="K34" s="5"/>
      <c r="L34" s="5"/>
      <c r="M34" s="5"/>
    </row>
    <row r="35" spans="2:17">
      <c r="B35" s="19">
        <v>19</v>
      </c>
      <c r="D35" s="31" t="s">
        <v>187</v>
      </c>
      <c r="E35" s="5"/>
      <c r="F35" s="5"/>
      <c r="G35" s="5"/>
      <c r="H35" s="24"/>
      <c r="I35" s="24"/>
      <c r="J35" s="24" t="s">
        <v>185</v>
      </c>
      <c r="K35" s="5"/>
      <c r="L35" s="5"/>
      <c r="M35" s="5"/>
    </row>
    <row r="36" spans="2:17">
      <c r="B36" s="19">
        <v>20</v>
      </c>
      <c r="D36" s="31" t="s">
        <v>181</v>
      </c>
      <c r="E36" s="5"/>
      <c r="F36" s="5"/>
      <c r="G36" s="5"/>
      <c r="H36" s="24"/>
      <c r="I36" s="24"/>
      <c r="J36" s="24" t="s">
        <v>186</v>
      </c>
      <c r="K36" s="5"/>
      <c r="L36" s="5"/>
      <c r="M36" s="5"/>
    </row>
    <row r="37" spans="2:17">
      <c r="B37" s="19">
        <v>21</v>
      </c>
      <c r="D37" s="31" t="s">
        <v>182</v>
      </c>
      <c r="E37" s="5"/>
      <c r="F37" s="5"/>
      <c r="G37" s="5"/>
      <c r="H37" s="24"/>
      <c r="I37" s="24"/>
      <c r="J37" s="24"/>
      <c r="K37" s="5"/>
      <c r="L37" s="5"/>
      <c r="M37" s="5"/>
    </row>
    <row r="38" spans="2:17">
      <c r="B38" s="19">
        <v>22</v>
      </c>
      <c r="D38" s="31" t="s">
        <v>183</v>
      </c>
      <c r="E38" s="5"/>
      <c r="F38" s="5"/>
      <c r="G38" s="5"/>
      <c r="H38" s="5"/>
      <c r="I38" s="5"/>
      <c r="J38" s="5"/>
      <c r="K38" s="5"/>
      <c r="L38" s="35" t="s">
        <v>212</v>
      </c>
      <c r="M38" s="5"/>
    </row>
    <row r="39" spans="2:17">
      <c r="B39" s="19">
        <v>23</v>
      </c>
      <c r="D39" s="31" t="s">
        <v>184</v>
      </c>
      <c r="E39" s="5"/>
      <c r="F39" s="5"/>
      <c r="G39" s="5"/>
      <c r="H39" s="28">
        <f>+H17</f>
        <v>8327200</v>
      </c>
      <c r="I39" s="28"/>
      <c r="J39" s="28">
        <f>+H39*Q39</f>
        <v>5432748.5520000001</v>
      </c>
      <c r="K39" s="5"/>
      <c r="L39" s="35" t="s">
        <v>213</v>
      </c>
      <c r="M39" s="5"/>
      <c r="Q39">
        <v>0.65241000000000005</v>
      </c>
    </row>
    <row r="40" spans="2:17">
      <c r="D40" s="5"/>
      <c r="E40" s="5"/>
      <c r="F40" s="5"/>
      <c r="G40" s="5"/>
      <c r="H40" s="5"/>
      <c r="I40" s="5"/>
      <c r="J40" s="5"/>
      <c r="K40" s="5"/>
      <c r="L40" s="5"/>
      <c r="M40" s="5"/>
    </row>
    <row r="41" spans="2:17">
      <c r="B41" s="19">
        <v>24</v>
      </c>
      <c r="D41" s="31" t="s">
        <v>188</v>
      </c>
    </row>
    <row r="42" spans="2:17">
      <c r="B42" s="19">
        <v>25</v>
      </c>
      <c r="D42" s="31" t="s">
        <v>189</v>
      </c>
      <c r="J42" s="17">
        <f>+J26</f>
        <v>516251.02879999951</v>
      </c>
      <c r="L42" t="s">
        <v>216</v>
      </c>
    </row>
    <row r="44" spans="2:17">
      <c r="B44" s="19">
        <v>26</v>
      </c>
      <c r="D44" t="s">
        <v>190</v>
      </c>
    </row>
    <row r="45" spans="2:17">
      <c r="B45" s="19">
        <v>27</v>
      </c>
      <c r="D45" t="s">
        <v>191</v>
      </c>
    </row>
    <row r="46" spans="2:17">
      <c r="B46" s="19">
        <v>28</v>
      </c>
      <c r="D46" t="s">
        <v>192</v>
      </c>
    </row>
    <row r="47" spans="2:17">
      <c r="B47" s="19">
        <v>29</v>
      </c>
      <c r="D47" s="40" t="s">
        <v>193</v>
      </c>
      <c r="J47" s="39">
        <f>+J39+J42</f>
        <v>5948999.5807999996</v>
      </c>
      <c r="L47" t="s">
        <v>217</v>
      </c>
    </row>
    <row r="49" spans="2:12">
      <c r="B49" s="19">
        <v>30</v>
      </c>
      <c r="D49" t="s">
        <v>194</v>
      </c>
    </row>
    <row r="50" spans="2:12">
      <c r="B50" s="19">
        <v>31</v>
      </c>
      <c r="D50" t="s">
        <v>195</v>
      </c>
    </row>
    <row r="51" spans="2:12">
      <c r="B51" s="19">
        <v>32</v>
      </c>
      <c r="D51" t="s">
        <v>196</v>
      </c>
    </row>
    <row r="52" spans="2:12">
      <c r="B52" s="19">
        <v>33</v>
      </c>
      <c r="D52" t="s">
        <v>197</v>
      </c>
      <c r="J52" s="41">
        <f>-J42</f>
        <v>-516251.02879999951</v>
      </c>
      <c r="L52" t="s">
        <v>216</v>
      </c>
    </row>
    <row r="54" spans="2:12">
      <c r="B54" s="19">
        <v>34</v>
      </c>
      <c r="D54" t="s">
        <v>198</v>
      </c>
    </row>
    <row r="55" spans="2:12">
      <c r="B55" s="19">
        <v>35</v>
      </c>
      <c r="D55" t="s">
        <v>199</v>
      </c>
    </row>
    <row r="56" spans="2:12">
      <c r="B56" s="19">
        <v>36</v>
      </c>
      <c r="D56" t="s">
        <v>200</v>
      </c>
      <c r="J56" s="16">
        <f>+J47+J52</f>
        <v>5432748.5520000001</v>
      </c>
      <c r="L56" t="s">
        <v>218</v>
      </c>
    </row>
    <row r="58" spans="2:12">
      <c r="B58" s="19">
        <v>37</v>
      </c>
      <c r="D58" t="s">
        <v>201</v>
      </c>
    </row>
    <row r="59" spans="2:12">
      <c r="B59" s="19">
        <v>38</v>
      </c>
      <c r="D59" t="s">
        <v>162</v>
      </c>
    </row>
    <row r="60" spans="2:12">
      <c r="B60" s="19">
        <v>39</v>
      </c>
      <c r="D60" t="s">
        <v>202</v>
      </c>
    </row>
    <row r="61" spans="2:12">
      <c r="B61" s="19">
        <v>40</v>
      </c>
      <c r="D61" t="s">
        <v>203</v>
      </c>
    </row>
    <row r="62" spans="2:12">
      <c r="B62" s="19">
        <v>41</v>
      </c>
      <c r="D62" t="s">
        <v>204</v>
      </c>
    </row>
    <row r="63" spans="2:12">
      <c r="B63" s="19">
        <v>42</v>
      </c>
      <c r="D63" t="s">
        <v>205</v>
      </c>
    </row>
    <row r="64" spans="2:12">
      <c r="B64" s="19">
        <v>43</v>
      </c>
      <c r="D64" t="s">
        <v>206</v>
      </c>
    </row>
    <row r="65" spans="2:12">
      <c r="B65" s="19">
        <v>44</v>
      </c>
      <c r="D65" t="s">
        <v>207</v>
      </c>
      <c r="J65" s="28">
        <f>+J33+J52</f>
        <v>-645313.78599999938</v>
      </c>
      <c r="L65" t="s">
        <v>219</v>
      </c>
    </row>
    <row r="67" spans="2:12">
      <c r="B67" s="19">
        <v>45</v>
      </c>
      <c r="D67" s="5" t="s">
        <v>87</v>
      </c>
      <c r="E67" s="5"/>
      <c r="F67" s="5"/>
      <c r="G67" s="5"/>
      <c r="H67" s="5"/>
      <c r="J67" s="27">
        <v>0.35</v>
      </c>
      <c r="K67" s="5"/>
      <c r="L67" s="5"/>
    </row>
    <row r="68" spans="2:12">
      <c r="D68" s="5"/>
      <c r="E68" s="5"/>
      <c r="F68" s="5"/>
      <c r="G68" s="5"/>
      <c r="H68" s="5"/>
      <c r="J68" s="5"/>
      <c r="K68" s="5"/>
      <c r="L68" s="5"/>
    </row>
    <row r="69" spans="2:12">
      <c r="B69" s="19">
        <v>46</v>
      </c>
      <c r="D69" t="s">
        <v>418</v>
      </c>
      <c r="E69" s="5"/>
      <c r="F69" s="5"/>
      <c r="G69" s="5"/>
      <c r="H69" s="5"/>
      <c r="J69" s="28">
        <f>-J65*J67</f>
        <v>225859.82509999978</v>
      </c>
      <c r="K69" s="5"/>
      <c r="L69" s="5" t="s">
        <v>220</v>
      </c>
    </row>
    <row r="70" spans="2:12">
      <c r="E70" s="5"/>
      <c r="F70" s="5"/>
      <c r="G70" s="5"/>
      <c r="H70" s="5"/>
      <c r="J70" s="5"/>
      <c r="K70" s="5"/>
      <c r="L70" s="5"/>
    </row>
    <row r="71" spans="2:12">
      <c r="B71" s="19">
        <v>47</v>
      </c>
      <c r="D71" s="5" t="s">
        <v>411</v>
      </c>
      <c r="E71" s="5"/>
      <c r="F71" s="5"/>
      <c r="G71" s="5"/>
      <c r="H71" s="5"/>
      <c r="J71" s="26"/>
      <c r="K71" s="5"/>
      <c r="L71" s="5"/>
    </row>
    <row r="72" spans="2:12" ht="16.5" thickBot="1">
      <c r="B72" s="19">
        <v>48</v>
      </c>
      <c r="D72" s="31" t="s">
        <v>413</v>
      </c>
      <c r="E72" s="5"/>
      <c r="F72" s="5"/>
      <c r="G72" s="5"/>
      <c r="H72" s="5"/>
      <c r="J72" s="33">
        <f>-J65-J69</f>
        <v>419453.9608999996</v>
      </c>
      <c r="K72" s="5"/>
      <c r="L72" s="5" t="s">
        <v>221</v>
      </c>
    </row>
    <row r="73" spans="2:12" ht="16.5" thickTop="1"/>
  </sheetData>
  <mergeCells count="3">
    <mergeCell ref="D4:L4"/>
    <mergeCell ref="D5:L5"/>
    <mergeCell ref="D6:L6"/>
  </mergeCells>
  <printOptions horizontalCentered="1"/>
  <pageMargins left="0.7" right="0.7"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Q35"/>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 min="17" max="17" width="10.375" bestFit="1" customWidth="1"/>
  </cols>
  <sheetData>
    <row r="1" spans="2:17">
      <c r="K1" t="s">
        <v>530</v>
      </c>
      <c r="L1" s="62"/>
    </row>
    <row r="2" spans="2:17">
      <c r="K2" t="s">
        <v>526</v>
      </c>
      <c r="L2" s="62"/>
    </row>
    <row r="3" spans="2:17">
      <c r="K3" t="s">
        <v>544</v>
      </c>
      <c r="L3" s="64"/>
    </row>
    <row r="4" spans="2:17">
      <c r="D4" s="91" t="s">
        <v>71</v>
      </c>
      <c r="E4" s="91"/>
      <c r="F4" s="91"/>
      <c r="G4" s="91"/>
      <c r="H4" s="91"/>
      <c r="I4" s="91"/>
      <c r="J4" s="91"/>
      <c r="K4" s="91"/>
      <c r="L4" s="62" t="s">
        <v>397</v>
      </c>
    </row>
    <row r="5" spans="2:17">
      <c r="D5" s="91" t="s">
        <v>72</v>
      </c>
      <c r="E5" s="91"/>
      <c r="F5" s="91"/>
      <c r="G5" s="91"/>
      <c r="H5" s="91"/>
      <c r="I5" s="91"/>
      <c r="J5" s="91"/>
      <c r="K5" s="91"/>
      <c r="L5" s="64" t="s">
        <v>97</v>
      </c>
    </row>
    <row r="6" spans="2:17">
      <c r="D6" s="91" t="s">
        <v>75</v>
      </c>
      <c r="E6" s="91"/>
      <c r="F6" s="91"/>
      <c r="G6" s="91"/>
      <c r="H6" s="91"/>
      <c r="I6" s="91"/>
      <c r="J6" s="91"/>
      <c r="K6" s="91"/>
    </row>
    <row r="9" spans="2:17">
      <c r="B9" s="1" t="s">
        <v>52</v>
      </c>
    </row>
    <row r="10" spans="2:17">
      <c r="B10" s="2" t="s">
        <v>53</v>
      </c>
      <c r="D10" s="4" t="s">
        <v>54</v>
      </c>
      <c r="E10" s="4"/>
      <c r="F10" s="4"/>
      <c r="G10" s="4"/>
      <c r="I10" s="2" t="s">
        <v>59</v>
      </c>
      <c r="J10" s="1"/>
      <c r="K10" s="2" t="s">
        <v>60</v>
      </c>
    </row>
    <row r="12" spans="2:17">
      <c r="B12" s="1">
        <v>1</v>
      </c>
      <c r="D12" t="s">
        <v>76</v>
      </c>
      <c r="K12" s="65"/>
    </row>
    <row r="13" spans="2:17">
      <c r="B13" s="1">
        <v>2</v>
      </c>
      <c r="D13" t="s">
        <v>77</v>
      </c>
      <c r="K13" s="65" t="s">
        <v>90</v>
      </c>
    </row>
    <row r="14" spans="2:17">
      <c r="B14" s="1">
        <v>3</v>
      </c>
      <c r="D14" t="s">
        <v>78</v>
      </c>
      <c r="K14" s="65" t="s">
        <v>63</v>
      </c>
      <c r="Q14">
        <v>1957199</v>
      </c>
    </row>
    <row r="15" spans="2:17">
      <c r="B15" s="1">
        <v>4</v>
      </c>
      <c r="D15" t="s">
        <v>58</v>
      </c>
      <c r="I15" s="16">
        <v>2999999</v>
      </c>
      <c r="K15" s="67" t="s">
        <v>64</v>
      </c>
      <c r="Q15">
        <v>2999999</v>
      </c>
    </row>
    <row r="16" spans="2:17">
      <c r="B16" s="1"/>
      <c r="K16" s="65"/>
    </row>
    <row r="17" spans="2:17">
      <c r="B17" s="1">
        <v>5</v>
      </c>
      <c r="D17" t="s">
        <v>79</v>
      </c>
      <c r="K17" s="65" t="s">
        <v>90</v>
      </c>
      <c r="Q17" s="23">
        <f>+Q14/Q15</f>
        <v>0.65239988413329475</v>
      </c>
    </row>
    <row r="18" spans="2:17">
      <c r="B18" s="1">
        <v>6</v>
      </c>
      <c r="D18" t="s">
        <v>80</v>
      </c>
      <c r="K18" s="65" t="s">
        <v>92</v>
      </c>
    </row>
    <row r="19" spans="2:17">
      <c r="B19" s="1">
        <v>7</v>
      </c>
      <c r="D19" t="s">
        <v>81</v>
      </c>
      <c r="I19" s="17">
        <v>4399441</v>
      </c>
      <c r="K19" s="65" t="s">
        <v>91</v>
      </c>
    </row>
    <row r="20" spans="2:17">
      <c r="B20" s="1"/>
      <c r="I20" s="24"/>
      <c r="K20" s="65"/>
    </row>
    <row r="21" spans="2:17">
      <c r="B21" s="1">
        <v>8</v>
      </c>
      <c r="D21" t="s">
        <v>82</v>
      </c>
      <c r="I21" s="5"/>
      <c r="K21" s="65"/>
    </row>
    <row r="22" spans="2:17">
      <c r="B22" s="1">
        <v>9</v>
      </c>
      <c r="D22" t="s">
        <v>83</v>
      </c>
      <c r="I22" s="28">
        <f>+I19-I15</f>
        <v>1399442</v>
      </c>
      <c r="K22" s="65" t="s">
        <v>93</v>
      </c>
    </row>
    <row r="23" spans="2:17">
      <c r="B23" s="1"/>
      <c r="I23" s="25"/>
      <c r="K23" s="65"/>
    </row>
    <row r="24" spans="2:17">
      <c r="B24" s="1">
        <v>10</v>
      </c>
      <c r="D24" t="s">
        <v>84</v>
      </c>
      <c r="I24" s="27">
        <v>0.65239999999999998</v>
      </c>
      <c r="K24" s="65" t="s">
        <v>414</v>
      </c>
    </row>
    <row r="25" spans="2:17">
      <c r="I25" s="5"/>
      <c r="K25" s="65"/>
    </row>
    <row r="26" spans="2:17">
      <c r="B26" s="1">
        <v>11</v>
      </c>
      <c r="D26" t="s">
        <v>85</v>
      </c>
      <c r="K26" s="65"/>
    </row>
    <row r="27" spans="2:17">
      <c r="B27" s="1">
        <v>12</v>
      </c>
      <c r="D27" t="s">
        <v>86</v>
      </c>
      <c r="I27" s="16">
        <f>+I22*I24</f>
        <v>912995.9608</v>
      </c>
      <c r="K27" s="65" t="s">
        <v>94</v>
      </c>
    </row>
    <row r="28" spans="2:17">
      <c r="K28" s="65"/>
    </row>
    <row r="29" spans="2:17">
      <c r="B29" s="1">
        <v>13</v>
      </c>
      <c r="D29" t="s">
        <v>87</v>
      </c>
      <c r="I29" s="27">
        <v>0.35</v>
      </c>
      <c r="K29" s="65"/>
    </row>
    <row r="30" spans="2:17">
      <c r="K30" s="65"/>
    </row>
    <row r="31" spans="2:17">
      <c r="B31" s="1">
        <v>14</v>
      </c>
      <c r="D31" t="s">
        <v>88</v>
      </c>
      <c r="K31" s="65"/>
    </row>
    <row r="32" spans="2:17" ht="16.5" thickBot="1">
      <c r="B32" s="1">
        <v>15</v>
      </c>
      <c r="D32" t="s">
        <v>89</v>
      </c>
      <c r="I32" s="29">
        <f>-I27*I29</f>
        <v>-319548.58627999999</v>
      </c>
      <c r="K32" s="65" t="s">
        <v>95</v>
      </c>
    </row>
    <row r="33" spans="2:11" ht="16.5" thickTop="1">
      <c r="K33" s="65"/>
    </row>
    <row r="34" spans="2:11" ht="16.5" thickBot="1">
      <c r="B34" s="85">
        <v>16</v>
      </c>
      <c r="D34" t="s">
        <v>525</v>
      </c>
      <c r="I34" s="18">
        <f>-I32</f>
        <v>319548.58627999999</v>
      </c>
      <c r="K34" s="65"/>
    </row>
    <row r="35" spans="2:11" ht="16.5" thickTop="1">
      <c r="K35" s="65"/>
    </row>
  </sheetData>
  <mergeCells count="3">
    <mergeCell ref="D4:K4"/>
    <mergeCell ref="D5:K5"/>
    <mergeCell ref="D6:K6"/>
  </mergeCells>
  <pageMargins left="0.7" right="0.7" top="0.75" bottom="0.75" header="0.3" footer="0.3"/>
  <pageSetup scale="8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L24"/>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2">
      <c r="K1" t="s">
        <v>530</v>
      </c>
      <c r="L1" s="62"/>
    </row>
    <row r="2" spans="2:12">
      <c r="K2" t="s">
        <v>526</v>
      </c>
      <c r="L2" s="62"/>
    </row>
    <row r="3" spans="2:12">
      <c r="K3" t="s">
        <v>545</v>
      </c>
      <c r="L3" s="64"/>
    </row>
    <row r="4" spans="2:12">
      <c r="D4" s="91" t="s">
        <v>71</v>
      </c>
      <c r="E4" s="91"/>
      <c r="F4" s="91"/>
      <c r="G4" s="91"/>
      <c r="H4" s="91"/>
      <c r="I4" s="91"/>
      <c r="J4" s="91"/>
      <c r="K4" s="91"/>
      <c r="L4" s="62" t="s">
        <v>398</v>
      </c>
    </row>
    <row r="5" spans="2:12">
      <c r="D5" s="91" t="s">
        <v>72</v>
      </c>
      <c r="E5" s="91"/>
      <c r="F5" s="91"/>
      <c r="G5" s="91"/>
      <c r="H5" s="91"/>
      <c r="I5" s="91"/>
      <c r="J5" s="91"/>
      <c r="K5" s="91"/>
      <c r="L5" s="64" t="s">
        <v>234</v>
      </c>
    </row>
    <row r="6" spans="2:12">
      <c r="D6" s="91" t="s">
        <v>242</v>
      </c>
      <c r="E6" s="91"/>
      <c r="F6" s="91"/>
      <c r="G6" s="91"/>
      <c r="H6" s="91"/>
      <c r="I6" s="91"/>
      <c r="J6" s="91"/>
      <c r="K6" s="91"/>
    </row>
    <row r="9" spans="2:12">
      <c r="B9" s="46" t="s">
        <v>52</v>
      </c>
    </row>
    <row r="10" spans="2:12">
      <c r="B10" s="2" t="s">
        <v>53</v>
      </c>
      <c r="D10" s="4" t="s">
        <v>54</v>
      </c>
      <c r="E10" s="4"/>
      <c r="F10" s="4"/>
      <c r="G10" s="4"/>
      <c r="I10" s="2" t="s">
        <v>59</v>
      </c>
      <c r="J10" s="46"/>
      <c r="K10" s="2" t="s">
        <v>60</v>
      </c>
    </row>
    <row r="12" spans="2:12">
      <c r="B12" s="46">
        <v>1</v>
      </c>
      <c r="D12" s="5" t="s">
        <v>243</v>
      </c>
      <c r="E12" s="5"/>
      <c r="F12" s="5"/>
      <c r="G12" s="5"/>
      <c r="H12" s="5"/>
      <c r="I12" s="5"/>
      <c r="J12" s="5"/>
      <c r="K12" s="35" t="s">
        <v>247</v>
      </c>
    </row>
    <row r="13" spans="2:12">
      <c r="B13" s="46">
        <v>2</v>
      </c>
      <c r="D13" s="5" t="s">
        <v>244</v>
      </c>
      <c r="E13" s="5"/>
      <c r="F13" s="5"/>
      <c r="G13" s="5"/>
      <c r="H13" s="5"/>
      <c r="J13" s="5"/>
      <c r="K13" s="35" t="s">
        <v>248</v>
      </c>
    </row>
    <row r="14" spans="2:12">
      <c r="B14" s="46">
        <v>3</v>
      </c>
      <c r="D14" s="31" t="s">
        <v>245</v>
      </c>
      <c r="E14" s="5"/>
      <c r="F14" s="5"/>
      <c r="G14" s="5"/>
      <c r="H14" s="5"/>
      <c r="I14" s="5"/>
      <c r="J14" s="5"/>
      <c r="K14" s="36" t="s">
        <v>249</v>
      </c>
    </row>
    <row r="15" spans="2:12">
      <c r="B15" s="46">
        <v>4</v>
      </c>
      <c r="D15" s="31" t="s">
        <v>246</v>
      </c>
      <c r="E15" s="5"/>
      <c r="F15" s="5"/>
      <c r="G15" s="5"/>
      <c r="H15" s="5"/>
      <c r="I15" s="28">
        <f>-1130185</f>
        <v>-1130185</v>
      </c>
      <c r="J15" s="5"/>
      <c r="K15" s="36" t="s">
        <v>433</v>
      </c>
    </row>
    <row r="16" spans="2:12">
      <c r="D16" s="31"/>
      <c r="E16" s="31"/>
      <c r="F16" s="31"/>
      <c r="G16" s="5"/>
      <c r="H16" s="5"/>
      <c r="I16" s="24"/>
      <c r="J16" s="5"/>
      <c r="K16" s="5"/>
    </row>
    <row r="17" spans="2:11">
      <c r="B17" s="46">
        <v>5</v>
      </c>
      <c r="D17" s="5" t="s">
        <v>87</v>
      </c>
      <c r="E17" s="5"/>
      <c r="F17" s="5"/>
      <c r="G17" s="5"/>
      <c r="H17" s="5"/>
      <c r="I17" s="27">
        <v>0.35</v>
      </c>
      <c r="J17" s="5"/>
      <c r="K17" s="5"/>
    </row>
    <row r="18" spans="2:11">
      <c r="B18" s="46"/>
      <c r="D18" s="5"/>
      <c r="E18" s="5"/>
      <c r="F18" s="5"/>
      <c r="G18" s="5"/>
      <c r="H18" s="5"/>
      <c r="I18" s="5"/>
      <c r="J18" s="5"/>
      <c r="K18" s="5"/>
    </row>
    <row r="19" spans="2:11">
      <c r="B19" s="46">
        <v>6</v>
      </c>
      <c r="D19" t="s">
        <v>418</v>
      </c>
      <c r="E19" s="5"/>
      <c r="F19" s="5"/>
      <c r="G19" s="5"/>
      <c r="H19" s="5"/>
      <c r="I19" s="28">
        <f>-I15*I17</f>
        <v>395564.75</v>
      </c>
      <c r="J19" s="5"/>
      <c r="K19" s="5" t="s">
        <v>252</v>
      </c>
    </row>
    <row r="20" spans="2:11">
      <c r="B20" s="46"/>
      <c r="E20" s="5"/>
      <c r="F20" s="5"/>
      <c r="G20" s="5"/>
      <c r="H20" s="5"/>
      <c r="I20" s="5"/>
      <c r="J20" s="5"/>
      <c r="K20" s="5"/>
    </row>
    <row r="21" spans="2:11">
      <c r="B21" s="46">
        <v>7</v>
      </c>
      <c r="D21" s="5" t="s">
        <v>211</v>
      </c>
      <c r="E21" s="5"/>
      <c r="F21" s="5"/>
      <c r="G21" s="5"/>
      <c r="H21" s="5"/>
      <c r="I21" s="26"/>
      <c r="J21" s="5"/>
      <c r="K21" s="5"/>
    </row>
    <row r="22" spans="2:11">
      <c r="B22" s="46">
        <v>8</v>
      </c>
      <c r="D22" s="31" t="s">
        <v>250</v>
      </c>
      <c r="E22" s="5"/>
      <c r="F22" s="5"/>
      <c r="G22" s="5"/>
      <c r="H22" s="5"/>
    </row>
    <row r="23" spans="2:11" ht="16.5" thickBot="1">
      <c r="B23" s="46">
        <v>9</v>
      </c>
      <c r="D23" s="31" t="s">
        <v>251</v>
      </c>
      <c r="E23" s="5"/>
      <c r="F23" s="5"/>
      <c r="G23" s="5"/>
      <c r="H23" s="5"/>
      <c r="I23" s="33">
        <f>-I15-I19</f>
        <v>734620.25</v>
      </c>
      <c r="J23" s="5"/>
      <c r="K23" s="5" t="s">
        <v>253</v>
      </c>
    </row>
    <row r="24" spans="2:11" ht="16.5" thickTop="1"/>
  </sheetData>
  <mergeCells count="3">
    <mergeCell ref="D4:K4"/>
    <mergeCell ref="D5:K5"/>
    <mergeCell ref="D6:K6"/>
  </mergeCells>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B1:M33"/>
  <sheetViews>
    <sheetView tabSelected="1" workbookViewId="0">
      <selection activeCell="X5" sqref="X5"/>
    </sheetView>
  </sheetViews>
  <sheetFormatPr defaultRowHeight="15.75"/>
  <cols>
    <col min="2" max="2" width="5.625" customWidth="1"/>
    <col min="3" max="3" width="1.625" customWidth="1"/>
    <col min="9" max="9" width="13.75" bestFit="1" customWidth="1"/>
    <col min="10" max="10" width="2.625" customWidth="1"/>
    <col min="11" max="11" width="14.375" bestFit="1" customWidth="1"/>
    <col min="12" max="12" width="11.375" customWidth="1"/>
  </cols>
  <sheetData>
    <row r="1" spans="2:13">
      <c r="K1" t="s">
        <v>530</v>
      </c>
      <c r="L1" s="62"/>
    </row>
    <row r="2" spans="2:13">
      <c r="K2" t="s">
        <v>526</v>
      </c>
      <c r="L2" s="62"/>
    </row>
    <row r="3" spans="2:13">
      <c r="K3" t="s">
        <v>546</v>
      </c>
      <c r="L3" s="64"/>
    </row>
    <row r="4" spans="2:13">
      <c r="D4" s="91" t="s">
        <v>71</v>
      </c>
      <c r="E4" s="91"/>
      <c r="F4" s="91"/>
      <c r="G4" s="91"/>
      <c r="H4" s="91"/>
      <c r="I4" s="91"/>
      <c r="J4" s="91"/>
      <c r="K4" s="91"/>
      <c r="L4" s="62" t="s">
        <v>399</v>
      </c>
    </row>
    <row r="5" spans="2:13">
      <c r="D5" s="91" t="s">
        <v>72</v>
      </c>
      <c r="E5" s="91"/>
      <c r="F5" s="91"/>
      <c r="G5" s="91"/>
      <c r="H5" s="91"/>
      <c r="I5" s="91"/>
      <c r="J5" s="91"/>
      <c r="K5" s="91"/>
      <c r="L5" s="64" t="s">
        <v>282</v>
      </c>
      <c r="M5" s="62"/>
    </row>
    <row r="6" spans="2:13">
      <c r="D6" s="91" t="s">
        <v>255</v>
      </c>
      <c r="E6" s="91"/>
      <c r="F6" s="91"/>
      <c r="G6" s="91"/>
      <c r="H6" s="91"/>
      <c r="I6" s="91"/>
      <c r="J6" s="91"/>
      <c r="K6" s="91"/>
      <c r="M6" s="62"/>
    </row>
    <row r="7" spans="2:13">
      <c r="M7" s="64"/>
    </row>
    <row r="9" spans="2:13">
      <c r="B9" s="47" t="s">
        <v>52</v>
      </c>
    </row>
    <row r="10" spans="2:13">
      <c r="B10" s="2" t="s">
        <v>53</v>
      </c>
      <c r="D10" s="4" t="s">
        <v>54</v>
      </c>
      <c r="E10" s="4"/>
      <c r="F10" s="4"/>
      <c r="G10" s="4"/>
      <c r="I10" s="2" t="s">
        <v>59</v>
      </c>
      <c r="J10" s="47"/>
      <c r="K10" s="2" t="s">
        <v>60</v>
      </c>
    </row>
    <row r="12" spans="2:13">
      <c r="B12" s="47">
        <v>1</v>
      </c>
      <c r="D12" s="5" t="s">
        <v>256</v>
      </c>
      <c r="E12" s="5"/>
      <c r="F12" s="5"/>
      <c r="G12" s="5"/>
      <c r="H12" s="5"/>
      <c r="I12" s="28">
        <f>-'[3]Employee Meals, Gifts, Awards'!$D$2</f>
        <v>-12792</v>
      </c>
      <c r="J12" s="5"/>
      <c r="K12" s="35" t="s">
        <v>263</v>
      </c>
      <c r="L12" s="5"/>
    </row>
    <row r="13" spans="2:13">
      <c r="B13" s="47"/>
      <c r="D13" s="5"/>
      <c r="E13" s="5"/>
      <c r="F13" s="5"/>
      <c r="G13" s="5"/>
      <c r="H13" s="5"/>
      <c r="I13" s="24"/>
      <c r="J13" s="5"/>
      <c r="K13" s="35" t="s">
        <v>270</v>
      </c>
      <c r="L13" s="5"/>
    </row>
    <row r="14" spans="2:13">
      <c r="B14" s="47">
        <v>2</v>
      </c>
      <c r="D14" s="31" t="s">
        <v>257</v>
      </c>
      <c r="E14" s="5"/>
      <c r="F14" s="5"/>
      <c r="G14" s="5"/>
      <c r="H14" s="5"/>
      <c r="I14" s="24">
        <f>-'[3]Employee Meals, Gifts, Awards'!$D$3</f>
        <v>-15479</v>
      </c>
      <c r="J14" s="5"/>
      <c r="K14" s="36" t="s">
        <v>264</v>
      </c>
      <c r="L14" s="5"/>
    </row>
    <row r="15" spans="2:13">
      <c r="B15" s="47"/>
      <c r="D15" s="31"/>
      <c r="E15" s="5"/>
      <c r="F15" s="5"/>
      <c r="G15" s="5"/>
      <c r="H15" s="5"/>
      <c r="I15" s="24"/>
      <c r="J15" s="5"/>
      <c r="K15" s="36" t="s">
        <v>265</v>
      </c>
      <c r="L15" s="5"/>
    </row>
    <row r="16" spans="2:13">
      <c r="B16" s="55">
        <v>3</v>
      </c>
      <c r="D16" s="31" t="s">
        <v>258</v>
      </c>
      <c r="E16" s="31"/>
      <c r="F16" s="31"/>
      <c r="G16" s="5"/>
      <c r="H16" s="5"/>
      <c r="I16" s="24">
        <f>-'[3]Employee Meals, Gifts, Awards'!$D$4</f>
        <v>-19017</v>
      </c>
      <c r="J16" s="5"/>
      <c r="K16" s="36" t="s">
        <v>271</v>
      </c>
      <c r="L16" s="5"/>
    </row>
    <row r="17" spans="2:12">
      <c r="B17" s="47"/>
      <c r="D17" s="5"/>
      <c r="E17" s="5"/>
      <c r="F17" s="5"/>
      <c r="G17" s="5"/>
      <c r="H17" s="5"/>
      <c r="I17" s="24"/>
      <c r="J17" s="5"/>
      <c r="K17" s="36" t="s">
        <v>266</v>
      </c>
      <c r="L17" s="5"/>
    </row>
    <row r="18" spans="2:12">
      <c r="B18" s="47">
        <v>4</v>
      </c>
      <c r="D18" s="5" t="s">
        <v>259</v>
      </c>
      <c r="E18" s="5"/>
      <c r="F18" s="5"/>
      <c r="G18" s="5"/>
      <c r="H18" s="5"/>
      <c r="I18" s="24">
        <f>-'[3]Employee Meals, Gifts, Awards'!$D$5</f>
        <v>-5379</v>
      </c>
      <c r="J18" s="5"/>
      <c r="K18" s="36" t="s">
        <v>267</v>
      </c>
      <c r="L18" s="5"/>
    </row>
    <row r="19" spans="2:12">
      <c r="B19" s="47"/>
      <c r="D19" s="5"/>
      <c r="E19" s="5"/>
      <c r="F19" s="5"/>
      <c r="G19" s="5"/>
      <c r="H19" s="5"/>
      <c r="I19" s="24"/>
      <c r="J19" s="5"/>
      <c r="K19" s="36" t="s">
        <v>268</v>
      </c>
      <c r="L19" s="5"/>
    </row>
    <row r="20" spans="2:12">
      <c r="B20" s="47">
        <v>5</v>
      </c>
      <c r="D20" s="5" t="s">
        <v>260</v>
      </c>
      <c r="E20" s="5"/>
      <c r="F20" s="5"/>
      <c r="G20" s="5"/>
      <c r="H20" s="5"/>
      <c r="I20" s="17">
        <f>-'[3]Gift Certificates'!$D$2</f>
        <v>-4718</v>
      </c>
      <c r="J20" s="5"/>
      <c r="K20" s="36" t="s">
        <v>269</v>
      </c>
      <c r="L20" s="5"/>
    </row>
    <row r="21" spans="2:12">
      <c r="B21" s="47"/>
      <c r="D21" s="5"/>
      <c r="E21" s="5"/>
      <c r="F21" s="5"/>
      <c r="G21" s="5"/>
      <c r="H21" s="5"/>
      <c r="I21" s="24"/>
      <c r="J21" s="5"/>
      <c r="L21" s="5"/>
    </row>
    <row r="22" spans="2:12">
      <c r="B22" s="47">
        <v>6</v>
      </c>
      <c r="D22" s="31" t="s">
        <v>261</v>
      </c>
      <c r="E22" s="5"/>
      <c r="F22" s="5"/>
      <c r="G22" s="5"/>
      <c r="H22" s="5"/>
      <c r="I22" s="24"/>
      <c r="J22" s="5"/>
      <c r="K22" s="5"/>
      <c r="L22" s="5"/>
    </row>
    <row r="23" spans="2:12">
      <c r="B23" s="47">
        <v>7</v>
      </c>
      <c r="D23" s="31" t="s">
        <v>262</v>
      </c>
      <c r="E23" s="5"/>
      <c r="F23" s="5"/>
      <c r="G23" s="5"/>
      <c r="H23" s="5"/>
      <c r="I23" s="24"/>
      <c r="J23" s="5"/>
      <c r="K23" s="35" t="s">
        <v>391</v>
      </c>
      <c r="L23" s="5"/>
    </row>
    <row r="24" spans="2:12">
      <c r="B24" s="55">
        <v>8</v>
      </c>
      <c r="D24" s="31" t="s">
        <v>415</v>
      </c>
      <c r="E24" s="5"/>
      <c r="F24" s="5"/>
      <c r="G24" s="5"/>
      <c r="H24" s="5"/>
      <c r="I24" s="24">
        <f>SUM(I12:I20)</f>
        <v>-57385</v>
      </c>
      <c r="J24" s="5"/>
      <c r="K24" s="35" t="s">
        <v>392</v>
      </c>
      <c r="L24" s="5"/>
    </row>
    <row r="25" spans="2:12">
      <c r="D25" s="5"/>
      <c r="E25" s="5"/>
      <c r="F25" s="5"/>
      <c r="G25" s="5"/>
      <c r="H25" s="5"/>
      <c r="I25" s="24"/>
      <c r="J25" s="5"/>
      <c r="L25" s="5"/>
    </row>
    <row r="26" spans="2:12">
      <c r="B26" s="55">
        <v>9</v>
      </c>
      <c r="D26" s="5" t="s">
        <v>87</v>
      </c>
      <c r="E26" s="5"/>
      <c r="F26" s="5"/>
      <c r="G26" s="5"/>
      <c r="H26" s="5"/>
      <c r="I26" s="27">
        <v>0.35</v>
      </c>
      <c r="J26" s="5"/>
      <c r="K26" s="5"/>
    </row>
    <row r="27" spans="2:12">
      <c r="D27" s="5"/>
      <c r="E27" s="5"/>
      <c r="F27" s="5"/>
      <c r="G27" s="5"/>
      <c r="H27" s="5"/>
      <c r="I27" s="5"/>
      <c r="J27" s="5"/>
      <c r="K27" s="5"/>
    </row>
    <row r="28" spans="2:12">
      <c r="B28" s="55">
        <v>10</v>
      </c>
      <c r="D28" t="s">
        <v>418</v>
      </c>
      <c r="E28" s="5"/>
      <c r="F28" s="5"/>
      <c r="G28" s="5"/>
      <c r="H28" s="5"/>
      <c r="I28" s="28">
        <f>-I24*I26</f>
        <v>20084.75</v>
      </c>
      <c r="J28" s="5"/>
      <c r="K28" s="5" t="s">
        <v>232</v>
      </c>
    </row>
    <row r="29" spans="2:12">
      <c r="E29" s="5"/>
      <c r="F29" s="5"/>
      <c r="G29" s="5"/>
      <c r="H29" s="5"/>
      <c r="I29" s="5"/>
      <c r="J29" s="5"/>
      <c r="K29" s="5"/>
    </row>
    <row r="30" spans="2:12">
      <c r="B30" s="55">
        <v>11</v>
      </c>
      <c r="D30" s="5" t="s">
        <v>211</v>
      </c>
      <c r="E30" s="5"/>
      <c r="F30" s="5"/>
      <c r="G30" s="5"/>
      <c r="H30" s="5"/>
      <c r="I30" s="26"/>
      <c r="J30" s="5"/>
      <c r="K30" s="5"/>
    </row>
    <row r="31" spans="2:12">
      <c r="B31" s="55">
        <v>12</v>
      </c>
      <c r="D31" s="31" t="s">
        <v>290</v>
      </c>
      <c r="E31" s="5"/>
      <c r="F31" s="5"/>
      <c r="G31" s="5"/>
      <c r="H31" s="5"/>
    </row>
    <row r="32" spans="2:12" ht="16.5" thickBot="1">
      <c r="B32" s="55">
        <v>13</v>
      </c>
      <c r="D32" s="31" t="s">
        <v>416</v>
      </c>
      <c r="E32" s="5"/>
      <c r="F32" s="5"/>
      <c r="G32" s="5"/>
      <c r="H32" s="5"/>
      <c r="I32" s="33">
        <f>-I24-I28</f>
        <v>37300.25</v>
      </c>
      <c r="J32" s="5"/>
      <c r="K32" s="5" t="s">
        <v>233</v>
      </c>
    </row>
    <row r="33" ht="16.5" thickTop="1"/>
  </sheetData>
  <mergeCells count="3">
    <mergeCell ref="D4:K4"/>
    <mergeCell ref="D5:K5"/>
    <mergeCell ref="D6:K6"/>
  </mergeCells>
  <pageMargins left="0.7" right="0.7" top="0.75" bottom="0.75" header="0.3" footer="0.3"/>
  <pageSetup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DC6BB54-FAE3-45EC-BDB5-B51FA38363DF}"/>
</file>

<file path=customXml/itemProps2.xml><?xml version="1.0" encoding="utf-8"?>
<ds:datastoreItem xmlns:ds="http://schemas.openxmlformats.org/officeDocument/2006/customXml" ds:itemID="{92C7D574-80E3-47DA-9B7A-A24A8BD2BB1F}"/>
</file>

<file path=customXml/itemProps3.xml><?xml version="1.0" encoding="utf-8"?>
<ds:datastoreItem xmlns:ds="http://schemas.openxmlformats.org/officeDocument/2006/customXml" ds:itemID="{DC8B7FC1-F230-4849-8492-AD536C3B6A99}"/>
</file>

<file path=customXml/itemProps4.xml><?xml version="1.0" encoding="utf-8"?>
<ds:datastoreItem xmlns:ds="http://schemas.openxmlformats.org/officeDocument/2006/customXml" ds:itemID="{E73277F5-32E9-452B-9F53-8C420758B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17</vt:i4>
      </vt:variant>
    </vt:vector>
  </HeadingPairs>
  <TitlesOfParts>
    <vt:vector size="40" baseType="lpstr">
      <vt:lpstr>Summary</vt:lpstr>
      <vt:lpstr>DFIT</vt:lpstr>
      <vt:lpstr>Rev Norm</vt:lpstr>
      <vt:lpstr>Trans PCB</vt:lpstr>
      <vt:lpstr>STIP</vt:lpstr>
      <vt:lpstr>Prod Maint</vt:lpstr>
      <vt:lpstr>DPAD</vt:lpstr>
      <vt:lpstr>Perf Excel</vt:lpstr>
      <vt:lpstr>Discretionary</vt:lpstr>
      <vt:lpstr>Dues &amp; Don'ts</vt:lpstr>
      <vt:lpstr>Advertising DSM</vt:lpstr>
      <vt:lpstr>Aircraft</vt:lpstr>
      <vt:lpstr>Audit Errors</vt:lpstr>
      <vt:lpstr>SGDP to Idaho</vt:lpstr>
      <vt:lpstr>Spokane SGIP Savings</vt:lpstr>
      <vt:lpstr>BOD Stock</vt:lpstr>
      <vt:lpstr>BOD Retainers</vt:lpstr>
      <vt:lpstr>Officers Benefits</vt:lpstr>
      <vt:lpstr>Comp Study</vt:lpstr>
      <vt:lpstr>Labor</vt:lpstr>
      <vt:lpstr>Exec Labor</vt:lpstr>
      <vt:lpstr>Insurance</vt:lpstr>
      <vt:lpstr>Prop Tax</vt:lpstr>
      <vt:lpstr>'Advertising DSM'!Print_Area</vt:lpstr>
      <vt:lpstr>Aircraft!Print_Area</vt:lpstr>
      <vt:lpstr>'Audit Errors'!Print_Area</vt:lpstr>
      <vt:lpstr>DFIT!Print_Area</vt:lpstr>
      <vt:lpstr>Discretionary!Print_Area</vt:lpstr>
      <vt:lpstr>DPAD!Print_Area</vt:lpstr>
      <vt:lpstr>'Dues &amp; Don''ts'!Print_Area</vt:lpstr>
      <vt:lpstr>'Exec Labor'!Print_Area</vt:lpstr>
      <vt:lpstr>Labor!Print_Area</vt:lpstr>
      <vt:lpstr>'Perf Excel'!Print_Area</vt:lpstr>
      <vt:lpstr>'Prod Maint'!Print_Area</vt:lpstr>
      <vt:lpstr>'Prop Tax'!Print_Area</vt:lpstr>
      <vt:lpstr>'Rev Norm'!Print_Area</vt:lpstr>
      <vt:lpstr>'SGDP to Idaho'!Print_Area</vt:lpstr>
      <vt:lpstr>'Spokane SGIP Savings'!Print_Area</vt:lpstr>
      <vt:lpstr>Summary!Print_Area</vt:lpstr>
      <vt:lpstr>'Trans PCB'!Print_Area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Dittmer</dc:creator>
  <cp:lastModifiedBy>Lea Daeschel</cp:lastModifiedBy>
  <cp:lastPrinted>2012-09-13T16:51:57Z</cp:lastPrinted>
  <dcterms:created xsi:type="dcterms:W3CDTF">2012-08-10T14:56:21Z</dcterms:created>
  <dcterms:modified xsi:type="dcterms:W3CDTF">2012-09-13T16:53:34Z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0x0101006E56B4D1795A2E4DB2F0B01679ED314A00DEEBBBECEF4A9741925D1E0FF525C9BE</vt:lpwstr>
  </property>
  <property fmtid="{D5CDD505-2E9C-101B-9397-08002B2CF9AE}" pid="4" name="_docset_NoMedatataSyncRequired">
    <vt:lpwstr>False</vt:lpwstr>
  </property>
</Properties>
</file>