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m Dittmer\Google Drive\Current Jobs\Current Jobs\Avista 2014 GRC\Testimony\"/>
    </mc:Choice>
  </mc:AlternateContent>
  <bookViews>
    <workbookView xWindow="0" yWindow="0" windowWidth="28800" windowHeight="12465"/>
  </bookViews>
  <sheets>
    <sheet name="Summary" sheetId="1" r:id="rId1"/>
    <sheet name="FIT" sheetId="4" r:id="rId2"/>
    <sheet name="Revenue Update" sheetId="3" r:id="rId3"/>
    <sheet name="Labor" sheetId="5" r:id="rId4"/>
    <sheet name="Pension" sheetId="6" r:id="rId5"/>
    <sheet name="Insurance" sheetId="7" r:id="rId6"/>
    <sheet name="Prop Tax" sheetId="8" r:id="rId7"/>
    <sheet name="Plant Update" sheetId="2" r:id="rId8"/>
  </sheets>
  <externalReferences>
    <externalReference r:id="rId9"/>
  </externalReferences>
  <definedNames>
    <definedName name="_xlnm.Print_Area" localSheetId="1">FIT!$C$1:$N$69</definedName>
    <definedName name="_xlnm.Print_Area" localSheetId="5">Insurance!$B$1:$M$41</definedName>
    <definedName name="_xlnm.Print_Area" localSheetId="3">Labor!$B$1:$N$41</definedName>
    <definedName name="_xlnm.Print_Area" localSheetId="4">Pension!$B$1:$M$41</definedName>
    <definedName name="_xlnm.Print_Area" localSheetId="7">'Plant Update'!$A$7:$W$61</definedName>
    <definedName name="_xlnm.Print_Area" localSheetId="6">'Prop Tax'!$B$1:$M$44</definedName>
    <definedName name="_xlnm.Print_Area" localSheetId="2">'Revenue Update'!$B$1:$O$68</definedName>
    <definedName name="_xlnm.Print_Area" localSheetId="0">Summary!$C$1:$W$54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2" i="1" l="1"/>
  <c r="W23" i="1"/>
  <c r="W10" i="1"/>
  <c r="Q32" i="1"/>
  <c r="M32" i="1"/>
  <c r="W31" i="1"/>
  <c r="W48" i="1"/>
  <c r="W47" i="1"/>
  <c r="W46" i="1"/>
  <c r="W45" i="1"/>
  <c r="W43" i="1"/>
  <c r="O50" i="2"/>
  <c r="O52" i="2"/>
  <c r="O51" i="2"/>
  <c r="C51" i="4" l="1"/>
  <c r="C52" i="4" s="1"/>
  <c r="C53" i="4" s="1"/>
  <c r="C54" i="4" s="1"/>
  <c r="C57" i="4" s="1"/>
  <c r="C58" i="4" s="1"/>
  <c r="C59" i="4" s="1"/>
  <c r="C60" i="4" s="1"/>
  <c r="C61" i="4" s="1"/>
  <c r="C62" i="4" s="1"/>
  <c r="C63" i="4" s="1"/>
  <c r="C65" i="4" s="1"/>
  <c r="L36" i="8" l="1"/>
  <c r="J36" i="8"/>
  <c r="L33" i="7"/>
  <c r="J33" i="7"/>
  <c r="L21" i="6" l="1"/>
  <c r="J21" i="6"/>
  <c r="S23" i="1" l="1"/>
  <c r="S31" i="1"/>
  <c r="I32" i="1" l="1"/>
  <c r="K32" i="1"/>
  <c r="S10" i="1"/>
  <c r="S52" i="1" l="1"/>
  <c r="O40" i="1" l="1"/>
  <c r="S40" i="1" s="1"/>
  <c r="W40" i="1" s="1"/>
  <c r="L32" i="8"/>
  <c r="J32" i="8"/>
  <c r="O39" i="1" l="1"/>
  <c r="S39" i="1" s="1"/>
  <c r="W39" i="1" s="1"/>
  <c r="L29" i="7"/>
  <c r="J29" i="7"/>
  <c r="L26" i="6" l="1"/>
  <c r="L30" i="6" s="1"/>
  <c r="J26" i="6"/>
  <c r="J30" i="6" s="1"/>
  <c r="O38" i="1" s="1"/>
  <c r="S38" i="1" s="1"/>
  <c r="W38" i="1" s="1"/>
  <c r="M28" i="5"/>
  <c r="M32" i="5" s="1"/>
  <c r="K28" i="5"/>
  <c r="K32" i="5" s="1"/>
  <c r="O36" i="1" s="1"/>
  <c r="S36" i="1" s="1"/>
  <c r="W36" i="1" s="1"/>
  <c r="S43" i="1" l="1"/>
  <c r="K69" i="4"/>
  <c r="K17" i="4" s="1"/>
  <c r="I55" i="4"/>
  <c r="K51" i="4" s="1"/>
  <c r="K48" i="4"/>
  <c r="K52" i="4" l="1"/>
  <c r="K60" i="4" s="1"/>
  <c r="K54" i="4"/>
  <c r="K62" i="4" s="1"/>
  <c r="K53" i="4"/>
  <c r="K61" i="4" s="1"/>
  <c r="K50" i="4"/>
  <c r="K58" i="4" s="1"/>
  <c r="K59" i="4"/>
  <c r="K32" i="4"/>
  <c r="I32" i="4"/>
  <c r="I19" i="4"/>
  <c r="I23" i="4" s="1"/>
  <c r="I25" i="4" s="1"/>
  <c r="F30" i="4"/>
  <c r="E30" i="4"/>
  <c r="K55" i="4" l="1"/>
  <c r="K15" i="4"/>
  <c r="K19" i="4" s="1"/>
  <c r="K23" i="4" s="1"/>
  <c r="K25" i="4" s="1"/>
  <c r="K36" i="4" s="1"/>
  <c r="K40" i="4" s="1"/>
  <c r="O19" i="1" s="1"/>
  <c r="K63" i="4"/>
  <c r="I36" i="4"/>
  <c r="I40" i="4" s="1"/>
  <c r="M53" i="2"/>
  <c r="M45" i="2"/>
  <c r="S19" i="1" l="1"/>
  <c r="O44" i="1"/>
  <c r="Q57" i="2"/>
  <c r="Q55" i="2"/>
  <c r="K45" i="3"/>
  <c r="K20" i="3"/>
  <c r="K27" i="3" s="1"/>
  <c r="K37" i="3" s="1"/>
  <c r="W19" i="1" l="1"/>
  <c r="K48" i="3"/>
  <c r="K58" i="3"/>
  <c r="K59" i="3"/>
  <c r="K64" i="3"/>
  <c r="K60" i="3"/>
  <c r="Q44" i="1"/>
  <c r="M46" i="2"/>
  <c r="Q51" i="2" s="1"/>
  <c r="X49" i="2"/>
  <c r="X46" i="2"/>
  <c r="I53" i="2"/>
  <c r="K53" i="2"/>
  <c r="M52" i="2"/>
  <c r="M47" i="2" s="1"/>
  <c r="Q52" i="2" s="1"/>
  <c r="M51" i="2"/>
  <c r="M50" i="2"/>
  <c r="Q39" i="2"/>
  <c r="Q34" i="2"/>
  <c r="Q33" i="2"/>
  <c r="Q32" i="2"/>
  <c r="Q31" i="2"/>
  <c r="Q30" i="2"/>
  <c r="Q26" i="2"/>
  <c r="Q25" i="2"/>
  <c r="Q24" i="2"/>
  <c r="Q23" i="2"/>
  <c r="Q22" i="2"/>
  <c r="O39" i="2"/>
  <c r="O34" i="2"/>
  <c r="O33" i="2"/>
  <c r="O32" i="2"/>
  <c r="O31" i="2"/>
  <c r="O30" i="2"/>
  <c r="O26" i="2"/>
  <c r="O25" i="2"/>
  <c r="O24" i="2"/>
  <c r="O23" i="2"/>
  <c r="O22" i="2"/>
  <c r="X41" i="2"/>
  <c r="M41" i="2"/>
  <c r="X37" i="2"/>
  <c r="X39" i="2"/>
  <c r="X31" i="2"/>
  <c r="X35" i="2"/>
  <c r="X34" i="2"/>
  <c r="X33" i="2"/>
  <c r="X32" i="2"/>
  <c r="X30" i="2"/>
  <c r="X27" i="2"/>
  <c r="K66" i="3" l="1"/>
  <c r="K68" i="3" s="1"/>
  <c r="O24" i="1" s="1"/>
  <c r="O32" i="1" s="1"/>
  <c r="Q54" i="1"/>
  <c r="S44" i="1"/>
  <c r="W44" i="1" s="1"/>
  <c r="M39" i="2"/>
  <c r="M34" i="2"/>
  <c r="M33" i="2"/>
  <c r="M32" i="2"/>
  <c r="M31" i="2"/>
  <c r="M30" i="2"/>
  <c r="M26" i="2"/>
  <c r="M25" i="2"/>
  <c r="M24" i="2"/>
  <c r="M23" i="2"/>
  <c r="M22" i="2"/>
  <c r="S24" i="1" l="1"/>
  <c r="O54" i="1"/>
  <c r="Q50" i="2"/>
  <c r="Q53" i="2" s="1"/>
  <c r="O53" i="2"/>
  <c r="W24" i="1" l="1"/>
  <c r="W32" i="1" s="1"/>
  <c r="W54" i="1" s="1"/>
  <c r="S32" i="1"/>
  <c r="S54" i="1" s="1"/>
  <c r="Q35" i="2"/>
  <c r="O35" i="2"/>
  <c r="M35" i="2"/>
  <c r="K35" i="2"/>
  <c r="K37" i="2" s="1"/>
  <c r="K41" i="2" s="1"/>
  <c r="I35" i="2"/>
  <c r="Q27" i="2"/>
  <c r="O27" i="2"/>
  <c r="M27" i="2"/>
  <c r="K27" i="2"/>
  <c r="I27" i="2"/>
  <c r="I37" i="2"/>
  <c r="I41" i="2" s="1"/>
  <c r="Q37" i="2" l="1"/>
  <c r="Q41" i="2" s="1"/>
  <c r="O37" i="2"/>
  <c r="O41" i="2" s="1"/>
  <c r="M37" i="2"/>
  <c r="M52" i="1" l="1"/>
  <c r="M51" i="1"/>
  <c r="M50" i="1"/>
  <c r="M49" i="1"/>
  <c r="M48" i="1"/>
  <c r="M47" i="1"/>
  <c r="M46" i="1"/>
  <c r="M45" i="1"/>
  <c r="M43" i="1"/>
  <c r="M42" i="1"/>
  <c r="M41" i="1"/>
  <c r="M40" i="1"/>
  <c r="M39" i="1"/>
  <c r="M38" i="1"/>
  <c r="M37" i="1"/>
  <c r="M36" i="1"/>
  <c r="M35" i="1"/>
  <c r="M34" i="1"/>
  <c r="M54" i="1"/>
  <c r="K54" i="1"/>
  <c r="M31" i="1"/>
  <c r="M30" i="1"/>
  <c r="M29" i="1"/>
  <c r="M28" i="1"/>
  <c r="M27" i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I54" i="1"/>
</calcChain>
</file>

<file path=xl/sharedStrings.xml><?xml version="1.0" encoding="utf-8"?>
<sst xmlns="http://schemas.openxmlformats.org/spreadsheetml/2006/main" count="450" uniqueCount="294">
  <si>
    <t>Exhibit No. JRD-2</t>
  </si>
  <si>
    <t>ROR</t>
  </si>
  <si>
    <t>Tax factor</t>
  </si>
  <si>
    <t>Schedule No. 1</t>
  </si>
  <si>
    <t>Public</t>
  </si>
  <si>
    <t>Revenue</t>
  </si>
  <si>
    <t>Avista</t>
  </si>
  <si>
    <t>Counsel</t>
  </si>
  <si>
    <t>Public Counsel Position</t>
  </si>
  <si>
    <t>Requirement</t>
  </si>
  <si>
    <t>Adj't. No.</t>
  </si>
  <si>
    <t>Avista Adjustments - Original Filing</t>
  </si>
  <si>
    <t>Pubic Counsel Adjustments</t>
  </si>
  <si>
    <t>Relative to the Company's</t>
  </si>
  <si>
    <t>Impact</t>
  </si>
  <si>
    <t>Designation</t>
  </si>
  <si>
    <t>Adjustment Description</t>
  </si>
  <si>
    <t>Rate Base</t>
  </si>
  <si>
    <t>NOI</t>
  </si>
  <si>
    <t>Rev Req't</t>
  </si>
  <si>
    <t>Original Filed Position</t>
  </si>
  <si>
    <t>Diffference</t>
  </si>
  <si>
    <t>Pro Forma Adjustments</t>
  </si>
  <si>
    <t>Remaining Pro Formas</t>
  </si>
  <si>
    <t xml:space="preserve">     Restated Total</t>
  </si>
  <si>
    <t>Restating adjustments</t>
  </si>
  <si>
    <t>Results of Operations</t>
  </si>
  <si>
    <t>Deferred FIT Rate Base</t>
  </si>
  <si>
    <t>Deferred Debits and Credits</t>
  </si>
  <si>
    <t>Working Capital</t>
  </si>
  <si>
    <t>Eliminate B &amp; O Taxes</t>
  </si>
  <si>
    <t>Restate 2013 Property Tax</t>
  </si>
  <si>
    <t>Uncollect. Expense</t>
  </si>
  <si>
    <t>Regulatory Expense</t>
  </si>
  <si>
    <t>Injuries and Damages</t>
  </si>
  <si>
    <t>FIT/DFIT/ ITC/PTC Expense</t>
  </si>
  <si>
    <t>Office Space Charges to Subsidiaries</t>
  </si>
  <si>
    <t>Restate Excise Taxes</t>
  </si>
  <si>
    <t>Net Gains / Losses</t>
  </si>
  <si>
    <t>Revenue Normalization 2013</t>
  </si>
  <si>
    <t>Eliminate WA Power Cost Defer</t>
  </si>
  <si>
    <t>Nez Perce Settlement Adjustment</t>
  </si>
  <si>
    <t>Misc. Restating Expenses</t>
  </si>
  <si>
    <t>Restate Incentive Expenses</t>
  </si>
  <si>
    <t>Colstrip / CS2 Maintenance Amort</t>
  </si>
  <si>
    <t>Restate Debt Interest</t>
  </si>
  <si>
    <t>Restate June 30 2013 Capital EOP</t>
  </si>
  <si>
    <t>Pro Forma Power Supply</t>
  </si>
  <si>
    <t>Pro Forma Transmission Rev/Exp</t>
  </si>
  <si>
    <t>Pro Forma Labor Non-Exec</t>
  </si>
  <si>
    <t>Pro Forma Labor Exec</t>
  </si>
  <si>
    <t>Pro Forma Employee Benefits</t>
  </si>
  <si>
    <t>Pro Forma Insurance Expense</t>
  </si>
  <si>
    <t>Pro Forma Property Tax</t>
  </si>
  <si>
    <t>Pro Forma Information Tech/Serv Exp</t>
  </si>
  <si>
    <t>Planned Capital Add Dec 2013 EOP</t>
  </si>
  <si>
    <t>Planned Capital Add 2014 EOP</t>
  </si>
  <si>
    <t>Planned Capital Add 2015 AMA</t>
  </si>
  <si>
    <t>DSM</t>
  </si>
  <si>
    <t>Reconcile Pro Forma To Attrition</t>
  </si>
  <si>
    <t>Lake Spokane Deferral 3-YR Amort</t>
  </si>
  <si>
    <t>O&amp;M Offsets</t>
  </si>
  <si>
    <t>Revenue Normalization 2014</t>
  </si>
  <si>
    <t>Public Counsel</t>
  </si>
  <si>
    <t>Docket No. UE-140188</t>
  </si>
  <si>
    <t>SUMMARY OF PUBLIC COUNSEL ELECTRIC ADJUSTMENTS</t>
  </si>
  <si>
    <t>AND COMPARISON TO AVISTA'S DIRECT FILING ELECTRIC ADJUSTMENTS</t>
  </si>
  <si>
    <t>PLANT IN SERVICE</t>
  </si>
  <si>
    <t>Intangible</t>
  </si>
  <si>
    <t>Transmission</t>
  </si>
  <si>
    <t>Distribution</t>
  </si>
  <si>
    <t>Total Plant in Service</t>
  </si>
  <si>
    <t>ACCUMULATED DEPRECIATION</t>
  </si>
  <si>
    <t>Production</t>
  </si>
  <si>
    <t>General</t>
  </si>
  <si>
    <t>Total Accumulated Depreciation</t>
  </si>
  <si>
    <t>NET PLANT</t>
  </si>
  <si>
    <t>NET PLANT AFTER ADIT</t>
  </si>
  <si>
    <t>ACCUMULATED DEFERRED INCOME TAXES</t>
  </si>
  <si>
    <t>Restated</t>
  </si>
  <si>
    <t>EOP Balances</t>
  </si>
  <si>
    <t>EOP</t>
  </si>
  <si>
    <t>Balances</t>
  </si>
  <si>
    <t>June 30, 2013</t>
  </si>
  <si>
    <t>Planned</t>
  </si>
  <si>
    <t>Capital</t>
  </si>
  <si>
    <t>Additions</t>
  </si>
  <si>
    <t>July 2013 thru</t>
  </si>
  <si>
    <t>Dec 2013</t>
  </si>
  <si>
    <t>Estimated</t>
  </si>
  <si>
    <t>(Per Exh. EMA-4,</t>
  </si>
  <si>
    <t>"Restated TOTAL")</t>
  </si>
  <si>
    <t>Proforma Adj 4.00</t>
  </si>
  <si>
    <t>(a)</t>
  </si>
  <si>
    <t>(b)</t>
  </si>
  <si>
    <t>(c)</t>
  </si>
  <si>
    <t>Col. a Plus</t>
  </si>
  <si>
    <t>Col. b</t>
  </si>
  <si>
    <t>Actual</t>
  </si>
  <si>
    <t xml:space="preserve">EOP </t>
  </si>
  <si>
    <t>Balance</t>
  </si>
  <si>
    <t>@ 3/31/14</t>
  </si>
  <si>
    <t>(Response</t>
  </si>
  <si>
    <t>to PC 200</t>
  </si>
  <si>
    <t>WA Juris</t>
  </si>
  <si>
    <t>Adjustment</t>
  </si>
  <si>
    <t>to Update</t>
  </si>
  <si>
    <t>for Actual</t>
  </si>
  <si>
    <t>EOP Plant</t>
  </si>
  <si>
    <t>(d)</t>
  </si>
  <si>
    <t>(e)</t>
  </si>
  <si>
    <t>DEPRECIATION EXPENSE</t>
  </si>
  <si>
    <t>Production &amp; Transmission</t>
  </si>
  <si>
    <t>Production Depreciation</t>
  </si>
  <si>
    <t>Transmission Depreciation</t>
  </si>
  <si>
    <t>Prod &amp; Trans Depreciation</t>
  </si>
  <si>
    <t>March 2014</t>
  </si>
  <si>
    <t xml:space="preserve">per Response </t>
  </si>
  <si>
    <t>Calculated Composite Depreciation Rate</t>
  </si>
  <si>
    <t>Number of Months From June 2013 (Historic TY End)</t>
  </si>
  <si>
    <t>Through December 2015 (End of Rate Year)</t>
  </si>
  <si>
    <t>Number of Months from Test Year End of Period</t>
  </si>
  <si>
    <t>(June 2013) Through Public Counsel's Proposed</t>
  </si>
  <si>
    <t>Plant Update (March 2014 EOP)</t>
  </si>
  <si>
    <t>Number of Post Test Year Months Through March 2014</t>
  </si>
  <si>
    <t>as a Percentage of Number of Post Test Year</t>
  </si>
  <si>
    <t>Months Through Rate Year End December 2015</t>
  </si>
  <si>
    <t>June 2013 Revenue Base to Apply Revenue</t>
  </si>
  <si>
    <t>Company Developed Revenue Growth Factor to Consider</t>
  </si>
  <si>
    <t>Revenue Growth From Historic Test Year End Through</t>
  </si>
  <si>
    <t>June 2013 Through March 2014</t>
  </si>
  <si>
    <t>Escalation Factor to Consider Revenue Growth from</t>
  </si>
  <si>
    <t>Escalation Factor (Weather Normalized Historic</t>
  </si>
  <si>
    <t xml:space="preserve">Test Year Sales Reflecting 2014 Approved WA </t>
  </si>
  <si>
    <t>Retail Base Rates)</t>
  </si>
  <si>
    <t>Revenue Growth from Test Year End through</t>
  </si>
  <si>
    <t>Plant Update Adjustment</t>
  </si>
  <si>
    <t>Adjustment to Reflect Washington Retail Electric</t>
  </si>
  <si>
    <t xml:space="preserve">March 2014 - Consist with Public Counsel's Net </t>
  </si>
  <si>
    <t xml:space="preserve">Avista's Power Supply Adjustment Posted to </t>
  </si>
  <si>
    <t>be Synchronized with Revenue Growth Adjustment</t>
  </si>
  <si>
    <t xml:space="preserve">Avista's Adjustment to Reflect Revenue Growth </t>
  </si>
  <si>
    <t>from the Test Year Through the 2015 Rate Year</t>
  </si>
  <si>
    <t>Power Supply Cost as a Percent of Gross Revenues</t>
  </si>
  <si>
    <t>Adjustment to Synchronize Power Supply Expense With</t>
  </si>
  <si>
    <t>Public Counsel's Revenue Growth Adjustment</t>
  </si>
  <si>
    <t>Other Revenue Related Expenses:</t>
  </si>
  <si>
    <t>Uncollectibles as a % of Revenues</t>
  </si>
  <si>
    <t>WUTC Fees as a % of Revenues</t>
  </si>
  <si>
    <t>Washington Excise Tax as a % of Revenues</t>
  </si>
  <si>
    <t xml:space="preserve">Adjustment to Synchronize Revenue Related </t>
  </si>
  <si>
    <t>Expenses with Public Counsel's Revenue</t>
  </si>
  <si>
    <t>Growth Adjustment:</t>
  </si>
  <si>
    <t>Subtotal:  Public Counsel's Revenue Growth</t>
  </si>
  <si>
    <t>Adjustment Net of Related Power Supply and Gross</t>
  </si>
  <si>
    <t>Revenue Related Expenses</t>
  </si>
  <si>
    <t>Less: Federal Income Tax Expense @ 35%</t>
  </si>
  <si>
    <t>Adjustment to Net Operating Income</t>
  </si>
  <si>
    <t>Federal Income Tax Expense Calculated @ 35%</t>
  </si>
  <si>
    <t>Actual Capital Additions March 2014 EOP</t>
  </si>
  <si>
    <t>Revenue Update Through March 2014</t>
  </si>
  <si>
    <t>Taxable NOI per Results</t>
  </si>
  <si>
    <t>Schedule M Reallocations and Adjustments</t>
  </si>
  <si>
    <t>Reallocated Taxable NOI</t>
  </si>
  <si>
    <t>FIT Normal Accrual per Results</t>
  </si>
  <si>
    <t>Adjusted FIT Normal Accrual</t>
  </si>
  <si>
    <t>Total Current FIT Adjustment</t>
  </si>
  <si>
    <t>Deferred FIT Adjustment</t>
  </si>
  <si>
    <t>Total Deferred FIT Adjustment</t>
  </si>
  <si>
    <t>Amortized Investment Tax Credit - Noxon</t>
  </si>
  <si>
    <t>Net FIT/DFIT/ITC Adjustment</t>
  </si>
  <si>
    <t>FIT Adjustment for Production Tax Credit</t>
  </si>
  <si>
    <t>Net Tax Adjustment</t>
  </si>
  <si>
    <t>Washington Jurisdictional</t>
  </si>
  <si>
    <t>Per</t>
  </si>
  <si>
    <t xml:space="preserve"> Avista</t>
  </si>
  <si>
    <t>Washington</t>
  </si>
  <si>
    <t>Allocation of 401-K Dividend Deduction:</t>
  </si>
  <si>
    <t>Allocation to Utility Operations (Per Avista Adjustment 3.04)</t>
  </si>
  <si>
    <t>Total Avista 401-K Dividend Deduction</t>
  </si>
  <si>
    <t>401-K Dividend Deduction Allocated to Utility Operations</t>
  </si>
  <si>
    <t>Washington Gas O&amp;M Labor</t>
  </si>
  <si>
    <t>Washington Electric O&amp;M Labor</t>
  </si>
  <si>
    <t>Idaho Gas O&amp;M Labor</t>
  </si>
  <si>
    <t>Oregon Gas O&amp;M Labor</t>
  </si>
  <si>
    <t>Idaho Electric O&amp;M Labor</t>
  </si>
  <si>
    <t xml:space="preserve">Washington Electric </t>
  </si>
  <si>
    <t xml:space="preserve">Idaho Electric </t>
  </si>
  <si>
    <t xml:space="preserve">Washington Gas </t>
  </si>
  <si>
    <t xml:space="preserve">Idaho Gas </t>
  </si>
  <si>
    <t xml:space="preserve">Oregon Gas </t>
  </si>
  <si>
    <t>Total Utility Operations</t>
  </si>
  <si>
    <t>401-K Dividend Deduction</t>
  </si>
  <si>
    <t>(1)</t>
  </si>
  <si>
    <t>(2)</t>
  </si>
  <si>
    <t>Washington Electric Retail Allocation (Per Avista Adjustment 2.06)</t>
  </si>
  <si>
    <t>Retail</t>
  </si>
  <si>
    <t>Electric</t>
  </si>
  <si>
    <t>Gas</t>
  </si>
  <si>
    <t>Operations</t>
  </si>
  <si>
    <t>Federal Income Tax Rate</t>
  </si>
  <si>
    <t>Reduction in Related Federal Income Tax Expense</t>
  </si>
  <si>
    <t xml:space="preserve">Adjustment to Net Operating Income to Reflect </t>
  </si>
  <si>
    <t>Annualized Impact of Wage Increases Granted</t>
  </si>
  <si>
    <t>Through March 2014</t>
  </si>
  <si>
    <t>Adjustment to Annual Pensions and Benefits Costs</t>
  </si>
  <si>
    <t>Insurance Expense Adjustment to Reflect 2014</t>
  </si>
  <si>
    <t>Estimated Insurance Expense (Per "Public</t>
  </si>
  <si>
    <t>Counsel 2014 PF Insurance Adj.xlsx")</t>
  </si>
  <si>
    <t>Annualized Impact of 2014 Proforma Insurance</t>
  </si>
  <si>
    <t>Expense</t>
  </si>
  <si>
    <t>Property Tax Expense Adjustment to Reflect</t>
  </si>
  <si>
    <t>Estimated 2014 Property Tax Expense Based</t>
  </si>
  <si>
    <t>Upon 2013 EOP Plant Values (Per "Public</t>
  </si>
  <si>
    <t>Counsel Proforma Property Tax ADJ.xlsx")</t>
  </si>
  <si>
    <t>Annualized Impact of 2014 Proforma Property Tax</t>
  </si>
  <si>
    <t>PC-E.2.10 A</t>
  </si>
  <si>
    <t>PC-E.4.00 A</t>
  </si>
  <si>
    <t>Incremental</t>
  </si>
  <si>
    <t>PC Neutral in Direct</t>
  </si>
  <si>
    <t>PC Modified</t>
  </si>
  <si>
    <t>PC Incremental</t>
  </si>
  <si>
    <t>PC Support</t>
  </si>
  <si>
    <t>Incremental Attrition Components</t>
  </si>
  <si>
    <t>PC Oppose</t>
  </si>
  <si>
    <t>Reflects PC COC</t>
  </si>
  <si>
    <t>PC-E.3.02</t>
  </si>
  <si>
    <t>PC-E.3.04</t>
  </si>
  <si>
    <t>PC-E.3.05</t>
  </si>
  <si>
    <t>PC-E.3.06</t>
  </si>
  <si>
    <t>PC-E.2.06</t>
  </si>
  <si>
    <t xml:space="preserve">Injuries and Damages  </t>
  </si>
  <si>
    <t>Section 199 Manufacturing Deduction (DPAD)</t>
  </si>
  <si>
    <t>401-K Dividend Deduction Allocated to Each Avista Utility Operation</t>
  </si>
  <si>
    <t>2013 DPAD Per Company Response to PC-118</t>
  </si>
  <si>
    <t>Public Counsel Proposed Washington Retail DPAD</t>
  </si>
  <si>
    <t>Avista Corporation</t>
  </si>
  <si>
    <t>Electric Docket No. UE-140188</t>
  </si>
  <si>
    <t>Adjustment to Restate FIT/DFIT/ITC/PTC Expense</t>
  </si>
  <si>
    <t>Exhibit JRD-2</t>
  </si>
  <si>
    <t>Schedule No. 2</t>
  </si>
  <si>
    <t>Description:</t>
  </si>
  <si>
    <t>Line</t>
  </si>
  <si>
    <t>No.</t>
  </si>
  <si>
    <t>Amount</t>
  </si>
  <si>
    <t>Reference</t>
  </si>
  <si>
    <t>End of 2015 Rate Year - Billing Determinant Index</t>
  </si>
  <si>
    <t>Exh. No.__(EMA-2)</t>
  </si>
  <si>
    <t>Page 10 of 10</t>
  </si>
  <si>
    <t>Page 4 of 10</t>
  </si>
  <si>
    <t>Co. Spreadsheet:</t>
  </si>
  <si>
    <t>"2015 Electric</t>
  </si>
  <si>
    <t>Attrition Analysis.xlsx"</t>
  </si>
  <si>
    <t>Adjust Revenues for Post Test Year Growth Thru March 2014</t>
  </si>
  <si>
    <t>Description</t>
  </si>
  <si>
    <t>Line 5 / Line 2</t>
  </si>
  <si>
    <t>Line 8 X Line 11</t>
  </si>
  <si>
    <t>Line 13 X Line 21</t>
  </si>
  <si>
    <t>Line 23 / Line 25</t>
  </si>
  <si>
    <t>Line 21 X Line 26</t>
  </si>
  <si>
    <t>Line 21 X Line 30</t>
  </si>
  <si>
    <t>Line 21 X Line 31</t>
  </si>
  <si>
    <t>Line 21 X Line 32</t>
  </si>
  <si>
    <t>Line 21 Less</t>
  </si>
  <si>
    <t>Lines 28, 36, 37 ,38</t>
  </si>
  <si>
    <t>Line 50 X 35%</t>
  </si>
  <si>
    <t>Line 50 - Line 51</t>
  </si>
  <si>
    <t>Pro Forma Non-Executive Labor Adjustment</t>
  </si>
  <si>
    <t>Retirement Benefits Adjt.xlsx")</t>
  </si>
  <si>
    <t>Non-Executive Labor Adjustment to Annualize Wages</t>
  </si>
  <si>
    <t>Wages for Increases Granted Through March 2014 (Per</t>
  </si>
  <si>
    <t>"PC Labor &amp; Employee Retirements Benefits Adjt.xlsx")</t>
  </si>
  <si>
    <t>Pro Forma Property Tax Expense</t>
  </si>
  <si>
    <t>to PC 200)</t>
  </si>
  <si>
    <t>Adjustment to Reflect Actual Capital Additions Through Period Ending March 31, 2014 (Net Plant After Deferred Income Taxes)</t>
  </si>
  <si>
    <t>Schedule No. 3</t>
  </si>
  <si>
    <t>Schedule No. 4</t>
  </si>
  <si>
    <t>Schedule No. 5</t>
  </si>
  <si>
    <t>Schedule No. 6</t>
  </si>
  <si>
    <t>Schedule No. 7</t>
  </si>
  <si>
    <t>Schedule No. 8</t>
  </si>
  <si>
    <t xml:space="preserve">  Exhibit No. JRD-2 </t>
  </si>
  <si>
    <t>Page 1 of  8</t>
  </si>
  <si>
    <t>Page 2 of 8</t>
  </si>
  <si>
    <t>Page 3 of 8</t>
  </si>
  <si>
    <t>Page 4 of 8</t>
  </si>
  <si>
    <t>Page 5 of 8</t>
  </si>
  <si>
    <t>Page 6 of 8</t>
  </si>
  <si>
    <t>Page 7 of 8</t>
  </si>
  <si>
    <t>Page 8 of 8</t>
  </si>
  <si>
    <t>Calculated by Reflecting Total Avista 2014 Updated</t>
  </si>
  <si>
    <t>Pension Costs    (Per "PC Labor &amp; Employee</t>
  </si>
  <si>
    <t>(Col. d - Col. c)</t>
  </si>
  <si>
    <t>Total Restating &amp; Pro 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</si>
</sst>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0.000000%"/>
    <numFmt numFmtId="169" formatCode="&quot;(&quot;0&quot;)&quot;"/>
    <numFmt numFmtId="170" formatCode="#,##0\ ;\(#,##0\)"/>
  </numFmts>
  <fonts count="1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Arial"/>
      <family val="2"/>
    </font>
    <font>
      <b/>
      <sz val="10"/>
      <name val="Geneva"/>
    </font>
    <font>
      <sz val="12"/>
      <name val="Times New Roman"/>
      <family val="1"/>
    </font>
    <font>
      <sz val="12"/>
      <color theme="1"/>
      <name val="Arial"/>
      <family val="2"/>
    </font>
    <font>
      <b/>
      <sz val="12"/>
      <name val="Times New Roman"/>
      <family val="1"/>
    </font>
    <font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left"/>
    </xf>
    <xf numFmtId="164" fontId="0" fillId="0" borderId="0" xfId="1" applyNumberFormat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15" fontId="0" fillId="0" borderId="0" xfId="0" quotePrefix="1" applyNumberFormat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7" fontId="0" fillId="0" borderId="0" xfId="0" quotePrefix="1" applyNumberFormat="1" applyAlignment="1">
      <alignment horizontal="center"/>
    </xf>
    <xf numFmtId="164" fontId="0" fillId="0" borderId="1" xfId="1" applyNumberFormat="1" applyFont="1" applyBorder="1"/>
    <xf numFmtId="44" fontId="0" fillId="0" borderId="0" xfId="2" applyFont="1"/>
    <xf numFmtId="165" fontId="0" fillId="0" borderId="0" xfId="2" applyNumberFormat="1" applyFont="1"/>
    <xf numFmtId="165" fontId="0" fillId="0" borderId="4" xfId="2" applyNumberFormat="1" applyFont="1" applyBorder="1"/>
    <xf numFmtId="165" fontId="0" fillId="0" borderId="2" xfId="2" applyNumberFormat="1" applyFont="1" applyBorder="1"/>
    <xf numFmtId="0" fontId="0" fillId="0" borderId="1" xfId="0" quotePrefix="1" applyBorder="1" applyAlignment="1">
      <alignment horizontal="center"/>
    </xf>
    <xf numFmtId="164" fontId="0" fillId="0" borderId="0" xfId="0" applyNumberFormat="1"/>
    <xf numFmtId="166" fontId="0" fillId="0" borderId="0" xfId="3" applyNumberFormat="1" applyFont="1"/>
    <xf numFmtId="10" fontId="0" fillId="0" borderId="0" xfId="3" applyNumberFormat="1" applyFont="1"/>
    <xf numFmtId="167" fontId="0" fillId="0" borderId="0" xfId="3" applyNumberFormat="1" applyFont="1"/>
    <xf numFmtId="168" fontId="0" fillId="0" borderId="0" xfId="3" applyNumberFormat="1" applyFont="1"/>
    <xf numFmtId="165" fontId="0" fillId="0" borderId="0" xfId="0" applyNumberFormat="1"/>
    <xf numFmtId="165" fontId="0" fillId="0" borderId="4" xfId="0" applyNumberFormat="1" applyBorder="1"/>
    <xf numFmtId="169" fontId="0" fillId="0" borderId="0" xfId="0" applyNumberFormat="1" applyAlignment="1">
      <alignment horizontal="center"/>
    </xf>
    <xf numFmtId="170" fontId="0" fillId="0" borderId="0" xfId="0" applyNumberFormat="1"/>
    <xf numFmtId="170" fontId="0" fillId="0" borderId="0" xfId="0" applyNumberFormat="1" applyAlignment="1">
      <alignment horizontal="center"/>
    </xf>
    <xf numFmtId="170" fontId="6" fillId="0" borderId="0" xfId="0" applyNumberFormat="1" applyFont="1"/>
    <xf numFmtId="169" fontId="0" fillId="0" borderId="0" xfId="0" applyNumberFormat="1" applyAlignment="1">
      <alignment horizontal="left"/>
    </xf>
    <xf numFmtId="169" fontId="6" fillId="0" borderId="0" xfId="0" applyNumberFormat="1" applyFont="1" applyAlignment="1">
      <alignment horizontal="left"/>
    </xf>
    <xf numFmtId="169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/>
    <xf numFmtId="170" fontId="0" fillId="0" borderId="1" xfId="0" applyNumberFormat="1" applyBorder="1"/>
    <xf numFmtId="170" fontId="0" fillId="0" borderId="7" xfId="0" applyNumberFormat="1" applyBorder="1"/>
    <xf numFmtId="170" fontId="0" fillId="0" borderId="0" xfId="0" applyNumberFormat="1" applyFill="1"/>
    <xf numFmtId="0" fontId="6" fillId="0" borderId="1" xfId="0" applyFont="1" applyBorder="1" applyAlignment="1">
      <alignment horizontal="center"/>
    </xf>
    <xf numFmtId="170" fontId="6" fillId="0" borderId="0" xfId="0" applyNumberFormat="1" applyFont="1" applyFill="1" applyBorder="1"/>
    <xf numFmtId="169" fontId="0" fillId="0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169" fontId="6" fillId="0" borderId="5" xfId="0" applyNumberFormat="1" applyFont="1" applyFill="1" applyBorder="1" applyAlignment="1">
      <alignment horizontal="left"/>
    </xf>
    <xf numFmtId="0" fontId="6" fillId="0" borderId="2" xfId="0" applyFont="1" applyFill="1" applyBorder="1"/>
    <xf numFmtId="170" fontId="6" fillId="0" borderId="8" xfId="0" applyNumberFormat="1" applyFont="1" applyFill="1" applyBorder="1"/>
    <xf numFmtId="169" fontId="0" fillId="0" borderId="0" xfId="0" applyNumberFormat="1" applyFill="1" applyAlignment="1">
      <alignment horizontal="left"/>
    </xf>
    <xf numFmtId="170" fontId="6" fillId="0" borderId="2" xfId="0" applyNumberFormat="1" applyFont="1" applyFill="1" applyBorder="1"/>
    <xf numFmtId="169" fontId="6" fillId="0" borderId="6" xfId="0" applyNumberFormat="1" applyFont="1" applyFill="1" applyBorder="1" applyAlignment="1">
      <alignment horizontal="left"/>
    </xf>
    <xf numFmtId="0" fontId="6" fillId="0" borderId="3" xfId="0" applyFont="1" applyFill="1" applyBorder="1"/>
    <xf numFmtId="170" fontId="6" fillId="0" borderId="3" xfId="0" applyNumberFormat="1" applyFont="1" applyFill="1" applyBorder="1"/>
    <xf numFmtId="166" fontId="0" fillId="0" borderId="1" xfId="3" applyNumberFormat="1" applyFont="1" applyBorder="1"/>
    <xf numFmtId="164" fontId="0" fillId="0" borderId="9" xfId="0" applyNumberFormat="1" applyBorder="1"/>
    <xf numFmtId="10" fontId="0" fillId="0" borderId="9" xfId="0" applyNumberFormat="1" applyBorder="1"/>
    <xf numFmtId="169" fontId="0" fillId="0" borderId="0" xfId="0" quotePrefix="1" applyNumberFormat="1" applyFill="1" applyAlignment="1">
      <alignment horizontal="center"/>
    </xf>
    <xf numFmtId="167" fontId="0" fillId="0" borderId="1" xfId="3" applyNumberFormat="1" applyFont="1" applyBorder="1"/>
    <xf numFmtId="164" fontId="0" fillId="0" borderId="4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3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41" fontId="7" fillId="0" borderId="0" xfId="0" applyNumberFormat="1" applyFont="1"/>
    <xf numFmtId="164" fontId="7" fillId="0" borderId="0" xfId="1" applyNumberFormat="1" applyFont="1" applyFill="1" applyBorder="1" applyAlignment="1">
      <alignment horizontal="left"/>
    </xf>
    <xf numFmtId="41" fontId="7" fillId="0" borderId="0" xfId="0" applyNumberFormat="1" applyFont="1" applyFill="1"/>
    <xf numFmtId="5" fontId="7" fillId="0" borderId="0" xfId="0" applyNumberFormat="1" applyFont="1"/>
    <xf numFmtId="4" fontId="7" fillId="0" borderId="0" xfId="0" quotePrefix="1" applyNumberFormat="1" applyFont="1" applyFill="1" applyBorder="1" applyAlignment="1">
      <alignment horizontal="center"/>
    </xf>
    <xf numFmtId="41" fontId="7" fillId="0" borderId="0" xfId="0" applyNumberFormat="1" applyFont="1" applyFill="1" applyBorder="1"/>
    <xf numFmtId="4" fontId="7" fillId="0" borderId="0" xfId="0" applyNumberFormat="1" applyFont="1" applyFill="1" applyAlignment="1">
      <alignment horizontal="center"/>
    </xf>
    <xf numFmtId="3" fontId="7" fillId="0" borderId="0" xfId="0" applyNumberFormat="1" applyFont="1" applyFill="1"/>
    <xf numFmtId="41" fontId="7" fillId="0" borderId="1" xfId="0" applyNumberFormat="1" applyFont="1" applyFill="1" applyBorder="1"/>
    <xf numFmtId="5" fontId="7" fillId="0" borderId="2" xfId="0" applyNumberFormat="1" applyFont="1" applyFill="1" applyBorder="1"/>
    <xf numFmtId="0" fontId="9" fillId="0" borderId="0" xfId="0" applyFont="1" applyFill="1" applyAlignment="1">
      <alignment horizontal="left"/>
    </xf>
    <xf numFmtId="3" fontId="10" fillId="0" borderId="0" xfId="0" applyNumberFormat="1" applyFont="1" applyFill="1"/>
    <xf numFmtId="41" fontId="7" fillId="0" borderId="0" xfId="2" applyNumberFormat="1" applyFont="1" applyFill="1" applyBorder="1"/>
    <xf numFmtId="0" fontId="7" fillId="0" borderId="0" xfId="0" applyFont="1" applyFill="1"/>
    <xf numFmtId="164" fontId="7" fillId="0" borderId="0" xfId="1" applyNumberFormat="1" applyFont="1" applyFill="1"/>
    <xf numFmtId="164" fontId="8" fillId="0" borderId="0" xfId="1" applyNumberFormat="1" applyFont="1"/>
    <xf numFmtId="164" fontId="7" fillId="0" borderId="0" xfId="1" applyNumberFormat="1" applyFont="1" applyFill="1" applyBorder="1"/>
    <xf numFmtId="164" fontId="7" fillId="0" borderId="0" xfId="1" applyNumberFormat="1" applyFont="1"/>
    <xf numFmtId="164" fontId="7" fillId="0" borderId="0" xfId="1" applyNumberFormat="1" applyFont="1" applyBorder="1"/>
    <xf numFmtId="4" fontId="7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/>
    <xf numFmtId="4" fontId="9" fillId="0" borderId="0" xfId="0" applyNumberFormat="1" applyFont="1" applyFill="1" applyBorder="1" applyAlignment="1">
      <alignment horizontal="left"/>
    </xf>
    <xf numFmtId="3" fontId="7" fillId="0" borderId="0" xfId="0" applyNumberFormat="1" applyFont="1" applyBorder="1"/>
    <xf numFmtId="4" fontId="7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5" fontId="7" fillId="0" borderId="3" xfId="2" applyNumberFormat="1" applyFont="1" applyBorder="1"/>
    <xf numFmtId="41" fontId="7" fillId="0" borderId="0" xfId="2" applyNumberFormat="1" applyFont="1" applyBorder="1"/>
    <xf numFmtId="0" fontId="7" fillId="0" borderId="0" xfId="0" applyFont="1" applyBorder="1"/>
    <xf numFmtId="0" fontId="7" fillId="0" borderId="0" xfId="0" applyFont="1"/>
    <xf numFmtId="6" fontId="0" fillId="0" borderId="0" xfId="2" applyNumberFormat="1" applyFont="1"/>
    <xf numFmtId="0" fontId="0" fillId="0" borderId="1" xfId="0" applyBorder="1" applyAlignment="1">
      <alignment horizontal="center"/>
    </xf>
    <xf numFmtId="170" fontId="0" fillId="0" borderId="0" xfId="0" applyNumberFormat="1" applyBorder="1"/>
    <xf numFmtId="170" fontId="6" fillId="0" borderId="4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7" fillId="0" borderId="0" xfId="0" quotePrefix="1" applyNumberFormat="1" applyFont="1" applyFill="1" applyBorder="1" applyAlignment="1">
      <alignment horizontal="right"/>
    </xf>
    <xf numFmtId="10" fontId="0" fillId="0" borderId="1" xfId="3" applyNumberFormat="1" applyFont="1" applyBorder="1"/>
    <xf numFmtId="165" fontId="0" fillId="0" borderId="1" xfId="2" applyNumberFormat="1" applyFont="1" applyBorder="1"/>
    <xf numFmtId="0" fontId="0" fillId="0" borderId="0" xfId="0" applyAlignment="1">
      <alignment horizontal="center" textRotation="180" readingOrder="2"/>
    </xf>
    <xf numFmtId="0" fontId="0" fillId="0" borderId="0" xfId="0" applyAlignment="1">
      <alignment horizontal="left" textRotation="180" readingOrder="2"/>
    </xf>
    <xf numFmtId="5" fontId="0" fillId="0" borderId="0" xfId="0" applyNumberForma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0" applyNumberFormat="1" applyBorder="1"/>
    <xf numFmtId="0" fontId="0" fillId="0" borderId="0" xfId="0" quotePrefix="1" applyBorder="1" applyAlignment="1">
      <alignment horizontal="center"/>
    </xf>
    <xf numFmtId="165" fontId="7" fillId="0" borderId="0" xfId="2" applyNumberFormat="1" applyFont="1"/>
    <xf numFmtId="165" fontId="7" fillId="0" borderId="0" xfId="2" applyNumberFormat="1" applyFont="1" applyFill="1" applyBorder="1" applyAlignment="1">
      <alignment horizontal="left"/>
    </xf>
    <xf numFmtId="165" fontId="7" fillId="0" borderId="2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%20Dittmer/Google%20Drive/Current%20Jobs/Current%20Jobs/Avista%202014%20GRC/Electronic%20WPs/2.06%20FIT_DFIT%20Expense/1)%20PF%20E-FIT%20%20Electric%20Ad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FIT"/>
      <sheetName val="E-FIT-1"/>
    </sheetNames>
    <sheetDataSet>
      <sheetData sheetId="0" refreshError="1"/>
      <sheetData sheetId="1">
        <row r="5">
          <cell r="A5">
            <v>1</v>
          </cell>
          <cell r="B5" t="str">
            <v xml:space="preserve">Injuries and Damages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73"/>
  <sheetViews>
    <sheetView tabSelected="1" topLeftCell="A21" workbookViewId="0">
      <selection activeCell="G55" sqref="G55"/>
    </sheetView>
  </sheetViews>
  <sheetFormatPr defaultRowHeight="14.25"/>
  <cols>
    <col min="3" max="3" width="9.125" bestFit="1" customWidth="1"/>
    <col min="4" max="4" width="1.625" customWidth="1"/>
    <col min="6" max="6" width="1.625" customWidth="1"/>
    <col min="7" max="7" width="33.375" customWidth="1"/>
    <col min="8" max="8" width="3.625" customWidth="1"/>
    <col min="9" max="9" width="9" customWidth="1"/>
    <col min="10" max="10" width="1.625" customWidth="1"/>
    <col min="11" max="11" width="11.125" customWidth="1"/>
    <col min="12" max="12" width="1.625" customWidth="1"/>
    <col min="13" max="13" width="8.25" customWidth="1"/>
    <col min="15" max="15" width="9" customWidth="1"/>
    <col min="16" max="16" width="1.625" customWidth="1"/>
    <col min="17" max="17" width="11.125" customWidth="1"/>
    <col min="18" max="18" width="1.625" customWidth="1"/>
    <col min="19" max="19" width="9.25" customWidth="1"/>
    <col min="20" max="20" width="2.625" customWidth="1"/>
    <col min="21" max="21" width="19" bestFit="1" customWidth="1"/>
    <col min="22" max="22" width="2.625" customWidth="1"/>
    <col min="23" max="23" width="9.25" customWidth="1"/>
  </cols>
  <sheetData>
    <row r="1" spans="3:30" ht="28.5">
      <c r="V1" s="1"/>
      <c r="W1" s="1"/>
      <c r="AB1" t="s">
        <v>6</v>
      </c>
      <c r="AD1" s="11" t="s">
        <v>63</v>
      </c>
    </row>
    <row r="2" spans="3:30" ht="20.25">
      <c r="E2" s="1"/>
      <c r="F2" s="1"/>
      <c r="G2" s="1"/>
      <c r="H2" s="1"/>
      <c r="I2" s="12" t="s">
        <v>65</v>
      </c>
      <c r="J2" s="1"/>
      <c r="K2" s="1"/>
      <c r="L2" s="1"/>
      <c r="M2" s="1"/>
      <c r="N2" s="1"/>
      <c r="U2" s="112" t="s">
        <v>0</v>
      </c>
      <c r="V2" s="1"/>
      <c r="W2" s="1"/>
      <c r="Z2" t="s">
        <v>1</v>
      </c>
      <c r="AB2">
        <v>7.7100000000000002E-2</v>
      </c>
      <c r="AD2">
        <v>7.0499999999999993E-2</v>
      </c>
    </row>
    <row r="3" spans="3:30" ht="20.25">
      <c r="E3" s="1"/>
      <c r="F3" s="1"/>
      <c r="G3" s="1"/>
      <c r="H3" s="1"/>
      <c r="I3" s="12" t="s">
        <v>66</v>
      </c>
      <c r="J3" s="1"/>
      <c r="K3" s="1"/>
      <c r="L3" s="1"/>
      <c r="M3" s="1"/>
      <c r="N3" s="1"/>
      <c r="U3" s="112" t="s">
        <v>282</v>
      </c>
      <c r="V3" s="1"/>
      <c r="W3" s="1"/>
      <c r="Z3" t="s">
        <v>2</v>
      </c>
      <c r="AB3">
        <v>0.62073999999999996</v>
      </c>
      <c r="AD3">
        <v>0.62073999999999996</v>
      </c>
    </row>
    <row r="4" spans="3:30" ht="20.25">
      <c r="G4" s="111" t="s">
        <v>64</v>
      </c>
      <c r="H4" s="111"/>
      <c r="I4" s="111"/>
      <c r="J4" s="111"/>
      <c r="K4" s="111"/>
      <c r="L4" s="111"/>
      <c r="M4" s="111"/>
      <c r="N4" s="111"/>
      <c r="U4" s="112" t="s">
        <v>3</v>
      </c>
    </row>
    <row r="5" spans="3:30">
      <c r="E5" s="2" t="s">
        <v>4</v>
      </c>
      <c r="W5" s="3" t="s">
        <v>5</v>
      </c>
    </row>
    <row r="6" spans="3:30">
      <c r="C6" s="2" t="s">
        <v>6</v>
      </c>
      <c r="D6" s="2"/>
      <c r="E6" s="2" t="s">
        <v>7</v>
      </c>
      <c r="U6" s="2" t="s">
        <v>8</v>
      </c>
      <c r="W6" s="3" t="s">
        <v>9</v>
      </c>
    </row>
    <row r="7" spans="3:30">
      <c r="C7" s="2" t="s">
        <v>10</v>
      </c>
      <c r="D7" s="2"/>
      <c r="E7" s="2" t="s">
        <v>10</v>
      </c>
      <c r="I7" s="4"/>
      <c r="J7" s="4"/>
      <c r="K7" s="5" t="s">
        <v>11</v>
      </c>
      <c r="L7" s="4"/>
      <c r="M7" s="4"/>
      <c r="O7" s="4"/>
      <c r="P7" s="4"/>
      <c r="Q7" s="5" t="s">
        <v>12</v>
      </c>
      <c r="R7" s="4"/>
      <c r="S7" s="4"/>
      <c r="U7" s="2" t="s">
        <v>13</v>
      </c>
      <c r="W7" s="3" t="s">
        <v>14</v>
      </c>
    </row>
    <row r="8" spans="3:30">
      <c r="C8" s="5" t="s">
        <v>15</v>
      </c>
      <c r="D8" s="2"/>
      <c r="E8" s="5" t="s">
        <v>15</v>
      </c>
      <c r="G8" s="4" t="s">
        <v>16</v>
      </c>
      <c r="H8" s="6"/>
      <c r="I8" s="7" t="s">
        <v>18</v>
      </c>
      <c r="J8" s="2"/>
      <c r="K8" s="7" t="s">
        <v>17</v>
      </c>
      <c r="L8" s="2"/>
      <c r="M8" s="7" t="s">
        <v>19</v>
      </c>
      <c r="O8" s="7" t="s">
        <v>18</v>
      </c>
      <c r="P8" s="2"/>
      <c r="Q8" s="7" t="s">
        <v>17</v>
      </c>
      <c r="R8" s="2"/>
      <c r="S8" s="7" t="s">
        <v>19</v>
      </c>
      <c r="U8" s="5" t="s">
        <v>20</v>
      </c>
      <c r="V8" s="6"/>
      <c r="W8" s="5" t="s">
        <v>21</v>
      </c>
    </row>
    <row r="9" spans="3:30">
      <c r="C9" s="9" t="s">
        <v>25</v>
      </c>
      <c r="D9" s="2"/>
      <c r="E9" s="3"/>
      <c r="G9" s="6"/>
      <c r="H9" s="6"/>
      <c r="I9" s="3"/>
      <c r="J9" s="2"/>
      <c r="K9" s="3"/>
      <c r="L9" s="2"/>
      <c r="M9" s="3"/>
      <c r="O9" s="3"/>
      <c r="P9" s="2"/>
      <c r="Q9" s="3"/>
      <c r="R9" s="2"/>
      <c r="S9" s="3"/>
      <c r="U9" s="3"/>
      <c r="V9" s="6"/>
      <c r="W9" s="3"/>
    </row>
    <row r="10" spans="3:30" ht="15.75">
      <c r="C10" s="63">
        <v>1</v>
      </c>
      <c r="D10" s="64"/>
      <c r="E10" s="65"/>
      <c r="F10" s="66"/>
      <c r="G10" s="62" t="s">
        <v>26</v>
      </c>
      <c r="H10" s="67"/>
      <c r="I10" s="115">
        <v>92108</v>
      </c>
      <c r="J10" s="64"/>
      <c r="K10" s="115">
        <v>1193944</v>
      </c>
      <c r="L10" s="64"/>
      <c r="M10" s="116">
        <f>(+K10*$AB$2-I10)/$AB$3</f>
        <v>-88.471179559881236</v>
      </c>
      <c r="N10" s="66"/>
      <c r="O10" s="115">
        <v>92108</v>
      </c>
      <c r="P10" s="64"/>
      <c r="Q10" s="68">
        <v>1193944</v>
      </c>
      <c r="R10" s="64"/>
      <c r="S10" s="116">
        <f>(+Q10*$AD$2-O10)/$AD$3</f>
        <v>-12783.046041821059</v>
      </c>
      <c r="T10" s="66"/>
      <c r="U10" s="62" t="s">
        <v>225</v>
      </c>
      <c r="V10" s="6"/>
      <c r="W10" s="116">
        <f>+S10-M10</f>
        <v>-12694.574862261177</v>
      </c>
    </row>
    <row r="11" spans="3:30" ht="15.75">
      <c r="C11" s="63">
        <v>1.01</v>
      </c>
      <c r="D11" s="64"/>
      <c r="E11" s="65"/>
      <c r="F11" s="66"/>
      <c r="G11" s="62" t="s">
        <v>27</v>
      </c>
      <c r="H11" s="67"/>
      <c r="I11" s="68">
        <v>-18.257400000000001</v>
      </c>
      <c r="J11" s="64"/>
      <c r="K11" s="68">
        <v>-1890</v>
      </c>
      <c r="L11" s="64"/>
      <c r="M11" s="69">
        <f t="shared" ref="M11:M31" si="0">(+K11*$AB$2-I11)/$AB$3</f>
        <v>-205.33814479492219</v>
      </c>
      <c r="N11" s="66"/>
      <c r="O11" s="68"/>
      <c r="P11" s="64"/>
      <c r="Q11" s="68"/>
      <c r="R11" s="64"/>
      <c r="S11" s="69"/>
      <c r="T11" s="66"/>
      <c r="U11" s="62" t="s">
        <v>219</v>
      </c>
      <c r="V11" s="6"/>
      <c r="W11" s="69"/>
    </row>
    <row r="12" spans="3:30" ht="15.75">
      <c r="C12" s="63">
        <v>1.02</v>
      </c>
      <c r="D12" s="66"/>
      <c r="E12" s="66"/>
      <c r="F12" s="66"/>
      <c r="G12" s="62" t="s">
        <v>28</v>
      </c>
      <c r="H12" s="66"/>
      <c r="I12" s="68">
        <v>-168.54888</v>
      </c>
      <c r="J12" s="66"/>
      <c r="K12" s="68">
        <v>-8768</v>
      </c>
      <c r="L12" s="66"/>
      <c r="M12" s="69">
        <f t="shared" si="0"/>
        <v>-817.51445049457095</v>
      </c>
      <c r="N12" s="66"/>
      <c r="O12" s="68"/>
      <c r="P12" s="66"/>
      <c r="Q12" s="68"/>
      <c r="R12" s="66"/>
      <c r="S12" s="69"/>
      <c r="T12" s="66"/>
      <c r="U12" s="62" t="s">
        <v>219</v>
      </c>
      <c r="W12" s="69"/>
    </row>
    <row r="13" spans="3:30" ht="15.75">
      <c r="C13" s="63">
        <v>1.03</v>
      </c>
      <c r="D13" s="66"/>
      <c r="E13" s="66"/>
      <c r="F13" s="66"/>
      <c r="G13" s="62" t="s">
        <v>29</v>
      </c>
      <c r="H13" s="66"/>
      <c r="I13" s="68">
        <v>146.97689999999997</v>
      </c>
      <c r="J13" s="66"/>
      <c r="K13" s="70">
        <v>15215</v>
      </c>
      <c r="L13" s="66"/>
      <c r="M13" s="69">
        <f t="shared" si="0"/>
        <v>1653.0263878596518</v>
      </c>
      <c r="N13" s="66"/>
      <c r="O13" s="68"/>
      <c r="P13" s="66"/>
      <c r="Q13" s="70"/>
      <c r="R13" s="66"/>
      <c r="S13" s="69"/>
      <c r="T13" s="66"/>
      <c r="U13" s="62" t="s">
        <v>219</v>
      </c>
      <c r="W13" s="69"/>
    </row>
    <row r="14" spans="3:30" ht="15.75">
      <c r="C14" s="63">
        <v>2.0099999999999998</v>
      </c>
      <c r="D14" s="66"/>
      <c r="E14" s="66"/>
      <c r="F14" s="66"/>
      <c r="G14" s="62" t="s">
        <v>30</v>
      </c>
      <c r="H14" s="66"/>
      <c r="I14" s="68">
        <v>-44.85</v>
      </c>
      <c r="J14" s="66"/>
      <c r="K14" s="68">
        <v>0</v>
      </c>
      <c r="L14" s="66"/>
      <c r="M14" s="69">
        <f t="shared" si="0"/>
        <v>72.252472854979544</v>
      </c>
      <c r="N14" s="66"/>
      <c r="O14" s="68"/>
      <c r="P14" s="66"/>
      <c r="Q14" s="68"/>
      <c r="R14" s="66"/>
      <c r="S14" s="69"/>
      <c r="T14" s="66"/>
      <c r="U14" s="62" t="s">
        <v>219</v>
      </c>
      <c r="W14" s="69"/>
    </row>
    <row r="15" spans="3:30" ht="15.75">
      <c r="C15" s="63">
        <v>2.0199999999999996</v>
      </c>
      <c r="D15" s="66"/>
      <c r="E15" s="66"/>
      <c r="F15" s="66"/>
      <c r="G15" s="62" t="s">
        <v>31</v>
      </c>
      <c r="H15" s="66"/>
      <c r="I15" s="71">
        <v>-655.20000000000005</v>
      </c>
      <c r="J15" s="66"/>
      <c r="K15" s="71">
        <v>0</v>
      </c>
      <c r="L15" s="66"/>
      <c r="M15" s="69">
        <f t="shared" si="0"/>
        <v>1055.5143860553535</v>
      </c>
      <c r="N15" s="66"/>
      <c r="O15" s="71"/>
      <c r="P15" s="66"/>
      <c r="Q15" s="71"/>
      <c r="R15" s="66"/>
      <c r="S15" s="69"/>
      <c r="T15" s="66"/>
      <c r="U15" s="62" t="s">
        <v>219</v>
      </c>
      <c r="W15" s="69"/>
    </row>
    <row r="16" spans="3:30" ht="15.75">
      <c r="C16" s="63">
        <v>2.0299999999999994</v>
      </c>
      <c r="D16" s="66"/>
      <c r="E16" s="66"/>
      <c r="F16" s="66"/>
      <c r="G16" s="62" t="s">
        <v>32</v>
      </c>
      <c r="H16" s="66"/>
      <c r="I16" s="68">
        <v>-462.15</v>
      </c>
      <c r="J16" s="66"/>
      <c r="K16" s="68">
        <v>0</v>
      </c>
      <c r="L16" s="66"/>
      <c r="M16" s="69">
        <f t="shared" si="0"/>
        <v>744.51461159261532</v>
      </c>
      <c r="N16" s="66"/>
      <c r="O16" s="68"/>
      <c r="P16" s="66"/>
      <c r="Q16" s="68"/>
      <c r="R16" s="66"/>
      <c r="S16" s="69"/>
      <c r="T16" s="66"/>
      <c r="U16" s="62" t="s">
        <v>219</v>
      </c>
      <c r="W16" s="69"/>
    </row>
    <row r="17" spans="3:23" ht="15.75">
      <c r="C17" s="63">
        <v>2.0399999999999991</v>
      </c>
      <c r="D17" s="66"/>
      <c r="E17" s="66"/>
      <c r="F17" s="66"/>
      <c r="G17" s="62" t="s">
        <v>33</v>
      </c>
      <c r="H17" s="66"/>
      <c r="I17" s="68">
        <v>33.799999999999997</v>
      </c>
      <c r="J17" s="66"/>
      <c r="K17" s="68">
        <v>0</v>
      </c>
      <c r="L17" s="66"/>
      <c r="M17" s="69">
        <f t="shared" si="0"/>
        <v>-54.451138963172987</v>
      </c>
      <c r="N17" s="66"/>
      <c r="O17" s="68"/>
      <c r="P17" s="66"/>
      <c r="Q17" s="68"/>
      <c r="R17" s="66"/>
      <c r="S17" s="69"/>
      <c r="T17" s="66"/>
      <c r="U17" s="62" t="s">
        <v>219</v>
      </c>
      <c r="W17" s="69"/>
    </row>
    <row r="18" spans="3:23" ht="15.75">
      <c r="C18" s="63">
        <v>2.0499999999999989</v>
      </c>
      <c r="D18" s="66"/>
      <c r="E18" s="66"/>
      <c r="F18" s="66"/>
      <c r="G18" s="62" t="s">
        <v>34</v>
      </c>
      <c r="H18" s="66"/>
      <c r="I18" s="68">
        <v>-183.3</v>
      </c>
      <c r="J18" s="66"/>
      <c r="K18" s="68">
        <v>0</v>
      </c>
      <c r="L18" s="66"/>
      <c r="M18" s="69">
        <f t="shared" si="0"/>
        <v>295.29271514643818</v>
      </c>
      <c r="N18" s="66"/>
      <c r="O18" s="68"/>
      <c r="P18" s="66"/>
      <c r="Q18" s="68"/>
      <c r="R18" s="66"/>
      <c r="S18" s="69"/>
      <c r="T18" s="66"/>
      <c r="U18" s="62" t="s">
        <v>219</v>
      </c>
      <c r="W18" s="69"/>
    </row>
    <row r="19" spans="3:23" ht="15.75">
      <c r="C19" s="63">
        <v>2.0599999999999987</v>
      </c>
      <c r="D19" s="66"/>
      <c r="E19" s="72" t="s">
        <v>230</v>
      </c>
      <c r="F19" s="66"/>
      <c r="G19" s="62" t="s">
        <v>35</v>
      </c>
      <c r="H19" s="66"/>
      <c r="I19" s="70">
        <v>751</v>
      </c>
      <c r="J19" s="66"/>
      <c r="K19" s="68">
        <v>0</v>
      </c>
      <c r="L19" s="66"/>
      <c r="M19" s="69">
        <f t="shared" si="0"/>
        <v>-1209.8463124657667</v>
      </c>
      <c r="N19" s="66"/>
      <c r="O19" s="70">
        <f>-FIT!K40/1000</f>
        <v>1525.6102496297285</v>
      </c>
      <c r="P19" s="66"/>
      <c r="Q19" s="68"/>
      <c r="R19" s="66"/>
      <c r="S19" s="69">
        <f>(+Q19*$AD$2-O19)/$AD$3</f>
        <v>-2457.7282753322302</v>
      </c>
      <c r="T19" s="66"/>
      <c r="U19" s="62" t="s">
        <v>220</v>
      </c>
      <c r="W19" s="69">
        <f>+S19-M19</f>
        <v>-1247.8819628664635</v>
      </c>
    </row>
    <row r="20" spans="3:23" ht="15.75">
      <c r="C20" s="63">
        <v>2.0699999999999985</v>
      </c>
      <c r="D20" s="66"/>
      <c r="E20" s="66"/>
      <c r="F20" s="66"/>
      <c r="G20" s="62" t="s">
        <v>36</v>
      </c>
      <c r="H20" s="66"/>
      <c r="I20" s="68">
        <v>14.950000000000001</v>
      </c>
      <c r="J20" s="66"/>
      <c r="K20" s="68">
        <v>0</v>
      </c>
      <c r="L20" s="66"/>
      <c r="M20" s="69">
        <f t="shared" si="0"/>
        <v>-24.084157618326518</v>
      </c>
      <c r="N20" s="66"/>
      <c r="O20" s="68"/>
      <c r="P20" s="66"/>
      <c r="Q20" s="68"/>
      <c r="R20" s="66"/>
      <c r="S20" s="69"/>
      <c r="T20" s="66"/>
      <c r="U20" s="62" t="s">
        <v>219</v>
      </c>
      <c r="W20" s="69"/>
    </row>
    <row r="21" spans="3:23" ht="15.75">
      <c r="C21" s="63">
        <v>2.0799999999999983</v>
      </c>
      <c r="D21" s="66"/>
      <c r="E21" s="66"/>
      <c r="F21" s="66"/>
      <c r="G21" s="62" t="s">
        <v>37</v>
      </c>
      <c r="H21" s="66"/>
      <c r="I21" s="68">
        <v>112.45</v>
      </c>
      <c r="J21" s="66"/>
      <c r="K21" s="68">
        <v>0</v>
      </c>
      <c r="L21" s="66"/>
      <c r="M21" s="69">
        <f t="shared" si="0"/>
        <v>-181.15475078132553</v>
      </c>
      <c r="N21" s="66"/>
      <c r="O21" s="68"/>
      <c r="P21" s="66"/>
      <c r="Q21" s="68"/>
      <c r="R21" s="66"/>
      <c r="S21" s="69"/>
      <c r="T21" s="66"/>
      <c r="U21" s="62" t="s">
        <v>219</v>
      </c>
      <c r="W21" s="69"/>
    </row>
    <row r="22" spans="3:23" ht="15.75">
      <c r="C22" s="63">
        <v>2.0899999999999981</v>
      </c>
      <c r="D22" s="66"/>
      <c r="E22" s="66"/>
      <c r="F22" s="66"/>
      <c r="G22" s="62" t="s">
        <v>38</v>
      </c>
      <c r="H22" s="66"/>
      <c r="I22" s="68">
        <v>48.75</v>
      </c>
      <c r="J22" s="66"/>
      <c r="K22" s="68">
        <v>0</v>
      </c>
      <c r="L22" s="66"/>
      <c r="M22" s="69">
        <f t="shared" si="0"/>
        <v>-78.535296581499509</v>
      </c>
      <c r="N22" s="66"/>
      <c r="O22" s="68"/>
      <c r="P22" s="66"/>
      <c r="Q22" s="68"/>
      <c r="R22" s="66"/>
      <c r="S22" s="69"/>
      <c r="T22" s="66"/>
      <c r="U22" s="62" t="s">
        <v>219</v>
      </c>
      <c r="W22" s="69"/>
    </row>
    <row r="23" spans="3:23" ht="15.75">
      <c r="C23" s="63">
        <v>2.0999999999999979</v>
      </c>
      <c r="D23" s="66"/>
      <c r="E23" s="66"/>
      <c r="F23" s="66"/>
      <c r="G23" s="62" t="s">
        <v>39</v>
      </c>
      <c r="H23" s="66"/>
      <c r="I23" s="68">
        <v>4682.6000000000004</v>
      </c>
      <c r="J23" s="66"/>
      <c r="K23" s="68">
        <v>0</v>
      </c>
      <c r="L23" s="66"/>
      <c r="M23" s="69">
        <f t="shared" si="0"/>
        <v>-7543.5770209749662</v>
      </c>
      <c r="N23" s="66"/>
      <c r="O23" s="68">
        <v>4682.6000000000004</v>
      </c>
      <c r="P23" s="66"/>
      <c r="Q23" s="68">
        <v>0</v>
      </c>
      <c r="R23" s="66"/>
      <c r="S23" s="69">
        <f>(+Q23*$AB$2-O23)/$AB$3</f>
        <v>-7543.5770209749662</v>
      </c>
      <c r="T23" s="66"/>
      <c r="U23" s="62" t="s">
        <v>222</v>
      </c>
      <c r="W23" s="69">
        <f t="shared" ref="W20:W23" si="1">+S23-M23</f>
        <v>0</v>
      </c>
    </row>
    <row r="24" spans="3:23" ht="15.75">
      <c r="C24" s="63"/>
      <c r="D24" s="66"/>
      <c r="E24" s="72" t="s">
        <v>216</v>
      </c>
      <c r="F24" s="66"/>
      <c r="G24" s="62" t="s">
        <v>160</v>
      </c>
      <c r="H24" s="66"/>
      <c r="I24" s="68"/>
      <c r="J24" s="66"/>
      <c r="K24" s="68"/>
      <c r="L24" s="66"/>
      <c r="M24" s="69"/>
      <c r="N24" s="66"/>
      <c r="O24" s="68">
        <f>+'Revenue Update'!K68</f>
        <v>1086.1312689205638</v>
      </c>
      <c r="P24" s="66"/>
      <c r="Q24" s="68"/>
      <c r="R24" s="66"/>
      <c r="S24" s="69">
        <f>(+Q24*$AD$2-O24)/$AD$3</f>
        <v>-1749.7362324331666</v>
      </c>
      <c r="T24" s="66"/>
      <c r="U24" s="62" t="s">
        <v>221</v>
      </c>
      <c r="W24" s="69">
        <f>+S24-M24</f>
        <v>-1749.7362324331666</v>
      </c>
    </row>
    <row r="25" spans="3:23" ht="15.75">
      <c r="C25" s="63">
        <v>2.1099999999999977</v>
      </c>
      <c r="D25" s="66"/>
      <c r="E25" s="66"/>
      <c r="F25" s="66"/>
      <c r="G25" s="62" t="s">
        <v>40</v>
      </c>
      <c r="H25" s="66"/>
      <c r="I25" s="68">
        <v>4387</v>
      </c>
      <c r="J25" s="66"/>
      <c r="K25" s="68">
        <v>0</v>
      </c>
      <c r="L25" s="66"/>
      <c r="M25" s="69">
        <f t="shared" si="0"/>
        <v>-7067.3712021136071</v>
      </c>
      <c r="N25" s="66"/>
      <c r="O25" s="68"/>
      <c r="P25" s="66"/>
      <c r="Q25" s="68"/>
      <c r="R25" s="66"/>
      <c r="S25" s="69"/>
      <c r="T25" s="66"/>
      <c r="U25" s="62" t="s">
        <v>219</v>
      </c>
      <c r="W25" s="69"/>
    </row>
    <row r="26" spans="3:23" ht="15.75">
      <c r="C26" s="63">
        <v>2.1199999999999974</v>
      </c>
      <c r="D26" s="66"/>
      <c r="E26" s="66"/>
      <c r="F26" s="66"/>
      <c r="G26" s="62" t="s">
        <v>41</v>
      </c>
      <c r="H26" s="66"/>
      <c r="I26" s="68">
        <v>-7.8000000000000007</v>
      </c>
      <c r="J26" s="66"/>
      <c r="K26" s="68">
        <v>0</v>
      </c>
      <c r="L26" s="66"/>
      <c r="M26" s="69">
        <f t="shared" si="0"/>
        <v>12.565647453039922</v>
      </c>
      <c r="N26" s="66"/>
      <c r="O26" s="68"/>
      <c r="P26" s="66"/>
      <c r="Q26" s="68"/>
      <c r="R26" s="66"/>
      <c r="S26" s="69"/>
      <c r="T26" s="66"/>
      <c r="U26" s="62" t="s">
        <v>219</v>
      </c>
      <c r="W26" s="69"/>
    </row>
    <row r="27" spans="3:23" ht="15.75">
      <c r="C27" s="63">
        <v>2.1299999999999972</v>
      </c>
      <c r="D27" s="66"/>
      <c r="E27" s="66"/>
      <c r="F27" s="66"/>
      <c r="G27" s="62" t="s">
        <v>42</v>
      </c>
      <c r="H27" s="66"/>
      <c r="I27" s="70">
        <v>26.65</v>
      </c>
      <c r="J27" s="66"/>
      <c r="K27" s="68">
        <v>0</v>
      </c>
      <c r="L27" s="66"/>
      <c r="M27" s="69">
        <f t="shared" si="0"/>
        <v>-42.932628797886395</v>
      </c>
      <c r="N27" s="66"/>
      <c r="O27" s="70"/>
      <c r="P27" s="66"/>
      <c r="Q27" s="68"/>
      <c r="R27" s="66"/>
      <c r="S27" s="69"/>
      <c r="T27" s="66"/>
      <c r="U27" s="62" t="s">
        <v>219</v>
      </c>
      <c r="W27" s="69"/>
    </row>
    <row r="28" spans="3:23" ht="15.75">
      <c r="C28" s="63">
        <v>2.139999999999997</v>
      </c>
      <c r="D28" s="66"/>
      <c r="E28" s="66"/>
      <c r="F28" s="66"/>
      <c r="G28" s="62" t="s">
        <v>43</v>
      </c>
      <c r="H28" s="66"/>
      <c r="I28" s="73">
        <v>1978.6000000000001</v>
      </c>
      <c r="J28" s="66"/>
      <c r="K28" s="73">
        <v>0</v>
      </c>
      <c r="L28" s="66"/>
      <c r="M28" s="69">
        <f t="shared" si="0"/>
        <v>-3187.4859039211269</v>
      </c>
      <c r="N28" s="66"/>
      <c r="O28" s="73"/>
      <c r="P28" s="66"/>
      <c r="Q28" s="73"/>
      <c r="R28" s="66"/>
      <c r="S28" s="69"/>
      <c r="T28" s="66"/>
      <c r="U28" s="62" t="s">
        <v>219</v>
      </c>
      <c r="W28" s="69"/>
    </row>
    <row r="29" spans="3:23" ht="15.75">
      <c r="C29" s="63">
        <v>2.1499999999999968</v>
      </c>
      <c r="D29" s="66"/>
      <c r="E29" s="66"/>
      <c r="F29" s="66"/>
      <c r="G29" s="62" t="s">
        <v>44</v>
      </c>
      <c r="H29" s="66"/>
      <c r="I29" s="73">
        <v>-357.5</v>
      </c>
      <c r="J29" s="66"/>
      <c r="K29" s="73">
        <v>0</v>
      </c>
      <c r="L29" s="66"/>
      <c r="M29" s="69">
        <f t="shared" si="0"/>
        <v>575.92550826432966</v>
      </c>
      <c r="N29" s="66"/>
      <c r="O29" s="73"/>
      <c r="P29" s="66"/>
      <c r="Q29" s="73"/>
      <c r="R29" s="66"/>
      <c r="S29" s="69"/>
      <c r="T29" s="66"/>
      <c r="U29" s="62" t="s">
        <v>219</v>
      </c>
      <c r="W29" s="69"/>
    </row>
    <row r="30" spans="3:23" ht="15.75">
      <c r="C30" s="74">
        <v>2.1599999999999966</v>
      </c>
      <c r="D30" s="66"/>
      <c r="E30" s="66"/>
      <c r="F30" s="66"/>
      <c r="G30" s="75" t="s">
        <v>45</v>
      </c>
      <c r="H30" s="66"/>
      <c r="I30" s="73">
        <v>-1203</v>
      </c>
      <c r="J30" s="66"/>
      <c r="K30" s="73">
        <v>0</v>
      </c>
      <c r="L30" s="66"/>
      <c r="M30" s="69">
        <f t="shared" si="0"/>
        <v>1938.0094725650031</v>
      </c>
      <c r="N30" s="66"/>
      <c r="O30" s="73"/>
      <c r="P30" s="66"/>
      <c r="Q30" s="73"/>
      <c r="R30" s="66"/>
      <c r="S30" s="69"/>
      <c r="T30" s="66"/>
      <c r="U30" s="62" t="s">
        <v>219</v>
      </c>
      <c r="W30" s="69"/>
    </row>
    <row r="31" spans="3:23" ht="15.75">
      <c r="C31" s="74">
        <v>2.1699999999999964</v>
      </c>
      <c r="D31" s="66"/>
      <c r="E31" s="66"/>
      <c r="F31" s="66"/>
      <c r="G31" s="75" t="s">
        <v>46</v>
      </c>
      <c r="H31" s="66"/>
      <c r="I31" s="76">
        <v>-415.26800000000003</v>
      </c>
      <c r="J31" s="66"/>
      <c r="K31" s="76">
        <v>35200</v>
      </c>
      <c r="L31" s="66"/>
      <c r="M31" s="76">
        <f t="shared" si="0"/>
        <v>5041.0606695234728</v>
      </c>
      <c r="N31" s="66"/>
      <c r="O31" s="76">
        <v>-415.26800000000003</v>
      </c>
      <c r="P31" s="66"/>
      <c r="Q31" s="76">
        <v>35200</v>
      </c>
      <c r="R31" s="66"/>
      <c r="S31" s="76">
        <f>(+Q31*$AD$2-O31)/$AD$3</f>
        <v>4666.797693076006</v>
      </c>
      <c r="T31" s="66"/>
      <c r="U31" s="62" t="s">
        <v>222</v>
      </c>
      <c r="W31" s="69">
        <f>+S31-M31</f>
        <v>-374.26297644746683</v>
      </c>
    </row>
    <row r="32" spans="3:23" ht="15.75">
      <c r="C32" s="63"/>
      <c r="D32" s="66"/>
      <c r="E32" s="66"/>
      <c r="F32" s="66"/>
      <c r="G32" s="62" t="s">
        <v>24</v>
      </c>
      <c r="H32" s="66"/>
      <c r="I32" s="77">
        <f>SUM(I10:I31)</f>
        <v>100774.90261999999</v>
      </c>
      <c r="J32" s="66"/>
      <c r="K32" s="77">
        <f>SUM(K10:K31)</f>
        <v>1233701</v>
      </c>
      <c r="L32" s="66"/>
      <c r="M32" s="117">
        <f>SUM(M10:M31)</f>
        <v>-9112.6003157521645</v>
      </c>
      <c r="N32" s="66"/>
      <c r="O32" s="117">
        <f>SUM(O10:O31)</f>
        <v>98987.0735185503</v>
      </c>
      <c r="P32" s="66"/>
      <c r="Q32" s="117">
        <f>SUM(Q10:Q31)</f>
        <v>1229144</v>
      </c>
      <c r="R32" s="66"/>
      <c r="S32" s="117">
        <f>SUM(S10:S31)</f>
        <v>-19867.289877485415</v>
      </c>
      <c r="T32" s="66"/>
      <c r="W32" s="77">
        <f>SUM(W10:W31)</f>
        <v>-16066.456034008275</v>
      </c>
    </row>
    <row r="33" spans="2:23" ht="15.75">
      <c r="C33" s="78" t="s">
        <v>22</v>
      </c>
      <c r="D33" s="66"/>
      <c r="E33" s="66"/>
      <c r="F33" s="66"/>
      <c r="G33" s="79"/>
      <c r="H33" s="66"/>
      <c r="I33" s="80"/>
      <c r="J33" s="66"/>
      <c r="K33" s="66"/>
      <c r="L33" s="66"/>
      <c r="M33" s="66"/>
      <c r="N33" s="66"/>
      <c r="O33" s="80"/>
      <c r="P33" s="66"/>
      <c r="Q33" s="66"/>
      <c r="R33" s="66"/>
      <c r="S33" s="66"/>
      <c r="T33" s="66"/>
    </row>
    <row r="34" spans="2:23" ht="15.75">
      <c r="C34" s="74">
        <v>3</v>
      </c>
      <c r="D34" s="66"/>
      <c r="E34" s="66"/>
      <c r="F34" s="66"/>
      <c r="G34" s="81" t="s">
        <v>47</v>
      </c>
      <c r="H34" s="66"/>
      <c r="I34" s="82">
        <v>1483.3000000000002</v>
      </c>
      <c r="J34" s="83"/>
      <c r="K34" s="84">
        <v>0</v>
      </c>
      <c r="L34" s="83"/>
      <c r="M34" s="69">
        <f t="shared" ref="M34:M52" si="2">(+K34*$AB$2-I34)/$AB$3</f>
        <v>-2389.5672906530917</v>
      </c>
      <c r="N34" s="66"/>
      <c r="O34" s="82"/>
      <c r="P34" s="83"/>
      <c r="Q34" s="84"/>
      <c r="R34" s="83"/>
      <c r="S34" s="69"/>
      <c r="T34" s="66"/>
      <c r="U34" s="62" t="s">
        <v>219</v>
      </c>
      <c r="W34" s="69"/>
    </row>
    <row r="35" spans="2:23" ht="15.75">
      <c r="C35" s="63">
        <v>3.01</v>
      </c>
      <c r="D35" s="66"/>
      <c r="E35" s="66"/>
      <c r="F35" s="66"/>
      <c r="G35" s="81" t="s">
        <v>48</v>
      </c>
      <c r="H35" s="66"/>
      <c r="I35" s="85">
        <v>-3531.45</v>
      </c>
      <c r="J35" s="83"/>
      <c r="K35" s="86">
        <v>0</v>
      </c>
      <c r="L35" s="83"/>
      <c r="M35" s="69">
        <f t="shared" si="2"/>
        <v>5689.0968843638238</v>
      </c>
      <c r="N35" s="66"/>
      <c r="O35" s="85"/>
      <c r="P35" s="83"/>
      <c r="Q35" s="86"/>
      <c r="R35" s="83"/>
      <c r="S35" s="69"/>
      <c r="T35" s="66"/>
      <c r="U35" s="62" t="s">
        <v>219</v>
      </c>
      <c r="W35" s="69"/>
    </row>
    <row r="36" spans="2:23" ht="15.75">
      <c r="C36" s="74">
        <v>3.0199999999999996</v>
      </c>
      <c r="D36" s="66"/>
      <c r="E36" s="72" t="s">
        <v>226</v>
      </c>
      <c r="F36" s="66"/>
      <c r="G36" s="75" t="s">
        <v>49</v>
      </c>
      <c r="H36" s="66"/>
      <c r="I36" s="82">
        <v>-1095.7076000000002</v>
      </c>
      <c r="J36" s="83"/>
      <c r="K36" s="84">
        <v>0</v>
      </c>
      <c r="L36" s="83"/>
      <c r="M36" s="69">
        <f t="shared" si="2"/>
        <v>1765.1635145149341</v>
      </c>
      <c r="N36" s="66"/>
      <c r="O36" s="82">
        <f>+Labor!K32/1000</f>
        <v>-505.97755000000001</v>
      </c>
      <c r="P36" s="83"/>
      <c r="Q36" s="84"/>
      <c r="R36" s="83"/>
      <c r="S36" s="69">
        <f>(+Q36*$AD$2-O36)/$AD$3</f>
        <v>815.1199374939589</v>
      </c>
      <c r="T36" s="66"/>
      <c r="U36" s="62" t="s">
        <v>220</v>
      </c>
      <c r="W36" s="69">
        <f>+S36-M36</f>
        <v>-950.04357702097525</v>
      </c>
    </row>
    <row r="37" spans="2:23" ht="15.75">
      <c r="C37" s="74">
        <v>3.0299999999999994</v>
      </c>
      <c r="D37" s="66"/>
      <c r="E37" s="66"/>
      <c r="F37" s="66"/>
      <c r="G37" s="62" t="s">
        <v>50</v>
      </c>
      <c r="H37" s="66"/>
      <c r="I37" s="82">
        <v>-16.342300000000002</v>
      </c>
      <c r="J37" s="83"/>
      <c r="K37" s="84">
        <v>0</v>
      </c>
      <c r="L37" s="83"/>
      <c r="M37" s="69">
        <f t="shared" si="2"/>
        <v>26.327125688694142</v>
      </c>
      <c r="N37" s="66"/>
      <c r="O37" s="82"/>
      <c r="P37" s="83"/>
      <c r="Q37" s="84"/>
      <c r="R37" s="83"/>
      <c r="S37" s="69"/>
      <c r="T37" s="66"/>
      <c r="U37" s="62" t="s">
        <v>219</v>
      </c>
      <c r="W37" s="69"/>
    </row>
    <row r="38" spans="2:23" ht="15.75">
      <c r="C38" s="74">
        <v>3.0399999999999991</v>
      </c>
      <c r="D38" s="66"/>
      <c r="E38" s="72" t="s">
        <v>227</v>
      </c>
      <c r="F38" s="66"/>
      <c r="G38" s="75" t="s">
        <v>51</v>
      </c>
      <c r="H38" s="66"/>
      <c r="I38" s="82">
        <v>562.65950000000009</v>
      </c>
      <c r="J38" s="83"/>
      <c r="K38" s="84">
        <v>0</v>
      </c>
      <c r="L38" s="83"/>
      <c r="M38" s="69">
        <f t="shared" si="2"/>
        <v>-906.43345039791234</v>
      </c>
      <c r="N38" s="66"/>
      <c r="O38" s="82">
        <f>+Pension!J30/1000</f>
        <v>2028.2944499999999</v>
      </c>
      <c r="P38" s="83"/>
      <c r="Q38" s="84"/>
      <c r="R38" s="83"/>
      <c r="S38" s="69">
        <f>(+Q38*$AD$2-O38)/$AD$3</f>
        <v>-3267.5426909817315</v>
      </c>
      <c r="T38" s="66"/>
      <c r="U38" s="62" t="s">
        <v>220</v>
      </c>
      <c r="W38" s="69">
        <f>+S38-M38</f>
        <v>-2361.109240583819</v>
      </c>
    </row>
    <row r="39" spans="2:23" ht="15.75">
      <c r="C39" s="74">
        <v>3.0499999999999989</v>
      </c>
      <c r="D39" s="66"/>
      <c r="E39" s="72" t="s">
        <v>228</v>
      </c>
      <c r="F39" s="66"/>
      <c r="G39" s="75" t="s">
        <v>52</v>
      </c>
      <c r="H39" s="66"/>
      <c r="I39" s="82">
        <v>-361.4</v>
      </c>
      <c r="J39" s="83"/>
      <c r="K39" s="84">
        <v>0</v>
      </c>
      <c r="L39" s="83"/>
      <c r="M39" s="69">
        <f t="shared" si="2"/>
        <v>582.20833199084962</v>
      </c>
      <c r="N39" s="66"/>
      <c r="O39" s="82">
        <f>+Insurance!J33/1000</f>
        <v>-84.912100000000009</v>
      </c>
      <c r="P39" s="83"/>
      <c r="Q39" s="84"/>
      <c r="R39" s="83"/>
      <c r="S39" s="69">
        <f>(+Q39*$AD$2-O39)/$AD$3</f>
        <v>136.79173244836809</v>
      </c>
      <c r="T39" s="66"/>
      <c r="U39" s="62" t="s">
        <v>220</v>
      </c>
      <c r="W39" s="69">
        <f>+S39-M39</f>
        <v>-445.41659954248155</v>
      </c>
    </row>
    <row r="40" spans="2:23" ht="15.75">
      <c r="C40" s="63">
        <v>3.0599999999999987</v>
      </c>
      <c r="D40" s="66"/>
      <c r="E40" s="72" t="s">
        <v>229</v>
      </c>
      <c r="F40" s="66"/>
      <c r="G40" s="75" t="s">
        <v>53</v>
      </c>
      <c r="H40" s="66"/>
      <c r="I40" s="85">
        <v>-1324.7</v>
      </c>
      <c r="J40" s="83"/>
      <c r="K40" s="86">
        <v>0</v>
      </c>
      <c r="L40" s="83"/>
      <c r="M40" s="69">
        <f t="shared" si="2"/>
        <v>2134.0657924412799</v>
      </c>
      <c r="N40" s="66"/>
      <c r="O40" s="85">
        <f>+'Prop Tax'!J36/1000</f>
        <v>-623.40589999999997</v>
      </c>
      <c r="P40" s="83"/>
      <c r="Q40" s="86"/>
      <c r="R40" s="83"/>
      <c r="S40" s="69">
        <f>(+Q40*$AD$2-O40)/$AD$3</f>
        <v>1004.2947127621871</v>
      </c>
      <c r="T40" s="66"/>
      <c r="U40" s="62" t="s">
        <v>220</v>
      </c>
      <c r="W40" s="69">
        <f>+S40-M40</f>
        <v>-1129.7710796790927</v>
      </c>
    </row>
    <row r="41" spans="2:23" ht="15.75">
      <c r="B41" s="6"/>
      <c r="C41" s="87">
        <v>3.0699999999999985</v>
      </c>
      <c r="D41" s="67"/>
      <c r="E41" s="67"/>
      <c r="F41" s="67"/>
      <c r="G41" s="88" t="s">
        <v>54</v>
      </c>
      <c r="H41" s="66"/>
      <c r="I41" s="86">
        <v>-692.25</v>
      </c>
      <c r="J41" s="83"/>
      <c r="K41" s="86">
        <v>0</v>
      </c>
      <c r="L41" s="83"/>
      <c r="M41" s="69">
        <f t="shared" si="2"/>
        <v>1115.2012114572931</v>
      </c>
      <c r="N41" s="66"/>
      <c r="O41" s="86"/>
      <c r="P41" s="83"/>
      <c r="Q41" s="86"/>
      <c r="R41" s="83"/>
      <c r="S41" s="69"/>
      <c r="T41" s="66"/>
      <c r="U41" s="62" t="s">
        <v>219</v>
      </c>
      <c r="W41" s="69"/>
    </row>
    <row r="42" spans="2:23" ht="15.75">
      <c r="B42" s="6"/>
      <c r="C42" s="89" t="s">
        <v>223</v>
      </c>
      <c r="D42" s="67"/>
      <c r="E42" s="67"/>
      <c r="F42" s="67"/>
      <c r="G42" s="90"/>
      <c r="H42" s="66"/>
      <c r="I42" s="84"/>
      <c r="J42" s="83"/>
      <c r="K42" s="84"/>
      <c r="L42" s="83"/>
      <c r="M42" s="69">
        <f t="shared" si="2"/>
        <v>0</v>
      </c>
      <c r="N42" s="66"/>
      <c r="O42" s="84"/>
      <c r="P42" s="83"/>
      <c r="Q42" s="84"/>
      <c r="R42" s="83"/>
      <c r="S42" s="69"/>
      <c r="T42" s="66"/>
    </row>
    <row r="43" spans="2:23" ht="15.75">
      <c r="B43" s="6"/>
      <c r="C43" s="91">
        <v>4</v>
      </c>
      <c r="D43" s="67"/>
      <c r="E43" s="67"/>
      <c r="F43" s="67"/>
      <c r="G43" s="90" t="s">
        <v>55</v>
      </c>
      <c r="H43" s="66"/>
      <c r="I43" s="84">
        <v>-2421.7899200000002</v>
      </c>
      <c r="J43" s="83"/>
      <c r="K43" s="84">
        <v>33588</v>
      </c>
      <c r="L43" s="83"/>
      <c r="M43" s="69">
        <f t="shared" si="2"/>
        <v>8073.3072139704245</v>
      </c>
      <c r="N43" s="66"/>
      <c r="O43" s="84">
        <v>-2421.7899200000002</v>
      </c>
      <c r="P43" s="83"/>
      <c r="Q43" s="84">
        <v>33588</v>
      </c>
      <c r="R43" s="83"/>
      <c r="S43" s="69">
        <f>(+Q43*$AD$2-O43)/$AD$3</f>
        <v>7716.1837806489029</v>
      </c>
      <c r="T43" s="66"/>
      <c r="U43" s="62" t="s">
        <v>222</v>
      </c>
      <c r="W43" s="69">
        <f t="shared" ref="W43:W48" si="3">+S43-M43</f>
        <v>-357.12343332152159</v>
      </c>
    </row>
    <row r="44" spans="2:23" ht="15.75">
      <c r="B44" s="6"/>
      <c r="C44" s="66"/>
      <c r="D44" s="67"/>
      <c r="E44" s="72" t="s">
        <v>217</v>
      </c>
      <c r="F44" s="67"/>
      <c r="G44" s="90" t="s">
        <v>159</v>
      </c>
      <c r="H44" s="66"/>
      <c r="I44" s="84"/>
      <c r="J44" s="83"/>
      <c r="K44" s="84"/>
      <c r="L44" s="83"/>
      <c r="M44" s="69"/>
      <c r="N44" s="66"/>
      <c r="O44" s="84">
        <f>+'Plant Update'!Q57</f>
        <v>-379.94559213895377</v>
      </c>
      <c r="P44" s="83"/>
      <c r="Q44" s="84">
        <f>+'Plant Update'!Q41</f>
        <v>7716.7229999999472</v>
      </c>
      <c r="R44" s="83"/>
      <c r="S44" s="69">
        <f>(+Q44*$AD$2-O44)/$AD$3</f>
        <v>1488.5049515722365</v>
      </c>
      <c r="T44" s="66"/>
      <c r="U44" s="62" t="s">
        <v>221</v>
      </c>
      <c r="W44" s="69">
        <f t="shared" si="3"/>
        <v>1488.5049515722365</v>
      </c>
    </row>
    <row r="45" spans="2:23" ht="15.75">
      <c r="B45" s="6"/>
      <c r="C45" s="91">
        <v>4.01</v>
      </c>
      <c r="D45" s="67"/>
      <c r="E45" s="67"/>
      <c r="F45" s="67"/>
      <c r="G45" s="88" t="s">
        <v>56</v>
      </c>
      <c r="H45" s="66"/>
      <c r="I45" s="84">
        <v>-3654.9395800000002</v>
      </c>
      <c r="J45" s="83"/>
      <c r="K45" s="84">
        <v>74587</v>
      </c>
      <c r="L45" s="83"/>
      <c r="M45" s="69">
        <f t="shared" si="2"/>
        <v>15152.233269968103</v>
      </c>
      <c r="N45" s="66"/>
      <c r="O45" s="84"/>
      <c r="P45" s="83"/>
      <c r="Q45" s="84"/>
      <c r="R45" s="83"/>
      <c r="S45" s="69"/>
      <c r="T45" s="66"/>
      <c r="U45" s="62" t="s">
        <v>224</v>
      </c>
      <c r="W45" s="69">
        <f t="shared" si="3"/>
        <v>-15152.233269968103</v>
      </c>
    </row>
    <row r="46" spans="2:23" ht="15.75">
      <c r="B46" s="6"/>
      <c r="C46" s="91">
        <v>4.0199999999999996</v>
      </c>
      <c r="D46" s="67"/>
      <c r="E46" s="67"/>
      <c r="F46" s="67"/>
      <c r="G46" s="88" t="s">
        <v>57</v>
      </c>
      <c r="H46" s="66"/>
      <c r="I46" s="84">
        <v>-1679.6596</v>
      </c>
      <c r="J46" s="83"/>
      <c r="K46" s="84">
        <v>19440</v>
      </c>
      <c r="L46" s="83"/>
      <c r="M46" s="69">
        <f t="shared" si="2"/>
        <v>5120.4749170345076</v>
      </c>
      <c r="N46" s="66"/>
      <c r="O46" s="84"/>
      <c r="P46" s="83"/>
      <c r="Q46" s="84"/>
      <c r="R46" s="83"/>
      <c r="S46" s="69"/>
      <c r="T46" s="66"/>
      <c r="U46" s="62" t="s">
        <v>224</v>
      </c>
      <c r="W46" s="69">
        <f t="shared" si="3"/>
        <v>-5120.4749170345076</v>
      </c>
    </row>
    <row r="47" spans="2:23" ht="15.75">
      <c r="B47" s="6"/>
      <c r="C47" s="91">
        <v>4.0299999999999994</v>
      </c>
      <c r="D47" s="67"/>
      <c r="E47" s="67"/>
      <c r="F47" s="67"/>
      <c r="G47" s="88" t="s">
        <v>58</v>
      </c>
      <c r="H47" s="66"/>
      <c r="I47" s="84">
        <v>-3322.8</v>
      </c>
      <c r="J47" s="83"/>
      <c r="K47" s="84">
        <v>0</v>
      </c>
      <c r="L47" s="83"/>
      <c r="M47" s="69">
        <f t="shared" si="2"/>
        <v>5352.9658149950064</v>
      </c>
      <c r="N47" s="66"/>
      <c r="O47" s="84"/>
      <c r="P47" s="83"/>
      <c r="Q47" s="84"/>
      <c r="R47" s="83"/>
      <c r="S47" s="69"/>
      <c r="T47" s="66"/>
      <c r="U47" s="62" t="s">
        <v>224</v>
      </c>
      <c r="W47" s="69">
        <f t="shared" si="3"/>
        <v>-5352.9658149950064</v>
      </c>
    </row>
    <row r="48" spans="2:23" ht="15.75">
      <c r="B48" s="6"/>
      <c r="C48" s="91">
        <v>4.0399999999999991</v>
      </c>
      <c r="D48" s="67"/>
      <c r="E48" s="67"/>
      <c r="F48" s="67"/>
      <c r="G48" s="88" t="s">
        <v>59</v>
      </c>
      <c r="H48" s="66"/>
      <c r="I48" s="84">
        <v>320.01696000000004</v>
      </c>
      <c r="J48" s="83"/>
      <c r="K48" s="84">
        <v>3656</v>
      </c>
      <c r="L48" s="83"/>
      <c r="M48" s="69">
        <f t="shared" si="2"/>
        <v>-61.441763056996507</v>
      </c>
      <c r="N48" s="66"/>
      <c r="O48" s="84"/>
      <c r="P48" s="83"/>
      <c r="Q48" s="84"/>
      <c r="R48" s="83"/>
      <c r="S48" s="69"/>
      <c r="T48" s="66"/>
      <c r="U48" s="62" t="s">
        <v>224</v>
      </c>
      <c r="W48" s="69">
        <f t="shared" si="3"/>
        <v>61.441763056996507</v>
      </c>
    </row>
    <row r="49" spans="2:23" ht="15.75">
      <c r="B49" s="6"/>
      <c r="C49" s="89" t="s">
        <v>23</v>
      </c>
      <c r="D49" s="67"/>
      <c r="E49" s="67"/>
      <c r="F49" s="67"/>
      <c r="G49" s="88"/>
      <c r="H49" s="66"/>
      <c r="I49" s="84"/>
      <c r="J49" s="83"/>
      <c r="K49" s="84"/>
      <c r="L49" s="83"/>
      <c r="M49" s="69">
        <f t="shared" si="2"/>
        <v>0</v>
      </c>
      <c r="N49" s="66"/>
      <c r="O49" s="84"/>
      <c r="P49" s="83"/>
      <c r="Q49" s="84"/>
      <c r="R49" s="83"/>
      <c r="S49" s="69"/>
      <c r="T49" s="66"/>
    </row>
    <row r="50" spans="2:23" ht="15.75">
      <c r="B50" s="6"/>
      <c r="C50" s="91">
        <v>4.0499999999999989</v>
      </c>
      <c r="D50" s="67"/>
      <c r="E50" s="67"/>
      <c r="F50" s="67"/>
      <c r="G50" s="88" t="s">
        <v>60</v>
      </c>
      <c r="H50" s="66"/>
      <c r="I50" s="84">
        <v>-183.94047999999998</v>
      </c>
      <c r="J50" s="83"/>
      <c r="K50" s="84">
        <v>472</v>
      </c>
      <c r="L50" s="83"/>
      <c r="M50" s="69">
        <f t="shared" si="2"/>
        <v>354.9500273866675</v>
      </c>
      <c r="N50" s="66"/>
      <c r="O50" s="84"/>
      <c r="P50" s="83"/>
      <c r="Q50" s="84"/>
      <c r="R50" s="83"/>
      <c r="S50" s="69"/>
      <c r="T50" s="66"/>
      <c r="U50" s="62" t="s">
        <v>219</v>
      </c>
      <c r="W50" s="69"/>
    </row>
    <row r="51" spans="2:23" ht="15.75">
      <c r="B51" s="6"/>
      <c r="C51" s="91">
        <v>4.0599999999999987</v>
      </c>
      <c r="D51" s="67"/>
      <c r="E51" s="67"/>
      <c r="F51" s="67"/>
      <c r="G51" s="88" t="s">
        <v>61</v>
      </c>
      <c r="H51" s="66"/>
      <c r="I51" s="84">
        <v>398.3005</v>
      </c>
      <c r="J51" s="83"/>
      <c r="K51" s="84">
        <v>0</v>
      </c>
      <c r="L51" s="83"/>
      <c r="M51" s="69">
        <f t="shared" si="2"/>
        <v>-641.65431581660607</v>
      </c>
      <c r="N51" s="66"/>
      <c r="O51" s="84"/>
      <c r="P51" s="83"/>
      <c r="Q51" s="84"/>
      <c r="R51" s="83"/>
      <c r="S51" s="69"/>
      <c r="T51" s="66"/>
      <c r="U51" s="62" t="s">
        <v>219</v>
      </c>
      <c r="W51" s="69"/>
    </row>
    <row r="52" spans="2:23" ht="15.75">
      <c r="B52" s="6"/>
      <c r="C52" s="91">
        <v>4.0699999999999985</v>
      </c>
      <c r="D52" s="67"/>
      <c r="E52" s="67"/>
      <c r="F52" s="67"/>
      <c r="G52" s="88" t="s">
        <v>62</v>
      </c>
      <c r="H52" s="66"/>
      <c r="I52" s="82">
        <v>8723.6500000000015</v>
      </c>
      <c r="J52" s="83"/>
      <c r="K52" s="82">
        <v>0</v>
      </c>
      <c r="L52" s="83"/>
      <c r="M52" s="69">
        <f t="shared" si="2"/>
        <v>-14053.629538937401</v>
      </c>
      <c r="N52" s="66"/>
      <c r="O52" s="82">
        <v>8723.6500000000015</v>
      </c>
      <c r="P52" s="83"/>
      <c r="Q52" s="82"/>
      <c r="R52" s="83"/>
      <c r="S52" s="69">
        <f>(+Q52*$AD$2-O52)/$AD$3</f>
        <v>-14053.629538937401</v>
      </c>
      <c r="T52" s="66"/>
      <c r="U52" s="62" t="s">
        <v>222</v>
      </c>
      <c r="W52" s="69">
        <f t="shared" ref="W50:W52" si="4">+S52-M52</f>
        <v>0</v>
      </c>
    </row>
    <row r="53" spans="2:23" ht="15.75">
      <c r="B53" s="6"/>
      <c r="C53" s="91"/>
      <c r="D53" s="67"/>
      <c r="E53" s="67"/>
      <c r="F53" s="67"/>
      <c r="G53" s="88"/>
      <c r="H53" s="66"/>
      <c r="I53" s="82"/>
      <c r="J53" s="83"/>
      <c r="K53" s="82"/>
      <c r="L53" s="83"/>
      <c r="M53" s="69"/>
      <c r="N53" s="66"/>
      <c r="O53" s="82"/>
      <c r="P53" s="83"/>
      <c r="Q53" s="82"/>
      <c r="R53" s="83"/>
      <c r="S53" s="69"/>
      <c r="T53" s="66"/>
      <c r="U53" s="62"/>
      <c r="W53" s="69"/>
    </row>
    <row r="54" spans="2:23" ht="16.5" thickBot="1">
      <c r="C54" s="92"/>
      <c r="D54" s="66"/>
      <c r="E54" s="66"/>
      <c r="F54" s="66"/>
      <c r="G54" s="75" t="s">
        <v>293</v>
      </c>
      <c r="H54" s="66"/>
      <c r="I54" s="93">
        <f>SUM(I32:I52)</f>
        <v>93977.850099999981</v>
      </c>
      <c r="J54" s="66"/>
      <c r="K54" s="93">
        <f>SUM(K32:K52)</f>
        <v>1365444</v>
      </c>
      <c r="L54" s="66"/>
      <c r="M54" s="93">
        <f>SUM(M32:M52)</f>
        <v>18200.667429197412</v>
      </c>
      <c r="N54" s="66"/>
      <c r="O54" s="93">
        <f>SUM(O32:O52)</f>
        <v>105722.98690641136</v>
      </c>
      <c r="P54" s="66"/>
      <c r="Q54" s="93">
        <f>SUM(Q32:Q52)</f>
        <v>1270448.723</v>
      </c>
      <c r="R54" s="66"/>
      <c r="S54" s="93">
        <f>SUM(S32:S52)</f>
        <v>-26027.566992478893</v>
      </c>
      <c r="T54" s="66"/>
      <c r="W54" s="93">
        <f>SUM(W32:W52)</f>
        <v>-45385.647251524555</v>
      </c>
    </row>
    <row r="55" spans="2:23" ht="16.5" thickTop="1">
      <c r="C55" s="92"/>
      <c r="D55" s="66"/>
      <c r="E55" s="66"/>
      <c r="F55" s="66"/>
      <c r="G55" s="75"/>
      <c r="H55" s="66"/>
      <c r="I55" s="94"/>
      <c r="J55" s="66"/>
      <c r="K55" s="94"/>
      <c r="L55" s="66"/>
      <c r="M55" s="94"/>
      <c r="N55" s="66"/>
      <c r="O55" s="94"/>
      <c r="P55" s="66"/>
      <c r="Q55" s="94"/>
      <c r="R55" s="66"/>
      <c r="S55" s="94"/>
      <c r="T55" s="66"/>
    </row>
    <row r="56" spans="2:23" ht="15.75">
      <c r="C56" s="92"/>
      <c r="D56" s="66"/>
      <c r="E56" s="66"/>
      <c r="F56" s="66"/>
      <c r="G56" s="95"/>
      <c r="H56" s="66"/>
      <c r="I56" s="94"/>
      <c r="J56" s="66"/>
      <c r="K56" s="66"/>
      <c r="L56" s="66"/>
      <c r="M56" s="66"/>
      <c r="N56" s="66"/>
      <c r="O56" s="94"/>
      <c r="P56" s="66"/>
      <c r="Q56" s="66"/>
      <c r="R56" s="66"/>
      <c r="S56" s="66"/>
      <c r="T56" s="66"/>
      <c r="W56" s="110"/>
    </row>
    <row r="57" spans="2:23" ht="15.75">
      <c r="C57" s="92"/>
      <c r="D57" s="66"/>
      <c r="E57" s="66"/>
      <c r="F57" s="66"/>
      <c r="G57" s="95"/>
      <c r="H57" s="66"/>
      <c r="I57" s="94"/>
      <c r="J57" s="66"/>
      <c r="K57" s="66"/>
      <c r="L57" s="66"/>
      <c r="M57" s="66"/>
      <c r="N57" s="66"/>
      <c r="O57" s="94"/>
      <c r="P57" s="66"/>
      <c r="Q57" s="66"/>
      <c r="R57" s="66"/>
      <c r="S57" s="66"/>
      <c r="T57" s="66"/>
    </row>
    <row r="58" spans="2:23" ht="15.75">
      <c r="C58" s="78"/>
      <c r="D58" s="66"/>
      <c r="E58" s="66"/>
      <c r="F58" s="66"/>
      <c r="G58" s="95"/>
      <c r="H58" s="66"/>
      <c r="I58" s="94"/>
      <c r="J58" s="66"/>
      <c r="K58" s="66"/>
      <c r="L58" s="66"/>
      <c r="M58" s="66"/>
      <c r="N58" s="66"/>
      <c r="O58" s="94"/>
      <c r="P58" s="66"/>
      <c r="Q58" s="66"/>
      <c r="R58" s="66"/>
      <c r="S58" s="66"/>
      <c r="T58" s="66"/>
    </row>
    <row r="59" spans="2:23" ht="15.75">
      <c r="C59" s="92"/>
      <c r="D59" s="66"/>
      <c r="E59" s="66"/>
      <c r="F59" s="66"/>
      <c r="G59" s="95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pans="2:23" ht="15.75">
      <c r="C60" s="92"/>
      <c r="D60" s="66"/>
      <c r="E60" s="66"/>
      <c r="F60" s="66"/>
      <c r="G60" s="95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</row>
    <row r="61" spans="2:23" ht="15.75">
      <c r="C61" s="9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</row>
    <row r="62" spans="2:23" ht="15.75">
      <c r="C62" s="9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</row>
    <row r="63" spans="2:23" ht="15.75">
      <c r="C63" s="9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</row>
    <row r="64" spans="2:23" ht="15.75">
      <c r="C64" s="9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</row>
    <row r="65" spans="3:20" ht="15.75">
      <c r="C65" s="9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</row>
    <row r="66" spans="3:20" ht="15.75">
      <c r="C66" s="9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</row>
    <row r="67" spans="3:20" ht="15.75">
      <c r="C67" s="9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</row>
    <row r="68" spans="3:20" ht="15.75">
      <c r="C68" s="9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</row>
    <row r="69" spans="3:20" ht="15.75">
      <c r="C69" s="9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</row>
    <row r="70" spans="3:20" ht="15.75">
      <c r="C70" s="9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</row>
    <row r="71" spans="3:20" ht="15.75">
      <c r="C71" s="9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</row>
    <row r="72" spans="3:20" ht="15.75">
      <c r="C72" s="9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</row>
    <row r="73" spans="3:20">
      <c r="C73" s="8"/>
    </row>
  </sheetData>
  <mergeCells count="1">
    <mergeCell ref="G4:N4"/>
  </mergeCells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49"/>
  <sheetViews>
    <sheetView tabSelected="1" workbookViewId="0">
      <selection activeCell="G55" sqref="G55"/>
    </sheetView>
  </sheetViews>
  <sheetFormatPr defaultRowHeight="14.25"/>
  <cols>
    <col min="4" max="4" width="1.5" customWidth="1"/>
    <col min="5" max="5" width="4" customWidth="1"/>
    <col min="6" max="6" width="17" customWidth="1"/>
    <col min="7" max="7" width="15.125" customWidth="1"/>
    <col min="9" max="9" width="13.75" bestFit="1" customWidth="1"/>
    <col min="10" max="10" width="4.625" customWidth="1"/>
    <col min="11" max="11" width="12.625" bestFit="1" customWidth="1"/>
    <col min="12" max="12" width="4.625" customWidth="1"/>
  </cols>
  <sheetData>
    <row r="1" spans="3:17">
      <c r="N1" s="104" t="s">
        <v>239</v>
      </c>
    </row>
    <row r="2" spans="3:17">
      <c r="F2" s="103" t="s">
        <v>236</v>
      </c>
      <c r="G2" s="103"/>
      <c r="H2" s="103"/>
      <c r="I2" s="103"/>
      <c r="J2" s="103"/>
      <c r="K2" s="103"/>
      <c r="N2" s="104" t="s">
        <v>283</v>
      </c>
      <c r="Q2" s="1" t="s">
        <v>236</v>
      </c>
    </row>
    <row r="3" spans="3:17">
      <c r="F3" s="103" t="s">
        <v>237</v>
      </c>
      <c r="G3" s="103"/>
      <c r="H3" s="103"/>
      <c r="I3" s="103"/>
      <c r="J3" s="103"/>
      <c r="K3" s="103"/>
      <c r="N3" s="104"/>
      <c r="Q3" s="1" t="s">
        <v>237</v>
      </c>
    </row>
    <row r="4" spans="3:17">
      <c r="F4" s="103" t="s">
        <v>238</v>
      </c>
      <c r="G4" s="103"/>
      <c r="H4" s="103"/>
      <c r="I4" s="103"/>
      <c r="J4" s="103"/>
      <c r="K4" s="103"/>
      <c r="N4" s="104" t="s">
        <v>240</v>
      </c>
      <c r="Q4" s="1" t="s">
        <v>238</v>
      </c>
    </row>
    <row r="5" spans="3:17">
      <c r="C5" s="3" t="s">
        <v>242</v>
      </c>
      <c r="N5" s="104" t="s">
        <v>230</v>
      </c>
    </row>
    <row r="6" spans="3:17">
      <c r="C6" s="61" t="s">
        <v>243</v>
      </c>
      <c r="E6" s="30"/>
      <c r="F6" s="4" t="s">
        <v>241</v>
      </c>
      <c r="G6" s="61"/>
      <c r="I6" s="98" t="s">
        <v>173</v>
      </c>
      <c r="J6" s="98"/>
      <c r="K6" s="98"/>
    </row>
    <row r="7" spans="3:17">
      <c r="C7" s="2"/>
      <c r="E7" s="30"/>
      <c r="G7" s="2"/>
      <c r="I7" s="2"/>
      <c r="J7" s="2"/>
      <c r="K7" s="2" t="s">
        <v>174</v>
      </c>
      <c r="L7" s="2"/>
      <c r="M7" s="2"/>
    </row>
    <row r="8" spans="3:17">
      <c r="C8" s="2"/>
      <c r="D8" s="31"/>
      <c r="E8" s="30"/>
      <c r="F8" s="31"/>
      <c r="G8" s="32"/>
      <c r="I8" s="2" t="s">
        <v>174</v>
      </c>
      <c r="J8" s="2"/>
      <c r="K8" s="2" t="s">
        <v>4</v>
      </c>
      <c r="L8" s="2"/>
      <c r="M8" s="2"/>
    </row>
    <row r="9" spans="3:17">
      <c r="C9" s="2"/>
      <c r="D9" s="31"/>
      <c r="E9" s="30"/>
      <c r="F9" s="31"/>
      <c r="G9" s="32"/>
      <c r="I9" s="5" t="s">
        <v>175</v>
      </c>
      <c r="J9" s="2"/>
      <c r="K9" s="5" t="s">
        <v>7</v>
      </c>
      <c r="L9" s="2"/>
      <c r="M9" s="2"/>
    </row>
    <row r="10" spans="3:17">
      <c r="C10" s="2">
        <v>1</v>
      </c>
      <c r="D10" s="31"/>
      <c r="E10" s="31" t="s">
        <v>161</v>
      </c>
      <c r="G10" s="32"/>
      <c r="I10" s="31">
        <v>66249546</v>
      </c>
      <c r="K10" s="31">
        <v>66249546</v>
      </c>
    </row>
    <row r="11" spans="3:17">
      <c r="C11" s="2"/>
      <c r="D11" s="31"/>
      <c r="E11" s="30"/>
      <c r="F11" s="31"/>
      <c r="G11" s="32"/>
      <c r="I11" s="31"/>
      <c r="K11" s="31"/>
    </row>
    <row r="12" spans="3:17">
      <c r="C12" s="2">
        <v>2</v>
      </c>
      <c r="D12" s="31"/>
      <c r="E12" s="33" t="s">
        <v>162</v>
      </c>
      <c r="G12" s="32"/>
      <c r="I12" s="31"/>
      <c r="K12" s="31"/>
    </row>
    <row r="13" spans="3:17">
      <c r="C13" s="2">
        <v>3</v>
      </c>
      <c r="D13" s="31"/>
      <c r="E13" s="30"/>
      <c r="F13" s="33" t="s">
        <v>231</v>
      </c>
      <c r="G13" s="32"/>
      <c r="I13" s="31">
        <v>51182</v>
      </c>
      <c r="K13" s="31">
        <v>51182</v>
      </c>
    </row>
    <row r="14" spans="3:17">
      <c r="C14" s="2"/>
      <c r="D14" s="31"/>
      <c r="E14" s="30"/>
      <c r="G14" s="32"/>
      <c r="I14" s="31"/>
      <c r="K14" s="31"/>
    </row>
    <row r="15" spans="3:17">
      <c r="C15" s="2">
        <v>4</v>
      </c>
      <c r="D15" s="31"/>
      <c r="E15" s="30"/>
      <c r="F15" t="s">
        <v>192</v>
      </c>
      <c r="G15" s="32"/>
      <c r="I15" s="31"/>
      <c r="K15" s="31">
        <f>-K58</f>
        <v>-716192.28465636296</v>
      </c>
      <c r="L15" s="15" t="s">
        <v>193</v>
      </c>
    </row>
    <row r="16" spans="3:17">
      <c r="C16" s="2"/>
      <c r="D16" s="31"/>
      <c r="E16" s="30"/>
      <c r="G16" s="32"/>
      <c r="I16" s="31"/>
      <c r="K16" s="31"/>
    </row>
    <row r="17" spans="3:12">
      <c r="C17" s="2">
        <v>5</v>
      </c>
      <c r="D17" s="31"/>
      <c r="E17" s="30"/>
      <c r="F17" t="s">
        <v>232</v>
      </c>
      <c r="G17" s="32"/>
      <c r="I17" s="39">
        <v>-2175341</v>
      </c>
      <c r="K17" s="39">
        <f>-K69</f>
        <v>-3673065</v>
      </c>
      <c r="L17" s="15" t="s">
        <v>194</v>
      </c>
    </row>
    <row r="18" spans="3:12">
      <c r="C18" s="2"/>
      <c r="D18" s="31"/>
      <c r="E18" s="30"/>
      <c r="G18" s="32"/>
      <c r="I18" s="31"/>
      <c r="K18" s="31"/>
    </row>
    <row r="19" spans="3:12" ht="15" thickBot="1">
      <c r="C19" s="2">
        <v>6</v>
      </c>
      <c r="D19" s="31"/>
      <c r="E19" s="30"/>
      <c r="F19" s="31" t="s">
        <v>163</v>
      </c>
      <c r="G19" s="32"/>
      <c r="I19" s="40">
        <f>SUM(I10:I17)</f>
        <v>64125387</v>
      </c>
      <c r="K19" s="40">
        <f>SUM(K10:K17)</f>
        <v>61911470.715343639</v>
      </c>
    </row>
    <row r="20" spans="3:12">
      <c r="C20" s="2"/>
      <c r="D20" s="31"/>
      <c r="E20" s="31"/>
      <c r="F20" s="32"/>
      <c r="G20" s="31"/>
      <c r="I20" s="31"/>
      <c r="K20" s="31"/>
    </row>
    <row r="21" spans="3:12">
      <c r="C21" s="2">
        <v>7</v>
      </c>
      <c r="D21" s="31"/>
      <c r="E21" s="34" t="s">
        <v>164</v>
      </c>
      <c r="F21" s="31"/>
      <c r="G21" s="32"/>
      <c r="I21" s="31">
        <v>23187341</v>
      </c>
      <c r="K21" s="31">
        <v>23187341</v>
      </c>
    </row>
    <row r="22" spans="3:12">
      <c r="C22" s="2"/>
      <c r="D22" s="31"/>
      <c r="E22" s="34"/>
      <c r="F22" s="31"/>
      <c r="G22" s="32"/>
      <c r="I22" s="31"/>
      <c r="K22" s="31"/>
    </row>
    <row r="23" spans="3:12">
      <c r="C23" s="2">
        <v>8</v>
      </c>
      <c r="D23" s="31"/>
      <c r="E23" s="34" t="s">
        <v>165</v>
      </c>
      <c r="F23" s="31"/>
      <c r="G23" s="32"/>
      <c r="I23" s="39">
        <f>I19*0.35</f>
        <v>22443885.449999999</v>
      </c>
      <c r="K23" s="39">
        <f>K19*0.35</f>
        <v>21669014.750370272</v>
      </c>
    </row>
    <row r="24" spans="3:12">
      <c r="C24" s="2"/>
      <c r="D24" s="31"/>
      <c r="E24" s="34"/>
      <c r="F24" s="30"/>
      <c r="G24" s="31"/>
      <c r="I24" s="99"/>
      <c r="J24" s="6"/>
      <c r="K24" s="99"/>
      <c r="L24" s="6"/>
    </row>
    <row r="25" spans="3:12" ht="15" thickBot="1">
      <c r="C25" s="2">
        <v>9</v>
      </c>
      <c r="D25" s="31"/>
      <c r="E25" s="46" t="s">
        <v>166</v>
      </c>
      <c r="F25" s="47"/>
      <c r="G25" s="47"/>
      <c r="H25" s="38"/>
      <c r="I25" s="100">
        <f>I23-I21</f>
        <v>-743455.55000000075</v>
      </c>
      <c r="J25" s="6"/>
      <c r="K25" s="100">
        <f>K23-K21</f>
        <v>-1518326.2496297285</v>
      </c>
      <c r="L25" s="6"/>
    </row>
    <row r="26" spans="3:12" ht="15" thickTop="1">
      <c r="C26" s="2"/>
      <c r="E26" s="30"/>
      <c r="I26" s="99"/>
      <c r="J26" s="6"/>
      <c r="K26" s="99"/>
      <c r="L26" s="6"/>
    </row>
    <row r="27" spans="3:12">
      <c r="C27" s="2">
        <v>10</v>
      </c>
      <c r="E27" s="34"/>
      <c r="I27" s="42" t="s">
        <v>176</v>
      </c>
      <c r="K27" s="42" t="s">
        <v>176</v>
      </c>
    </row>
    <row r="28" spans="3:12">
      <c r="C28" s="2">
        <v>11</v>
      </c>
      <c r="E28" s="35" t="s">
        <v>167</v>
      </c>
      <c r="I28" s="31"/>
      <c r="K28" s="31"/>
    </row>
    <row r="29" spans="3:12">
      <c r="C29" s="2"/>
    </row>
    <row r="30" spans="3:12">
      <c r="C30" s="2">
        <v>12</v>
      </c>
      <c r="E30" s="30">
        <f>'[1]E-FIT-1'!$A$5</f>
        <v>1</v>
      </c>
      <c r="F30" s="33" t="str">
        <f>'[1]E-FIT-1'!$B$5</f>
        <v xml:space="preserve">Injuries and Damages  </v>
      </c>
      <c r="G30" s="32"/>
      <c r="I30" s="39">
        <v>-17914</v>
      </c>
      <c r="K30" s="39">
        <v>-17914</v>
      </c>
    </row>
    <row r="31" spans="3:12">
      <c r="C31" s="2"/>
      <c r="E31" s="44"/>
      <c r="F31" s="38"/>
      <c r="G31" s="45"/>
      <c r="H31" s="101"/>
      <c r="I31" s="102"/>
      <c r="J31" s="101"/>
      <c r="K31" s="102"/>
      <c r="L31" s="6"/>
    </row>
    <row r="32" spans="3:12" ht="15" thickBot="1">
      <c r="C32" s="2">
        <v>13</v>
      </c>
      <c r="E32" s="46" t="s">
        <v>168</v>
      </c>
      <c r="F32" s="47"/>
      <c r="G32" s="47"/>
      <c r="H32" s="101"/>
      <c r="I32" s="100">
        <f>SUM(I30:I31)</f>
        <v>-17914</v>
      </c>
      <c r="J32" s="101"/>
      <c r="K32" s="100">
        <f>SUM(K30:K31)</f>
        <v>-17914</v>
      </c>
      <c r="L32" s="6"/>
    </row>
    <row r="33" spans="3:12" ht="15.75" thickTop="1" thickBot="1">
      <c r="C33" s="2"/>
      <c r="E33" s="36"/>
      <c r="F33" s="37"/>
      <c r="G33" s="37"/>
      <c r="H33" s="101"/>
      <c r="I33" s="43"/>
      <c r="J33" s="101"/>
      <c r="K33" s="43"/>
      <c r="L33" s="6"/>
    </row>
    <row r="34" spans="3:12" ht="15.75" thickTop="1" thickBot="1">
      <c r="C34" s="2">
        <v>14</v>
      </c>
      <c r="E34" s="46" t="s">
        <v>169</v>
      </c>
      <c r="F34" s="47"/>
      <c r="G34" s="47"/>
      <c r="H34" s="38"/>
      <c r="I34" s="48">
        <v>1815</v>
      </c>
      <c r="J34" s="38"/>
      <c r="K34" s="48">
        <v>1815</v>
      </c>
    </row>
    <row r="35" spans="3:12" ht="15" thickTop="1">
      <c r="C35" s="2"/>
      <c r="E35" s="44"/>
      <c r="F35" s="38"/>
      <c r="G35" s="38"/>
      <c r="H35" s="38"/>
      <c r="I35" s="41"/>
      <c r="J35" s="38"/>
      <c r="K35" s="41"/>
    </row>
    <row r="36" spans="3:12">
      <c r="C36" s="2">
        <v>15</v>
      </c>
      <c r="E36" s="46" t="s">
        <v>170</v>
      </c>
      <c r="F36" s="47"/>
      <c r="G36" s="47"/>
      <c r="H36" s="38"/>
      <c r="I36" s="50">
        <f>I25+I32+I34</f>
        <v>-759554.55000000075</v>
      </c>
      <c r="J36" s="38"/>
      <c r="K36" s="50">
        <f>K25+K32+K34</f>
        <v>-1534425.2496297285</v>
      </c>
    </row>
    <row r="37" spans="3:12" ht="15" thickBot="1">
      <c r="C37" s="2"/>
      <c r="E37" s="44"/>
      <c r="F37" s="38"/>
      <c r="G37" s="38"/>
      <c r="H37" s="38"/>
      <c r="I37" s="41"/>
      <c r="J37" s="38"/>
      <c r="K37" s="41"/>
    </row>
    <row r="38" spans="3:12" ht="15.75" thickTop="1" thickBot="1">
      <c r="C38" s="2">
        <v>16</v>
      </c>
      <c r="E38" s="46" t="s">
        <v>171</v>
      </c>
      <c r="F38" s="47"/>
      <c r="G38" s="47"/>
      <c r="H38" s="38"/>
      <c r="I38" s="48">
        <v>8815</v>
      </c>
      <c r="J38" s="38"/>
      <c r="K38" s="48">
        <v>8815</v>
      </c>
    </row>
    <row r="39" spans="3:12" ht="15" thickTop="1">
      <c r="C39" s="2"/>
      <c r="E39" s="44"/>
      <c r="F39" s="38"/>
      <c r="G39" s="38"/>
      <c r="H39" s="38"/>
      <c r="I39" s="41"/>
      <c r="J39" s="38"/>
      <c r="K39" s="41"/>
    </row>
    <row r="40" spans="3:12" ht="15" thickBot="1">
      <c r="C40" s="2">
        <v>17</v>
      </c>
      <c r="E40" s="51" t="s">
        <v>172</v>
      </c>
      <c r="F40" s="52"/>
      <c r="G40" s="52"/>
      <c r="H40" s="38"/>
      <c r="I40" s="53">
        <f>I36+I38</f>
        <v>-750739.55000000075</v>
      </c>
      <c r="J40" s="38"/>
      <c r="K40" s="53">
        <f>K36+K38</f>
        <v>-1525610.2496297285</v>
      </c>
    </row>
    <row r="41" spans="3:12" ht="15" thickTop="1">
      <c r="C41" s="2"/>
      <c r="E41" s="44"/>
      <c r="F41" s="38"/>
      <c r="G41" s="38"/>
      <c r="H41" s="38"/>
      <c r="I41" s="41"/>
      <c r="J41" s="38"/>
      <c r="K41" s="41"/>
    </row>
    <row r="42" spans="3:12">
      <c r="C42" s="2"/>
      <c r="E42" s="44"/>
      <c r="F42" s="38"/>
      <c r="G42" s="38"/>
      <c r="H42" s="38"/>
      <c r="I42" s="38"/>
      <c r="J42" s="38"/>
      <c r="K42" s="38"/>
    </row>
    <row r="43" spans="3:12">
      <c r="C43" s="2">
        <v>18</v>
      </c>
      <c r="E43" s="57" t="s">
        <v>193</v>
      </c>
      <c r="F43" s="38" t="s">
        <v>177</v>
      </c>
      <c r="G43" s="38"/>
      <c r="H43" s="38"/>
      <c r="I43" s="38"/>
      <c r="J43" s="38"/>
    </row>
    <row r="44" spans="3:12">
      <c r="C44" s="2">
        <v>19</v>
      </c>
      <c r="E44" s="49"/>
      <c r="F44" t="s">
        <v>179</v>
      </c>
      <c r="K44" s="97">
        <v>1484424</v>
      </c>
    </row>
    <row r="45" spans="3:12" ht="3.95" customHeight="1">
      <c r="C45" s="2"/>
      <c r="E45" s="30"/>
    </row>
    <row r="46" spans="3:12">
      <c r="C46" s="2">
        <v>20</v>
      </c>
      <c r="E46" s="30"/>
      <c r="F46" t="s">
        <v>178</v>
      </c>
      <c r="G46" s="38"/>
      <c r="H46" s="38"/>
      <c r="I46" s="38"/>
      <c r="J46" s="38"/>
      <c r="K46" s="54">
        <v>0.98799999999999999</v>
      </c>
    </row>
    <row r="47" spans="3:12" ht="3.95" customHeight="1">
      <c r="C47" s="2"/>
      <c r="E47" s="30"/>
    </row>
    <row r="48" spans="3:12">
      <c r="C48" s="2">
        <v>21</v>
      </c>
      <c r="E48" s="30"/>
      <c r="F48" t="s">
        <v>180</v>
      </c>
      <c r="K48" s="10">
        <f>+K44*K46</f>
        <v>1466610.912</v>
      </c>
    </row>
    <row r="49" spans="3:11">
      <c r="C49" s="2"/>
      <c r="E49" s="30"/>
    </row>
    <row r="50" spans="3:11">
      <c r="C50" s="2">
        <v>22</v>
      </c>
      <c r="E50" s="30"/>
      <c r="F50" s="38" t="s">
        <v>182</v>
      </c>
      <c r="I50" s="10">
        <v>39801720.07</v>
      </c>
      <c r="K50" s="25">
        <f>+I50/$I$55</f>
        <v>0.48833148505604662</v>
      </c>
    </row>
    <row r="51" spans="3:11">
      <c r="C51" s="2">
        <f>+C50+1</f>
        <v>23</v>
      </c>
      <c r="E51" s="30"/>
      <c r="F51" s="38" t="s">
        <v>185</v>
      </c>
      <c r="I51" s="10">
        <v>19883337.440000001</v>
      </c>
      <c r="K51" s="25">
        <f>+I51/$I$55</f>
        <v>0.24395075596906718</v>
      </c>
    </row>
    <row r="52" spans="3:11">
      <c r="C52" s="2">
        <f t="shared" ref="C52:C54" si="0">+C51+1</f>
        <v>24</v>
      </c>
      <c r="E52" s="30"/>
      <c r="F52" s="38" t="s">
        <v>181</v>
      </c>
      <c r="I52" s="10">
        <v>11005633.890000001</v>
      </c>
      <c r="K52" s="25">
        <f>+I52/$I$55</f>
        <v>0.13502927843406784</v>
      </c>
    </row>
    <row r="53" spans="3:11">
      <c r="C53" s="2">
        <f t="shared" si="0"/>
        <v>25</v>
      </c>
      <c r="E53" s="30"/>
      <c r="F53" s="38" t="s">
        <v>183</v>
      </c>
      <c r="I53" s="10">
        <v>4743488.5199999996</v>
      </c>
      <c r="K53" s="25">
        <f>+I53/$I$55</f>
        <v>5.8198358996646965E-2</v>
      </c>
    </row>
    <row r="54" spans="3:11">
      <c r="C54" s="2">
        <f t="shared" si="0"/>
        <v>26</v>
      </c>
      <c r="E54" s="30"/>
      <c r="F54" s="38" t="s">
        <v>184</v>
      </c>
      <c r="I54" s="10">
        <v>6071357.3799999999</v>
      </c>
      <c r="K54" s="25">
        <f>+I54/$I$55</f>
        <v>7.449012154417145E-2</v>
      </c>
    </row>
    <row r="55" spans="3:11" ht="15" thickBot="1">
      <c r="C55" s="2"/>
      <c r="E55" s="30"/>
      <c r="I55" s="55">
        <f>SUM(I50:I54)</f>
        <v>81505537.299999997</v>
      </c>
      <c r="K55" s="56">
        <f>SUM(K50:K54)</f>
        <v>1</v>
      </c>
    </row>
    <row r="56" spans="3:11">
      <c r="C56" s="2"/>
      <c r="E56" s="30"/>
      <c r="F56" s="38"/>
      <c r="G56" s="38"/>
    </row>
    <row r="57" spans="3:11">
      <c r="C57" s="2">
        <f>+C54+1</f>
        <v>27</v>
      </c>
      <c r="E57" s="30"/>
      <c r="F57" s="38" t="s">
        <v>233</v>
      </c>
    </row>
    <row r="58" spans="3:11">
      <c r="C58" s="2">
        <f t="shared" ref="C58:C63" si="1">+C57+1</f>
        <v>28</v>
      </c>
      <c r="E58" s="30"/>
      <c r="F58" s="38" t="s">
        <v>186</v>
      </c>
      <c r="K58" s="10">
        <f>+$K$48*K50</f>
        <v>716192.28465636296</v>
      </c>
    </row>
    <row r="59" spans="3:11">
      <c r="C59" s="2">
        <f t="shared" si="1"/>
        <v>29</v>
      </c>
      <c r="E59" s="30"/>
      <c r="F59" s="38" t="s">
        <v>187</v>
      </c>
      <c r="K59" s="10">
        <f>+$K$48*K51</f>
        <v>357780.84069488308</v>
      </c>
    </row>
    <row r="60" spans="3:11">
      <c r="C60" s="2">
        <f t="shared" si="1"/>
        <v>30</v>
      </c>
      <c r="E60" s="30"/>
      <c r="F60" s="38" t="s">
        <v>188</v>
      </c>
      <c r="K60" s="10">
        <f>+$K$48*K52</f>
        <v>198035.41319089016</v>
      </c>
    </row>
    <row r="61" spans="3:11">
      <c r="C61" s="2">
        <f t="shared" si="1"/>
        <v>31</v>
      </c>
      <c r="E61" s="30"/>
      <c r="F61" s="38" t="s">
        <v>189</v>
      </c>
      <c r="K61" s="10">
        <f>+$K$48*K53</f>
        <v>85354.348364975813</v>
      </c>
    </row>
    <row r="62" spans="3:11">
      <c r="C62" s="2">
        <f t="shared" si="1"/>
        <v>32</v>
      </c>
      <c r="E62" s="30"/>
      <c r="F62" s="38" t="s">
        <v>190</v>
      </c>
      <c r="K62" s="10">
        <f>+$K$48*K54</f>
        <v>109248.02509288814</v>
      </c>
    </row>
    <row r="63" spans="3:11" ht="15" thickBot="1">
      <c r="C63" s="2">
        <f t="shared" si="1"/>
        <v>33</v>
      </c>
      <c r="E63" s="30"/>
      <c r="F63" s="38" t="s">
        <v>191</v>
      </c>
      <c r="K63" s="55">
        <f>SUM(K58:K62)</f>
        <v>1466610.912</v>
      </c>
    </row>
    <row r="64" spans="3:11">
      <c r="C64" s="2"/>
      <c r="E64" s="30"/>
      <c r="F64" s="38"/>
      <c r="K64" s="113"/>
    </row>
    <row r="65" spans="3:11">
      <c r="C65" s="2">
        <f>+C63+1</f>
        <v>34</v>
      </c>
      <c r="E65" s="57" t="s">
        <v>194</v>
      </c>
      <c r="F65" s="14" t="s">
        <v>234</v>
      </c>
      <c r="K65" s="10">
        <v>5650000</v>
      </c>
    </row>
    <row r="66" spans="3:11">
      <c r="C66" s="2"/>
      <c r="E66" s="30"/>
    </row>
    <row r="67" spans="3:11">
      <c r="C67" s="2">
        <v>35</v>
      </c>
      <c r="E67" s="30"/>
      <c r="F67" t="s">
        <v>195</v>
      </c>
      <c r="K67" s="58">
        <v>0.65010000000000001</v>
      </c>
    </row>
    <row r="68" spans="3:11">
      <c r="C68" s="2"/>
      <c r="E68" s="30"/>
    </row>
    <row r="69" spans="3:11" ht="15" thickBot="1">
      <c r="C69" s="2">
        <v>36</v>
      </c>
      <c r="E69" s="30"/>
      <c r="F69" t="s">
        <v>235</v>
      </c>
      <c r="K69" s="59">
        <f>+K65*K67</f>
        <v>3673065</v>
      </c>
    </row>
    <row r="70" spans="3:11" ht="15" thickTop="1">
      <c r="C70" s="2"/>
      <c r="E70" s="30"/>
    </row>
    <row r="71" spans="3:11">
      <c r="E71" s="30"/>
    </row>
    <row r="72" spans="3:11">
      <c r="E72" s="30"/>
    </row>
    <row r="73" spans="3:11">
      <c r="E73" s="30"/>
    </row>
    <row r="74" spans="3:11">
      <c r="E74" s="30"/>
    </row>
    <row r="75" spans="3:11">
      <c r="E75" s="30"/>
    </row>
    <row r="76" spans="3:11">
      <c r="E76" s="30"/>
    </row>
    <row r="77" spans="3:11">
      <c r="E77" s="30"/>
    </row>
    <row r="78" spans="3:11">
      <c r="E78" s="30"/>
    </row>
    <row r="79" spans="3:11">
      <c r="E79" s="30"/>
    </row>
    <row r="80" spans="3:11">
      <c r="E80" s="30"/>
    </row>
    <row r="81" spans="5:5">
      <c r="E81" s="30"/>
    </row>
    <row r="82" spans="5:5">
      <c r="E82" s="30"/>
    </row>
    <row r="83" spans="5:5">
      <c r="E83" s="30"/>
    </row>
    <row r="84" spans="5:5">
      <c r="E84" s="30"/>
    </row>
    <row r="85" spans="5:5">
      <c r="E85" s="30"/>
    </row>
    <row r="86" spans="5:5">
      <c r="E86" s="30"/>
    </row>
    <row r="87" spans="5:5">
      <c r="E87" s="30"/>
    </row>
    <row r="88" spans="5:5">
      <c r="E88" s="30"/>
    </row>
    <row r="89" spans="5:5">
      <c r="E89" s="30"/>
    </row>
    <row r="90" spans="5:5">
      <c r="E90" s="30"/>
    </row>
    <row r="91" spans="5:5">
      <c r="E91" s="30"/>
    </row>
    <row r="92" spans="5:5">
      <c r="E92" s="30"/>
    </row>
    <row r="93" spans="5:5">
      <c r="E93" s="30"/>
    </row>
    <row r="94" spans="5:5">
      <c r="E94" s="30"/>
    </row>
    <row r="95" spans="5:5">
      <c r="E95" s="30"/>
    </row>
    <row r="96" spans="5:5">
      <c r="E96" s="30"/>
    </row>
    <row r="97" spans="5:5">
      <c r="E97" s="30"/>
    </row>
    <row r="98" spans="5:5">
      <c r="E98" s="30"/>
    </row>
    <row r="99" spans="5:5">
      <c r="E99" s="30"/>
    </row>
    <row r="100" spans="5:5">
      <c r="E100" s="30"/>
    </row>
    <row r="101" spans="5:5">
      <c r="E101" s="30"/>
    </row>
    <row r="102" spans="5:5">
      <c r="E102" s="30"/>
    </row>
    <row r="103" spans="5:5">
      <c r="E103" s="30"/>
    </row>
    <row r="104" spans="5:5">
      <c r="E104" s="30"/>
    </row>
    <row r="105" spans="5:5">
      <c r="E105" s="30"/>
    </row>
    <row r="106" spans="5:5">
      <c r="E106" s="30"/>
    </row>
    <row r="107" spans="5:5">
      <c r="E107" s="30"/>
    </row>
    <row r="108" spans="5:5">
      <c r="E108" s="30"/>
    </row>
    <row r="109" spans="5:5">
      <c r="E109" s="30"/>
    </row>
    <row r="110" spans="5:5">
      <c r="E110" s="30"/>
    </row>
    <row r="111" spans="5:5">
      <c r="E111" s="30"/>
    </row>
    <row r="112" spans="5:5">
      <c r="E112" s="30"/>
    </row>
    <row r="113" spans="5:5">
      <c r="E113" s="30"/>
    </row>
    <row r="114" spans="5:5">
      <c r="E114" s="30"/>
    </row>
    <row r="115" spans="5:5">
      <c r="E115" s="30"/>
    </row>
    <row r="116" spans="5:5">
      <c r="E116" s="30"/>
    </row>
    <row r="117" spans="5:5">
      <c r="E117" s="30"/>
    </row>
    <row r="118" spans="5:5">
      <c r="E118" s="30"/>
    </row>
    <row r="119" spans="5:5">
      <c r="E119" s="30"/>
    </row>
    <row r="120" spans="5:5">
      <c r="E120" s="30"/>
    </row>
    <row r="121" spans="5:5">
      <c r="E121" s="30"/>
    </row>
    <row r="122" spans="5:5">
      <c r="E122" s="30"/>
    </row>
    <row r="123" spans="5:5">
      <c r="E123" s="30"/>
    </row>
    <row r="124" spans="5:5">
      <c r="E124" s="30"/>
    </row>
    <row r="125" spans="5:5">
      <c r="E125" s="30"/>
    </row>
    <row r="126" spans="5:5">
      <c r="E126" s="30"/>
    </row>
    <row r="127" spans="5:5">
      <c r="E127" s="30"/>
    </row>
    <row r="128" spans="5:5">
      <c r="E128" s="30"/>
    </row>
    <row r="129" spans="5:5">
      <c r="E129" s="30"/>
    </row>
    <row r="130" spans="5:5">
      <c r="E130" s="30"/>
    </row>
    <row r="131" spans="5:5">
      <c r="E131" s="30"/>
    </row>
    <row r="132" spans="5:5">
      <c r="E132" s="30"/>
    </row>
    <row r="133" spans="5:5">
      <c r="E133" s="30"/>
    </row>
    <row r="134" spans="5:5">
      <c r="E134" s="30"/>
    </row>
    <row r="135" spans="5:5">
      <c r="E135" s="30"/>
    </row>
    <row r="136" spans="5:5">
      <c r="E136" s="30"/>
    </row>
    <row r="137" spans="5:5">
      <c r="E137" s="30"/>
    </row>
    <row r="138" spans="5:5">
      <c r="E138" s="30"/>
    </row>
    <row r="139" spans="5:5">
      <c r="E139" s="30"/>
    </row>
    <row r="140" spans="5:5">
      <c r="E140" s="30"/>
    </row>
    <row r="141" spans="5:5">
      <c r="E141" s="30"/>
    </row>
    <row r="142" spans="5:5">
      <c r="E142" s="30"/>
    </row>
    <row r="143" spans="5:5">
      <c r="E143" s="30"/>
    </row>
    <row r="144" spans="5:5">
      <c r="E144" s="30"/>
    </row>
    <row r="145" spans="5:5">
      <c r="E145" s="30"/>
    </row>
    <row r="146" spans="5:5">
      <c r="E146" s="30"/>
    </row>
    <row r="147" spans="5:5">
      <c r="E147" s="30"/>
    </row>
    <row r="148" spans="5:5">
      <c r="E148" s="30"/>
    </row>
    <row r="149" spans="5:5">
      <c r="E149" s="30"/>
    </row>
  </sheetData>
  <mergeCells count="4">
    <mergeCell ref="I6:K6"/>
    <mergeCell ref="F3:K3"/>
    <mergeCell ref="F4:K4"/>
    <mergeCell ref="F2:K2"/>
  </mergeCells>
  <pageMargins left="0.95" right="0.45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4"/>
  <sheetViews>
    <sheetView tabSelected="1" topLeftCell="A42" workbookViewId="0">
      <selection activeCell="G55" sqref="G55"/>
    </sheetView>
  </sheetViews>
  <sheetFormatPr defaultRowHeight="14.25"/>
  <cols>
    <col min="2" max="2" width="6.625" customWidth="1"/>
    <col min="3" max="4" width="2.625" customWidth="1"/>
    <col min="10" max="10" width="3.625" customWidth="1"/>
    <col min="11" max="11" width="12.125" bestFit="1" customWidth="1"/>
    <col min="12" max="12" width="3.625" customWidth="1"/>
    <col min="13" max="13" width="16.5" customWidth="1"/>
  </cols>
  <sheetData>
    <row r="1" spans="2:15">
      <c r="O1" s="104" t="s">
        <v>239</v>
      </c>
    </row>
    <row r="2" spans="2:15">
      <c r="O2" s="104" t="s">
        <v>284</v>
      </c>
    </row>
    <row r="3" spans="2:15">
      <c r="O3" s="104"/>
    </row>
    <row r="4" spans="2:15">
      <c r="F4" s="103" t="s">
        <v>236</v>
      </c>
      <c r="G4" s="103"/>
      <c r="H4" s="103"/>
      <c r="I4" s="103"/>
      <c r="J4" s="103"/>
      <c r="K4" s="103"/>
      <c r="L4" s="103"/>
      <c r="O4" s="104" t="s">
        <v>275</v>
      </c>
    </row>
    <row r="5" spans="2:15">
      <c r="F5" s="103" t="s">
        <v>237</v>
      </c>
      <c r="G5" s="103"/>
      <c r="H5" s="103"/>
      <c r="I5" s="103"/>
      <c r="J5" s="103"/>
      <c r="K5" s="103"/>
      <c r="L5" s="103"/>
      <c r="O5" s="104" t="s">
        <v>216</v>
      </c>
    </row>
    <row r="6" spans="2:15">
      <c r="F6" s="103" t="s">
        <v>253</v>
      </c>
      <c r="G6" s="103"/>
      <c r="H6" s="103"/>
      <c r="I6" s="103"/>
      <c r="J6" s="103"/>
      <c r="K6" s="103"/>
      <c r="L6" s="103"/>
      <c r="O6" s="1"/>
    </row>
    <row r="8" spans="2:15">
      <c r="B8" s="2" t="s">
        <v>242</v>
      </c>
      <c r="M8" s="2"/>
    </row>
    <row r="9" spans="2:15">
      <c r="B9" s="61" t="s">
        <v>243</v>
      </c>
      <c r="D9" s="4"/>
      <c r="E9" s="4" t="s">
        <v>254</v>
      </c>
      <c r="F9" s="4"/>
      <c r="G9" s="4"/>
      <c r="H9" s="4"/>
      <c r="I9" s="4"/>
      <c r="K9" s="61" t="s">
        <v>244</v>
      </c>
      <c r="M9" s="61" t="s">
        <v>245</v>
      </c>
    </row>
    <row r="10" spans="2:15">
      <c r="M10" s="2"/>
    </row>
    <row r="11" spans="2:15">
      <c r="B11" s="2">
        <v>1</v>
      </c>
      <c r="D11" t="s">
        <v>119</v>
      </c>
      <c r="M11" s="2"/>
    </row>
    <row r="12" spans="2:15">
      <c r="B12" s="2">
        <v>2</v>
      </c>
      <c r="D12" t="s">
        <v>120</v>
      </c>
      <c r="K12">
        <v>30</v>
      </c>
      <c r="M12" s="2"/>
    </row>
    <row r="13" spans="2:15">
      <c r="B13" s="2"/>
      <c r="M13" s="2"/>
    </row>
    <row r="14" spans="2:15">
      <c r="B14" s="2">
        <v>3</v>
      </c>
      <c r="D14" t="s">
        <v>121</v>
      </c>
      <c r="M14" s="2"/>
    </row>
    <row r="15" spans="2:15">
      <c r="B15" s="2">
        <v>4</v>
      </c>
      <c r="D15" s="14" t="s">
        <v>122</v>
      </c>
      <c r="M15" s="2"/>
    </row>
    <row r="16" spans="2:15">
      <c r="B16" s="2">
        <v>5</v>
      </c>
      <c r="D16" t="s">
        <v>123</v>
      </c>
      <c r="K16">
        <v>9</v>
      </c>
      <c r="M16" s="2"/>
    </row>
    <row r="17" spans="2:13">
      <c r="B17" s="2"/>
      <c r="M17" s="2"/>
    </row>
    <row r="18" spans="2:13">
      <c r="B18" s="2">
        <v>6</v>
      </c>
      <c r="D18" t="s">
        <v>124</v>
      </c>
      <c r="M18" s="2"/>
    </row>
    <row r="19" spans="2:13">
      <c r="B19" s="2">
        <v>7</v>
      </c>
      <c r="D19" t="s">
        <v>125</v>
      </c>
      <c r="M19" s="2"/>
    </row>
    <row r="20" spans="2:13">
      <c r="B20" s="2">
        <v>8</v>
      </c>
      <c r="D20" t="s">
        <v>126</v>
      </c>
      <c r="K20" s="24">
        <f>+K16/K12</f>
        <v>0.3</v>
      </c>
      <c r="M20" s="2" t="s">
        <v>255</v>
      </c>
    </row>
    <row r="21" spans="2:13">
      <c r="B21" s="2"/>
      <c r="M21" s="2"/>
    </row>
    <row r="22" spans="2:13">
      <c r="B22" s="2">
        <v>9</v>
      </c>
      <c r="D22" t="s">
        <v>128</v>
      </c>
      <c r="M22" s="2"/>
    </row>
    <row r="23" spans="2:13">
      <c r="B23" s="2">
        <v>10</v>
      </c>
      <c r="D23" t="s">
        <v>129</v>
      </c>
      <c r="M23" s="2" t="s">
        <v>247</v>
      </c>
    </row>
    <row r="24" spans="2:13">
      <c r="B24" s="2">
        <v>11</v>
      </c>
      <c r="D24" t="s">
        <v>246</v>
      </c>
      <c r="K24" s="106">
        <v>2.0799999999999999E-2</v>
      </c>
      <c r="M24" s="2" t="s">
        <v>248</v>
      </c>
    </row>
    <row r="25" spans="2:13">
      <c r="B25" s="2"/>
      <c r="M25" s="2"/>
    </row>
    <row r="26" spans="2:13">
      <c r="B26" s="2">
        <v>12</v>
      </c>
      <c r="D26" t="s">
        <v>131</v>
      </c>
      <c r="M26" s="2"/>
    </row>
    <row r="27" spans="2:13">
      <c r="B27" s="2">
        <v>13</v>
      </c>
      <c r="D27" t="s">
        <v>130</v>
      </c>
      <c r="K27" s="25">
        <f>+K20*K24</f>
        <v>6.2399999999999999E-3</v>
      </c>
      <c r="M27" s="2" t="s">
        <v>256</v>
      </c>
    </row>
    <row r="28" spans="2:13">
      <c r="B28" s="2"/>
      <c r="M28" s="2"/>
    </row>
    <row r="29" spans="2:13">
      <c r="B29" s="2">
        <v>14</v>
      </c>
      <c r="D29" t="s">
        <v>127</v>
      </c>
      <c r="M29" s="2"/>
    </row>
    <row r="30" spans="2:13">
      <c r="B30" s="2">
        <v>15</v>
      </c>
      <c r="D30" t="s">
        <v>132</v>
      </c>
      <c r="M30" s="2"/>
    </row>
    <row r="31" spans="2:13">
      <c r="B31" s="2">
        <v>16</v>
      </c>
      <c r="D31" t="s">
        <v>133</v>
      </c>
      <c r="M31" s="2" t="s">
        <v>247</v>
      </c>
    </row>
    <row r="32" spans="2:13">
      <c r="B32" s="2">
        <v>17</v>
      </c>
      <c r="D32" t="s">
        <v>134</v>
      </c>
      <c r="K32" s="107">
        <v>466872</v>
      </c>
      <c r="M32" s="2" t="s">
        <v>249</v>
      </c>
    </row>
    <row r="33" spans="2:13">
      <c r="B33" s="2"/>
      <c r="M33" s="2"/>
    </row>
    <row r="34" spans="2:13">
      <c r="B34" s="2">
        <v>18</v>
      </c>
      <c r="D34" t="s">
        <v>137</v>
      </c>
      <c r="M34" s="2"/>
    </row>
    <row r="35" spans="2:13">
      <c r="B35" s="2">
        <v>19</v>
      </c>
      <c r="D35" t="s">
        <v>135</v>
      </c>
      <c r="M35" s="2"/>
    </row>
    <row r="36" spans="2:13">
      <c r="B36" s="2">
        <v>20</v>
      </c>
      <c r="D36" t="s">
        <v>138</v>
      </c>
      <c r="M36" s="2"/>
    </row>
    <row r="37" spans="2:13">
      <c r="B37" s="2">
        <v>21</v>
      </c>
      <c r="D37" t="s">
        <v>136</v>
      </c>
      <c r="K37" s="28">
        <f>+K27*K32</f>
        <v>2913.2812800000002</v>
      </c>
      <c r="M37" s="2" t="s">
        <v>257</v>
      </c>
    </row>
    <row r="38" spans="2:13">
      <c r="B38" s="2"/>
      <c r="M38" s="2"/>
    </row>
    <row r="39" spans="2:13">
      <c r="B39" s="2">
        <v>22</v>
      </c>
      <c r="D39" t="s">
        <v>139</v>
      </c>
      <c r="M39" s="2" t="s">
        <v>247</v>
      </c>
    </row>
    <row r="40" spans="2:13">
      <c r="B40" s="2">
        <v>23</v>
      </c>
      <c r="D40" t="s">
        <v>140</v>
      </c>
      <c r="K40" s="10">
        <v>3699</v>
      </c>
      <c r="M40" s="2" t="s">
        <v>249</v>
      </c>
    </row>
    <row r="41" spans="2:13">
      <c r="B41" s="2"/>
      <c r="K41" s="10"/>
      <c r="M41" s="2"/>
    </row>
    <row r="42" spans="2:13">
      <c r="B42" s="2">
        <v>24</v>
      </c>
      <c r="D42" t="s">
        <v>141</v>
      </c>
      <c r="K42" s="10"/>
      <c r="M42" s="2" t="s">
        <v>247</v>
      </c>
    </row>
    <row r="43" spans="2:13">
      <c r="B43" s="2">
        <v>25</v>
      </c>
      <c r="D43" t="s">
        <v>142</v>
      </c>
      <c r="K43" s="17">
        <v>9698</v>
      </c>
      <c r="M43" s="2" t="s">
        <v>249</v>
      </c>
    </row>
    <row r="44" spans="2:13">
      <c r="B44" s="2"/>
      <c r="M44" s="2"/>
    </row>
    <row r="45" spans="2:13">
      <c r="B45" s="2">
        <v>26</v>
      </c>
      <c r="D45" t="s">
        <v>143</v>
      </c>
      <c r="K45" s="24">
        <f>+K40/K43</f>
        <v>0.38141884924726749</v>
      </c>
      <c r="M45" s="2" t="s">
        <v>258</v>
      </c>
    </row>
    <row r="46" spans="2:13">
      <c r="B46" s="2"/>
      <c r="M46" s="2"/>
    </row>
    <row r="47" spans="2:13">
      <c r="B47" s="2">
        <v>27</v>
      </c>
      <c r="D47" t="s">
        <v>144</v>
      </c>
      <c r="M47" s="2"/>
    </row>
    <row r="48" spans="2:13">
      <c r="B48" s="2">
        <v>28</v>
      </c>
      <c r="D48" t="s">
        <v>145</v>
      </c>
      <c r="K48" s="19">
        <f>+K37*K45</f>
        <v>1111.1803933512065</v>
      </c>
      <c r="M48" s="2" t="s">
        <v>259</v>
      </c>
    </row>
    <row r="49" spans="2:13">
      <c r="B49" s="2"/>
      <c r="M49" s="2"/>
    </row>
    <row r="50" spans="2:13">
      <c r="B50" s="2">
        <v>29</v>
      </c>
      <c r="D50" t="s">
        <v>146</v>
      </c>
      <c r="M50" s="2"/>
    </row>
    <row r="51" spans="2:13">
      <c r="B51" s="2">
        <v>30</v>
      </c>
      <c r="E51" t="s">
        <v>147</v>
      </c>
      <c r="K51" s="26">
        <v>4.4489999999999998E-3</v>
      </c>
      <c r="M51" s="2" t="s">
        <v>250</v>
      </c>
    </row>
    <row r="52" spans="2:13">
      <c r="B52" s="2">
        <v>31</v>
      </c>
      <c r="E52" t="s">
        <v>148</v>
      </c>
      <c r="K52" s="26">
        <v>2E-3</v>
      </c>
      <c r="M52" s="2" t="s">
        <v>251</v>
      </c>
    </row>
    <row r="53" spans="2:13">
      <c r="B53" s="2">
        <v>32</v>
      </c>
      <c r="E53" t="s">
        <v>149</v>
      </c>
      <c r="K53" s="26">
        <v>3.8561999999999999E-2</v>
      </c>
      <c r="M53" s="2" t="s">
        <v>252</v>
      </c>
    </row>
    <row r="54" spans="2:13">
      <c r="B54" s="2"/>
      <c r="M54" s="2"/>
    </row>
    <row r="55" spans="2:13">
      <c r="B55" s="2">
        <v>33</v>
      </c>
      <c r="D55" t="s">
        <v>150</v>
      </c>
      <c r="M55" s="2"/>
    </row>
    <row r="56" spans="2:13">
      <c r="B56" s="2">
        <v>34</v>
      </c>
      <c r="D56" t="s">
        <v>151</v>
      </c>
      <c r="M56" s="2"/>
    </row>
    <row r="57" spans="2:13">
      <c r="B57" s="2">
        <v>35</v>
      </c>
      <c r="D57" t="s">
        <v>152</v>
      </c>
      <c r="M57" s="2"/>
    </row>
    <row r="58" spans="2:13">
      <c r="B58" s="2">
        <v>36</v>
      </c>
      <c r="E58" t="s">
        <v>147</v>
      </c>
      <c r="K58" s="19">
        <f>+$K$37*K51</f>
        <v>12.96118841472</v>
      </c>
      <c r="M58" s="2" t="s">
        <v>260</v>
      </c>
    </row>
    <row r="59" spans="2:13">
      <c r="B59" s="2">
        <v>37</v>
      </c>
      <c r="E59" t="s">
        <v>148</v>
      </c>
      <c r="K59" s="10">
        <f>+$K$37*K52</f>
        <v>5.8265625600000002</v>
      </c>
      <c r="M59" s="2" t="s">
        <v>261</v>
      </c>
    </row>
    <row r="60" spans="2:13">
      <c r="B60" s="2">
        <v>38</v>
      </c>
      <c r="E60" t="s">
        <v>149</v>
      </c>
      <c r="K60" s="10">
        <f>+$K$37*K53</f>
        <v>112.34195271936001</v>
      </c>
      <c r="M60" s="2" t="s">
        <v>262</v>
      </c>
    </row>
    <row r="61" spans="2:13">
      <c r="B61" s="2"/>
      <c r="M61" s="2"/>
    </row>
    <row r="62" spans="2:13">
      <c r="B62" s="2">
        <v>39</v>
      </c>
      <c r="D62" t="s">
        <v>153</v>
      </c>
    </row>
    <row r="63" spans="2:13">
      <c r="B63" s="2">
        <v>40</v>
      </c>
      <c r="D63" t="s">
        <v>154</v>
      </c>
      <c r="M63" s="2" t="s">
        <v>263</v>
      </c>
    </row>
    <row r="64" spans="2:13">
      <c r="B64" s="2">
        <v>50</v>
      </c>
      <c r="D64" t="s">
        <v>155</v>
      </c>
      <c r="K64" s="23">
        <f>+K37-K48-K58-K59-K60</f>
        <v>1670.9711829547136</v>
      </c>
      <c r="M64" s="2" t="s">
        <v>264</v>
      </c>
    </row>
    <row r="65" spans="2:13">
      <c r="B65" s="2"/>
    </row>
    <row r="66" spans="2:13">
      <c r="B66" s="2">
        <v>51</v>
      </c>
      <c r="D66" t="s">
        <v>156</v>
      </c>
      <c r="K66" s="17">
        <f>-K64*0.35</f>
        <v>-584.83991403414973</v>
      </c>
      <c r="M66" t="s">
        <v>265</v>
      </c>
    </row>
    <row r="67" spans="2:13">
      <c r="B67" s="2"/>
    </row>
    <row r="68" spans="2:13" ht="15" thickBot="1">
      <c r="B68" s="2">
        <v>52</v>
      </c>
      <c r="D68" t="s">
        <v>157</v>
      </c>
      <c r="K68" s="20">
        <f>+K64+K66</f>
        <v>1086.1312689205638</v>
      </c>
      <c r="M68" t="s">
        <v>266</v>
      </c>
    </row>
    <row r="69" spans="2:13" ht="15" thickTop="1">
      <c r="B69" s="2"/>
    </row>
    <row r="70" spans="2:13">
      <c r="B70" s="2"/>
    </row>
    <row r="71" spans="2:13">
      <c r="B71" s="2"/>
    </row>
    <row r="72" spans="2:13">
      <c r="B72" s="2"/>
    </row>
    <row r="73" spans="2:13">
      <c r="B73" s="2"/>
    </row>
    <row r="74" spans="2:13">
      <c r="B74" s="2"/>
    </row>
  </sheetData>
  <mergeCells count="3">
    <mergeCell ref="F4:L4"/>
    <mergeCell ref="F5:L5"/>
    <mergeCell ref="F6:L6"/>
  </mergeCells>
  <pageMargins left="0.95" right="0.45" top="0.75" bottom="0.75" header="0.3" footer="0.3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3"/>
  <sheetViews>
    <sheetView tabSelected="1" workbookViewId="0">
      <selection activeCell="G55" sqref="G55"/>
    </sheetView>
  </sheetViews>
  <sheetFormatPr defaultRowHeight="14.25"/>
  <cols>
    <col min="2" max="2" width="6.625" customWidth="1"/>
    <col min="3" max="4" width="3.625" customWidth="1"/>
    <col min="9" max="9" width="6.625" customWidth="1"/>
    <col min="10" max="10" width="3.625" customWidth="1"/>
    <col min="11" max="11" width="12.75" bestFit="1" customWidth="1"/>
    <col min="12" max="12" width="3.625" customWidth="1"/>
    <col min="13" max="13" width="12.125" bestFit="1" customWidth="1"/>
  </cols>
  <sheetData>
    <row r="2" spans="5:19">
      <c r="N2" s="104" t="s">
        <v>239</v>
      </c>
    </row>
    <row r="3" spans="5:19">
      <c r="N3" s="104" t="s">
        <v>285</v>
      </c>
    </row>
    <row r="4" spans="5:19">
      <c r="N4" s="104"/>
    </row>
    <row r="5" spans="5:19">
      <c r="N5" s="104" t="s">
        <v>276</v>
      </c>
    </row>
    <row r="6" spans="5:19">
      <c r="N6" s="104" t="s">
        <v>226</v>
      </c>
    </row>
    <row r="12" spans="5:19">
      <c r="S12" s="1"/>
    </row>
    <row r="13" spans="5:19">
      <c r="E13" s="103" t="s">
        <v>236</v>
      </c>
      <c r="F13" s="103"/>
      <c r="G13" s="103"/>
      <c r="H13" s="103"/>
      <c r="I13" s="103"/>
      <c r="J13" s="103"/>
      <c r="K13" s="103"/>
      <c r="L13" s="103"/>
      <c r="S13" s="1"/>
    </row>
    <row r="14" spans="5:19">
      <c r="E14" s="103" t="s">
        <v>237</v>
      </c>
      <c r="F14" s="103"/>
      <c r="G14" s="103"/>
      <c r="H14" s="103"/>
      <c r="I14" s="103"/>
      <c r="J14" s="103"/>
      <c r="K14" s="103"/>
      <c r="L14" s="103"/>
      <c r="S14" s="1"/>
    </row>
    <row r="15" spans="5:19">
      <c r="E15" s="103" t="s">
        <v>267</v>
      </c>
      <c r="F15" s="103"/>
      <c r="G15" s="103"/>
      <c r="H15" s="103"/>
      <c r="I15" s="103"/>
      <c r="J15" s="103"/>
      <c r="K15" s="103"/>
      <c r="L15" s="103"/>
    </row>
    <row r="17" spans="2:13">
      <c r="K17" s="2" t="s">
        <v>176</v>
      </c>
      <c r="M17" s="2" t="s">
        <v>176</v>
      </c>
    </row>
    <row r="18" spans="2:13">
      <c r="K18" s="2" t="s">
        <v>196</v>
      </c>
      <c r="M18" s="2" t="s">
        <v>196</v>
      </c>
    </row>
    <row r="19" spans="2:13">
      <c r="B19" s="3" t="s">
        <v>242</v>
      </c>
      <c r="K19" s="2" t="s">
        <v>197</v>
      </c>
      <c r="M19" s="2" t="s">
        <v>198</v>
      </c>
    </row>
    <row r="20" spans="2:13">
      <c r="B20" s="61" t="s">
        <v>243</v>
      </c>
      <c r="D20" s="4" t="s">
        <v>254</v>
      </c>
      <c r="E20" s="4"/>
      <c r="F20" s="4"/>
      <c r="G20" s="4"/>
      <c r="H20" s="4"/>
      <c r="I20" s="4"/>
      <c r="K20" s="5" t="s">
        <v>199</v>
      </c>
      <c r="M20" s="61" t="s">
        <v>199</v>
      </c>
    </row>
    <row r="21" spans="2:13">
      <c r="K21" s="2"/>
      <c r="M21" s="2"/>
    </row>
    <row r="22" spans="2:13">
      <c r="B22" s="2">
        <v>1</v>
      </c>
      <c r="D22" t="s">
        <v>269</v>
      </c>
    </row>
    <row r="23" spans="2:13">
      <c r="B23" s="2">
        <v>2</v>
      </c>
      <c r="D23" t="s">
        <v>270</v>
      </c>
    </row>
    <row r="24" spans="2:13">
      <c r="B24" s="2">
        <v>3</v>
      </c>
      <c r="D24" s="14" t="s">
        <v>271</v>
      </c>
      <c r="K24" s="19">
        <v>778427</v>
      </c>
      <c r="L24" s="19"/>
      <c r="M24" s="19">
        <v>217502</v>
      </c>
    </row>
    <row r="25" spans="2:13">
      <c r="B25" s="2"/>
    </row>
    <row r="26" spans="2:13">
      <c r="B26" s="2">
        <v>4</v>
      </c>
      <c r="D26" t="s">
        <v>200</v>
      </c>
      <c r="K26" s="54">
        <v>0.35</v>
      </c>
      <c r="M26" s="54">
        <v>0.35</v>
      </c>
    </row>
    <row r="27" spans="2:13">
      <c r="B27" s="2"/>
    </row>
    <row r="28" spans="2:13">
      <c r="B28" s="2">
        <v>5</v>
      </c>
      <c r="D28" t="s">
        <v>201</v>
      </c>
      <c r="K28" s="19">
        <f>-K24*K26</f>
        <v>-272449.45</v>
      </c>
      <c r="M28" s="19">
        <f>-M24*M26</f>
        <v>-76125.7</v>
      </c>
    </row>
    <row r="29" spans="2:13">
      <c r="B29" s="2"/>
    </row>
    <row r="30" spans="2:13">
      <c r="B30" s="2">
        <v>6</v>
      </c>
      <c r="D30" t="s">
        <v>202</v>
      </c>
    </row>
    <row r="31" spans="2:13">
      <c r="B31" s="2">
        <v>7</v>
      </c>
      <c r="D31" t="s">
        <v>203</v>
      </c>
    </row>
    <row r="32" spans="2:13" ht="15" thickBot="1">
      <c r="B32" s="2">
        <v>8</v>
      </c>
      <c r="D32" t="s">
        <v>204</v>
      </c>
      <c r="K32" s="29">
        <f>-K24-K28</f>
        <v>-505977.55</v>
      </c>
      <c r="M32" s="29">
        <f>-M24-M28</f>
        <v>-141376.29999999999</v>
      </c>
    </row>
    <row r="33" spans="2:2" ht="15" thickTop="1">
      <c r="B33" s="2"/>
    </row>
  </sheetData>
  <mergeCells count="3">
    <mergeCell ref="E13:L13"/>
    <mergeCell ref="E14:L14"/>
    <mergeCell ref="E15:L15"/>
  </mergeCells>
  <pageMargins left="0.95" right="0.45" top="0.75" bottom="0.75" header="0.3" footer="0.3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tabSelected="1" workbookViewId="0">
      <selection activeCell="G55" sqref="G55"/>
    </sheetView>
  </sheetViews>
  <sheetFormatPr defaultRowHeight="14.25"/>
  <cols>
    <col min="2" max="2" width="6.625" customWidth="1"/>
    <col min="3" max="4" width="3.625" customWidth="1"/>
    <col min="10" max="10" width="12.75" bestFit="1" customWidth="1"/>
    <col min="11" max="11" width="3.625" customWidth="1"/>
    <col min="12" max="12" width="12.125" bestFit="1" customWidth="1"/>
  </cols>
  <sheetData>
    <row r="1" spans="2:17">
      <c r="M1" s="104" t="s">
        <v>239</v>
      </c>
    </row>
    <row r="2" spans="2:17">
      <c r="M2" s="104" t="s">
        <v>286</v>
      </c>
    </row>
    <row r="3" spans="2:17">
      <c r="M3" s="104"/>
    </row>
    <row r="4" spans="2:17">
      <c r="M4" s="104" t="s">
        <v>277</v>
      </c>
    </row>
    <row r="5" spans="2:17" ht="15.75">
      <c r="M5" s="105" t="s">
        <v>227</v>
      </c>
    </row>
    <row r="8" spans="2:17">
      <c r="E8" s="103" t="s">
        <v>236</v>
      </c>
      <c r="F8" s="103"/>
      <c r="G8" s="103"/>
      <c r="H8" s="103"/>
      <c r="I8" s="103"/>
      <c r="J8" s="103"/>
    </row>
    <row r="9" spans="2:17">
      <c r="E9" s="103" t="s">
        <v>237</v>
      </c>
      <c r="F9" s="103"/>
      <c r="G9" s="103"/>
      <c r="H9" s="103"/>
      <c r="I9" s="103"/>
      <c r="J9" s="103"/>
      <c r="Q9" s="1"/>
    </row>
    <row r="10" spans="2:17">
      <c r="E10" s="103" t="s">
        <v>51</v>
      </c>
      <c r="F10" s="103"/>
      <c r="G10" s="103"/>
      <c r="H10" s="103"/>
      <c r="I10" s="103"/>
      <c r="J10" s="103"/>
      <c r="Q10" s="1"/>
    </row>
    <row r="11" spans="2:17">
      <c r="Q11" s="1"/>
    </row>
    <row r="14" spans="2:17">
      <c r="J14" s="2" t="s">
        <v>176</v>
      </c>
      <c r="L14" s="2" t="s">
        <v>176</v>
      </c>
    </row>
    <row r="15" spans="2:17">
      <c r="J15" s="2" t="s">
        <v>196</v>
      </c>
      <c r="L15" s="2" t="s">
        <v>196</v>
      </c>
    </row>
    <row r="16" spans="2:17">
      <c r="B16" s="3" t="s">
        <v>242</v>
      </c>
      <c r="J16" s="2" t="s">
        <v>197</v>
      </c>
      <c r="L16" s="2" t="s">
        <v>198</v>
      </c>
    </row>
    <row r="17" spans="2:12">
      <c r="B17" s="61" t="s">
        <v>243</v>
      </c>
      <c r="D17" s="4" t="s">
        <v>254</v>
      </c>
      <c r="E17" s="4"/>
      <c r="F17" s="4"/>
      <c r="G17" s="4"/>
      <c r="H17" s="4"/>
      <c r="J17" s="5" t="s">
        <v>199</v>
      </c>
      <c r="L17" s="60" t="s">
        <v>199</v>
      </c>
    </row>
    <row r="18" spans="2:12">
      <c r="B18" s="2"/>
      <c r="J18" s="2"/>
      <c r="L18" s="2"/>
    </row>
    <row r="19" spans="2:12">
      <c r="B19" s="2">
        <v>1</v>
      </c>
      <c r="D19" t="s">
        <v>205</v>
      </c>
    </row>
    <row r="20" spans="2:12">
      <c r="B20" s="2">
        <v>2</v>
      </c>
      <c r="D20" t="s">
        <v>290</v>
      </c>
    </row>
    <row r="21" spans="2:12">
      <c r="B21" s="2">
        <v>3</v>
      </c>
      <c r="D21" s="14" t="s">
        <v>291</v>
      </c>
      <c r="J21" s="19">
        <f>-3120453</f>
        <v>-3120453</v>
      </c>
      <c r="K21" s="19"/>
      <c r="L21" s="19">
        <f>-862796</f>
        <v>-862796</v>
      </c>
    </row>
    <row r="22" spans="2:12">
      <c r="B22" s="2">
        <v>4</v>
      </c>
      <c r="D22" s="14" t="s">
        <v>268</v>
      </c>
      <c r="J22" s="19"/>
      <c r="K22" s="19"/>
      <c r="L22" s="19"/>
    </row>
    <row r="23" spans="2:12">
      <c r="B23" s="2"/>
    </row>
    <row r="24" spans="2:12">
      <c r="B24" s="2">
        <v>5</v>
      </c>
      <c r="D24" t="s">
        <v>200</v>
      </c>
      <c r="J24" s="54">
        <v>0.35</v>
      </c>
      <c r="L24" s="54">
        <v>0.35</v>
      </c>
    </row>
    <row r="25" spans="2:12">
      <c r="B25" s="2"/>
    </row>
    <row r="26" spans="2:12">
      <c r="B26" s="2">
        <v>6</v>
      </c>
      <c r="D26" t="s">
        <v>201</v>
      </c>
      <c r="J26" s="19">
        <f>-J21*J24</f>
        <v>1092158.55</v>
      </c>
      <c r="L26" s="19">
        <f>-L21*L24</f>
        <v>301978.59999999998</v>
      </c>
    </row>
    <row r="27" spans="2:12">
      <c r="B27" s="2"/>
    </row>
    <row r="28" spans="2:12">
      <c r="B28" s="2">
        <v>7</v>
      </c>
      <c r="D28" t="s">
        <v>202</v>
      </c>
    </row>
    <row r="29" spans="2:12">
      <c r="B29" s="2">
        <v>8</v>
      </c>
      <c r="D29" t="s">
        <v>203</v>
      </c>
    </row>
    <row r="30" spans="2:12" ht="15" thickBot="1">
      <c r="B30" s="2">
        <v>9</v>
      </c>
      <c r="D30" t="s">
        <v>204</v>
      </c>
      <c r="J30" s="29">
        <f>-J21-J26</f>
        <v>2028294.45</v>
      </c>
      <c r="L30" s="29">
        <f>-L21-L26</f>
        <v>560817.4</v>
      </c>
    </row>
    <row r="31" spans="2:12" ht="15" thickTop="1">
      <c r="B31" s="2"/>
    </row>
  </sheetData>
  <mergeCells count="3">
    <mergeCell ref="E8:J8"/>
    <mergeCell ref="E9:J9"/>
    <mergeCell ref="E10:J10"/>
  </mergeCells>
  <pageMargins left="0.95" right="0.45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6"/>
  <sheetViews>
    <sheetView tabSelected="1" workbookViewId="0">
      <selection activeCell="G55" sqref="G55"/>
    </sheetView>
  </sheetViews>
  <sheetFormatPr defaultRowHeight="14.25"/>
  <cols>
    <col min="2" max="2" width="6.625" customWidth="1"/>
    <col min="3" max="4" width="3.625" customWidth="1"/>
    <col min="9" max="9" width="6.625" customWidth="1"/>
    <col min="10" max="10" width="12.75" bestFit="1" customWidth="1"/>
    <col min="11" max="11" width="3.625" customWidth="1"/>
    <col min="12" max="12" width="12.125" bestFit="1" customWidth="1"/>
  </cols>
  <sheetData>
    <row r="1" spans="5:17">
      <c r="M1" s="104" t="s">
        <v>239</v>
      </c>
    </row>
    <row r="2" spans="5:17">
      <c r="M2" s="104" t="s">
        <v>287</v>
      </c>
    </row>
    <row r="3" spans="5:17">
      <c r="M3" s="104"/>
    </row>
    <row r="4" spans="5:17">
      <c r="M4" s="104" t="s">
        <v>278</v>
      </c>
    </row>
    <row r="5" spans="5:17">
      <c r="M5" s="104" t="s">
        <v>228</v>
      </c>
    </row>
    <row r="6" spans="5:17" ht="15.75">
      <c r="M6" s="105"/>
    </row>
    <row r="7" spans="5:17" ht="15.75">
      <c r="M7" s="105"/>
    </row>
    <row r="8" spans="5:17" ht="15.75">
      <c r="M8" s="105"/>
    </row>
    <row r="9" spans="5:17" ht="15.75">
      <c r="M9" s="105"/>
    </row>
    <row r="12" spans="5:17">
      <c r="E12" s="103" t="s">
        <v>236</v>
      </c>
      <c r="F12" s="103"/>
      <c r="G12" s="103"/>
      <c r="H12" s="103"/>
      <c r="I12" s="103"/>
      <c r="J12" s="103"/>
      <c r="K12" s="103"/>
    </row>
    <row r="13" spans="5:17">
      <c r="E13" s="103" t="s">
        <v>237</v>
      </c>
      <c r="F13" s="103"/>
      <c r="G13" s="103"/>
      <c r="H13" s="103"/>
      <c r="I13" s="103"/>
      <c r="J13" s="103"/>
      <c r="K13" s="103"/>
      <c r="Q13" s="1"/>
    </row>
    <row r="14" spans="5:17">
      <c r="E14" s="103" t="s">
        <v>52</v>
      </c>
      <c r="F14" s="103"/>
      <c r="G14" s="103"/>
      <c r="H14" s="103"/>
      <c r="I14" s="103"/>
      <c r="J14" s="103"/>
      <c r="K14" s="103"/>
      <c r="Q14" s="1"/>
    </row>
    <row r="15" spans="5:17">
      <c r="Q15" s="1"/>
    </row>
    <row r="18" spans="2:12">
      <c r="J18" s="2" t="s">
        <v>176</v>
      </c>
      <c r="L18" s="2" t="s">
        <v>176</v>
      </c>
    </row>
    <row r="19" spans="2:12">
      <c r="J19" s="2" t="s">
        <v>196</v>
      </c>
      <c r="L19" s="2" t="s">
        <v>196</v>
      </c>
    </row>
    <row r="20" spans="2:12">
      <c r="B20" s="3" t="s">
        <v>242</v>
      </c>
      <c r="J20" s="2" t="s">
        <v>197</v>
      </c>
      <c r="L20" s="2" t="s">
        <v>198</v>
      </c>
    </row>
    <row r="21" spans="2:12">
      <c r="B21" s="61" t="s">
        <v>243</v>
      </c>
      <c r="D21" s="4" t="s">
        <v>254</v>
      </c>
      <c r="E21" s="4"/>
      <c r="F21" s="4"/>
      <c r="G21" s="4"/>
      <c r="H21" s="4"/>
      <c r="J21" s="5" t="s">
        <v>199</v>
      </c>
      <c r="L21" s="61" t="s">
        <v>199</v>
      </c>
    </row>
    <row r="22" spans="2:12">
      <c r="J22" s="2"/>
      <c r="L22" s="2"/>
    </row>
    <row r="23" spans="2:12">
      <c r="B23" s="2">
        <v>1</v>
      </c>
      <c r="D23" t="s">
        <v>206</v>
      </c>
    </row>
    <row r="24" spans="2:12">
      <c r="B24" s="2">
        <v>2</v>
      </c>
      <c r="D24" t="s">
        <v>207</v>
      </c>
    </row>
    <row r="25" spans="2:12">
      <c r="B25" s="2">
        <v>3</v>
      </c>
      <c r="D25" s="14" t="s">
        <v>208</v>
      </c>
      <c r="J25" s="19">
        <v>130634</v>
      </c>
      <c r="K25" s="19"/>
      <c r="L25" s="19">
        <v>35032</v>
      </c>
    </row>
    <row r="26" spans="2:12">
      <c r="B26" s="2"/>
    </row>
    <row r="27" spans="2:12">
      <c r="B27" s="2">
        <v>4</v>
      </c>
      <c r="D27" t="s">
        <v>200</v>
      </c>
      <c r="J27" s="54">
        <v>0.35</v>
      </c>
      <c r="L27" s="54">
        <v>0.35</v>
      </c>
    </row>
    <row r="28" spans="2:12">
      <c r="B28" s="2"/>
    </row>
    <row r="29" spans="2:12">
      <c r="B29" s="2">
        <v>5</v>
      </c>
      <c r="D29" t="s">
        <v>201</v>
      </c>
      <c r="J29" s="19">
        <f>-J25*J27</f>
        <v>-45721.899999999994</v>
      </c>
      <c r="L29" s="19">
        <f>-L25*L27</f>
        <v>-12261.199999999999</v>
      </c>
    </row>
    <row r="30" spans="2:12">
      <c r="B30" s="2"/>
    </row>
    <row r="31" spans="2:12">
      <c r="B31" s="2">
        <v>6</v>
      </c>
      <c r="D31" t="s">
        <v>202</v>
      </c>
    </row>
    <row r="32" spans="2:12">
      <c r="B32" s="2">
        <v>7</v>
      </c>
      <c r="D32" t="s">
        <v>209</v>
      </c>
    </row>
    <row r="33" spans="2:12" ht="15" thickBot="1">
      <c r="B33" s="2">
        <v>8</v>
      </c>
      <c r="D33" t="s">
        <v>210</v>
      </c>
      <c r="J33" s="29">
        <f>-J25-J29</f>
        <v>-84912.1</v>
      </c>
      <c r="L33" s="29">
        <f>-L25-L29</f>
        <v>-22770.800000000003</v>
      </c>
    </row>
    <row r="34" spans="2:12" ht="15" thickTop="1">
      <c r="B34" s="2"/>
    </row>
    <row r="35" spans="2:12">
      <c r="B35" s="2"/>
    </row>
    <row r="36" spans="2:12">
      <c r="B36" s="2"/>
    </row>
  </sheetData>
  <mergeCells count="3">
    <mergeCell ref="E12:K12"/>
    <mergeCell ref="E13:K13"/>
    <mergeCell ref="E14:K14"/>
  </mergeCells>
  <pageMargins left="0.95" right="0.45" top="0.75" bottom="0.75" header="0.3" footer="0.3"/>
  <pageSetup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7"/>
  <sheetViews>
    <sheetView tabSelected="1" workbookViewId="0">
      <selection activeCell="G55" sqref="G55"/>
    </sheetView>
  </sheetViews>
  <sheetFormatPr defaultRowHeight="14.25"/>
  <cols>
    <col min="2" max="2" width="6.625" customWidth="1"/>
    <col min="3" max="4" width="3.625" customWidth="1"/>
    <col min="10" max="10" width="12.75" bestFit="1" customWidth="1"/>
    <col min="11" max="11" width="3.625" customWidth="1"/>
    <col min="12" max="12" width="12.125" bestFit="1" customWidth="1"/>
  </cols>
  <sheetData>
    <row r="1" spans="5:17">
      <c r="M1" s="104" t="s">
        <v>239</v>
      </c>
    </row>
    <row r="2" spans="5:17">
      <c r="M2" s="104" t="s">
        <v>288</v>
      </c>
    </row>
    <row r="3" spans="5:17">
      <c r="M3" s="104"/>
    </row>
    <row r="4" spans="5:17">
      <c r="M4" s="104" t="s">
        <v>279</v>
      </c>
    </row>
    <row r="5" spans="5:17">
      <c r="M5" s="104" t="s">
        <v>229</v>
      </c>
    </row>
    <row r="12" spans="5:17">
      <c r="E12" s="103" t="s">
        <v>236</v>
      </c>
      <c r="F12" s="103"/>
      <c r="G12" s="103"/>
      <c r="H12" s="103"/>
      <c r="I12" s="103"/>
      <c r="J12" s="103"/>
      <c r="K12" s="103"/>
    </row>
    <row r="13" spans="5:17">
      <c r="E13" s="103" t="s">
        <v>237</v>
      </c>
      <c r="F13" s="103"/>
      <c r="G13" s="103"/>
      <c r="H13" s="103"/>
      <c r="I13" s="103"/>
      <c r="J13" s="103"/>
      <c r="K13" s="103"/>
    </row>
    <row r="14" spans="5:17">
      <c r="E14" s="103" t="s">
        <v>272</v>
      </c>
      <c r="F14" s="103"/>
      <c r="G14" s="103"/>
      <c r="H14" s="103"/>
      <c r="I14" s="103"/>
      <c r="J14" s="103"/>
      <c r="K14" s="103"/>
    </row>
    <row r="16" spans="5:17">
      <c r="Q16" s="1"/>
    </row>
    <row r="17" spans="2:17">
      <c r="Q17" s="1"/>
    </row>
    <row r="18" spans="2:17">
      <c r="Q18" s="1"/>
    </row>
    <row r="20" spans="2:17">
      <c r="J20" s="2" t="s">
        <v>176</v>
      </c>
      <c r="L20" s="2" t="s">
        <v>176</v>
      </c>
    </row>
    <row r="21" spans="2:17">
      <c r="J21" s="2" t="s">
        <v>196</v>
      </c>
      <c r="L21" s="2" t="s">
        <v>196</v>
      </c>
    </row>
    <row r="22" spans="2:17">
      <c r="B22" s="3" t="s">
        <v>242</v>
      </c>
      <c r="J22" s="2" t="s">
        <v>197</v>
      </c>
      <c r="L22" s="2" t="s">
        <v>198</v>
      </c>
    </row>
    <row r="23" spans="2:17">
      <c r="B23" s="61" t="s">
        <v>243</v>
      </c>
      <c r="D23" s="4" t="s">
        <v>254</v>
      </c>
      <c r="E23" s="4"/>
      <c r="F23" s="4"/>
      <c r="G23" s="4"/>
      <c r="H23" s="4"/>
      <c r="J23" s="5" t="s">
        <v>199</v>
      </c>
      <c r="L23" s="61" t="s">
        <v>199</v>
      </c>
    </row>
    <row r="24" spans="2:17">
      <c r="J24" s="2"/>
      <c r="L24" s="2"/>
    </row>
    <row r="25" spans="2:17">
      <c r="B25" s="2">
        <v>1</v>
      </c>
      <c r="D25" t="s">
        <v>211</v>
      </c>
    </row>
    <row r="26" spans="2:17">
      <c r="B26" s="2">
        <v>2</v>
      </c>
      <c r="D26" t="s">
        <v>212</v>
      </c>
    </row>
    <row r="27" spans="2:17">
      <c r="B27" s="2">
        <v>3</v>
      </c>
      <c r="D27" s="14" t="s">
        <v>213</v>
      </c>
      <c r="J27" s="19">
        <v>959086</v>
      </c>
      <c r="K27" s="19"/>
      <c r="L27" s="19">
        <v>176865</v>
      </c>
    </row>
    <row r="28" spans="2:17">
      <c r="B28" s="2">
        <v>4</v>
      </c>
      <c r="D28" s="14" t="s">
        <v>214</v>
      </c>
      <c r="J28" s="19"/>
      <c r="K28" s="19"/>
      <c r="L28" s="19"/>
    </row>
    <row r="29" spans="2:17">
      <c r="B29" s="2"/>
    </row>
    <row r="30" spans="2:17">
      <c r="B30" s="2">
        <v>5</v>
      </c>
      <c r="D30" t="s">
        <v>200</v>
      </c>
      <c r="J30" s="54">
        <v>0.35</v>
      </c>
      <c r="L30" s="54">
        <v>0.35</v>
      </c>
    </row>
    <row r="31" spans="2:17">
      <c r="B31" s="2"/>
    </row>
    <row r="32" spans="2:17">
      <c r="B32" s="2">
        <v>6</v>
      </c>
      <c r="D32" t="s">
        <v>201</v>
      </c>
      <c r="J32" s="19">
        <f>-J27*J30</f>
        <v>-335680.1</v>
      </c>
      <c r="L32" s="19">
        <f>-L27*L30</f>
        <v>-61902.749999999993</v>
      </c>
    </row>
    <row r="33" spans="2:12">
      <c r="B33" s="2"/>
    </row>
    <row r="34" spans="2:12">
      <c r="B34" s="2">
        <v>7</v>
      </c>
      <c r="D34" t="s">
        <v>202</v>
      </c>
    </row>
    <row r="35" spans="2:12">
      <c r="B35" s="2">
        <v>8</v>
      </c>
      <c r="D35" t="s">
        <v>215</v>
      </c>
    </row>
    <row r="36" spans="2:12" ht="15" thickBot="1">
      <c r="B36" s="2">
        <v>9</v>
      </c>
      <c r="D36" t="s">
        <v>210</v>
      </c>
      <c r="J36" s="29">
        <f>-J27-J32</f>
        <v>-623405.9</v>
      </c>
      <c r="L36" s="29">
        <f>-L27-L32</f>
        <v>-114962.25</v>
      </c>
    </row>
    <row r="37" spans="2:12" ht="15" thickTop="1">
      <c r="B37" s="2"/>
    </row>
  </sheetData>
  <mergeCells count="3">
    <mergeCell ref="E12:K12"/>
    <mergeCell ref="E13:K13"/>
    <mergeCell ref="E14:K14"/>
  </mergeCells>
  <pageMargins left="0.95" right="0.45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63"/>
  <sheetViews>
    <sheetView tabSelected="1" workbookViewId="0">
      <selection activeCell="G55" sqref="G55"/>
    </sheetView>
  </sheetViews>
  <sheetFormatPr defaultRowHeight="14.25"/>
  <cols>
    <col min="2" max="3" width="2.625" customWidth="1"/>
    <col min="9" max="9" width="15.625" bestFit="1" customWidth="1"/>
    <col min="10" max="10" width="2.625" customWidth="1"/>
    <col min="11" max="11" width="15.625" bestFit="1" customWidth="1"/>
    <col min="12" max="12" width="2.625" customWidth="1"/>
    <col min="13" max="13" width="15.625" bestFit="1" customWidth="1"/>
    <col min="14" max="14" width="2.625" customWidth="1"/>
    <col min="15" max="15" width="15.625" bestFit="1" customWidth="1"/>
    <col min="16" max="16" width="2.625" customWidth="1"/>
    <col min="17" max="17" width="15.625" bestFit="1" customWidth="1"/>
    <col min="19" max="23" width="3.125" customWidth="1"/>
    <col min="24" max="24" width="15.625" customWidth="1"/>
  </cols>
  <sheetData>
    <row r="5" spans="4:24" ht="15.75">
      <c r="X5" s="90" t="s">
        <v>159</v>
      </c>
    </row>
    <row r="7" spans="4:24">
      <c r="D7" s="103" t="s">
        <v>236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U7" s="1"/>
    </row>
    <row r="8" spans="4:24">
      <c r="D8" s="103" t="s">
        <v>64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U8" s="1"/>
    </row>
    <row r="9" spans="4:24">
      <c r="D9" s="103" t="s">
        <v>274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U9" s="1"/>
    </row>
    <row r="12" spans="4:24">
      <c r="Q12" s="2" t="s">
        <v>104</v>
      </c>
    </row>
    <row r="13" spans="4:24">
      <c r="K13" s="2" t="s">
        <v>84</v>
      </c>
      <c r="Q13" s="2" t="s">
        <v>218</v>
      </c>
    </row>
    <row r="14" spans="4:24">
      <c r="I14" s="2" t="s">
        <v>79</v>
      </c>
      <c r="K14" s="2" t="s">
        <v>85</v>
      </c>
      <c r="M14" s="2" t="s">
        <v>89</v>
      </c>
      <c r="O14" s="2" t="s">
        <v>98</v>
      </c>
      <c r="Q14" s="2" t="s">
        <v>105</v>
      </c>
    </row>
    <row r="15" spans="4:24">
      <c r="I15" s="13" t="s">
        <v>83</v>
      </c>
      <c r="K15" s="2" t="s">
        <v>86</v>
      </c>
      <c r="M15" s="16" t="s">
        <v>88</v>
      </c>
      <c r="O15" s="2" t="s">
        <v>99</v>
      </c>
      <c r="Q15" s="2" t="s">
        <v>106</v>
      </c>
    </row>
    <row r="16" spans="4:24">
      <c r="I16" s="2" t="s">
        <v>81</v>
      </c>
      <c r="K16" s="2" t="s">
        <v>87</v>
      </c>
      <c r="M16" s="2" t="s">
        <v>81</v>
      </c>
      <c r="O16" s="2" t="s">
        <v>100</v>
      </c>
      <c r="Q16" s="2" t="s">
        <v>107</v>
      </c>
      <c r="X16" s="14" t="s">
        <v>116</v>
      </c>
    </row>
    <row r="17" spans="1:24">
      <c r="I17" s="2" t="s">
        <v>82</v>
      </c>
      <c r="K17" s="15" t="s">
        <v>88</v>
      </c>
      <c r="M17" s="2" t="s">
        <v>82</v>
      </c>
      <c r="O17" s="15" t="s">
        <v>101</v>
      </c>
      <c r="Q17" s="2" t="s">
        <v>108</v>
      </c>
      <c r="X17" t="s">
        <v>80</v>
      </c>
    </row>
    <row r="18" spans="1:24">
      <c r="A18" s="3" t="s">
        <v>242</v>
      </c>
      <c r="I18" s="2" t="s">
        <v>90</v>
      </c>
      <c r="K18" s="2" t="s">
        <v>90</v>
      </c>
      <c r="M18" s="2" t="s">
        <v>96</v>
      </c>
      <c r="O18" s="2" t="s">
        <v>102</v>
      </c>
      <c r="Q18" s="114" t="s">
        <v>101</v>
      </c>
      <c r="X18" t="s">
        <v>117</v>
      </c>
    </row>
    <row r="19" spans="1:24">
      <c r="A19" s="61" t="s">
        <v>243</v>
      </c>
      <c r="C19" s="4" t="s">
        <v>254</v>
      </c>
      <c r="D19" s="4"/>
      <c r="E19" s="4"/>
      <c r="F19" s="4"/>
      <c r="G19" s="4"/>
      <c r="I19" s="5" t="s">
        <v>91</v>
      </c>
      <c r="K19" s="22" t="s">
        <v>92</v>
      </c>
      <c r="M19" s="5" t="s">
        <v>97</v>
      </c>
      <c r="O19" s="5" t="s">
        <v>273</v>
      </c>
      <c r="Q19" s="61" t="s">
        <v>292</v>
      </c>
      <c r="X19" t="s">
        <v>103</v>
      </c>
    </row>
    <row r="20" spans="1:24">
      <c r="A20" s="2"/>
      <c r="I20" s="15" t="s">
        <v>93</v>
      </c>
      <c r="K20" s="15" t="s">
        <v>94</v>
      </c>
      <c r="M20" s="15" t="s">
        <v>95</v>
      </c>
      <c r="O20" s="15" t="s">
        <v>109</v>
      </c>
      <c r="Q20" s="15" t="s">
        <v>110</v>
      </c>
      <c r="X20" s="10"/>
    </row>
    <row r="21" spans="1:24">
      <c r="A21" s="2">
        <v>1</v>
      </c>
      <c r="C21" t="s">
        <v>67</v>
      </c>
      <c r="X21" s="10"/>
    </row>
    <row r="22" spans="1:24">
      <c r="A22" s="2">
        <v>2</v>
      </c>
      <c r="D22" t="s">
        <v>68</v>
      </c>
      <c r="I22" s="19">
        <v>89588</v>
      </c>
      <c r="J22" s="19"/>
      <c r="K22" s="19">
        <v>16010</v>
      </c>
      <c r="L22" s="19"/>
      <c r="M22" s="19">
        <f>+I22+K22</f>
        <v>105598</v>
      </c>
      <c r="N22" s="10"/>
      <c r="O22" s="19">
        <f>+X22/1000</f>
        <v>100912.428</v>
      </c>
      <c r="P22" s="10"/>
      <c r="Q22" s="19">
        <f>+O22-M22</f>
        <v>-4685.5720000000001</v>
      </c>
      <c r="R22" s="10"/>
      <c r="X22" s="10">
        <v>100912428</v>
      </c>
    </row>
    <row r="23" spans="1:24">
      <c r="A23" s="2">
        <v>3</v>
      </c>
      <c r="D23" t="s">
        <v>73</v>
      </c>
      <c r="I23" s="10">
        <v>741332</v>
      </c>
      <c r="J23" s="10"/>
      <c r="K23" s="10">
        <v>9304</v>
      </c>
      <c r="L23" s="10"/>
      <c r="M23" s="10">
        <f>+I23+K23</f>
        <v>750636</v>
      </c>
      <c r="N23" s="10"/>
      <c r="O23" s="10">
        <f>+X23/1000</f>
        <v>747838.95499999996</v>
      </c>
      <c r="P23" s="10"/>
      <c r="Q23" s="10">
        <f>+O23-M23</f>
        <v>-2797.0450000000419</v>
      </c>
      <c r="R23" s="10"/>
      <c r="X23" s="10">
        <v>747838955</v>
      </c>
    </row>
    <row r="24" spans="1:24">
      <c r="A24" s="2">
        <v>4</v>
      </c>
      <c r="D24" t="s">
        <v>69</v>
      </c>
      <c r="I24" s="10">
        <v>357517</v>
      </c>
      <c r="J24" s="10"/>
      <c r="K24" s="10">
        <v>11581</v>
      </c>
      <c r="L24" s="10"/>
      <c r="M24" s="10">
        <f>+I24+K24</f>
        <v>369098</v>
      </c>
      <c r="N24" s="10"/>
      <c r="O24" s="10">
        <f>+X24/1000</f>
        <v>371657.58299999998</v>
      </c>
      <c r="P24" s="10"/>
      <c r="Q24" s="10">
        <f>+O24-M24</f>
        <v>2559.5829999999842</v>
      </c>
      <c r="R24" s="10"/>
      <c r="X24" s="10">
        <v>371657583</v>
      </c>
    </row>
    <row r="25" spans="1:24">
      <c r="A25" s="2">
        <v>5</v>
      </c>
      <c r="D25" t="s">
        <v>70</v>
      </c>
      <c r="I25" s="10">
        <v>794659</v>
      </c>
      <c r="J25" s="10"/>
      <c r="K25" s="10">
        <v>23051</v>
      </c>
      <c r="L25" s="10"/>
      <c r="M25" s="10">
        <f>+I25+K25</f>
        <v>817710</v>
      </c>
      <c r="N25" s="10"/>
      <c r="O25" s="10">
        <f>+X25/1000</f>
        <v>829987.43599999999</v>
      </c>
      <c r="P25" s="10"/>
      <c r="Q25" s="10">
        <f>+O25-M25</f>
        <v>12277.435999999987</v>
      </c>
      <c r="R25" s="10"/>
      <c r="X25" s="10">
        <v>829987436</v>
      </c>
    </row>
    <row r="26" spans="1:24">
      <c r="A26" s="2">
        <v>6</v>
      </c>
      <c r="D26" t="s">
        <v>74</v>
      </c>
      <c r="I26" s="17">
        <v>178611</v>
      </c>
      <c r="J26" s="10"/>
      <c r="K26" s="17">
        <v>11158</v>
      </c>
      <c r="L26" s="10"/>
      <c r="M26" s="17">
        <f>+I26+K26</f>
        <v>189769</v>
      </c>
      <c r="N26" s="10"/>
      <c r="O26" s="17">
        <f>+X26/1000</f>
        <v>192377.44899999999</v>
      </c>
      <c r="P26" s="10"/>
      <c r="Q26" s="17">
        <f>+O26-M26</f>
        <v>2608.4489999999932</v>
      </c>
      <c r="R26" s="10"/>
      <c r="X26" s="10">
        <v>192377449</v>
      </c>
    </row>
    <row r="27" spans="1:24">
      <c r="A27" s="2">
        <v>7</v>
      </c>
      <c r="C27" t="s">
        <v>71</v>
      </c>
      <c r="I27" s="19">
        <f>SUM(I22:I26)</f>
        <v>2161707</v>
      </c>
      <c r="J27" s="19"/>
      <c r="K27" s="19">
        <f>SUM(K22:K26)</f>
        <v>71104</v>
      </c>
      <c r="L27" s="19"/>
      <c r="M27" s="19">
        <f>SUM(M22:M26)</f>
        <v>2232811</v>
      </c>
      <c r="N27" s="10"/>
      <c r="O27" s="19">
        <f>SUM(O22:O26)</f>
        <v>2242773.8509999998</v>
      </c>
      <c r="P27" s="10"/>
      <c r="Q27" s="19">
        <f>SUM(Q22:Q26)</f>
        <v>9962.8509999999224</v>
      </c>
      <c r="R27" s="10"/>
      <c r="X27" s="10">
        <f>SUM(X22:X26)</f>
        <v>2242773851</v>
      </c>
    </row>
    <row r="28" spans="1:24">
      <c r="A28" s="2"/>
      <c r="I28" s="10"/>
      <c r="J28" s="10"/>
      <c r="K28" s="10"/>
      <c r="L28" s="10"/>
      <c r="M28" s="10"/>
      <c r="N28" s="10"/>
      <c r="O28" s="10"/>
      <c r="P28" s="10"/>
      <c r="Q28" s="10"/>
      <c r="R28" s="10"/>
      <c r="X28" s="10"/>
    </row>
    <row r="29" spans="1:24">
      <c r="A29" s="2">
        <v>8</v>
      </c>
      <c r="C29" t="s">
        <v>72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X29" s="10"/>
    </row>
    <row r="30" spans="1:24">
      <c r="A30" s="2">
        <v>9</v>
      </c>
      <c r="D30" t="s">
        <v>68</v>
      </c>
      <c r="I30" s="18">
        <v>-17951</v>
      </c>
      <c r="J30" s="18"/>
      <c r="K30" s="18">
        <v>-3414</v>
      </c>
      <c r="L30" s="18"/>
      <c r="M30" s="18">
        <f>+I30+K30</f>
        <v>-21365</v>
      </c>
      <c r="N30" s="10"/>
      <c r="O30" s="18">
        <f>+X30/1000</f>
        <v>-18852.506000000001</v>
      </c>
      <c r="P30" s="10"/>
      <c r="Q30" s="18">
        <f>+O30-M30</f>
        <v>2512.4939999999988</v>
      </c>
      <c r="R30" s="10"/>
      <c r="X30" s="10">
        <f>-18852506</f>
        <v>-18852506</v>
      </c>
    </row>
    <row r="31" spans="1:24">
      <c r="A31" s="2">
        <v>10</v>
      </c>
      <c r="D31" t="s">
        <v>73</v>
      </c>
      <c r="I31" s="10">
        <v>-313324</v>
      </c>
      <c r="J31" s="10"/>
      <c r="K31" s="10">
        <v>-8159</v>
      </c>
      <c r="L31" s="10"/>
      <c r="M31" s="10">
        <f>+I31+K31</f>
        <v>-321483</v>
      </c>
      <c r="N31" s="10"/>
      <c r="O31" s="10">
        <f>+X31/1000</f>
        <v>-324770.47399999999</v>
      </c>
      <c r="P31" s="10"/>
      <c r="Q31" s="10">
        <f>+O31-M31</f>
        <v>-3287.4739999999874</v>
      </c>
      <c r="R31" s="10"/>
      <c r="X31" s="10">
        <f>+X35-X30-X32-X33-X34</f>
        <v>-324770474</v>
      </c>
    </row>
    <row r="32" spans="1:24">
      <c r="A32" s="2">
        <v>11</v>
      </c>
      <c r="D32" t="s">
        <v>69</v>
      </c>
      <c r="I32" s="10">
        <v>-121740</v>
      </c>
      <c r="J32" s="10"/>
      <c r="K32" s="10">
        <v>-3284</v>
      </c>
      <c r="L32" s="10"/>
      <c r="M32" s="10">
        <f>+I32+K32</f>
        <v>-125024</v>
      </c>
      <c r="N32" s="10"/>
      <c r="O32" s="10">
        <f>+X32/1000</f>
        <v>-124531.711</v>
      </c>
      <c r="P32" s="10"/>
      <c r="Q32" s="10">
        <f>+O32-M32</f>
        <v>492.28900000000431</v>
      </c>
      <c r="R32" s="10"/>
      <c r="X32" s="10">
        <f>-124531711</f>
        <v>-124531711</v>
      </c>
    </row>
    <row r="33" spans="1:25">
      <c r="A33" s="2">
        <v>12</v>
      </c>
      <c r="D33" t="s">
        <v>70</v>
      </c>
      <c r="I33" s="10">
        <v>-237132</v>
      </c>
      <c r="J33" s="10"/>
      <c r="K33" s="10">
        <v>-11165</v>
      </c>
      <c r="L33" s="10"/>
      <c r="M33" s="10">
        <f>+I33+K33</f>
        <v>-248297</v>
      </c>
      <c r="N33" s="10"/>
      <c r="O33" s="10">
        <f>+X33/1000</f>
        <v>-249658.226</v>
      </c>
      <c r="P33" s="10"/>
      <c r="Q33" s="10">
        <f>+O33-M33</f>
        <v>-1361.2259999999951</v>
      </c>
      <c r="R33" s="10"/>
      <c r="X33" s="10">
        <f>-249658226</f>
        <v>-249658226</v>
      </c>
    </row>
    <row r="34" spans="1:25">
      <c r="A34" s="2">
        <v>13</v>
      </c>
      <c r="D34" t="s">
        <v>74</v>
      </c>
      <c r="I34" s="17">
        <v>-59122</v>
      </c>
      <c r="J34" s="10"/>
      <c r="K34" s="17">
        <v>-5530</v>
      </c>
      <c r="L34" s="10"/>
      <c r="M34" s="17">
        <f>+I34+K34</f>
        <v>-64652</v>
      </c>
      <c r="N34" s="10"/>
      <c r="O34" s="17">
        <f>+X34/1000</f>
        <v>-62289.034</v>
      </c>
      <c r="P34" s="10"/>
      <c r="Q34" s="17">
        <f>+O34-M34</f>
        <v>2362.9660000000003</v>
      </c>
      <c r="R34" s="10"/>
      <c r="X34" s="10">
        <f>-62289034</f>
        <v>-62289034</v>
      </c>
    </row>
    <row r="35" spans="1:25">
      <c r="A35" s="2">
        <v>14</v>
      </c>
      <c r="C35" t="s">
        <v>75</v>
      </c>
      <c r="I35" s="21">
        <f>SUM(I30:I34)</f>
        <v>-749269</v>
      </c>
      <c r="J35" s="19"/>
      <c r="K35" s="21">
        <f>SUM(K30:K34)</f>
        <v>-31552</v>
      </c>
      <c r="L35" s="19"/>
      <c r="M35" s="21">
        <f>SUM(M30:M34)</f>
        <v>-780821</v>
      </c>
      <c r="N35" s="10"/>
      <c r="O35" s="21">
        <f>SUM(O30:O34)</f>
        <v>-780101.951</v>
      </c>
      <c r="P35" s="10"/>
      <c r="Q35" s="21">
        <f>SUM(Q30:Q34)</f>
        <v>719.0490000000209</v>
      </c>
      <c r="R35" s="10"/>
      <c r="X35" s="10">
        <f>-780101951</f>
        <v>-780101951</v>
      </c>
    </row>
    <row r="36" spans="1:25">
      <c r="A36" s="2"/>
      <c r="I36" s="10"/>
      <c r="J36" s="10"/>
      <c r="K36" s="10"/>
      <c r="L36" s="10"/>
      <c r="M36" s="10"/>
      <c r="N36" s="10"/>
      <c r="O36" s="10"/>
      <c r="P36" s="10"/>
      <c r="Q36" s="10"/>
      <c r="R36" s="10"/>
      <c r="X36" s="10"/>
    </row>
    <row r="37" spans="1:25">
      <c r="A37" s="2">
        <v>15</v>
      </c>
      <c r="C37" t="s">
        <v>76</v>
      </c>
      <c r="I37" s="10">
        <f>+I27+I35</f>
        <v>1412438</v>
      </c>
      <c r="J37" s="10"/>
      <c r="K37" s="10">
        <f t="shared" ref="K37:Q37" si="0">+K27+K35</f>
        <v>39552</v>
      </c>
      <c r="L37" s="10"/>
      <c r="M37" s="10">
        <f t="shared" si="0"/>
        <v>1451990</v>
      </c>
      <c r="N37" s="10"/>
      <c r="O37" s="10">
        <f t="shared" si="0"/>
        <v>1462671.9</v>
      </c>
      <c r="P37" s="10"/>
      <c r="Q37" s="10">
        <f t="shared" si="0"/>
        <v>10681.899999999943</v>
      </c>
      <c r="R37" s="10"/>
      <c r="X37" s="10">
        <f>+X27+X35</f>
        <v>1462671900</v>
      </c>
    </row>
    <row r="38" spans="1:25">
      <c r="A38" s="2"/>
      <c r="I38" s="10"/>
      <c r="J38" s="10"/>
      <c r="K38" s="10"/>
      <c r="L38" s="10"/>
      <c r="M38" s="10"/>
      <c r="N38" s="10"/>
      <c r="O38" s="10"/>
      <c r="P38" s="10"/>
      <c r="Q38" s="10"/>
      <c r="R38" s="10"/>
      <c r="X38" s="10"/>
    </row>
    <row r="39" spans="1:25">
      <c r="A39" s="2">
        <v>16</v>
      </c>
      <c r="C39" t="s">
        <v>78</v>
      </c>
      <c r="I39" s="17">
        <v>-219946</v>
      </c>
      <c r="J39" s="10"/>
      <c r="K39" s="17">
        <v>-5964</v>
      </c>
      <c r="L39" s="10"/>
      <c r="M39" s="17">
        <f>+I39+K39</f>
        <v>-225910</v>
      </c>
      <c r="N39" s="10"/>
      <c r="O39" s="17">
        <f>+X39/1000</f>
        <v>-228875.177</v>
      </c>
      <c r="P39" s="10"/>
      <c r="Q39" s="17">
        <f>+O39-M39</f>
        <v>-2965.176999999996</v>
      </c>
      <c r="R39" s="10"/>
      <c r="X39" s="10">
        <f>-228875177</f>
        <v>-228875177</v>
      </c>
    </row>
    <row r="40" spans="1:25">
      <c r="A40" s="2"/>
      <c r="I40" s="10"/>
      <c r="J40" s="10"/>
      <c r="K40" s="10"/>
      <c r="L40" s="10"/>
      <c r="M40" s="10"/>
      <c r="N40" s="10"/>
      <c r="O40" s="10"/>
      <c r="P40" s="10"/>
      <c r="Q40" s="10"/>
      <c r="R40" s="10"/>
      <c r="X40" s="10"/>
    </row>
    <row r="41" spans="1:25" ht="15" thickBot="1">
      <c r="A41" s="2">
        <v>17</v>
      </c>
      <c r="C41" t="s">
        <v>77</v>
      </c>
      <c r="I41" s="20">
        <f>+I37+I39</f>
        <v>1192492</v>
      </c>
      <c r="J41" s="19"/>
      <c r="K41" s="20">
        <f t="shared" ref="K41:Q41" si="1">+K37+K39</f>
        <v>33588</v>
      </c>
      <c r="L41" s="19"/>
      <c r="M41" s="20">
        <f>+M37+M39</f>
        <v>1226080</v>
      </c>
      <c r="N41" s="10"/>
      <c r="O41" s="20">
        <f t="shared" si="1"/>
        <v>1233796.723</v>
      </c>
      <c r="P41" s="10"/>
      <c r="Q41" s="20">
        <f t="shared" si="1"/>
        <v>7716.7229999999472</v>
      </c>
      <c r="R41" s="10"/>
      <c r="X41" s="10">
        <f>+X37+X39</f>
        <v>1233796723</v>
      </c>
    </row>
    <row r="42" spans="1:25" ht="15" thickTop="1">
      <c r="A42" s="2"/>
      <c r="I42" s="10"/>
      <c r="J42" s="10"/>
      <c r="K42" s="10"/>
      <c r="L42" s="10"/>
      <c r="M42" s="10"/>
      <c r="N42" s="10"/>
      <c r="O42" s="10"/>
      <c r="P42" s="10"/>
      <c r="Q42" s="10"/>
      <c r="R42" s="10"/>
      <c r="X42" s="10"/>
    </row>
    <row r="43" spans="1:25" ht="14.25" customHeight="1">
      <c r="A43" s="2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8" t="s">
        <v>217</v>
      </c>
      <c r="T43" s="108" t="s">
        <v>280</v>
      </c>
      <c r="U43" s="108"/>
      <c r="V43" s="108" t="s">
        <v>289</v>
      </c>
      <c r="W43" s="109" t="s">
        <v>281</v>
      </c>
    </row>
    <row r="44" spans="1:25" ht="14.25" customHeight="1">
      <c r="A44" s="2">
        <v>18</v>
      </c>
      <c r="C44" t="s">
        <v>118</v>
      </c>
      <c r="S44" s="108"/>
      <c r="T44" s="108"/>
      <c r="U44" s="108"/>
      <c r="V44" s="108"/>
      <c r="W44" s="109"/>
      <c r="X44" s="10">
        <v>16369715</v>
      </c>
      <c r="Y44" t="s">
        <v>113</v>
      </c>
    </row>
    <row r="45" spans="1:25">
      <c r="A45" s="2">
        <v>19</v>
      </c>
      <c r="D45" t="s">
        <v>112</v>
      </c>
      <c r="M45" s="27">
        <f>+M50/+(M23+M24)</f>
        <v>2.0807620381269123E-2</v>
      </c>
      <c r="S45" s="108"/>
      <c r="T45" s="108"/>
      <c r="U45" s="108"/>
      <c r="V45" s="108"/>
      <c r="W45" s="109"/>
      <c r="X45" s="17">
        <v>6595836</v>
      </c>
      <c r="Y45" t="s">
        <v>114</v>
      </c>
    </row>
    <row r="46" spans="1:25">
      <c r="A46" s="2">
        <v>20</v>
      </c>
      <c r="D46" t="s">
        <v>70</v>
      </c>
      <c r="M46" s="27">
        <f>+M51/M25</f>
        <v>2.816279610130731E-2</v>
      </c>
      <c r="S46" s="108"/>
      <c r="T46" s="108"/>
      <c r="U46" s="108"/>
      <c r="V46" s="108"/>
      <c r="W46" s="109"/>
      <c r="X46" s="10">
        <f>SUM(X44:X45)</f>
        <v>22965551</v>
      </c>
      <c r="Y46" t="s">
        <v>115</v>
      </c>
    </row>
    <row r="47" spans="1:25">
      <c r="A47" s="2">
        <v>21</v>
      </c>
      <c r="D47" t="s">
        <v>74</v>
      </c>
      <c r="M47" s="27">
        <f>+M52/M26</f>
        <v>9.3429379930336356E-2</v>
      </c>
      <c r="S47" s="108"/>
      <c r="T47" s="108"/>
      <c r="U47" s="108"/>
      <c r="V47" s="108"/>
      <c r="W47" s="109"/>
      <c r="X47" s="10">
        <v>22714548</v>
      </c>
    </row>
    <row r="48" spans="1:25">
      <c r="A48" s="2"/>
      <c r="S48" s="108"/>
      <c r="T48" s="108"/>
      <c r="U48" s="108"/>
      <c r="V48" s="108"/>
      <c r="W48" s="109"/>
      <c r="X48" s="10">
        <v>9743479</v>
      </c>
    </row>
    <row r="49" spans="1:25">
      <c r="A49" s="2">
        <v>22</v>
      </c>
      <c r="C49" t="s">
        <v>111</v>
      </c>
      <c r="S49" s="108"/>
      <c r="T49" s="108"/>
      <c r="U49" s="108"/>
      <c r="V49" s="108"/>
      <c r="W49" s="109"/>
      <c r="X49" s="10">
        <f>SUM(X46:X48)</f>
        <v>55423578</v>
      </c>
    </row>
    <row r="50" spans="1:25">
      <c r="A50" s="2">
        <v>23</v>
      </c>
      <c r="D50" t="s">
        <v>112</v>
      </c>
      <c r="I50" s="10">
        <v>23110</v>
      </c>
      <c r="K50" s="10">
        <v>189</v>
      </c>
      <c r="M50" s="10">
        <f>+I50+K50</f>
        <v>23299</v>
      </c>
      <c r="O50" s="23">
        <f>(+O23+O24)*M45</f>
        <v>23294.058980849022</v>
      </c>
      <c r="Q50" s="10">
        <f>+O50-M50</f>
        <v>-4.9410191509778087</v>
      </c>
      <c r="S50" s="108"/>
      <c r="T50" s="108"/>
      <c r="U50" s="108"/>
      <c r="V50" s="108"/>
      <c r="W50" s="109"/>
      <c r="X50" s="10"/>
    </row>
    <row r="51" spans="1:25">
      <c r="A51" s="2">
        <v>24</v>
      </c>
      <c r="D51" t="s">
        <v>70</v>
      </c>
      <c r="I51" s="10">
        <v>22356</v>
      </c>
      <c r="K51" s="10">
        <v>673</v>
      </c>
      <c r="M51" s="10">
        <f>+I51+K51</f>
        <v>23029</v>
      </c>
      <c r="O51" s="10">
        <f>+O25*M46</f>
        <v>23374.766926714849</v>
      </c>
      <c r="Q51" s="10">
        <f>+O51-M51</f>
        <v>345.76692671484852</v>
      </c>
      <c r="S51" s="108"/>
      <c r="T51" s="108"/>
      <c r="U51" s="108"/>
      <c r="V51" s="108"/>
      <c r="W51" s="109"/>
      <c r="X51" s="10"/>
    </row>
    <row r="52" spans="1:25">
      <c r="A52" s="2">
        <v>25</v>
      </c>
      <c r="D52" t="s">
        <v>74</v>
      </c>
      <c r="I52" s="17">
        <v>14567</v>
      </c>
      <c r="K52" s="17">
        <v>3163</v>
      </c>
      <c r="M52" s="17">
        <f>+I52+K52</f>
        <v>17730</v>
      </c>
      <c r="O52" s="10">
        <f>+O26*M47</f>
        <v>17973.705772649904</v>
      </c>
      <c r="Q52" s="17">
        <f>+O52-M52</f>
        <v>243.70577264990425</v>
      </c>
      <c r="S52" s="108"/>
      <c r="T52" s="108"/>
      <c r="U52" s="108"/>
      <c r="V52" s="108"/>
      <c r="W52" s="109"/>
      <c r="X52" s="10"/>
    </row>
    <row r="53" spans="1:25">
      <c r="A53" s="2"/>
      <c r="I53" s="21">
        <f>SUM(I50:I52)</f>
        <v>60033</v>
      </c>
      <c r="K53" s="21">
        <f>SUM(K50:K52)</f>
        <v>4025</v>
      </c>
      <c r="M53" s="21">
        <f>SUM(M50:M52)</f>
        <v>64058</v>
      </c>
      <c r="O53" s="21">
        <f>SUM(O44:O52)</f>
        <v>64642.531680213775</v>
      </c>
      <c r="Q53" s="21">
        <f>SUM(Q44:Q52)</f>
        <v>584.53168021377496</v>
      </c>
      <c r="S53" s="108"/>
      <c r="T53" s="108"/>
      <c r="U53" s="108"/>
      <c r="V53" s="108"/>
      <c r="W53" s="109"/>
      <c r="X53" s="10"/>
    </row>
    <row r="54" spans="1:25">
      <c r="A54" s="2"/>
      <c r="S54" s="108"/>
      <c r="T54" s="108"/>
      <c r="U54" s="108"/>
      <c r="V54" s="108"/>
      <c r="W54" s="109"/>
      <c r="X54" s="10"/>
    </row>
    <row r="55" spans="1:25">
      <c r="A55" s="2">
        <v>26</v>
      </c>
      <c r="C55" t="s">
        <v>158</v>
      </c>
      <c r="Q55" s="17">
        <f>-Q53*0.35</f>
        <v>-204.58608807482122</v>
      </c>
      <c r="S55" s="108"/>
      <c r="T55" s="108"/>
      <c r="U55" s="108"/>
      <c r="V55" s="108"/>
      <c r="W55" s="109"/>
    </row>
    <row r="56" spans="1:25" ht="15.75">
      <c r="A56" s="2"/>
      <c r="S56" s="108"/>
      <c r="T56" s="108"/>
      <c r="U56" s="108"/>
      <c r="V56" s="108"/>
      <c r="W56" s="109"/>
      <c r="Y56" s="72"/>
    </row>
    <row r="57" spans="1:25" ht="15" thickBot="1">
      <c r="A57" s="2">
        <v>27</v>
      </c>
      <c r="C57" t="s">
        <v>157</v>
      </c>
      <c r="Q57" s="29">
        <f>-Q53-Q55</f>
        <v>-379.94559213895377</v>
      </c>
      <c r="S57" s="108"/>
      <c r="T57" s="108"/>
      <c r="U57" s="108"/>
      <c r="V57" s="108"/>
      <c r="W57" s="109"/>
    </row>
    <row r="58" spans="1:25" ht="15" thickTop="1">
      <c r="A58" s="2"/>
      <c r="S58" s="108"/>
      <c r="T58" s="108"/>
      <c r="U58" s="108"/>
      <c r="V58" s="108"/>
      <c r="W58" s="109"/>
    </row>
    <row r="59" spans="1:25">
      <c r="A59" s="2"/>
      <c r="S59" s="108"/>
      <c r="T59" s="108"/>
      <c r="U59" s="108"/>
      <c r="V59" s="108"/>
      <c r="W59" s="109"/>
    </row>
    <row r="60" spans="1:25">
      <c r="A60" s="2"/>
      <c r="S60" s="108"/>
      <c r="T60" s="108"/>
      <c r="U60" s="108"/>
      <c r="V60" s="108"/>
      <c r="W60" s="109"/>
    </row>
    <row r="61" spans="1:25">
      <c r="A61" s="2"/>
      <c r="S61" s="108"/>
      <c r="T61" s="108"/>
      <c r="U61" s="108"/>
      <c r="V61" s="108"/>
      <c r="W61" s="109"/>
    </row>
    <row r="62" spans="1:25">
      <c r="A62" s="2"/>
    </row>
    <row r="63" spans="1:25">
      <c r="A63" s="2"/>
    </row>
  </sheetData>
  <mergeCells count="8">
    <mergeCell ref="T43:T61"/>
    <mergeCell ref="U43:U61"/>
    <mergeCell ref="V43:V61"/>
    <mergeCell ref="W43:W61"/>
    <mergeCell ref="D7:Q7"/>
    <mergeCell ref="D8:Q8"/>
    <mergeCell ref="D9:Q9"/>
    <mergeCell ref="S43:S61"/>
  </mergeCells>
  <pageMargins left="0.7" right="0.7" top="0.7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2014-02-04T08:00:00+00:00</OpenedDate>
    <Date1 xmlns="dc463f71-b30c-4ab2-9473-d307f9d35888">2014-07-22T07:00:00+00:00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Props1.xml><?xml version="1.0" encoding="utf-8"?>
<ds:datastoreItem xmlns:ds="http://schemas.openxmlformats.org/officeDocument/2006/customXml" ds:itemID="{3F9206D3-D59B-467B-B7A8-BEECF81C240C}"/>
</file>

<file path=customXml/itemProps2.xml><?xml version="1.0" encoding="utf-8"?>
<ds:datastoreItem xmlns:ds="http://schemas.openxmlformats.org/officeDocument/2006/customXml" ds:itemID="{09B9EE18-0C9E-4CC2-80BB-A461374949A2}"/>
</file>

<file path=customXml/itemProps3.xml><?xml version="1.0" encoding="utf-8"?>
<ds:datastoreItem xmlns:ds="http://schemas.openxmlformats.org/officeDocument/2006/customXml" ds:itemID="{6B2625DA-D06A-4528-93ED-A985B2F82EDA}"/>
</file>

<file path=customXml/itemProps4.xml><?xml version="1.0" encoding="utf-8"?>
<ds:datastoreItem xmlns:ds="http://schemas.openxmlformats.org/officeDocument/2006/customXml" ds:itemID="{3CBDEFC9-96B8-4B6F-B3EE-68724454B8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Summary</vt:lpstr>
      <vt:lpstr>FIT</vt:lpstr>
      <vt:lpstr>Revenue Update</vt:lpstr>
      <vt:lpstr>Labor</vt:lpstr>
      <vt:lpstr>Pension</vt:lpstr>
      <vt:lpstr>Insurance</vt:lpstr>
      <vt:lpstr>Prop Tax</vt:lpstr>
      <vt:lpstr>Plant Update</vt:lpstr>
      <vt:lpstr>FIT!Print_Area</vt:lpstr>
      <vt:lpstr>Insurance!Print_Area</vt:lpstr>
      <vt:lpstr>Labor!Print_Area</vt:lpstr>
      <vt:lpstr>Pension!Print_Area</vt:lpstr>
      <vt:lpstr>'Plant Update'!Print_Area</vt:lpstr>
      <vt:lpstr>'Prop Tax'!Print_Area</vt:lpstr>
      <vt:lpstr>'Revenue Update'!Print_Area</vt:lpstr>
      <vt:lpstr>Summary!Print_Area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Dittmer</dc:creator>
  <cp:lastModifiedBy>Jim Dittmer</cp:lastModifiedBy>
  <cp:lastPrinted>2014-07-11T20:35:36Z</cp:lastPrinted>
  <dcterms:created xsi:type="dcterms:W3CDTF">2014-06-11T21:25:25Z</dcterms:created>
  <dcterms:modified xsi:type="dcterms:W3CDTF">2014-07-11T22:05:01Z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