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2.xml" ContentType="application/vnd.openxmlformats-officedocument.spreadsheetml.worksheet+xml"/>
  <Override PartName="/xl/worksheets/sheet44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30.xml" ContentType="application/vnd.openxmlformats-officedocument.spreadsheetml.worksheet+xml"/>
  <Override PartName="/xl/worksheets/sheet43.xml" ContentType="application/vnd.openxmlformats-officedocument.spreadsheetml.worksheet+xml"/>
  <Override PartName="/xl/worksheets/sheet2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295" yWindow="600" windowWidth="9570" windowHeight="8115" tabRatio="841" activeTab="1"/>
  </bookViews>
  <sheets>
    <sheet name="Proposed Rates-WA" sheetId="54" r:id="rId1"/>
    <sheet name="RevReqEx-WA" sheetId="55" r:id="rId2"/>
    <sheet name="ConverFac_Exh-WA" sheetId="56" r:id="rId3"/>
    <sheet name="WAGas09_08" sheetId="1" r:id="rId4"/>
    <sheet name="PFRstmtSheet" sheetId="3" r:id="rId5"/>
    <sheet name="ResultSumGas" sheetId="5" r:id="rId6"/>
    <sheet name="DFIT" sheetId="6" r:id="rId7"/>
    <sheet name="BldGain" sheetId="8" r:id="rId8"/>
    <sheet name="GasInv" sheetId="9" r:id="rId9"/>
    <sheet name="WznDSM" sheetId="10" r:id="rId10"/>
    <sheet name="CustAdv" sheetId="11" r:id="rId11"/>
    <sheet name="DeprTrue-up" sheetId="60" r:id="rId12"/>
    <sheet name="WeatherGas" sheetId="12" r:id="rId13"/>
    <sheet name="BandO" sheetId="14" r:id="rId14"/>
    <sheet name="PropTax" sheetId="15" r:id="rId15"/>
    <sheet name="UncollExp" sheetId="16" r:id="rId16"/>
    <sheet name="RegExp" sheetId="17" r:id="rId17"/>
    <sheet name="InjDam" sheetId="18" r:id="rId18"/>
    <sheet name="FIT" sheetId="19" r:id="rId19"/>
    <sheet name="SIT" sheetId="45" r:id="rId20"/>
    <sheet name="GainsLosses" sheetId="52" r:id="rId21"/>
    <sheet name="ElimAR" sheetId="22" r:id="rId22"/>
    <sheet name="SubSpace" sheetId="23" r:id="rId23"/>
    <sheet name="ExciseTax" sheetId="24" r:id="rId24"/>
    <sheet name="OMSavings" sheetId="50" r:id="rId25"/>
    <sheet name="MiscReState" sheetId="66" r:id="rId26"/>
    <sheet name="DebtInt" sheetId="20" r:id="rId27"/>
    <sheet name="DebtCalc" sheetId="43" r:id="rId28"/>
    <sheet name="PFNon-Exec" sheetId="49" r:id="rId29"/>
    <sheet name="PF-Exec" sheetId="48" r:id="rId30"/>
    <sheet name="PFJPStorage" sheetId="27" r:id="rId31"/>
    <sheet name="PFCapx2008" sheetId="47" r:id="rId32"/>
    <sheet name="PFCapx2009" sheetId="51" r:id="rId33"/>
    <sheet name="PFAssetMgt" sheetId="29" r:id="rId34"/>
    <sheet name="PFIncentives" sheetId="28" r:id="rId35"/>
    <sheet name="PFInfoServ" sheetId="67" r:id="rId36"/>
    <sheet name="PFEmpBen" sheetId="58" r:id="rId37"/>
    <sheet name="PFInsur" sheetId="64" r:id="rId38"/>
    <sheet name="Inputs" sheetId="26" r:id="rId39"/>
    <sheet name="ExhEMA3" sheetId="57" r:id="rId40"/>
    <sheet name="NOT USED PAST THIS TAB" sheetId="65" r:id="rId41"/>
    <sheet name="PFJP11-open" sheetId="59" r:id="rId42"/>
    <sheet name="PF12-Open" sheetId="68" r:id="rId43"/>
    <sheet name="blank" sheetId="13" r:id="rId44"/>
    <sheet name="CompWA" sheetId="40" r:id="rId45"/>
    <sheet name="CompID" sheetId="41" r:id="rId46"/>
    <sheet name="CWIPAlloc" sheetId="42" r:id="rId47"/>
    <sheet name="SYSGas12_06" sheetId="4" r:id="rId48"/>
    <sheet name="Proposed Rates-ID" sheetId="63" r:id="rId49"/>
    <sheet name="RevReqEx ID" sheetId="61" r:id="rId50"/>
    <sheet name="ConverFac_Exh-ID" sheetId="62" r:id="rId51"/>
    <sheet name="IDGas12_07" sheetId="2" r:id="rId52"/>
  </sheets>
  <externalReferences>
    <externalReference r:id="rId53"/>
    <externalReference r:id="rId54"/>
    <externalReference r:id="rId55"/>
  </externalReferences>
  <definedNames>
    <definedName name="ID_Elec" localSheetId="50">[2]DebtCalc!#REF!</definedName>
    <definedName name="ID_Elec" localSheetId="2">[2]DebtCalc!#REF!</definedName>
    <definedName name="ID_Elec" localSheetId="48">[1]DebtCalc!#REF!</definedName>
    <definedName name="ID_Elec" localSheetId="0">[1]DebtCalc!#REF!</definedName>
    <definedName name="ID_Elec" localSheetId="49">[1]DebtCalc!#REF!</definedName>
    <definedName name="ID_Elec" localSheetId="1">[1]DebtCalc!#REF!</definedName>
    <definedName name="ID_Elec">DebtCalc!#REF!</definedName>
    <definedName name="ID_Gas" localSheetId="39">[3]DebtCalc!#REF!</definedName>
    <definedName name="ID_Gas">DebtCalc!$A$80:$F$148</definedName>
    <definedName name="ine" localSheetId="13">BandO!#REF!</definedName>
    <definedName name="ine" localSheetId="10">CustAdv!#REF!</definedName>
    <definedName name="ine" localSheetId="21">ElimAR!#REF!</definedName>
    <definedName name="ine" localSheetId="32">PFCapx2009!#REF!</definedName>
    <definedName name="ine" localSheetId="14">PropTax!#REF!</definedName>
    <definedName name="ine" localSheetId="16">RegExp!#REF!</definedName>
    <definedName name="ine" localSheetId="19">SIT!#REF!</definedName>
    <definedName name="ine" localSheetId="22">SubSpace!#REF!</definedName>
    <definedName name="_xlnm.Print_Area" localSheetId="13">BandO!$A$1:$G$112</definedName>
    <definedName name="_xlnm.Print_Area" localSheetId="43">blank!$A$1:$G$113</definedName>
    <definedName name="_xlnm.Print_Area" localSheetId="7">BldGain!$A$1:$G$65</definedName>
    <definedName name="_xlnm.Print_Area" localSheetId="50">'ConverFac_Exh-ID'!$A$1:$E$23</definedName>
    <definedName name="_xlnm.Print_Area" localSheetId="2">'ConverFac_Exh-WA'!$A$1:$E$29</definedName>
    <definedName name="_xlnm.Print_Area" localSheetId="10">CustAdv!$A$1:$G$65</definedName>
    <definedName name="_xlnm.Print_Area" localSheetId="46">CWIPAlloc!$A$1:$W$102,CWIPAlloc!$X$1:$AC$16</definedName>
    <definedName name="_xlnm.Print_Area" localSheetId="27">DebtCalc!$A$1:$F$55</definedName>
    <definedName name="_xlnm.Print_Area" localSheetId="26">DebtInt!$A$1:$G$65</definedName>
    <definedName name="_xlnm.Print_Area" localSheetId="11">'DeprTrue-up'!$A$1:$G$113</definedName>
    <definedName name="_xlnm.Print_Area" localSheetId="6">DFIT!$A$1:$G$65</definedName>
    <definedName name="_xlnm.Print_Area" localSheetId="21">ElimAR!$A$1:$G$65</definedName>
    <definedName name="_xlnm.Print_Area" localSheetId="23">ExciseTax!$A$1:$G$65</definedName>
    <definedName name="_xlnm.Print_Area" localSheetId="18">FIT!$A$1:$G$65</definedName>
    <definedName name="_xlnm.Print_Area" localSheetId="20">GainsLosses!$A$1:$G$66</definedName>
    <definedName name="_xlnm.Print_Area" localSheetId="8">GasInv!$A$1:$G$65</definedName>
    <definedName name="_xlnm.Print_Area" localSheetId="51">IDGas12_07!$F$11:$AL$70</definedName>
    <definedName name="_xlnm.Print_Area" localSheetId="17">InjDam!$A$1:$G$114</definedName>
    <definedName name="_xlnm.Print_Area" localSheetId="25">MiscReState!$A$1:$G$65</definedName>
    <definedName name="_xlnm.Print_Area" localSheetId="24">OMSavings!$A$1:$G$115</definedName>
    <definedName name="_xlnm.Print_Area" localSheetId="42">'PF12-Open'!$A$1:$G$114</definedName>
    <definedName name="_xlnm.Print_Area" localSheetId="31">PFCapx2008!$A$1:$G$113</definedName>
    <definedName name="_xlnm.Print_Area" localSheetId="32">PFCapx2009!$A$1:$G$114</definedName>
    <definedName name="_xlnm.Print_Area" localSheetId="36">PFEmpBen!$A$1:$G$114</definedName>
    <definedName name="_xlnm.Print_Area" localSheetId="29">'PF-Exec'!$A$1:$G$113</definedName>
    <definedName name="_xlnm.Print_Area" localSheetId="34">PFIncentives!$A$1:$G$114</definedName>
    <definedName name="_xlnm.Print_Area" localSheetId="35">PFInfoServ!$A$1:$G$66</definedName>
    <definedName name="_xlnm.Print_Area" localSheetId="37">PFInsur!$A$1:$G$114</definedName>
    <definedName name="_xlnm.Print_Area" localSheetId="41">'PFJP11-open'!$A$1:$G$114</definedName>
    <definedName name="_xlnm.Print_Area" localSheetId="30">PFJPStorage!$A$1:$G$113</definedName>
    <definedName name="_xlnm.Print_Area" localSheetId="28">'PFNon-Exec'!$A$1:$G$113</definedName>
    <definedName name="_xlnm.Print_Area" localSheetId="4">PFRstmtSheet!$A$1:$H$50</definedName>
    <definedName name="_xlnm.Print_Area" localSheetId="48">'Proposed Rates-ID'!$A$1:$L$77</definedName>
    <definedName name="_xlnm.Print_Area" localSheetId="0">'Proposed Rates-WA'!$A$1:$L$77</definedName>
    <definedName name="_xlnm.Print_Area" localSheetId="14">PropTax!$A$1:$G$112</definedName>
    <definedName name="_xlnm.Print_Area" localSheetId="16">RegExp!$A$1:$G$112</definedName>
    <definedName name="_xlnm.Print_Area" localSheetId="5">ResultSumGas!$A$1:$G$65</definedName>
    <definedName name="_xlnm.Print_Area" localSheetId="49">'RevReqEx ID'!$A$1:$F$29</definedName>
    <definedName name="_xlnm.Print_Area" localSheetId="1">'RevReqEx-WA'!$A$1:$F$29</definedName>
    <definedName name="_xlnm.Print_Area" localSheetId="19">SIT!$A$1:$G$113</definedName>
    <definedName name="_xlnm.Print_Area" localSheetId="22">SubSpace!$A$1:$G$65</definedName>
    <definedName name="_xlnm.Print_Area" localSheetId="47">SYSGas12_06!$F$11:$AD$70</definedName>
    <definedName name="_xlnm.Print_Area" localSheetId="15">UncollExp!$A$1:$G$113</definedName>
    <definedName name="_xlnm.Print_Area" localSheetId="3">WAGas09_08!$F$11:$AP$70</definedName>
    <definedName name="_xlnm.Print_Area" localSheetId="12">WeatherGas!$A$1:$G$113</definedName>
    <definedName name="_xlnm.Print_Area" localSheetId="9">WznDSM!$A$1:$G$65</definedName>
    <definedName name="Print_for_CBReport">PFRstmtSheet!$A$1:$H$100</definedName>
    <definedName name="Print_for_Checking" localSheetId="39">[3]PFRstmtSheet!$A$1:'[3]PFRstmtSheet'!$J$107</definedName>
    <definedName name="Print_for_Checking">PFRstmtSheet!$A$1:$J$100</definedName>
    <definedName name="_xlnm.Print_Titles" localSheetId="46">CWIPAlloc!$1:$4</definedName>
    <definedName name="_xlnm.Print_Titles" localSheetId="51">IDGas12_07!$A:$E,IDGas12_07!$1:$10</definedName>
    <definedName name="_xlnm.Print_Titles" localSheetId="47">SYSGas12_06!$A:$E,SYSGas12_06!$1:$10</definedName>
    <definedName name="_xlnm.Print_Titles" localSheetId="3">WAGas09_08!$A:$E,WAGas09_08!$1:$10</definedName>
    <definedName name="proforma" localSheetId="51">IDGas12_07!$F$11:$Z$68</definedName>
    <definedName name="proforma" localSheetId="47">SYSGas12_06!$F$11:$AD$70</definedName>
    <definedName name="restated" localSheetId="51">IDGas12_07!$F$11:$Z$70</definedName>
    <definedName name="restated" localSheetId="47">SYSGas12_06!$F$11:$AD$70</definedName>
    <definedName name="Summary">CWIPAlloc!$X$1:$AD$16</definedName>
    <definedName name="WA_Elec" localSheetId="50">[2]DebtCalc!#REF!</definedName>
    <definedName name="WA_Elec" localSheetId="2">[2]DebtCalc!#REF!</definedName>
    <definedName name="WA_Elec" localSheetId="48">[1]DebtCalc!#REF!</definedName>
    <definedName name="WA_Elec" localSheetId="0">[1]DebtCalc!#REF!</definedName>
    <definedName name="WA_Elec" localSheetId="49">[1]DebtCalc!#REF!</definedName>
    <definedName name="WA_Elec" localSheetId="1">[1]DebtCalc!#REF!</definedName>
    <definedName name="WA_Elec">DebtCalc!#REF!</definedName>
    <definedName name="WA_Gas" localSheetId="39">[3]DebtCalc!#REF!</definedName>
    <definedName name="WA_Gas">DebtCalc!$A$1:$F$79</definedName>
    <definedName name="Z_5BE913A1_B14F_11D2_B0DC_0000832CDFF0_.wvu.Cols" localSheetId="51" hidden="1">IDGas12_07!$U:$Y</definedName>
    <definedName name="Z_5BE913A1_B14F_11D2_B0DC_0000832CDFF0_.wvu.Cols" localSheetId="3" hidden="1">WAGas09_08!$AF:$AP</definedName>
    <definedName name="Z_5BE913A1_B14F_11D2_B0DC_0000832CDFF0_.wvu.PrintArea" localSheetId="13" hidden="1">BandO!$A$1:$G$112</definedName>
    <definedName name="Z_5BE913A1_B14F_11D2_B0DC_0000832CDFF0_.wvu.PrintArea" localSheetId="43" hidden="1">blank!$A$1:$G$113</definedName>
    <definedName name="Z_5BE913A1_B14F_11D2_B0DC_0000832CDFF0_.wvu.PrintArea" localSheetId="7" hidden="1">BldGain!$A$1:$G$65</definedName>
    <definedName name="Z_5BE913A1_B14F_11D2_B0DC_0000832CDFF0_.wvu.PrintArea" localSheetId="10" hidden="1">CustAdv!$A$1:$G$65</definedName>
    <definedName name="Z_5BE913A1_B14F_11D2_B0DC_0000832CDFF0_.wvu.PrintArea" localSheetId="26" hidden="1">DebtInt!$A$1:$G$112</definedName>
    <definedName name="Z_5BE913A1_B14F_11D2_B0DC_0000832CDFF0_.wvu.PrintArea" localSheetId="11" hidden="1">'DeprTrue-up'!$A$1:$G$113</definedName>
    <definedName name="Z_5BE913A1_B14F_11D2_B0DC_0000832CDFF0_.wvu.PrintArea" localSheetId="21" hidden="1">ElimAR!$A$1:$G$65</definedName>
    <definedName name="Z_5BE913A1_B14F_11D2_B0DC_0000832CDFF0_.wvu.PrintArea" localSheetId="18" hidden="1">FIT!$A$1:$G$65</definedName>
    <definedName name="Z_5BE913A1_B14F_11D2_B0DC_0000832CDFF0_.wvu.PrintArea" localSheetId="8" hidden="1">GasInv!$A$1:$G$65</definedName>
    <definedName name="Z_5BE913A1_B14F_11D2_B0DC_0000832CDFF0_.wvu.PrintArea" localSheetId="51" hidden="1">IDGas12_07!$A$11:$Z$69</definedName>
    <definedName name="Z_5BE913A1_B14F_11D2_B0DC_0000832CDFF0_.wvu.PrintArea" localSheetId="25" hidden="1">MiscReState!$A$1:$G$112</definedName>
    <definedName name="Z_5BE913A1_B14F_11D2_B0DC_0000832CDFF0_.wvu.PrintArea" localSheetId="24" hidden="1">OMSavings!$A$1:$G$115</definedName>
    <definedName name="Z_5BE913A1_B14F_11D2_B0DC_0000832CDFF0_.wvu.PrintArea" localSheetId="31" hidden="1">PFCapx2008!$A$1:$G$113</definedName>
    <definedName name="Z_5BE913A1_B14F_11D2_B0DC_0000832CDFF0_.wvu.PrintArea" localSheetId="32" hidden="1">PFCapx2009!$A$1:$G$65</definedName>
    <definedName name="Z_5BE913A1_B14F_11D2_B0DC_0000832CDFF0_.wvu.PrintArea" localSheetId="29" hidden="1">'PF-Exec'!$A$1:$G$113</definedName>
    <definedName name="Z_5BE913A1_B14F_11D2_B0DC_0000832CDFF0_.wvu.PrintArea" localSheetId="28" hidden="1">'PFNon-Exec'!$A$1:$G$113</definedName>
    <definedName name="Z_5BE913A1_B14F_11D2_B0DC_0000832CDFF0_.wvu.PrintArea" localSheetId="4" hidden="1">PFRstmtSheet!$A$1:$I$100</definedName>
    <definedName name="Z_5BE913A1_B14F_11D2_B0DC_0000832CDFF0_.wvu.PrintArea" localSheetId="14" hidden="1">PropTax!$A$1:$G$112</definedName>
    <definedName name="Z_5BE913A1_B14F_11D2_B0DC_0000832CDFF0_.wvu.PrintArea" localSheetId="16" hidden="1">RegExp!$A$1:$G$112</definedName>
    <definedName name="Z_5BE913A1_B14F_11D2_B0DC_0000832CDFF0_.wvu.PrintArea" localSheetId="5" hidden="1">ResultSumGas!$A$1:$G$65</definedName>
    <definedName name="Z_5BE913A1_B14F_11D2_B0DC_0000832CDFF0_.wvu.PrintArea" localSheetId="19" hidden="1">SIT!$A$1:$G$113</definedName>
    <definedName name="Z_5BE913A1_B14F_11D2_B0DC_0000832CDFF0_.wvu.PrintArea" localSheetId="22" hidden="1">SubSpace!$A$1:$G$65</definedName>
    <definedName name="Z_5BE913A1_B14F_11D2_B0DC_0000832CDFF0_.wvu.PrintArea" localSheetId="47" hidden="1">SYSGas12_06!$F$11:$AD$70</definedName>
    <definedName name="Z_5BE913A1_B14F_11D2_B0DC_0000832CDFF0_.wvu.PrintArea" localSheetId="3" hidden="1">WAGas09_08!$F$11:$AP$70</definedName>
    <definedName name="Z_5BE913A1_B14F_11D2_B0DC_0000832CDFF0_.wvu.PrintTitles" localSheetId="51" hidden="1">IDGas12_07!$A:$E,IDGas12_07!$1:$10</definedName>
    <definedName name="Z_5BE913A1_B14F_11D2_B0DC_0000832CDFF0_.wvu.PrintTitles" localSheetId="47" hidden="1">SYSGas12_06!$A:$E,SYSGas12_06!$1:$10</definedName>
    <definedName name="Z_5BE913A1_B14F_11D2_B0DC_0000832CDFF0_.wvu.PrintTitles" localSheetId="3" hidden="1">WAGas09_08!$A:$E,WAGas09_08!$1:$10</definedName>
    <definedName name="Z_5BE913A1_B14F_11D2_B0DC_0000832CDFF0_.wvu.Rows" localSheetId="4" hidden="1">PFRstmtSheet!$31:$31,PFRstmtSheet!$35:$60,PFRstmtSheet!$93:$94</definedName>
    <definedName name="Z_A15D1964_B049_11D2_8670_0000832CEEE8_.wvu.Cols" localSheetId="51" hidden="1">IDGas12_07!$U:$Y</definedName>
    <definedName name="Z_A15D1964_B049_11D2_8670_0000832CEEE8_.wvu.Cols" localSheetId="3" hidden="1">WAGas09_08!$AF:$AP</definedName>
    <definedName name="Z_A15D1964_B049_11D2_8670_0000832CEEE8_.wvu.PrintArea" localSheetId="13" hidden="1">BandO!$A$1:$G$112</definedName>
    <definedName name="Z_A15D1964_B049_11D2_8670_0000832CEEE8_.wvu.PrintArea" localSheetId="43" hidden="1">blank!$A$1:$G$113</definedName>
    <definedName name="Z_A15D1964_B049_11D2_8670_0000832CEEE8_.wvu.PrintArea" localSheetId="7" hidden="1">BldGain!$A$1:$G$65</definedName>
    <definedName name="Z_A15D1964_B049_11D2_8670_0000832CEEE8_.wvu.PrintArea" localSheetId="10" hidden="1">CustAdv!$A$1:$G$65</definedName>
    <definedName name="Z_A15D1964_B049_11D2_8670_0000832CEEE8_.wvu.PrintArea" localSheetId="26" hidden="1">DebtInt!$A$1:$G$112</definedName>
    <definedName name="Z_A15D1964_B049_11D2_8670_0000832CEEE8_.wvu.PrintArea" localSheetId="11" hidden="1">'DeprTrue-up'!$A$1:$G$113</definedName>
    <definedName name="Z_A15D1964_B049_11D2_8670_0000832CEEE8_.wvu.PrintArea" localSheetId="21" hidden="1">ElimAR!$A$1:$G$65</definedName>
    <definedName name="Z_A15D1964_B049_11D2_8670_0000832CEEE8_.wvu.PrintArea" localSheetId="18" hidden="1">FIT!$A$1:$G$65</definedName>
    <definedName name="Z_A15D1964_B049_11D2_8670_0000832CEEE8_.wvu.PrintArea" localSheetId="8" hidden="1">GasInv!$A$1:$G$65</definedName>
    <definedName name="Z_A15D1964_B049_11D2_8670_0000832CEEE8_.wvu.PrintArea" localSheetId="51" hidden="1">IDGas12_07!$A$11:$Z$69</definedName>
    <definedName name="Z_A15D1964_B049_11D2_8670_0000832CEEE8_.wvu.PrintArea" localSheetId="25" hidden="1">MiscReState!$A$1:$G$112</definedName>
    <definedName name="Z_A15D1964_B049_11D2_8670_0000832CEEE8_.wvu.PrintArea" localSheetId="24" hidden="1">OMSavings!$A$1:$G$115</definedName>
    <definedName name="Z_A15D1964_B049_11D2_8670_0000832CEEE8_.wvu.PrintArea" localSheetId="31" hidden="1">PFCapx2008!$A$1:$G$113</definedName>
    <definedName name="Z_A15D1964_B049_11D2_8670_0000832CEEE8_.wvu.PrintArea" localSheetId="32" hidden="1">PFCapx2009!$A$1:$G$65</definedName>
    <definedName name="Z_A15D1964_B049_11D2_8670_0000832CEEE8_.wvu.PrintArea" localSheetId="29" hidden="1">'PF-Exec'!$A$1:$G$113</definedName>
    <definedName name="Z_A15D1964_B049_11D2_8670_0000832CEEE8_.wvu.PrintArea" localSheetId="28" hidden="1">'PFNon-Exec'!$A$1:$G$113</definedName>
    <definedName name="Z_A15D1964_B049_11D2_8670_0000832CEEE8_.wvu.PrintArea" localSheetId="4" hidden="1">PFRstmtSheet!$A$1:$I$100</definedName>
    <definedName name="Z_A15D1964_B049_11D2_8670_0000832CEEE8_.wvu.PrintArea" localSheetId="14" hidden="1">PropTax!$A$1:$G$112</definedName>
    <definedName name="Z_A15D1964_B049_11D2_8670_0000832CEEE8_.wvu.PrintArea" localSheetId="16" hidden="1">RegExp!$A$1:$G$112</definedName>
    <definedName name="Z_A15D1964_B049_11D2_8670_0000832CEEE8_.wvu.PrintArea" localSheetId="5" hidden="1">ResultSumGas!$A$1:$G$65</definedName>
    <definedName name="Z_A15D1964_B049_11D2_8670_0000832CEEE8_.wvu.PrintArea" localSheetId="19" hidden="1">SIT!$A$1:$G$113</definedName>
    <definedName name="Z_A15D1964_B049_11D2_8670_0000832CEEE8_.wvu.PrintArea" localSheetId="22" hidden="1">SubSpace!$A$1:$G$65</definedName>
    <definedName name="Z_A15D1964_B049_11D2_8670_0000832CEEE8_.wvu.PrintArea" localSheetId="47" hidden="1">SYSGas12_06!$F$11:$AD$70</definedName>
    <definedName name="Z_A15D1964_B049_11D2_8670_0000832CEEE8_.wvu.PrintArea" localSheetId="3" hidden="1">WAGas09_08!$F$11:$AP$70</definedName>
    <definedName name="Z_A15D1964_B049_11D2_8670_0000832CEEE8_.wvu.PrintTitles" localSheetId="51" hidden="1">IDGas12_07!$A:$E,IDGas12_07!$1:$10</definedName>
    <definedName name="Z_A15D1964_B049_11D2_8670_0000832CEEE8_.wvu.PrintTitles" localSheetId="47" hidden="1">SYSGas12_06!$A:$E,SYSGas12_06!$1:$10</definedName>
    <definedName name="Z_A15D1964_B049_11D2_8670_0000832CEEE8_.wvu.PrintTitles" localSheetId="3" hidden="1">WAGas09_08!$A:$E,WAGas09_08!$1:$10</definedName>
    <definedName name="Z_A15D1964_B049_11D2_8670_0000832CEEE8_.wvu.Rows" localSheetId="4" hidden="1">PFRstmtSheet!$31:$31,PFRstmtSheet!$35:$60,PFRstmtSheet!$93:$94</definedName>
  </definedNames>
  <calcPr calcId="125725" fullCalcOnLoad="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AP84" i="1"/>
  <c r="E29" i="56"/>
  <c r="E27"/>
  <c r="E25"/>
  <c r="E23"/>
  <c r="F17" i="58"/>
  <c r="F35"/>
  <c r="AG57" i="2"/>
  <c r="AG62"/>
  <c r="AG65"/>
  <c r="A30" i="3"/>
  <c r="A26" i="43" s="1"/>
  <c r="B30" i="3"/>
  <c r="B26" i="43" s="1"/>
  <c r="Y56" i="1"/>
  <c r="Y57"/>
  <c r="Y58"/>
  <c r="Y61"/>
  <c r="Y62"/>
  <c r="Y63"/>
  <c r="Y65"/>
  <c r="Y66"/>
  <c r="Y67"/>
  <c r="AH13"/>
  <c r="F13"/>
  <c r="G13"/>
  <c r="G13" i="4" s="1"/>
  <c r="H13" i="1"/>
  <c r="I13"/>
  <c r="I13" i="4" s="1"/>
  <c r="J13" i="1"/>
  <c r="K13"/>
  <c r="L13"/>
  <c r="M13"/>
  <c r="N13"/>
  <c r="O13"/>
  <c r="P13"/>
  <c r="Q13"/>
  <c r="R13"/>
  <c r="S13"/>
  <c r="T13"/>
  <c r="U13"/>
  <c r="V13"/>
  <c r="W13"/>
  <c r="Y13" i="4" s="1"/>
  <c r="X13" i="1"/>
  <c r="Y13"/>
  <c r="Z13"/>
  <c r="AB13"/>
  <c r="G13" i="40" s="1"/>
  <c r="S13" s="1"/>
  <c r="V13" s="1"/>
  <c r="AC13" i="1"/>
  <c r="AD13"/>
  <c r="AD16" s="1"/>
  <c r="AE13"/>
  <c r="AF13"/>
  <c r="AD13" i="4" s="1"/>
  <c r="AG13" i="1"/>
  <c r="AI13"/>
  <c r="AJ13"/>
  <c r="AK13"/>
  <c r="AK16" s="1"/>
  <c r="AL13"/>
  <c r="AM13"/>
  <c r="AN13"/>
  <c r="AP13"/>
  <c r="H12" i="54" s="1"/>
  <c r="F61" i="51"/>
  <c r="F59"/>
  <c r="F58"/>
  <c r="F57"/>
  <c r="F54"/>
  <c r="F37"/>
  <c r="E23"/>
  <c r="E22"/>
  <c r="F36"/>
  <c r="F59" i="47"/>
  <c r="F54"/>
  <c r="F36"/>
  <c r="F104" i="51"/>
  <c r="F105"/>
  <c r="C113"/>
  <c r="C113" i="58"/>
  <c r="F86"/>
  <c r="F95"/>
  <c r="F99"/>
  <c r="F100"/>
  <c r="F101"/>
  <c r="F103"/>
  <c r="F56" i="1"/>
  <c r="F61"/>
  <c r="M61" s="1"/>
  <c r="AB61" s="1"/>
  <c r="F62"/>
  <c r="F65"/>
  <c r="F65" i="54" s="1"/>
  <c r="F66" i="1"/>
  <c r="F67"/>
  <c r="F67" i="54" s="1"/>
  <c r="G56" i="1"/>
  <c r="G57"/>
  <c r="G58"/>
  <c r="G59"/>
  <c r="G61"/>
  <c r="G62"/>
  <c r="G63"/>
  <c r="G64"/>
  <c r="G65"/>
  <c r="G66"/>
  <c r="G67"/>
  <c r="G69"/>
  <c r="G11" i="3" s="1"/>
  <c r="F9" i="43" s="1"/>
  <c r="H56" i="1"/>
  <c r="H57"/>
  <c r="H58"/>
  <c r="H59"/>
  <c r="H61"/>
  <c r="H62"/>
  <c r="H62" i="4" s="1"/>
  <c r="H63" i="1"/>
  <c r="H64"/>
  <c r="H65"/>
  <c r="H66"/>
  <c r="H66" i="4" s="1"/>
  <c r="H67" i="1"/>
  <c r="H69"/>
  <c r="G12" i="3" s="1"/>
  <c r="F10" i="43" s="1"/>
  <c r="I56" i="1"/>
  <c r="I57"/>
  <c r="I57" i="4" s="1"/>
  <c r="I58" i="1"/>
  <c r="I59"/>
  <c r="I59" i="4" s="1"/>
  <c r="I74" s="1"/>
  <c r="I61" i="1"/>
  <c r="I62"/>
  <c r="I63"/>
  <c r="I64"/>
  <c r="I65"/>
  <c r="I66"/>
  <c r="I67"/>
  <c r="I69"/>
  <c r="G13" i="3" s="1"/>
  <c r="F11" i="43" s="1"/>
  <c r="J57" i="1"/>
  <c r="J56"/>
  <c r="M56" s="1"/>
  <c r="L56" i="4" s="1"/>
  <c r="J58" i="1"/>
  <c r="J59"/>
  <c r="J61"/>
  <c r="J62"/>
  <c r="J62" i="4" s="1"/>
  <c r="J63" i="1"/>
  <c r="J64"/>
  <c r="J64" i="4" s="1"/>
  <c r="J65" i="1"/>
  <c r="J66"/>
  <c r="J66" i="4" s="1"/>
  <c r="J67" i="1"/>
  <c r="J69"/>
  <c r="G14" i="3" s="1"/>
  <c r="F12" i="43" s="1"/>
  <c r="K56" i="1"/>
  <c r="K57"/>
  <c r="K58"/>
  <c r="K59"/>
  <c r="K61"/>
  <c r="K62"/>
  <c r="K63"/>
  <c r="K64"/>
  <c r="K65"/>
  <c r="K66"/>
  <c r="K67"/>
  <c r="K69"/>
  <c r="G15" i="3" s="1"/>
  <c r="F13" i="43" s="1"/>
  <c r="L56" i="1"/>
  <c r="L57"/>
  <c r="K57" i="4" s="1"/>
  <c r="L58" i="1"/>
  <c r="L59"/>
  <c r="K59" i="4" s="1"/>
  <c r="L61" i="1"/>
  <c r="L62"/>
  <c r="L63"/>
  <c r="L64"/>
  <c r="K64" i="4" s="1"/>
  <c r="L65" i="1"/>
  <c r="L66"/>
  <c r="K66" i="4" s="1"/>
  <c r="L67" i="1"/>
  <c r="L69"/>
  <c r="G16" i="3" s="1"/>
  <c r="F14" i="43" s="1"/>
  <c r="N56" i="1"/>
  <c r="N57"/>
  <c r="N58"/>
  <c r="N59"/>
  <c r="M59" i="4" s="1"/>
  <c r="N61" i="1"/>
  <c r="N62"/>
  <c r="M62" i="4" s="1"/>
  <c r="N63" i="1"/>
  <c r="N64"/>
  <c r="M64" i="4" s="1"/>
  <c r="N65" i="1"/>
  <c r="N66"/>
  <c r="M66" i="4" s="1"/>
  <c r="N67" i="1"/>
  <c r="N69"/>
  <c r="G19" i="3" s="1"/>
  <c r="F15" i="43" s="1"/>
  <c r="O56" i="1"/>
  <c r="O57"/>
  <c r="O57" i="4" s="1"/>
  <c r="O58" i="1"/>
  <c r="O59"/>
  <c r="O61"/>
  <c r="O62"/>
  <c r="O63"/>
  <c r="O64"/>
  <c r="O65"/>
  <c r="O66"/>
  <c r="O67"/>
  <c r="O69"/>
  <c r="G20" i="3" s="1"/>
  <c r="F16" i="43" s="1"/>
  <c r="P56" i="1"/>
  <c r="P57"/>
  <c r="P58"/>
  <c r="P59"/>
  <c r="P61"/>
  <c r="P62"/>
  <c r="P63"/>
  <c r="P64"/>
  <c r="P65"/>
  <c r="P66"/>
  <c r="P66" i="4" s="1"/>
  <c r="P67" i="1"/>
  <c r="P69"/>
  <c r="G21" i="3" s="1"/>
  <c r="F17" i="43" s="1"/>
  <c r="Q56" i="1"/>
  <c r="Q57"/>
  <c r="Q57" i="4" s="1"/>
  <c r="Q58" i="1"/>
  <c r="Q59"/>
  <c r="Q61"/>
  <c r="Q62"/>
  <c r="Q62" i="4" s="1"/>
  <c r="Q63" i="1"/>
  <c r="Q64"/>
  <c r="Q65"/>
  <c r="Q66"/>
  <c r="Q67"/>
  <c r="Q69"/>
  <c r="G22" i="3" s="1"/>
  <c r="F18" i="43" s="1"/>
  <c r="R56" i="1"/>
  <c r="R57"/>
  <c r="R58"/>
  <c r="R59"/>
  <c r="R59" i="4" s="1"/>
  <c r="R61" i="1"/>
  <c r="R62"/>
  <c r="R63"/>
  <c r="R64"/>
  <c r="R64" i="4" s="1"/>
  <c r="R65" i="1"/>
  <c r="R66"/>
  <c r="R66" i="4" s="1"/>
  <c r="R67" i="1"/>
  <c r="R69"/>
  <c r="G23" i="3" s="1"/>
  <c r="F19" i="43" s="1"/>
  <c r="S56" i="1"/>
  <c r="S57"/>
  <c r="S57" i="4" s="1"/>
  <c r="S58" i="1"/>
  <c r="S59"/>
  <c r="S61"/>
  <c r="S62"/>
  <c r="S62" i="4" s="1"/>
  <c r="S63" i="1"/>
  <c r="S64"/>
  <c r="S65"/>
  <c r="S66"/>
  <c r="S67"/>
  <c r="S69"/>
  <c r="G24" i="3" s="1"/>
  <c r="F20" i="43" s="1"/>
  <c r="T56" i="1"/>
  <c r="T57"/>
  <c r="T58"/>
  <c r="T59"/>
  <c r="T61"/>
  <c r="T62"/>
  <c r="T63"/>
  <c r="T64"/>
  <c r="T65"/>
  <c r="T66"/>
  <c r="T66" i="4" s="1"/>
  <c r="T67" i="1"/>
  <c r="T69"/>
  <c r="G25" i="3" s="1"/>
  <c r="F21" i="43" s="1"/>
  <c r="U56" i="1"/>
  <c r="U57"/>
  <c r="U58"/>
  <c r="U59"/>
  <c r="U61"/>
  <c r="U62"/>
  <c r="U63"/>
  <c r="U64"/>
  <c r="U65"/>
  <c r="U66"/>
  <c r="U67"/>
  <c r="U69"/>
  <c r="G26" i="3" s="1"/>
  <c r="F22" i="43" s="1"/>
  <c r="V56" i="1"/>
  <c r="V57"/>
  <c r="V58"/>
  <c r="V59"/>
  <c r="V61"/>
  <c r="V62"/>
  <c r="X62" i="4" s="1"/>
  <c r="V63" i="1"/>
  <c r="V64"/>
  <c r="V65"/>
  <c r="V66"/>
  <c r="X66" i="4" s="1"/>
  <c r="V67" i="1"/>
  <c r="V69"/>
  <c r="G27" i="3" s="1"/>
  <c r="F23" i="43" s="1"/>
  <c r="W56" i="1"/>
  <c r="W57"/>
  <c r="Y57" i="4" s="1"/>
  <c r="W58" i="1"/>
  <c r="W59"/>
  <c r="W61"/>
  <c r="W62"/>
  <c r="W63"/>
  <c r="W64"/>
  <c r="W65"/>
  <c r="W66"/>
  <c r="W67"/>
  <c r="W69"/>
  <c r="G28" i="3" s="1"/>
  <c r="F24" i="43" s="1"/>
  <c r="X56" i="1"/>
  <c r="X57"/>
  <c r="X58"/>
  <c r="X59"/>
  <c r="X61"/>
  <c r="X62"/>
  <c r="X63"/>
  <c r="X64"/>
  <c r="X65"/>
  <c r="X66"/>
  <c r="X67"/>
  <c r="X69"/>
  <c r="G29" i="3" s="1"/>
  <c r="F25" i="43" s="1"/>
  <c r="Z56" i="1"/>
  <c r="Z57"/>
  <c r="U57" i="4" s="1"/>
  <c r="Z58" i="1"/>
  <c r="Z59"/>
  <c r="Z61"/>
  <c r="Z62"/>
  <c r="Z63"/>
  <c r="Z64"/>
  <c r="Z65"/>
  <c r="Z66"/>
  <c r="Z67"/>
  <c r="Z69"/>
  <c r="G31" i="3" s="1"/>
  <c r="AC56" i="1"/>
  <c r="AC57"/>
  <c r="AC58"/>
  <c r="AC61"/>
  <c r="AC62"/>
  <c r="AC63"/>
  <c r="AC65"/>
  <c r="AC66"/>
  <c r="AC67"/>
  <c r="AD56"/>
  <c r="AD57"/>
  <c r="AD58"/>
  <c r="AD61"/>
  <c r="AD62"/>
  <c r="AD63"/>
  <c r="AD65"/>
  <c r="AD66"/>
  <c r="AD67"/>
  <c r="AE56"/>
  <c r="AE57"/>
  <c r="AE58"/>
  <c r="AE61"/>
  <c r="AE62"/>
  <c r="AE63"/>
  <c r="AE65"/>
  <c r="AE66"/>
  <c r="AE67"/>
  <c r="AF56"/>
  <c r="AD56" i="4" s="1"/>
  <c r="AF57" i="1"/>
  <c r="AF58"/>
  <c r="AD58" i="4" s="1"/>
  <c r="AF61" i="1"/>
  <c r="AF62"/>
  <c r="AD62" i="4" s="1"/>
  <c r="AF63" i="1"/>
  <c r="AF65"/>
  <c r="AD65" i="4" s="1"/>
  <c r="AF66" i="1"/>
  <c r="AF67"/>
  <c r="AD67" i="4" s="1"/>
  <c r="AG56" i="1"/>
  <c r="AG57"/>
  <c r="AG58"/>
  <c r="AG61"/>
  <c r="AG62"/>
  <c r="AG63"/>
  <c r="AG65"/>
  <c r="AG66"/>
  <c r="AG67"/>
  <c r="AH56"/>
  <c r="AH57"/>
  <c r="AH58"/>
  <c r="AH61"/>
  <c r="AH62"/>
  <c r="AH63"/>
  <c r="AH65"/>
  <c r="AH66"/>
  <c r="AH67"/>
  <c r="AI56"/>
  <c r="AI57"/>
  <c r="AI58"/>
  <c r="AI61"/>
  <c r="AI62"/>
  <c r="AI63"/>
  <c r="AI65"/>
  <c r="AI66"/>
  <c r="AI67"/>
  <c r="AJ56"/>
  <c r="AJ57"/>
  <c r="AJ58"/>
  <c r="AJ61"/>
  <c r="AJ62"/>
  <c r="AJ63"/>
  <c r="AJ65"/>
  <c r="AJ66"/>
  <c r="AJ67"/>
  <c r="AK56"/>
  <c r="AK57"/>
  <c r="AK58"/>
  <c r="AK61"/>
  <c r="AK62"/>
  <c r="AK63"/>
  <c r="AK65"/>
  <c r="AK66"/>
  <c r="AK67"/>
  <c r="AL56"/>
  <c r="AL57"/>
  <c r="AL58"/>
  <c r="AL61"/>
  <c r="AL62"/>
  <c r="AL63"/>
  <c r="AL65"/>
  <c r="AL66"/>
  <c r="AL67"/>
  <c r="AM56"/>
  <c r="AM57"/>
  <c r="AM58"/>
  <c r="AM61"/>
  <c r="AM62"/>
  <c r="AM63"/>
  <c r="AM65"/>
  <c r="AM66"/>
  <c r="AM67"/>
  <c r="AN56"/>
  <c r="AN57"/>
  <c r="AN58"/>
  <c r="AN61"/>
  <c r="AN62"/>
  <c r="AN63"/>
  <c r="AN65"/>
  <c r="AN66"/>
  <c r="AN67"/>
  <c r="J12" i="55"/>
  <c r="L12" s="1"/>
  <c r="L14"/>
  <c r="Z14" i="1"/>
  <c r="Z15"/>
  <c r="U15" i="4" s="1"/>
  <c r="Z19" i="1"/>
  <c r="Z21"/>
  <c r="Z22"/>
  <c r="Z23"/>
  <c r="U23" i="4" s="1"/>
  <c r="Z26" i="1"/>
  <c r="Z27"/>
  <c r="Z28"/>
  <c r="Z31"/>
  <c r="Z32"/>
  <c r="Z33"/>
  <c r="Z36"/>
  <c r="Z37"/>
  <c r="Z38"/>
  <c r="Z40"/>
  <c r="Z41"/>
  <c r="Z42"/>
  <c r="Z49"/>
  <c r="Z50"/>
  <c r="N14"/>
  <c r="N15"/>
  <c r="N21"/>
  <c r="N23"/>
  <c r="N22"/>
  <c r="N33"/>
  <c r="N31"/>
  <c r="N32"/>
  <c r="N36"/>
  <c r="N37"/>
  <c r="N40"/>
  <c r="N41"/>
  <c r="N42"/>
  <c r="N19"/>
  <c r="N26"/>
  <c r="N27"/>
  <c r="N28"/>
  <c r="N38"/>
  <c r="F11" i="12"/>
  <c r="F19"/>
  <c r="F39" s="1"/>
  <c r="F41" s="1"/>
  <c r="F44" s="1"/>
  <c r="N48" i="1" s="1"/>
  <c r="F29" i="12"/>
  <c r="F38"/>
  <c r="N49" i="1"/>
  <c r="N50"/>
  <c r="F19"/>
  <c r="F21"/>
  <c r="F22"/>
  <c r="F26"/>
  <c r="F28"/>
  <c r="F27" i="54" s="1"/>
  <c r="F31" i="1"/>
  <c r="F32"/>
  <c r="F33"/>
  <c r="F36"/>
  <c r="F37"/>
  <c r="F38"/>
  <c r="F40"/>
  <c r="F42"/>
  <c r="F48"/>
  <c r="F49"/>
  <c r="F50"/>
  <c r="G14"/>
  <c r="G15"/>
  <c r="G19"/>
  <c r="G21"/>
  <c r="G22"/>
  <c r="G23"/>
  <c r="G24"/>
  <c r="G26"/>
  <c r="G27"/>
  <c r="G28"/>
  <c r="G29"/>
  <c r="G31"/>
  <c r="G32"/>
  <c r="G33"/>
  <c r="G34"/>
  <c r="G36"/>
  <c r="G37"/>
  <c r="G38"/>
  <c r="G40"/>
  <c r="G41"/>
  <c r="G42"/>
  <c r="G49"/>
  <c r="G50"/>
  <c r="H14"/>
  <c r="H15"/>
  <c r="H16" s="1"/>
  <c r="H19"/>
  <c r="H21"/>
  <c r="H22"/>
  <c r="H23"/>
  <c r="H26"/>
  <c r="H27"/>
  <c r="H28"/>
  <c r="H31"/>
  <c r="H32"/>
  <c r="H33"/>
  <c r="H36"/>
  <c r="H37"/>
  <c r="H38"/>
  <c r="H40"/>
  <c r="H41"/>
  <c r="H42"/>
  <c r="H49"/>
  <c r="H50"/>
  <c r="I14"/>
  <c r="I15"/>
  <c r="I19"/>
  <c r="I21"/>
  <c r="I22"/>
  <c r="I23"/>
  <c r="I26"/>
  <c r="I27"/>
  <c r="I28"/>
  <c r="M28" s="1"/>
  <c r="I31"/>
  <c r="I32"/>
  <c r="I33"/>
  <c r="I36"/>
  <c r="I37"/>
  <c r="I38"/>
  <c r="I38" i="4" s="1"/>
  <c r="I40" i="1"/>
  <c r="I41"/>
  <c r="I42"/>
  <c r="I49"/>
  <c r="I50"/>
  <c r="J14"/>
  <c r="J15"/>
  <c r="J19"/>
  <c r="J21"/>
  <c r="J22"/>
  <c r="J23"/>
  <c r="J26"/>
  <c r="J27"/>
  <c r="J28"/>
  <c r="J31"/>
  <c r="J32"/>
  <c r="J33"/>
  <c r="J36"/>
  <c r="J36" i="4" s="1"/>
  <c r="J37" i="1"/>
  <c r="J38"/>
  <c r="J40"/>
  <c r="J41"/>
  <c r="J42"/>
  <c r="J49"/>
  <c r="J50"/>
  <c r="K14"/>
  <c r="K15"/>
  <c r="K19"/>
  <c r="K21"/>
  <c r="K22"/>
  <c r="K23"/>
  <c r="K24"/>
  <c r="K26"/>
  <c r="K27"/>
  <c r="M27" s="1"/>
  <c r="K28"/>
  <c r="K29"/>
  <c r="K31"/>
  <c r="K32"/>
  <c r="K33"/>
  <c r="K34"/>
  <c r="K36"/>
  <c r="K37"/>
  <c r="K38"/>
  <c r="K40"/>
  <c r="K41"/>
  <c r="K42"/>
  <c r="K49"/>
  <c r="K50"/>
  <c r="M50" s="1"/>
  <c r="L50" i="4" s="1"/>
  <c r="L14" i="1"/>
  <c r="L15"/>
  <c r="L16" s="1"/>
  <c r="L19"/>
  <c r="L21"/>
  <c r="L22"/>
  <c r="L23"/>
  <c r="K23" i="4" s="1"/>
  <c r="L26" i="1"/>
  <c r="L27"/>
  <c r="K27" i="4" s="1"/>
  <c r="L28" i="1"/>
  <c r="L31"/>
  <c r="L32"/>
  <c r="L33"/>
  <c r="L36"/>
  <c r="L37"/>
  <c r="K37" i="4" s="1"/>
  <c r="L38" i="1"/>
  <c r="L40"/>
  <c r="L41"/>
  <c r="L42"/>
  <c r="K42" i="4" s="1"/>
  <c r="L49" i="1"/>
  <c r="L50"/>
  <c r="K50" i="4" s="1"/>
  <c r="O14" i="1"/>
  <c r="O15"/>
  <c r="O15" i="4" s="1"/>
  <c r="O19" i="1"/>
  <c r="O21"/>
  <c r="O22"/>
  <c r="O23"/>
  <c r="O26"/>
  <c r="O27"/>
  <c r="O28"/>
  <c r="O31"/>
  <c r="O32"/>
  <c r="O36"/>
  <c r="O37"/>
  <c r="O38"/>
  <c r="O40"/>
  <c r="O41"/>
  <c r="O42"/>
  <c r="O49"/>
  <c r="O49" i="4" s="1"/>
  <c r="O50" i="1"/>
  <c r="P14"/>
  <c r="P15"/>
  <c r="P16"/>
  <c r="P19"/>
  <c r="P21"/>
  <c r="P22"/>
  <c r="P23"/>
  <c r="P26"/>
  <c r="P27"/>
  <c r="P28"/>
  <c r="P31"/>
  <c r="P32"/>
  <c r="P33"/>
  <c r="P33" i="4" s="1"/>
  <c r="P37" i="1"/>
  <c r="P38"/>
  <c r="P38" i="4" s="1"/>
  <c r="P40" i="1"/>
  <c r="P41"/>
  <c r="P41" i="4" s="1"/>
  <c r="P42" i="1"/>
  <c r="P49"/>
  <c r="P50"/>
  <c r="Q14"/>
  <c r="Q14" i="4" s="1"/>
  <c r="Q15" i="1"/>
  <c r="Q19"/>
  <c r="Q19" i="4" s="1"/>
  <c r="Q21" i="1"/>
  <c r="Q22"/>
  <c r="Q22" i="4" s="1"/>
  <c r="Q23" i="1"/>
  <c r="Q24"/>
  <c r="Q26"/>
  <c r="Q27"/>
  <c r="Q27" i="4" s="1"/>
  <c r="Q28" i="1"/>
  <c r="Q29"/>
  <c r="Q31"/>
  <c r="Q32"/>
  <c r="Q32" i="4" s="1"/>
  <c r="Q33" i="1"/>
  <c r="Q34"/>
  <c r="Q36"/>
  <c r="Q37"/>
  <c r="Q37" i="4" s="1"/>
  <c r="Q38" i="1"/>
  <c r="Q40"/>
  <c r="Q41"/>
  <c r="Q42"/>
  <c r="Q42" i="4" s="1"/>
  <c r="Q49" i="1"/>
  <c r="Q50"/>
  <c r="R14"/>
  <c r="R15"/>
  <c r="R16" s="1"/>
  <c r="R19"/>
  <c r="R21"/>
  <c r="R22"/>
  <c r="R23"/>
  <c r="R24" s="1"/>
  <c r="R24" i="4" s="1"/>
  <c r="R26" i="1"/>
  <c r="R27"/>
  <c r="R28"/>
  <c r="R29"/>
  <c r="R29" i="4" s="1"/>
  <c r="R31" i="1"/>
  <c r="R32"/>
  <c r="R33"/>
  <c r="R34"/>
  <c r="R36"/>
  <c r="R37"/>
  <c r="R38"/>
  <c r="R40"/>
  <c r="R40" i="4" s="1"/>
  <c r="R41" i="1"/>
  <c r="R42"/>
  <c r="R49"/>
  <c r="R50"/>
  <c r="R50" i="4" s="1"/>
  <c r="S14" i="1"/>
  <c r="S15"/>
  <c r="S15" i="4" s="1"/>
  <c r="S19" i="1"/>
  <c r="S21"/>
  <c r="S22"/>
  <c r="S23"/>
  <c r="S23" i="4" s="1"/>
  <c r="S26" i="1"/>
  <c r="S27"/>
  <c r="S27" i="4" s="1"/>
  <c r="S28" i="1"/>
  <c r="S31"/>
  <c r="S32"/>
  <c r="S33"/>
  <c r="S36"/>
  <c r="S37"/>
  <c r="S37" i="4" s="1"/>
  <c r="S38" i="1"/>
  <c r="S40"/>
  <c r="S40" i="4" s="1"/>
  <c r="S41" i="1"/>
  <c r="S42"/>
  <c r="S42" i="4" s="1"/>
  <c r="S49" i="1"/>
  <c r="S50"/>
  <c r="T14"/>
  <c r="T15"/>
  <c r="T19"/>
  <c r="T21"/>
  <c r="T22"/>
  <c r="T23"/>
  <c r="T26"/>
  <c r="T27"/>
  <c r="T28"/>
  <c r="T31"/>
  <c r="T32"/>
  <c r="T33"/>
  <c r="T36"/>
  <c r="T37"/>
  <c r="T38"/>
  <c r="T40"/>
  <c r="T41"/>
  <c r="T42"/>
  <c r="T48"/>
  <c r="T49"/>
  <c r="T50"/>
  <c r="U14"/>
  <c r="U15"/>
  <c r="U19"/>
  <c r="U21"/>
  <c r="U22"/>
  <c r="U23"/>
  <c r="U26"/>
  <c r="U27"/>
  <c r="U28"/>
  <c r="U31"/>
  <c r="U32"/>
  <c r="U33"/>
  <c r="U36"/>
  <c r="U37"/>
  <c r="U38"/>
  <c r="U40"/>
  <c r="U41"/>
  <c r="U42"/>
  <c r="U49"/>
  <c r="U50"/>
  <c r="V14"/>
  <c r="V15"/>
  <c r="V16" s="1"/>
  <c r="V19"/>
  <c r="V21"/>
  <c r="V22"/>
  <c r="V23"/>
  <c r="V26"/>
  <c r="V27"/>
  <c r="V28"/>
  <c r="V31"/>
  <c r="V32"/>
  <c r="V33"/>
  <c r="V36"/>
  <c r="V37"/>
  <c r="V38"/>
  <c r="V40"/>
  <c r="V41"/>
  <c r="X41" i="4" s="1"/>
  <c r="V42" i="1"/>
  <c r="V49"/>
  <c r="V50"/>
  <c r="W14"/>
  <c r="Y14" i="4" s="1"/>
  <c r="W15" i="1"/>
  <c r="W19"/>
  <c r="Y19" i="4" s="1"/>
  <c r="W21" i="1"/>
  <c r="W22"/>
  <c r="Y22" i="4" s="1"/>
  <c r="W23" i="1"/>
  <c r="W24"/>
  <c r="Y24" i="4" s="1"/>
  <c r="W26" i="1"/>
  <c r="W27"/>
  <c r="Y27" i="4" s="1"/>
  <c r="W28" i="1"/>
  <c r="W29"/>
  <c r="W31"/>
  <c r="W32"/>
  <c r="W33"/>
  <c r="W34"/>
  <c r="W36"/>
  <c r="W37"/>
  <c r="W38"/>
  <c r="W40"/>
  <c r="W41"/>
  <c r="W42"/>
  <c r="W49"/>
  <c r="W50"/>
  <c r="X14"/>
  <c r="X15"/>
  <c r="X16" s="1"/>
  <c r="X19"/>
  <c r="X21"/>
  <c r="X22"/>
  <c r="X23"/>
  <c r="X26"/>
  <c r="X27"/>
  <c r="X28"/>
  <c r="X29" s="1"/>
  <c r="X31"/>
  <c r="X32"/>
  <c r="X33"/>
  <c r="X34"/>
  <c r="X36"/>
  <c r="X37"/>
  <c r="X38"/>
  <c r="X40"/>
  <c r="X41"/>
  <c r="X42"/>
  <c r="X49"/>
  <c r="X50"/>
  <c r="Y14"/>
  <c r="Y15"/>
  <c r="Y19"/>
  <c r="Y21"/>
  <c r="Y22"/>
  <c r="Y23"/>
  <c r="Y24" s="1"/>
  <c r="Y26"/>
  <c r="Y27"/>
  <c r="Y28"/>
  <c r="Y29"/>
  <c r="Y31"/>
  <c r="Y32"/>
  <c r="Y33"/>
  <c r="Y34"/>
  <c r="Y36"/>
  <c r="Y37"/>
  <c r="Y38"/>
  <c r="Y40"/>
  <c r="Y41"/>
  <c r="Y42"/>
  <c r="Y49"/>
  <c r="Y50"/>
  <c r="G48" i="3"/>
  <c r="A47"/>
  <c r="B47"/>
  <c r="A46"/>
  <c r="B46"/>
  <c r="A44"/>
  <c r="A36" i="43" s="1"/>
  <c r="B44" i="3"/>
  <c r="B36" i="43" s="1"/>
  <c r="A45" i="3"/>
  <c r="A37" i="43" s="1"/>
  <c r="B45" i="3"/>
  <c r="B37" i="43" s="1"/>
  <c r="A37" i="3"/>
  <c r="A29" i="43" s="1"/>
  <c r="B37" i="3"/>
  <c r="B29" i="43" s="1"/>
  <c r="A38" i="3"/>
  <c r="A30" i="43" s="1"/>
  <c r="B38" i="3"/>
  <c r="B30" i="43" s="1"/>
  <c r="A39" i="3"/>
  <c r="A31" i="43" s="1"/>
  <c r="B39" i="3"/>
  <c r="B31" i="43" s="1"/>
  <c r="A40" i="3"/>
  <c r="A32" i="43" s="1"/>
  <c r="B40" i="3"/>
  <c r="B32" i="43" s="1"/>
  <c r="A41" i="3"/>
  <c r="A33" i="43" s="1"/>
  <c r="B41" i="3"/>
  <c r="B33" i="43" s="1"/>
  <c r="A42" i="3"/>
  <c r="A34" i="43" s="1"/>
  <c r="B42" i="3"/>
  <c r="B34" i="43" s="1"/>
  <c r="A43" i="3"/>
  <c r="A35" i="43" s="1"/>
  <c r="B43" i="3"/>
  <c r="B35" i="43" s="1"/>
  <c r="A99" i="3"/>
  <c r="A104" i="43"/>
  <c r="B99" i="3"/>
  <c r="B104" i="43"/>
  <c r="AB56" i="2"/>
  <c r="AB57"/>
  <c r="AB58"/>
  <c r="AB59"/>
  <c r="AB61"/>
  <c r="AB62"/>
  <c r="AB63"/>
  <c r="AB64"/>
  <c r="AB65"/>
  <c r="AB66"/>
  <c r="AB67"/>
  <c r="AB69"/>
  <c r="G99" i="3" s="1"/>
  <c r="F104" i="43" s="1"/>
  <c r="A100" i="3"/>
  <c r="A105" i="43"/>
  <c r="B100" i="3"/>
  <c r="B105" i="43"/>
  <c r="AC56" i="2"/>
  <c r="AC57"/>
  <c r="AC58"/>
  <c r="AC59"/>
  <c r="AC61"/>
  <c r="AC62"/>
  <c r="AC63"/>
  <c r="AC64"/>
  <c r="AC65"/>
  <c r="AC66"/>
  <c r="AC67"/>
  <c r="AC69"/>
  <c r="G100" i="3" s="1"/>
  <c r="F105" i="43" s="1"/>
  <c r="A101" i="3"/>
  <c r="A106" i="43" s="1"/>
  <c r="B101" i="3"/>
  <c r="B106" i="43" s="1"/>
  <c r="AD56" i="2"/>
  <c r="AD57"/>
  <c r="AD58"/>
  <c r="AD61"/>
  <c r="AD62"/>
  <c r="AD63"/>
  <c r="AD65"/>
  <c r="AD66"/>
  <c r="AD67"/>
  <c r="A102" i="3"/>
  <c r="A107" i="43" s="1"/>
  <c r="B102" i="3"/>
  <c r="B107" i="43" s="1"/>
  <c r="AE57" i="2"/>
  <c r="AE58"/>
  <c r="AE56"/>
  <c r="AE59" s="1"/>
  <c r="AE61"/>
  <c r="AE62"/>
  <c r="AE63"/>
  <c r="AE65"/>
  <c r="AE66"/>
  <c r="AE67"/>
  <c r="A103" i="3"/>
  <c r="A108" i="43"/>
  <c r="B103" i="3"/>
  <c r="B108" i="43"/>
  <c r="AF56" i="2"/>
  <c r="AF57"/>
  <c r="AF58"/>
  <c r="AF59"/>
  <c r="AF61"/>
  <c r="AF62"/>
  <c r="AF63"/>
  <c r="AF64"/>
  <c r="AF65"/>
  <c r="AF66"/>
  <c r="AF67"/>
  <c r="AF69"/>
  <c r="G103" i="3" s="1"/>
  <c r="F108" i="43" s="1"/>
  <c r="A104" i="3"/>
  <c r="A109" i="43"/>
  <c r="B104" i="3"/>
  <c r="B109" i="43"/>
  <c r="AG56" i="2"/>
  <c r="AG58"/>
  <c r="AG61"/>
  <c r="AG63"/>
  <c r="AG66"/>
  <c r="AG67"/>
  <c r="A105" i="3"/>
  <c r="A110" i="43"/>
  <c r="B105" i="3"/>
  <c r="B110" i="43"/>
  <c r="AH56" i="2"/>
  <c r="AH57"/>
  <c r="AH58"/>
  <c r="AH59"/>
  <c r="AH61"/>
  <c r="AH62"/>
  <c r="AH63"/>
  <c r="AH64"/>
  <c r="AH65"/>
  <c r="AH66"/>
  <c r="AH67"/>
  <c r="AH69"/>
  <c r="G105" i="3" s="1"/>
  <c r="F110" i="43" s="1"/>
  <c r="AJ40" i="1"/>
  <c r="AJ41"/>
  <c r="AJ42"/>
  <c r="AJ19"/>
  <c r="AJ21"/>
  <c r="AJ22"/>
  <c r="AJ23"/>
  <c r="AJ26"/>
  <c r="AJ27"/>
  <c r="AJ28"/>
  <c r="AJ31"/>
  <c r="AJ32"/>
  <c r="AJ33"/>
  <c r="AJ36"/>
  <c r="AJ37"/>
  <c r="AJ38"/>
  <c r="AJ14"/>
  <c r="AJ15"/>
  <c r="F38" i="67"/>
  <c r="AJ49" i="1"/>
  <c r="AJ50"/>
  <c r="AI14"/>
  <c r="AI15"/>
  <c r="AI16" s="1"/>
  <c r="AI19"/>
  <c r="AI21"/>
  <c r="AI22"/>
  <c r="AI23"/>
  <c r="AI26"/>
  <c r="AI27"/>
  <c r="AI28"/>
  <c r="AI31"/>
  <c r="AI32"/>
  <c r="AI33"/>
  <c r="AI36"/>
  <c r="AI37"/>
  <c r="AI38"/>
  <c r="AI40"/>
  <c r="AI41"/>
  <c r="AI42"/>
  <c r="AI49"/>
  <c r="AI50"/>
  <c r="AN50"/>
  <c r="AN49"/>
  <c r="AN42"/>
  <c r="AN41"/>
  <c r="AN43" s="1"/>
  <c r="AN40"/>
  <c r="AN38"/>
  <c r="AN37"/>
  <c r="AN36"/>
  <c r="AN33"/>
  <c r="AN32"/>
  <c r="AN34" s="1"/>
  <c r="AN31"/>
  <c r="AN28"/>
  <c r="AN27"/>
  <c r="AN26"/>
  <c r="AN29" s="1"/>
  <c r="AN23"/>
  <c r="AN22"/>
  <c r="AN21"/>
  <c r="AN19"/>
  <c r="AN15"/>
  <c r="AN14"/>
  <c r="AN16" s="1"/>
  <c r="A1" i="68"/>
  <c r="A3"/>
  <c r="A70" s="1"/>
  <c r="H8"/>
  <c r="H9"/>
  <c r="H10"/>
  <c r="E11"/>
  <c r="F11"/>
  <c r="G11"/>
  <c r="H11"/>
  <c r="H14"/>
  <c r="E16"/>
  <c r="E17"/>
  <c r="H17" s="1"/>
  <c r="H18"/>
  <c r="F19"/>
  <c r="G19"/>
  <c r="E21"/>
  <c r="H21"/>
  <c r="H22"/>
  <c r="H23"/>
  <c r="E24"/>
  <c r="F24"/>
  <c r="G24"/>
  <c r="H24"/>
  <c r="E26"/>
  <c r="H26"/>
  <c r="H27"/>
  <c r="C113"/>
  <c r="F76"/>
  <c r="F77"/>
  <c r="F78"/>
  <c r="F80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F29"/>
  <c r="E31"/>
  <c r="H31" s="1"/>
  <c r="E32"/>
  <c r="H32" s="1"/>
  <c r="E33"/>
  <c r="H33" s="1"/>
  <c r="E35"/>
  <c r="H35" s="1"/>
  <c r="H36"/>
  <c r="H37"/>
  <c r="E38"/>
  <c r="F38"/>
  <c r="G38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8"/>
  <c r="F70"/>
  <c r="F71"/>
  <c r="F72"/>
  <c r="F11" i="67"/>
  <c r="F19"/>
  <c r="F24"/>
  <c r="F29"/>
  <c r="AM14" i="1"/>
  <c r="AM15"/>
  <c r="AM19"/>
  <c r="AM21"/>
  <c r="AM22"/>
  <c r="AM23"/>
  <c r="AM26"/>
  <c r="AM27"/>
  <c r="AM28"/>
  <c r="AM31"/>
  <c r="AM32"/>
  <c r="AM33"/>
  <c r="AM36"/>
  <c r="AM37"/>
  <c r="AM38"/>
  <c r="AM40"/>
  <c r="AM41"/>
  <c r="AM42"/>
  <c r="F11" i="59"/>
  <c r="F19"/>
  <c r="F24"/>
  <c r="F29"/>
  <c r="F38"/>
  <c r="AM49" i="1"/>
  <c r="AM50"/>
  <c r="A1" i="67"/>
  <c r="A3"/>
  <c r="H8"/>
  <c r="H9"/>
  <c r="H10"/>
  <c r="E11"/>
  <c r="G11"/>
  <c r="H11"/>
  <c r="H14"/>
  <c r="E16"/>
  <c r="E17"/>
  <c r="H17" s="1"/>
  <c r="H18"/>
  <c r="G19"/>
  <c r="E21"/>
  <c r="H21" s="1"/>
  <c r="H22"/>
  <c r="H23"/>
  <c r="E24"/>
  <c r="G24"/>
  <c r="H24"/>
  <c r="E26"/>
  <c r="H26"/>
  <c r="H27"/>
  <c r="C113"/>
  <c r="F76"/>
  <c r="F77"/>
  <c r="F78"/>
  <c r="F80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E31"/>
  <c r="H31"/>
  <c r="E32"/>
  <c r="H32"/>
  <c r="E33"/>
  <c r="H33"/>
  <c r="E35"/>
  <c r="H35"/>
  <c r="H36"/>
  <c r="H37"/>
  <c r="E38"/>
  <c r="G38"/>
  <c r="H45"/>
  <c r="H46"/>
  <c r="H52"/>
  <c r="H53"/>
  <c r="H54"/>
  <c r="E55"/>
  <c r="F55"/>
  <c r="G55"/>
  <c r="H56"/>
  <c r="H57"/>
  <c r="H58"/>
  <c r="H59"/>
  <c r="E60"/>
  <c r="F60"/>
  <c r="G60"/>
  <c r="H61"/>
  <c r="H62"/>
  <c r="H63"/>
  <c r="F65"/>
  <c r="A68"/>
  <c r="A70"/>
  <c r="F70"/>
  <c r="F71"/>
  <c r="F72"/>
  <c r="E35" i="66"/>
  <c r="G44" i="19"/>
  <c r="F44"/>
  <c r="E31" i="27"/>
  <c r="F93" i="14"/>
  <c r="F94"/>
  <c r="F96"/>
  <c r="F101"/>
  <c r="F102"/>
  <c r="F103"/>
  <c r="F104"/>
  <c r="F99"/>
  <c r="F98"/>
  <c r="F97"/>
  <c r="F88"/>
  <c r="F89"/>
  <c r="F90"/>
  <c r="F83"/>
  <c r="F84"/>
  <c r="F85"/>
  <c r="F81"/>
  <c r="F74"/>
  <c r="F75"/>
  <c r="F76"/>
  <c r="C111"/>
  <c r="F28"/>
  <c r="F103" i="18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F76"/>
  <c r="F77"/>
  <c r="F78"/>
  <c r="F80"/>
  <c r="F110" s="1"/>
  <c r="C113"/>
  <c r="G59" i="5"/>
  <c r="F59"/>
  <c r="F63" i="1" s="1"/>
  <c r="F53" i="5"/>
  <c r="F57" i="1" s="1"/>
  <c r="G54" i="5"/>
  <c r="F58" i="2" s="1"/>
  <c r="F54" i="5"/>
  <c r="F58" i="1" s="1"/>
  <c r="G36" i="5"/>
  <c r="F36"/>
  <c r="F41" i="1" s="1"/>
  <c r="G22" i="5"/>
  <c r="F22"/>
  <c r="F27" i="1" s="1"/>
  <c r="F29" s="1"/>
  <c r="G18" i="5"/>
  <c r="F18"/>
  <c r="F23" i="1" s="1"/>
  <c r="G9" i="5"/>
  <c r="G10" s="1"/>
  <c r="F9"/>
  <c r="G11" i="66"/>
  <c r="G19"/>
  <c r="G24"/>
  <c r="F74"/>
  <c r="F75"/>
  <c r="F76"/>
  <c r="F78"/>
  <c r="F101"/>
  <c r="F102"/>
  <c r="F103"/>
  <c r="F104"/>
  <c r="F99"/>
  <c r="F98"/>
  <c r="F97"/>
  <c r="F93"/>
  <c r="F94"/>
  <c r="F96"/>
  <c r="F88"/>
  <c r="F89"/>
  <c r="F90"/>
  <c r="F91"/>
  <c r="F83"/>
  <c r="F84"/>
  <c r="F85"/>
  <c r="F86"/>
  <c r="F81"/>
  <c r="F106"/>
  <c r="C111"/>
  <c r="G38"/>
  <c r="F38"/>
  <c r="F19"/>
  <c r="F24"/>
  <c r="F29"/>
  <c r="F11"/>
  <c r="AH27" i="1"/>
  <c r="AH26"/>
  <c r="AH28"/>
  <c r="AH32"/>
  <c r="AH31"/>
  <c r="AH33"/>
  <c r="AH41"/>
  <c r="AH40"/>
  <c r="AH42"/>
  <c r="AH19"/>
  <c r="AH21"/>
  <c r="AH22"/>
  <c r="AH23"/>
  <c r="AH24"/>
  <c r="AH36"/>
  <c r="AH37"/>
  <c r="AH38"/>
  <c r="AH14"/>
  <c r="AH15"/>
  <c r="F24" i="29"/>
  <c r="F29"/>
  <c r="F38"/>
  <c r="F19"/>
  <c r="F39" s="1"/>
  <c r="F11"/>
  <c r="AH49" i="1"/>
  <c r="AH50"/>
  <c r="Y47"/>
  <c r="A1" i="66"/>
  <c r="A3"/>
  <c r="A68" s="1"/>
  <c r="H8"/>
  <c r="H9"/>
  <c r="H10"/>
  <c r="E11"/>
  <c r="H14"/>
  <c r="H16"/>
  <c r="H17"/>
  <c r="H18"/>
  <c r="E19"/>
  <c r="H21"/>
  <c r="H22"/>
  <c r="H23"/>
  <c r="E24"/>
  <c r="H24"/>
  <c r="H26"/>
  <c r="H27"/>
  <c r="H31"/>
  <c r="H32"/>
  <c r="H33"/>
  <c r="H35"/>
  <c r="H36"/>
  <c r="H37"/>
  <c r="E38"/>
  <c r="H38"/>
  <c r="F56" i="2"/>
  <c r="F56" i="63" s="1"/>
  <c r="F57" i="2"/>
  <c r="F61"/>
  <c r="F62"/>
  <c r="F63"/>
  <c r="F63" i="63" s="1"/>
  <c r="F65" i="2"/>
  <c r="F65" i="63" s="1"/>
  <c r="F66" i="2"/>
  <c r="F67"/>
  <c r="F67" i="63" s="1"/>
  <c r="G56" i="2"/>
  <c r="G57"/>
  <c r="G58"/>
  <c r="G61"/>
  <c r="G62"/>
  <c r="G63"/>
  <c r="G63" i="4" s="1"/>
  <c r="G65" i="2"/>
  <c r="G66"/>
  <c r="G67"/>
  <c r="H56"/>
  <c r="H57"/>
  <c r="H58"/>
  <c r="H58" i="4" s="1"/>
  <c r="H61" i="2"/>
  <c r="H62"/>
  <c r="H63"/>
  <c r="H65"/>
  <c r="H65" i="4" s="1"/>
  <c r="H66" i="2"/>
  <c r="H67"/>
  <c r="I56"/>
  <c r="I57"/>
  <c r="I58"/>
  <c r="I59"/>
  <c r="I61"/>
  <c r="I62"/>
  <c r="I63"/>
  <c r="I64"/>
  <c r="I65"/>
  <c r="I66"/>
  <c r="I67"/>
  <c r="I69"/>
  <c r="G77" i="3" s="1"/>
  <c r="F90" i="43" s="1"/>
  <c r="J56" i="2"/>
  <c r="J57"/>
  <c r="J58"/>
  <c r="J59"/>
  <c r="J61"/>
  <c r="J62"/>
  <c r="J63"/>
  <c r="J64"/>
  <c r="J65"/>
  <c r="J66"/>
  <c r="J67"/>
  <c r="J69"/>
  <c r="G78" i="3" s="1"/>
  <c r="F91" i="43" s="1"/>
  <c r="K56" i="2"/>
  <c r="K57"/>
  <c r="K58"/>
  <c r="K61"/>
  <c r="K62"/>
  <c r="K63"/>
  <c r="K65"/>
  <c r="K66"/>
  <c r="K67"/>
  <c r="M56"/>
  <c r="M57"/>
  <c r="M58"/>
  <c r="M61"/>
  <c r="M62"/>
  <c r="M63"/>
  <c r="M65"/>
  <c r="M66"/>
  <c r="M67"/>
  <c r="N56"/>
  <c r="N57"/>
  <c r="N58"/>
  <c r="N59"/>
  <c r="N61"/>
  <c r="N62"/>
  <c r="N63"/>
  <c r="N64"/>
  <c r="N65"/>
  <c r="N66"/>
  <c r="N67"/>
  <c r="N69"/>
  <c r="G84" i="3" s="1"/>
  <c r="F94" i="43" s="1"/>
  <c r="O56" i="2"/>
  <c r="O57"/>
  <c r="O58"/>
  <c r="O59"/>
  <c r="O61"/>
  <c r="O62"/>
  <c r="O63"/>
  <c r="O64"/>
  <c r="O65"/>
  <c r="O66"/>
  <c r="O67"/>
  <c r="O69"/>
  <c r="G85" i="3" s="1"/>
  <c r="F95" i="43" s="1"/>
  <c r="P56" i="2"/>
  <c r="P57"/>
  <c r="P58"/>
  <c r="P61"/>
  <c r="P62"/>
  <c r="P63"/>
  <c r="P65"/>
  <c r="P66"/>
  <c r="P67"/>
  <c r="Q56"/>
  <c r="Q57"/>
  <c r="Q58"/>
  <c r="Q61"/>
  <c r="Q62"/>
  <c r="Q63"/>
  <c r="Q65"/>
  <c r="Q65" i="4" s="1"/>
  <c r="Q66" i="2"/>
  <c r="Q67"/>
  <c r="Q67" i="4" s="1"/>
  <c r="R56" i="2"/>
  <c r="R57"/>
  <c r="R58"/>
  <c r="R59"/>
  <c r="R61"/>
  <c r="R62"/>
  <c r="R63"/>
  <c r="R64"/>
  <c r="R65"/>
  <c r="R66"/>
  <c r="R67"/>
  <c r="R69"/>
  <c r="G88" i="3" s="1"/>
  <c r="F98" i="43" s="1"/>
  <c r="S56" i="2"/>
  <c r="S57"/>
  <c r="S58"/>
  <c r="S59"/>
  <c r="S61"/>
  <c r="S62"/>
  <c r="S63"/>
  <c r="S64"/>
  <c r="S65"/>
  <c r="S66"/>
  <c r="S67"/>
  <c r="S69"/>
  <c r="G89" i="3" s="1"/>
  <c r="F99" i="43" s="1"/>
  <c r="T56" i="2"/>
  <c r="T57"/>
  <c r="T58"/>
  <c r="T58" i="4" s="1"/>
  <c r="T61" i="2"/>
  <c r="T62"/>
  <c r="T63"/>
  <c r="T65"/>
  <c r="T66"/>
  <c r="T67"/>
  <c r="U56"/>
  <c r="U57"/>
  <c r="U58"/>
  <c r="U61"/>
  <c r="U62"/>
  <c r="U63"/>
  <c r="U65"/>
  <c r="U66"/>
  <c r="U67"/>
  <c r="V56"/>
  <c r="V57"/>
  <c r="V58"/>
  <c r="V59"/>
  <c r="V61"/>
  <c r="V62"/>
  <c r="V63"/>
  <c r="V64"/>
  <c r="V65"/>
  <c r="V66"/>
  <c r="V67"/>
  <c r="V69"/>
  <c r="G92" i="3" s="1"/>
  <c r="F102" i="43" s="1"/>
  <c r="AA56" i="2"/>
  <c r="AA57"/>
  <c r="AA58"/>
  <c r="AA59"/>
  <c r="AA61"/>
  <c r="AA62"/>
  <c r="AA63"/>
  <c r="AA64"/>
  <c r="AA65"/>
  <c r="AA66"/>
  <c r="AA67"/>
  <c r="AA69"/>
  <c r="G98" i="3" s="1"/>
  <c r="F103" i="43" s="1"/>
  <c r="L45" i="55"/>
  <c r="L47"/>
  <c r="H45" i="66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6"/>
  <c r="F68"/>
  <c r="F69"/>
  <c r="F70"/>
  <c r="F22" i="55"/>
  <c r="F74" i="1" s="1"/>
  <c r="L16" i="55"/>
  <c r="L18"/>
  <c r="AN24" i="1"/>
  <c r="AC14"/>
  <c r="AD14"/>
  <c r="AE14"/>
  <c r="AF14"/>
  <c r="AG14"/>
  <c r="AK14"/>
  <c r="AL14"/>
  <c r="AL50"/>
  <c r="AL49"/>
  <c r="F11" i="64"/>
  <c r="F19"/>
  <c r="F24"/>
  <c r="F29"/>
  <c r="F38"/>
  <c r="F39"/>
  <c r="F41" s="1"/>
  <c r="F44"/>
  <c r="AL42" i="1"/>
  <c r="AL41"/>
  <c r="AL40"/>
  <c r="AL38"/>
  <c r="AL37"/>
  <c r="AL36"/>
  <c r="AL33"/>
  <c r="AL32"/>
  <c r="AL31"/>
  <c r="AL34" s="1"/>
  <c r="AL28"/>
  <c r="AL27"/>
  <c r="AL29" s="1"/>
  <c r="AL26"/>
  <c r="AL23"/>
  <c r="AL22"/>
  <c r="AL21"/>
  <c r="AL24" s="1"/>
  <c r="AL19"/>
  <c r="AL15"/>
  <c r="A1" i="64"/>
  <c r="A3"/>
  <c r="A70" s="1"/>
  <c r="H8"/>
  <c r="H9"/>
  <c r="H10"/>
  <c r="E11"/>
  <c r="G11"/>
  <c r="H11"/>
  <c r="H14"/>
  <c r="E16"/>
  <c r="E17"/>
  <c r="H17" s="1"/>
  <c r="H18"/>
  <c r="G19"/>
  <c r="E21"/>
  <c r="H21" s="1"/>
  <c r="H22"/>
  <c r="H23"/>
  <c r="E24"/>
  <c r="G24"/>
  <c r="H24"/>
  <c r="E26"/>
  <c r="H26"/>
  <c r="H27"/>
  <c r="C113"/>
  <c r="F76"/>
  <c r="F77"/>
  <c r="F78"/>
  <c r="F80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E31"/>
  <c r="H31"/>
  <c r="E32"/>
  <c r="H32"/>
  <c r="E33"/>
  <c r="H33"/>
  <c r="E35"/>
  <c r="H35"/>
  <c r="H36"/>
  <c r="H37"/>
  <c r="E38"/>
  <c r="G38"/>
  <c r="H38" s="1"/>
  <c r="H45"/>
  <c r="H46"/>
  <c r="F48"/>
  <c r="H52"/>
  <c r="H53"/>
  <c r="H54"/>
  <c r="E55"/>
  <c r="F55"/>
  <c r="G55"/>
  <c r="H56"/>
  <c r="H57"/>
  <c r="H58"/>
  <c r="H59"/>
  <c r="E60"/>
  <c r="F60"/>
  <c r="G60"/>
  <c r="H61"/>
  <c r="H62"/>
  <c r="H63"/>
  <c r="F65"/>
  <c r="A68"/>
  <c r="F70"/>
  <c r="F71"/>
  <c r="F72"/>
  <c r="AE15" i="1"/>
  <c r="AE19"/>
  <c r="AE21"/>
  <c r="AE22"/>
  <c r="AE23"/>
  <c r="AE26"/>
  <c r="AE27"/>
  <c r="AE28"/>
  <c r="AE31"/>
  <c r="AE32"/>
  <c r="AE33"/>
  <c r="AE36"/>
  <c r="AE37"/>
  <c r="AE38"/>
  <c r="AE40"/>
  <c r="AE41"/>
  <c r="AE42"/>
  <c r="F11" i="27"/>
  <c r="F19"/>
  <c r="F24"/>
  <c r="F29"/>
  <c r="F38"/>
  <c r="AE49" i="1"/>
  <c r="AE50"/>
  <c r="F11" i="6"/>
  <c r="F19"/>
  <c r="F24"/>
  <c r="F29"/>
  <c r="F38"/>
  <c r="F11" i="8"/>
  <c r="F19"/>
  <c r="F24"/>
  <c r="F29"/>
  <c r="F38"/>
  <c r="F11" i="9"/>
  <c r="F19"/>
  <c r="F24"/>
  <c r="F29"/>
  <c r="F38"/>
  <c r="F11" i="10"/>
  <c r="F19"/>
  <c r="F24"/>
  <c r="F29"/>
  <c r="F38"/>
  <c r="F11" i="11"/>
  <c r="F19"/>
  <c r="F24"/>
  <c r="F29"/>
  <c r="F38"/>
  <c r="F11" i="60"/>
  <c r="F19"/>
  <c r="F24"/>
  <c r="F29"/>
  <c r="F38"/>
  <c r="F24" i="12"/>
  <c r="F11" i="14"/>
  <c r="F19"/>
  <c r="F24"/>
  <c r="F38"/>
  <c r="F11" i="15"/>
  <c r="F19"/>
  <c r="F24"/>
  <c r="F29"/>
  <c r="F38"/>
  <c r="F11" i="16"/>
  <c r="F19"/>
  <c r="F24"/>
  <c r="F29"/>
  <c r="F38"/>
  <c r="F11" i="17"/>
  <c r="F19"/>
  <c r="F24"/>
  <c r="F29"/>
  <c r="F38"/>
  <c r="F11" i="18"/>
  <c r="F19"/>
  <c r="F24"/>
  <c r="F29"/>
  <c r="F38"/>
  <c r="F11" i="52"/>
  <c r="F19"/>
  <c r="F24"/>
  <c r="F29"/>
  <c r="F38"/>
  <c r="F11" i="22"/>
  <c r="F19"/>
  <c r="F24"/>
  <c r="F29"/>
  <c r="F38"/>
  <c r="F11" i="23"/>
  <c r="F19"/>
  <c r="F24"/>
  <c r="F29"/>
  <c r="F38"/>
  <c r="F11" i="24"/>
  <c r="F19"/>
  <c r="F24"/>
  <c r="F29"/>
  <c r="F38"/>
  <c r="F11" i="50"/>
  <c r="F19"/>
  <c r="F24"/>
  <c r="F29"/>
  <c r="F38"/>
  <c r="F11" i="58"/>
  <c r="F19"/>
  <c r="F24"/>
  <c r="F29"/>
  <c r="F38"/>
  <c r="F39"/>
  <c r="F41" s="1"/>
  <c r="F44"/>
  <c r="F11" i="49"/>
  <c r="F19"/>
  <c r="F24"/>
  <c r="F29"/>
  <c r="F38"/>
  <c r="F11" i="48"/>
  <c r="F19"/>
  <c r="F24"/>
  <c r="F29"/>
  <c r="F38"/>
  <c r="F39"/>
  <c r="F41" s="1"/>
  <c r="F44"/>
  <c r="AD48" i="1" s="1"/>
  <c r="F11" i="47"/>
  <c r="F19"/>
  <c r="F24"/>
  <c r="F29"/>
  <c r="F38"/>
  <c r="F11" i="51"/>
  <c r="F19"/>
  <c r="F24"/>
  <c r="F29"/>
  <c r="F38"/>
  <c r="F39"/>
  <c r="F41" s="1"/>
  <c r="F44"/>
  <c r="F11" i="28"/>
  <c r="F19"/>
  <c r="F24"/>
  <c r="F29"/>
  <c r="F38"/>
  <c r="AK15" i="1"/>
  <c r="AC15"/>
  <c r="AD15"/>
  <c r="AF15"/>
  <c r="AG15"/>
  <c r="AK19"/>
  <c r="AC19"/>
  <c r="AD19"/>
  <c r="AF19"/>
  <c r="AG19"/>
  <c r="AK21"/>
  <c r="M21"/>
  <c r="AB21" s="1"/>
  <c r="AC21"/>
  <c r="AD21"/>
  <c r="AF21"/>
  <c r="AG21"/>
  <c r="AK22"/>
  <c r="M22"/>
  <c r="AB22" s="1"/>
  <c r="G22" i="40" s="1"/>
  <c r="AC22" i="1"/>
  <c r="AD22"/>
  <c r="AF22"/>
  <c r="AG22"/>
  <c r="AK23"/>
  <c r="AK24" s="1"/>
  <c r="AC23"/>
  <c r="AC24" s="1"/>
  <c r="AD23"/>
  <c r="AF23"/>
  <c r="AG23"/>
  <c r="AK26"/>
  <c r="AC26"/>
  <c r="AD26"/>
  <c r="AF26"/>
  <c r="AG26"/>
  <c r="AK27"/>
  <c r="AC27"/>
  <c r="AD27"/>
  <c r="AF27"/>
  <c r="AG27"/>
  <c r="AK28"/>
  <c r="AC28"/>
  <c r="AD28"/>
  <c r="AF28"/>
  <c r="AG28"/>
  <c r="AK31"/>
  <c r="AC31"/>
  <c r="AD31"/>
  <c r="AF31"/>
  <c r="AG31"/>
  <c r="AK32"/>
  <c r="AK34" s="1"/>
  <c r="AC32"/>
  <c r="AD32"/>
  <c r="AF32"/>
  <c r="AG32"/>
  <c r="AK33"/>
  <c r="AC33"/>
  <c r="AD33"/>
  <c r="AF33"/>
  <c r="AG33"/>
  <c r="AK36"/>
  <c r="AC36"/>
  <c r="AD36"/>
  <c r="AF36"/>
  <c r="AG36"/>
  <c r="AK37"/>
  <c r="AC37"/>
  <c r="AD37"/>
  <c r="AF37"/>
  <c r="AG37"/>
  <c r="AK38"/>
  <c r="AC38"/>
  <c r="AD38"/>
  <c r="AF38"/>
  <c r="AG38"/>
  <c r="AK40"/>
  <c r="AC40"/>
  <c r="AD40"/>
  <c r="AF40"/>
  <c r="AG40"/>
  <c r="AK41"/>
  <c r="AK43" s="1"/>
  <c r="AC41"/>
  <c r="AD41"/>
  <c r="AF41"/>
  <c r="AG41"/>
  <c r="AK42"/>
  <c r="AC42"/>
  <c r="AD42"/>
  <c r="AF42"/>
  <c r="AD42" i="4" s="1"/>
  <c r="AG42" i="1"/>
  <c r="AK49"/>
  <c r="AC49"/>
  <c r="AD49"/>
  <c r="AF49"/>
  <c r="AG49"/>
  <c r="AK50"/>
  <c r="AC50"/>
  <c r="AD50"/>
  <c r="AF50"/>
  <c r="AG50"/>
  <c r="AB56"/>
  <c r="M65"/>
  <c r="AB65" s="1"/>
  <c r="AG16"/>
  <c r="AG43"/>
  <c r="AF34"/>
  <c r="AD29"/>
  <c r="AD43"/>
  <c r="A98" i="3"/>
  <c r="A103" i="43" s="1"/>
  <c r="B98" i="3"/>
  <c r="B103" i="43" s="1"/>
  <c r="A77" i="3"/>
  <c r="A90" i="43" s="1"/>
  <c r="B77" i="3"/>
  <c r="B90" i="43" s="1"/>
  <c r="A78" i="3"/>
  <c r="A91" i="43" s="1"/>
  <c r="B78" i="3"/>
  <c r="B91" i="43" s="1"/>
  <c r="A79" i="3"/>
  <c r="A92" i="43" s="1"/>
  <c r="B79" i="3"/>
  <c r="B92" i="43" s="1"/>
  <c r="A83" i="3"/>
  <c r="A93" i="43" s="1"/>
  <c r="B83" i="3"/>
  <c r="B93" i="43" s="1"/>
  <c r="A84" i="3"/>
  <c r="A94" i="43" s="1"/>
  <c r="B84" i="3"/>
  <c r="B94" i="43" s="1"/>
  <c r="A85" i="3"/>
  <c r="A95" i="43" s="1"/>
  <c r="B85" i="3"/>
  <c r="B95" i="43" s="1"/>
  <c r="A86" i="3"/>
  <c r="A96" i="43" s="1"/>
  <c r="B86" i="3"/>
  <c r="B96" i="43" s="1"/>
  <c r="A87" i="3"/>
  <c r="A97" i="43" s="1"/>
  <c r="B87" i="3"/>
  <c r="B97" i="43" s="1"/>
  <c r="A88" i="3"/>
  <c r="A98" i="43" s="1"/>
  <c r="B88" i="3"/>
  <c r="B98" i="43" s="1"/>
  <c r="A89" i="3"/>
  <c r="A99" i="43" s="1"/>
  <c r="B89" i="3"/>
  <c r="B99" i="43" s="1"/>
  <c r="A90" i="3"/>
  <c r="A100" i="43" s="1"/>
  <c r="B90" i="3"/>
  <c r="B100" i="43" s="1"/>
  <c r="A91" i="3"/>
  <c r="A101" i="43" s="1"/>
  <c r="B91" i="3"/>
  <c r="B101" i="43" s="1"/>
  <c r="A92" i="3"/>
  <c r="A102" i="43" s="1"/>
  <c r="B92" i="3"/>
  <c r="B102" i="43" s="1"/>
  <c r="M13" i="2"/>
  <c r="M14"/>
  <c r="M15"/>
  <c r="M19"/>
  <c r="M21"/>
  <c r="M22"/>
  <c r="M23"/>
  <c r="M26"/>
  <c r="M27"/>
  <c r="M28"/>
  <c r="M31"/>
  <c r="M32"/>
  <c r="F76" i="60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C113"/>
  <c r="M36" i="2"/>
  <c r="M37"/>
  <c r="M38"/>
  <c r="M40"/>
  <c r="M41"/>
  <c r="M42"/>
  <c r="M43"/>
  <c r="G11" i="60"/>
  <c r="G19"/>
  <c r="G24"/>
  <c r="G38"/>
  <c r="M49" i="2"/>
  <c r="M50"/>
  <c r="F13"/>
  <c r="G13"/>
  <c r="H13"/>
  <c r="I13"/>
  <c r="J13"/>
  <c r="K13"/>
  <c r="M47"/>
  <c r="F76" i="58"/>
  <c r="F77"/>
  <c r="F78"/>
  <c r="F104"/>
  <c r="F106" s="1"/>
  <c r="F105"/>
  <c r="F96"/>
  <c r="F90"/>
  <c r="F91"/>
  <c r="F92"/>
  <c r="F93"/>
  <c r="F85"/>
  <c r="F87"/>
  <c r="F83"/>
  <c r="F14" i="2"/>
  <c r="F15"/>
  <c r="F14" i="63" s="1"/>
  <c r="F19" i="2"/>
  <c r="F21"/>
  <c r="F22"/>
  <c r="F21" i="63" s="1"/>
  <c r="F23" i="2"/>
  <c r="F22" i="63" s="1"/>
  <c r="F26" i="2"/>
  <c r="F27"/>
  <c r="F26" i="63" s="1"/>
  <c r="F28" i="2"/>
  <c r="F31"/>
  <c r="F32"/>
  <c r="F31" i="63" s="1"/>
  <c r="F33" i="2"/>
  <c r="F32" i="63" s="1"/>
  <c r="F36" i="2"/>
  <c r="F35" i="63" s="1"/>
  <c r="F37" i="2"/>
  <c r="F36" i="63" s="1"/>
  <c r="F38" i="2"/>
  <c r="F40"/>
  <c r="F41"/>
  <c r="F40" i="63" s="1"/>
  <c r="F42" i="2"/>
  <c r="F41" i="63" s="1"/>
  <c r="F48" i="2"/>
  <c r="F48" i="63" s="1"/>
  <c r="F49" i="2"/>
  <c r="F50"/>
  <c r="F50" i="63" s="1"/>
  <c r="G14" i="2"/>
  <c r="G15"/>
  <c r="G16" s="1"/>
  <c r="G19"/>
  <c r="G21"/>
  <c r="G22"/>
  <c r="G23"/>
  <c r="G26"/>
  <c r="G27"/>
  <c r="G28"/>
  <c r="G28" i="4" s="1"/>
  <c r="G31" i="2"/>
  <c r="G32"/>
  <c r="G28" i="6"/>
  <c r="G33" i="2"/>
  <c r="G36"/>
  <c r="G37"/>
  <c r="G38"/>
  <c r="G40"/>
  <c r="G41"/>
  <c r="G41" i="4" s="1"/>
  <c r="G42" i="2"/>
  <c r="G43"/>
  <c r="G11" i="6"/>
  <c r="G19"/>
  <c r="G24"/>
  <c r="G29"/>
  <c r="G38"/>
  <c r="G39"/>
  <c r="G41" s="1"/>
  <c r="G44"/>
  <c r="G49" i="2"/>
  <c r="G50"/>
  <c r="H14"/>
  <c r="H15"/>
  <c r="H16"/>
  <c r="H19"/>
  <c r="H21"/>
  <c r="H22"/>
  <c r="H23"/>
  <c r="H26"/>
  <c r="H27"/>
  <c r="H28"/>
  <c r="H31"/>
  <c r="H32"/>
  <c r="H33"/>
  <c r="H36"/>
  <c r="H37"/>
  <c r="H38"/>
  <c r="H40"/>
  <c r="H41"/>
  <c r="H42"/>
  <c r="G11" i="8"/>
  <c r="G19"/>
  <c r="G24"/>
  <c r="G29"/>
  <c r="G38"/>
  <c r="G39"/>
  <c r="G41" s="1"/>
  <c r="G44" s="1"/>
  <c r="H48" i="2" s="1"/>
  <c r="H49"/>
  <c r="H49" i="4" s="1"/>
  <c r="H50" i="2"/>
  <c r="I14"/>
  <c r="I14" i="4" s="1"/>
  <c r="I15" i="2"/>
  <c r="I16"/>
  <c r="I19"/>
  <c r="I21"/>
  <c r="I21" i="4" s="1"/>
  <c r="I22" i="2"/>
  <c r="I23"/>
  <c r="I23" i="4" s="1"/>
  <c r="I26" i="2"/>
  <c r="I27"/>
  <c r="I27" i="4" s="1"/>
  <c r="I28" i="2"/>
  <c r="I31"/>
  <c r="I31" i="4" s="1"/>
  <c r="I32" i="2"/>
  <c r="I33"/>
  <c r="I33" i="4" s="1"/>
  <c r="I36" i="2"/>
  <c r="I37"/>
  <c r="I37" i="4" s="1"/>
  <c r="I38" i="2"/>
  <c r="I40"/>
  <c r="I41"/>
  <c r="I42"/>
  <c r="I42" i="4" s="1"/>
  <c r="G11" i="9"/>
  <c r="G19"/>
  <c r="G24"/>
  <c r="G29"/>
  <c r="G38"/>
  <c r="G39"/>
  <c r="G41" s="1"/>
  <c r="G44"/>
  <c r="I48" i="2" s="1"/>
  <c r="I49"/>
  <c r="I50"/>
  <c r="J14"/>
  <c r="J15"/>
  <c r="J16" s="1"/>
  <c r="J19"/>
  <c r="L19" s="1"/>
  <c r="Z19" s="1"/>
  <c r="J21"/>
  <c r="J22"/>
  <c r="J23"/>
  <c r="J26"/>
  <c r="J27"/>
  <c r="J28"/>
  <c r="J31"/>
  <c r="J32"/>
  <c r="F74" i="10"/>
  <c r="F75"/>
  <c r="F76"/>
  <c r="F101"/>
  <c r="F102"/>
  <c r="F103"/>
  <c r="F99"/>
  <c r="F98"/>
  <c r="F97"/>
  <c r="F93"/>
  <c r="F94"/>
  <c r="F96" s="1"/>
  <c r="F88"/>
  <c r="F89"/>
  <c r="F90"/>
  <c r="F83"/>
  <c r="F84"/>
  <c r="F85"/>
  <c r="F81"/>
  <c r="C111"/>
  <c r="J36" i="2"/>
  <c r="J37"/>
  <c r="J38"/>
  <c r="J38" i="4" s="1"/>
  <c r="J40" i="2"/>
  <c r="J41"/>
  <c r="J42"/>
  <c r="J43"/>
  <c r="G11" i="10"/>
  <c r="G19"/>
  <c r="G24"/>
  <c r="G38"/>
  <c r="J49" i="2"/>
  <c r="J50"/>
  <c r="J50" i="4" s="1"/>
  <c r="K14" i="2"/>
  <c r="K15"/>
  <c r="K19"/>
  <c r="K21"/>
  <c r="K22"/>
  <c r="K23"/>
  <c r="K26"/>
  <c r="K27"/>
  <c r="K28"/>
  <c r="K31"/>
  <c r="K32"/>
  <c r="K33"/>
  <c r="K36"/>
  <c r="K37"/>
  <c r="K38"/>
  <c r="K40"/>
  <c r="K41"/>
  <c r="K42"/>
  <c r="K43"/>
  <c r="G11" i="11"/>
  <c r="G19"/>
  <c r="G24"/>
  <c r="G29"/>
  <c r="G38"/>
  <c r="G39"/>
  <c r="G41" s="1"/>
  <c r="G44" s="1"/>
  <c r="K48" i="2" s="1"/>
  <c r="K49"/>
  <c r="K50"/>
  <c r="AC49"/>
  <c r="AC50"/>
  <c r="G11" i="27"/>
  <c r="G19"/>
  <c r="G24"/>
  <c r="F76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C113"/>
  <c r="G38"/>
  <c r="C4" i="56"/>
  <c r="A4" i="63"/>
  <c r="A4" i="54"/>
  <c r="G19" i="12"/>
  <c r="F85"/>
  <c r="F83"/>
  <c r="F84"/>
  <c r="F86"/>
  <c r="F101"/>
  <c r="F102"/>
  <c r="F103"/>
  <c r="F104"/>
  <c r="F99"/>
  <c r="F98"/>
  <c r="F97"/>
  <c r="F93"/>
  <c r="F94"/>
  <c r="F96"/>
  <c r="F88"/>
  <c r="F89"/>
  <c r="F90"/>
  <c r="F91"/>
  <c r="F81"/>
  <c r="F106"/>
  <c r="F74"/>
  <c r="F75"/>
  <c r="F76"/>
  <c r="F78"/>
  <c r="F108" s="1"/>
  <c r="C111"/>
  <c r="G24"/>
  <c r="G38"/>
  <c r="G11"/>
  <c r="G11" i="14"/>
  <c r="G19"/>
  <c r="G24"/>
  <c r="G38"/>
  <c r="G11" i="15"/>
  <c r="G19"/>
  <c r="G24"/>
  <c r="G29"/>
  <c r="G38"/>
  <c r="G11" i="16"/>
  <c r="G19"/>
  <c r="G24"/>
  <c r="F74"/>
  <c r="F75"/>
  <c r="F76"/>
  <c r="F101"/>
  <c r="F102"/>
  <c r="F103"/>
  <c r="F99"/>
  <c r="F98"/>
  <c r="F97"/>
  <c r="F93"/>
  <c r="F94"/>
  <c r="F96" s="1"/>
  <c r="F88"/>
  <c r="F89"/>
  <c r="F90"/>
  <c r="F83"/>
  <c r="F84"/>
  <c r="F85"/>
  <c r="F81"/>
  <c r="C111"/>
  <c r="G38"/>
  <c r="G11" i="17"/>
  <c r="G19"/>
  <c r="G24"/>
  <c r="G29"/>
  <c r="G38"/>
  <c r="G11" i="18"/>
  <c r="G19"/>
  <c r="G24"/>
  <c r="G38"/>
  <c r="T48" i="2"/>
  <c r="G11" i="22"/>
  <c r="G19"/>
  <c r="G24"/>
  <c r="F76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C113"/>
  <c r="G38"/>
  <c r="AG48" i="2"/>
  <c r="G11" i="49"/>
  <c r="G19"/>
  <c r="G24"/>
  <c r="F76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C113"/>
  <c r="G38"/>
  <c r="G11" i="48"/>
  <c r="G19"/>
  <c r="G24"/>
  <c r="F76"/>
  <c r="F77"/>
  <c r="F78"/>
  <c r="F80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C113"/>
  <c r="G38"/>
  <c r="G11" i="47"/>
  <c r="G19"/>
  <c r="G24"/>
  <c r="F76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C113"/>
  <c r="G38"/>
  <c r="G11" i="51"/>
  <c r="G19"/>
  <c r="G24"/>
  <c r="F76"/>
  <c r="F77"/>
  <c r="F78"/>
  <c r="F80"/>
  <c r="F103"/>
  <c r="F106" s="1"/>
  <c r="F101"/>
  <c r="F100"/>
  <c r="F99"/>
  <c r="F95"/>
  <c r="F96"/>
  <c r="F98" s="1"/>
  <c r="F90"/>
  <c r="F91"/>
  <c r="F92"/>
  <c r="F85"/>
  <c r="F86"/>
  <c r="F87"/>
  <c r="F83"/>
  <c r="G38"/>
  <c r="G11" i="28"/>
  <c r="G19"/>
  <c r="G24"/>
  <c r="F76"/>
  <c r="F77"/>
  <c r="F78"/>
  <c r="F103"/>
  <c r="F104"/>
  <c r="F105"/>
  <c r="F101"/>
  <c r="F100"/>
  <c r="F99"/>
  <c r="F95"/>
  <c r="F96"/>
  <c r="F98" s="1"/>
  <c r="F90"/>
  <c r="F91"/>
  <c r="F92"/>
  <c r="F85"/>
  <c r="F86"/>
  <c r="F87"/>
  <c r="F83"/>
  <c r="C113"/>
  <c r="G38"/>
  <c r="G11" i="59"/>
  <c r="G19"/>
  <c r="G24"/>
  <c r="F76"/>
  <c r="F77"/>
  <c r="F78"/>
  <c r="F80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C113"/>
  <c r="G38"/>
  <c r="N49" i="2"/>
  <c r="O49"/>
  <c r="P49"/>
  <c r="Q49"/>
  <c r="R49"/>
  <c r="S49"/>
  <c r="T49"/>
  <c r="U49"/>
  <c r="V49"/>
  <c r="AA49"/>
  <c r="AB49"/>
  <c r="AD49"/>
  <c r="AE49"/>
  <c r="AF49"/>
  <c r="AG49"/>
  <c r="AH49"/>
  <c r="N50"/>
  <c r="O50"/>
  <c r="O50" i="4" s="1"/>
  <c r="P50" i="2"/>
  <c r="Q50"/>
  <c r="R50"/>
  <c r="S50"/>
  <c r="T50"/>
  <c r="U50"/>
  <c r="V50"/>
  <c r="AA50"/>
  <c r="AB50"/>
  <c r="AD50"/>
  <c r="AE50"/>
  <c r="AF50"/>
  <c r="AG50"/>
  <c r="AH50"/>
  <c r="N23"/>
  <c r="O23"/>
  <c r="P23"/>
  <c r="Q23"/>
  <c r="R23"/>
  <c r="S23"/>
  <c r="T23"/>
  <c r="U23"/>
  <c r="V23"/>
  <c r="AA23"/>
  <c r="AB23"/>
  <c r="AC23"/>
  <c r="AD23"/>
  <c r="AE23"/>
  <c r="AF23"/>
  <c r="AG23"/>
  <c r="AH23"/>
  <c r="N21"/>
  <c r="O21"/>
  <c r="P21"/>
  <c r="Q21"/>
  <c r="R21"/>
  <c r="S21"/>
  <c r="T21"/>
  <c r="U21"/>
  <c r="V21"/>
  <c r="AA21"/>
  <c r="AB21"/>
  <c r="AC21"/>
  <c r="AD21"/>
  <c r="AE21"/>
  <c r="AF21"/>
  <c r="AG21"/>
  <c r="AH21"/>
  <c r="N22"/>
  <c r="N24" s="1"/>
  <c r="O22"/>
  <c r="P22"/>
  <c r="Q22"/>
  <c r="R22"/>
  <c r="R24" s="1"/>
  <c r="S22"/>
  <c r="T22"/>
  <c r="U22"/>
  <c r="V22"/>
  <c r="AA22"/>
  <c r="AB22"/>
  <c r="AC22"/>
  <c r="AD22"/>
  <c r="AE22"/>
  <c r="AF22"/>
  <c r="AG22"/>
  <c r="AH22"/>
  <c r="P33"/>
  <c r="R33"/>
  <c r="R34" s="1"/>
  <c r="G28" i="19"/>
  <c r="F74" i="20"/>
  <c r="F75"/>
  <c r="F76"/>
  <c r="F78"/>
  <c r="F101"/>
  <c r="F102"/>
  <c r="F103"/>
  <c r="F104"/>
  <c r="F99"/>
  <c r="F98"/>
  <c r="F97"/>
  <c r="F93"/>
  <c r="F94"/>
  <c r="F96"/>
  <c r="F88"/>
  <c r="F89"/>
  <c r="F90"/>
  <c r="F91"/>
  <c r="F83"/>
  <c r="F84"/>
  <c r="F85"/>
  <c r="F86"/>
  <c r="F81"/>
  <c r="F106"/>
  <c r="C111"/>
  <c r="AG32" i="2"/>
  <c r="N32"/>
  <c r="O32"/>
  <c r="O32" i="4" s="1"/>
  <c r="P32" i="2"/>
  <c r="Q32"/>
  <c r="R32"/>
  <c r="S32"/>
  <c r="S32" i="4" s="1"/>
  <c r="T32" i="2"/>
  <c r="U32"/>
  <c r="X32" i="4" s="1"/>
  <c r="V32" i="2"/>
  <c r="AA32"/>
  <c r="AB32"/>
  <c r="AC32"/>
  <c r="AD32"/>
  <c r="AE32"/>
  <c r="AF32"/>
  <c r="AH32"/>
  <c r="N31"/>
  <c r="O31"/>
  <c r="O31" i="4" s="1"/>
  <c r="P31" i="2"/>
  <c r="Q31"/>
  <c r="Q31" i="4" s="1"/>
  <c r="R31" i="2"/>
  <c r="S31"/>
  <c r="T31"/>
  <c r="U31"/>
  <c r="X31" i="4" s="1"/>
  <c r="V31" i="2"/>
  <c r="AA31"/>
  <c r="AB31"/>
  <c r="AC31"/>
  <c r="AD31"/>
  <c r="AE31"/>
  <c r="AF31"/>
  <c r="AG31"/>
  <c r="AH31"/>
  <c r="N19"/>
  <c r="M19" i="4" s="1"/>
  <c r="O19" i="2"/>
  <c r="P19"/>
  <c r="Q19"/>
  <c r="R19"/>
  <c r="S19"/>
  <c r="T19"/>
  <c r="U19"/>
  <c r="V19"/>
  <c r="AA19"/>
  <c r="AB19"/>
  <c r="AC19"/>
  <c r="AD19"/>
  <c r="AE19"/>
  <c r="AF19"/>
  <c r="AG19"/>
  <c r="AH19"/>
  <c r="N26"/>
  <c r="O26"/>
  <c r="O26" i="4" s="1"/>
  <c r="P26" i="2"/>
  <c r="Q26"/>
  <c r="Q26" i="4" s="1"/>
  <c r="R26" i="2"/>
  <c r="S26"/>
  <c r="S26" i="4" s="1"/>
  <c r="T26" i="2"/>
  <c r="U26"/>
  <c r="V26"/>
  <c r="AA26"/>
  <c r="AB26"/>
  <c r="AC26"/>
  <c r="AD26"/>
  <c r="AE26"/>
  <c r="AF26"/>
  <c r="AG26"/>
  <c r="AH26"/>
  <c r="N27"/>
  <c r="N29" s="1"/>
  <c r="O27"/>
  <c r="P27"/>
  <c r="P29" s="1"/>
  <c r="Q27"/>
  <c r="R27"/>
  <c r="R29" s="1"/>
  <c r="S27"/>
  <c r="T27"/>
  <c r="T29" s="1"/>
  <c r="U27"/>
  <c r="V27"/>
  <c r="V29" s="1"/>
  <c r="AA27"/>
  <c r="AB27"/>
  <c r="AB29" s="1"/>
  <c r="AC27"/>
  <c r="AD27"/>
  <c r="AD29" s="1"/>
  <c r="AE27"/>
  <c r="AF27"/>
  <c r="AF29" s="1"/>
  <c r="AG27"/>
  <c r="AH27"/>
  <c r="AH29" s="1"/>
  <c r="N28"/>
  <c r="O28"/>
  <c r="O28" i="4" s="1"/>
  <c r="P28" i="2"/>
  <c r="Q28"/>
  <c r="R28"/>
  <c r="S28"/>
  <c r="T28"/>
  <c r="U28"/>
  <c r="V28"/>
  <c r="AA28"/>
  <c r="AB28"/>
  <c r="AC28"/>
  <c r="AD28"/>
  <c r="AE28"/>
  <c r="AF28"/>
  <c r="AG28"/>
  <c r="AH28"/>
  <c r="N36"/>
  <c r="M36" i="4" s="1"/>
  <c r="O36" i="2"/>
  <c r="Q36"/>
  <c r="R36"/>
  <c r="S36"/>
  <c r="T36"/>
  <c r="U36"/>
  <c r="V36"/>
  <c r="AA36"/>
  <c r="AB36"/>
  <c r="AC36"/>
  <c r="AD36"/>
  <c r="AE36"/>
  <c r="AF36"/>
  <c r="AG36"/>
  <c r="AH36"/>
  <c r="N37"/>
  <c r="O37"/>
  <c r="P37"/>
  <c r="Q37"/>
  <c r="R37"/>
  <c r="S37"/>
  <c r="T37"/>
  <c r="U37"/>
  <c r="V37"/>
  <c r="U37" i="4" s="1"/>
  <c r="AA37" i="2"/>
  <c r="AB37"/>
  <c r="AC37"/>
  <c r="AD37"/>
  <c r="AE37"/>
  <c r="AF37"/>
  <c r="AG37"/>
  <c r="AH37"/>
  <c r="N38"/>
  <c r="O38"/>
  <c r="P38"/>
  <c r="Q38"/>
  <c r="R38"/>
  <c r="S38"/>
  <c r="T38"/>
  <c r="U38"/>
  <c r="X38" i="4" s="1"/>
  <c r="V38" i="2"/>
  <c r="AA38"/>
  <c r="AB38"/>
  <c r="AC38"/>
  <c r="AD38"/>
  <c r="AE38"/>
  <c r="AF38"/>
  <c r="AG38"/>
  <c r="AH38"/>
  <c r="N40"/>
  <c r="O40"/>
  <c r="P40"/>
  <c r="P40" i="4" s="1"/>
  <c r="Q40" i="2"/>
  <c r="R40"/>
  <c r="S40"/>
  <c r="T40"/>
  <c r="T40" i="4" s="1"/>
  <c r="U40" i="2"/>
  <c r="V40"/>
  <c r="AA40"/>
  <c r="AB40"/>
  <c r="AC40"/>
  <c r="AD40"/>
  <c r="AE40"/>
  <c r="AF40"/>
  <c r="AG40"/>
  <c r="AH40"/>
  <c r="N41"/>
  <c r="O41"/>
  <c r="O41" i="4" s="1"/>
  <c r="P41" i="2"/>
  <c r="Q41"/>
  <c r="R41"/>
  <c r="S41"/>
  <c r="T41"/>
  <c r="U41"/>
  <c r="U43" s="1"/>
  <c r="V41"/>
  <c r="AA41"/>
  <c r="AA43" s="1"/>
  <c r="AB41"/>
  <c r="AC41"/>
  <c r="AC43" s="1"/>
  <c r="AD41"/>
  <c r="AE41"/>
  <c r="AE43" s="1"/>
  <c r="AF41"/>
  <c r="AG41"/>
  <c r="AG43" s="1"/>
  <c r="AH41"/>
  <c r="N42"/>
  <c r="M42" i="4" s="1"/>
  <c r="O42" i="2"/>
  <c r="P42"/>
  <c r="Q42"/>
  <c r="R42"/>
  <c r="S42"/>
  <c r="T42"/>
  <c r="U42"/>
  <c r="V42"/>
  <c r="U42" i="4" s="1"/>
  <c r="AA42" i="2"/>
  <c r="AB42"/>
  <c r="AC42"/>
  <c r="AD42"/>
  <c r="AE42"/>
  <c r="AF42"/>
  <c r="AG42"/>
  <c r="AH42"/>
  <c r="N13"/>
  <c r="O13"/>
  <c r="P13"/>
  <c r="Q13"/>
  <c r="R13"/>
  <c r="S13"/>
  <c r="S16" s="1"/>
  <c r="T13"/>
  <c r="U13"/>
  <c r="V13"/>
  <c r="AA13"/>
  <c r="AB13"/>
  <c r="AC13"/>
  <c r="AD13"/>
  <c r="AE13"/>
  <c r="AF13"/>
  <c r="AG13"/>
  <c r="AH13"/>
  <c r="N14"/>
  <c r="N16" s="1"/>
  <c r="O14"/>
  <c r="P14"/>
  <c r="P16" s="1"/>
  <c r="Q14"/>
  <c r="R14"/>
  <c r="R16" s="1"/>
  <c r="S14"/>
  <c r="T14"/>
  <c r="T16" s="1"/>
  <c r="U14"/>
  <c r="V14"/>
  <c r="V16" s="1"/>
  <c r="AA14"/>
  <c r="AB14"/>
  <c r="AB16" s="1"/>
  <c r="AC14"/>
  <c r="AD14"/>
  <c r="AD16" s="1"/>
  <c r="AE14"/>
  <c r="AF14"/>
  <c r="AF16" s="1"/>
  <c r="AG14"/>
  <c r="AH14"/>
  <c r="AH16" s="1"/>
  <c r="N15"/>
  <c r="O15"/>
  <c r="P15"/>
  <c r="Q15"/>
  <c r="Q15" i="4" s="1"/>
  <c r="R15" i="2"/>
  <c r="S15"/>
  <c r="T15"/>
  <c r="U15"/>
  <c r="V15"/>
  <c r="AA15"/>
  <c r="AB15"/>
  <c r="AC15"/>
  <c r="AD15"/>
  <c r="AE15"/>
  <c r="AF15"/>
  <c r="AG15"/>
  <c r="AH15"/>
  <c r="F66" i="63"/>
  <c r="F62"/>
  <c r="F58"/>
  <c r="F57"/>
  <c r="F49"/>
  <c r="F37"/>
  <c r="F27"/>
  <c r="F13"/>
  <c r="F12"/>
  <c r="I23"/>
  <c r="I28"/>
  <c r="J51"/>
  <c r="A76" i="3"/>
  <c r="A89" i="43"/>
  <c r="B76" i="3"/>
  <c r="B89" i="43"/>
  <c r="G60" i="27"/>
  <c r="A36" i="3"/>
  <c r="A28" i="43" s="1"/>
  <c r="B36" i="3"/>
  <c r="B28" i="43" s="1"/>
  <c r="A12" i="3"/>
  <c r="A10" i="43" s="1"/>
  <c r="B12" i="3"/>
  <c r="B10" i="43" s="1"/>
  <c r="A13" i="3"/>
  <c r="A11" i="43" s="1"/>
  <c r="B13" i="3"/>
  <c r="B11" i="43" s="1"/>
  <c r="A14" i="3"/>
  <c r="A12" i="43" s="1"/>
  <c r="B14" i="3"/>
  <c r="B12" i="43" s="1"/>
  <c r="A15" i="3"/>
  <c r="A13" i="43" s="1"/>
  <c r="B15" i="3"/>
  <c r="B13" i="43" s="1"/>
  <c r="A16" i="3"/>
  <c r="A14" i="43" s="1"/>
  <c r="B16" i="3"/>
  <c r="B14" i="43" s="1"/>
  <c r="A19" i="3"/>
  <c r="A15" i="43" s="1"/>
  <c r="B19" i="3"/>
  <c r="B15" i="43" s="1"/>
  <c r="A20" i="3"/>
  <c r="A16" i="43" s="1"/>
  <c r="B20" i="3"/>
  <c r="B16" i="43" s="1"/>
  <c r="A21" i="3"/>
  <c r="A17" i="43" s="1"/>
  <c r="B21" i="3"/>
  <c r="B17" i="43" s="1"/>
  <c r="A22" i="3"/>
  <c r="A18" i="43" s="1"/>
  <c r="B22" i="3"/>
  <c r="B18" i="43" s="1"/>
  <c r="A23" i="3"/>
  <c r="A19" i="43" s="1"/>
  <c r="B23" i="3"/>
  <c r="B19" i="43" s="1"/>
  <c r="A24" i="3"/>
  <c r="A20" i="43" s="1"/>
  <c r="B24" i="3"/>
  <c r="B20" i="43" s="1"/>
  <c r="A25" i="3"/>
  <c r="A21" i="43" s="1"/>
  <c r="B25" i="3"/>
  <c r="B21" i="43" s="1"/>
  <c r="A26" i="3"/>
  <c r="A22" i="43" s="1"/>
  <c r="B26" i="3"/>
  <c r="B22" i="43" s="1"/>
  <c r="A27" i="3"/>
  <c r="A23" i="43" s="1"/>
  <c r="B27" i="3"/>
  <c r="B23" i="43" s="1"/>
  <c r="A28" i="3"/>
  <c r="A24" i="43" s="1"/>
  <c r="B28" i="3"/>
  <c r="B24" i="43" s="1"/>
  <c r="A29" i="3"/>
  <c r="A25" i="43" s="1"/>
  <c r="B29" i="3"/>
  <c r="B25" i="43" s="1"/>
  <c r="A31" i="3"/>
  <c r="B31"/>
  <c r="F72" i="51"/>
  <c r="F71"/>
  <c r="F70"/>
  <c r="A3"/>
  <c r="A70"/>
  <c r="A68"/>
  <c r="A3" i="62"/>
  <c r="A1"/>
  <c r="E15"/>
  <c r="E17" s="1"/>
  <c r="E19" s="1"/>
  <c r="L26" i="61"/>
  <c r="L28"/>
  <c r="M28" s="1"/>
  <c r="L30"/>
  <c r="L32"/>
  <c r="G11" i="5"/>
  <c r="G19"/>
  <c r="G24"/>
  <c r="G29"/>
  <c r="G38"/>
  <c r="G39"/>
  <c r="G41" s="1"/>
  <c r="G48"/>
  <c r="F72" i="22"/>
  <c r="F71"/>
  <c r="F70"/>
  <c r="A3"/>
  <c r="A70" s="1"/>
  <c r="A68"/>
  <c r="U47" i="2"/>
  <c r="A4" i="61"/>
  <c r="J12"/>
  <c r="L12" s="1"/>
  <c r="R12"/>
  <c r="T13"/>
  <c r="L14"/>
  <c r="M14"/>
  <c r="T14"/>
  <c r="L16"/>
  <c r="T16"/>
  <c r="L18"/>
  <c r="T18"/>
  <c r="J20"/>
  <c r="J34"/>
  <c r="F70" i="58"/>
  <c r="E61"/>
  <c r="E58"/>
  <c r="E53"/>
  <c r="E27"/>
  <c r="H27" s="1"/>
  <c r="F70" i="27"/>
  <c r="U24" i="2"/>
  <c r="O43"/>
  <c r="P34"/>
  <c r="Q29"/>
  <c r="AC24"/>
  <c r="G19" i="58"/>
  <c r="G24"/>
  <c r="G38"/>
  <c r="G11"/>
  <c r="AA24" i="2"/>
  <c r="AB43"/>
  <c r="AS56"/>
  <c r="AS57"/>
  <c r="AS58"/>
  <c r="AS61"/>
  <c r="AS62"/>
  <c r="AS63"/>
  <c r="AS65"/>
  <c r="AS66"/>
  <c r="AS67"/>
  <c r="E61" i="29"/>
  <c r="E59"/>
  <c r="E58"/>
  <c r="E57"/>
  <c r="E54"/>
  <c r="E53"/>
  <c r="E52"/>
  <c r="E22"/>
  <c r="E27"/>
  <c r="E61" i="51"/>
  <c r="E59"/>
  <c r="E58"/>
  <c r="E57"/>
  <c r="E54"/>
  <c r="E53"/>
  <c r="E52"/>
  <c r="E37"/>
  <c r="E27"/>
  <c r="E36"/>
  <c r="E54" i="47"/>
  <c r="E53"/>
  <c r="E52"/>
  <c r="E26" i="50"/>
  <c r="AS27" i="2"/>
  <c r="AS26"/>
  <c r="AS28"/>
  <c r="AS29"/>
  <c r="F91" i="29"/>
  <c r="F90"/>
  <c r="F92"/>
  <c r="F93"/>
  <c r="F96"/>
  <c r="F95"/>
  <c r="F98" s="1"/>
  <c r="F104"/>
  <c r="F103"/>
  <c r="F105"/>
  <c r="F101"/>
  <c r="F100"/>
  <c r="F99"/>
  <c r="F85"/>
  <c r="F86"/>
  <c r="F87"/>
  <c r="F88"/>
  <c r="F83"/>
  <c r="F76"/>
  <c r="F77"/>
  <c r="F78"/>
  <c r="F80"/>
  <c r="C113"/>
  <c r="AS32" i="2"/>
  <c r="AS31"/>
  <c r="AS41"/>
  <c r="AS40"/>
  <c r="AS42"/>
  <c r="AS43"/>
  <c r="AS19"/>
  <c r="AS21"/>
  <c r="AS22"/>
  <c r="AS23"/>
  <c r="AS36"/>
  <c r="AS37"/>
  <c r="AS38"/>
  <c r="AS13"/>
  <c r="AS14"/>
  <c r="AS15"/>
  <c r="G24" i="29"/>
  <c r="G38"/>
  <c r="G19"/>
  <c r="G11"/>
  <c r="AS49" i="2"/>
  <c r="AS50"/>
  <c r="E62" i="27"/>
  <c r="E61"/>
  <c r="E57"/>
  <c r="E52"/>
  <c r="H52" s="1"/>
  <c r="E23"/>
  <c r="E22"/>
  <c r="E36" i="12"/>
  <c r="AK29" i="1"/>
  <c r="AL16"/>
  <c r="AL43"/>
  <c r="F48" i="3"/>
  <c r="G38" i="50"/>
  <c r="G19"/>
  <c r="G24"/>
  <c r="G29"/>
  <c r="G11"/>
  <c r="E28" i="5"/>
  <c r="H28"/>
  <c r="L49" i="55"/>
  <c r="L51"/>
  <c r="J53"/>
  <c r="AH47" i="2"/>
  <c r="AG47"/>
  <c r="AF47"/>
  <c r="K47"/>
  <c r="L47" i="1"/>
  <c r="K47" i="4" s="1"/>
  <c r="A1" i="60"/>
  <c r="A3"/>
  <c r="H8"/>
  <c r="H9"/>
  <c r="H10"/>
  <c r="E11"/>
  <c r="H14"/>
  <c r="E16"/>
  <c r="H16"/>
  <c r="H17"/>
  <c r="H18"/>
  <c r="E19"/>
  <c r="H19"/>
  <c r="E21"/>
  <c r="H21"/>
  <c r="E22"/>
  <c r="H22"/>
  <c r="H23"/>
  <c r="E24"/>
  <c r="E26"/>
  <c r="H26" s="1"/>
  <c r="E27"/>
  <c r="H27" s="1"/>
  <c r="E31"/>
  <c r="H31" s="1"/>
  <c r="E32"/>
  <c r="H32" s="1"/>
  <c r="E33"/>
  <c r="H33" s="1"/>
  <c r="E35"/>
  <c r="E36"/>
  <c r="H36" s="1"/>
  <c r="H37"/>
  <c r="H45"/>
  <c r="H46"/>
  <c r="H52"/>
  <c r="H53"/>
  <c r="H54"/>
  <c r="E55"/>
  <c r="F55"/>
  <c r="G55"/>
  <c r="G65" s="1"/>
  <c r="H56"/>
  <c r="E57"/>
  <c r="H57"/>
  <c r="E58"/>
  <c r="H58"/>
  <c r="E59"/>
  <c r="H59"/>
  <c r="E60"/>
  <c r="F60"/>
  <c r="F65" s="1"/>
  <c r="G60"/>
  <c r="H60"/>
  <c r="E61"/>
  <c r="H61"/>
  <c r="H62"/>
  <c r="H63"/>
  <c r="A68"/>
  <c r="A70"/>
  <c r="F70"/>
  <c r="F71"/>
  <c r="F72"/>
  <c r="K47" i="1"/>
  <c r="A1" i="59"/>
  <c r="A3"/>
  <c r="H8"/>
  <c r="H9"/>
  <c r="H10"/>
  <c r="E11"/>
  <c r="H14"/>
  <c r="E16"/>
  <c r="H16"/>
  <c r="E17"/>
  <c r="H17"/>
  <c r="H18"/>
  <c r="E19"/>
  <c r="E21"/>
  <c r="H21" s="1"/>
  <c r="H22"/>
  <c r="H23"/>
  <c r="E26"/>
  <c r="H27"/>
  <c r="E31"/>
  <c r="H31"/>
  <c r="E32"/>
  <c r="H32"/>
  <c r="E33"/>
  <c r="H33"/>
  <c r="E35"/>
  <c r="H35"/>
  <c r="H36"/>
  <c r="H37"/>
  <c r="E38"/>
  <c r="H38"/>
  <c r="H45"/>
  <c r="H46"/>
  <c r="H52"/>
  <c r="H53"/>
  <c r="H54"/>
  <c r="E55"/>
  <c r="F55"/>
  <c r="G55"/>
  <c r="G65" s="1"/>
  <c r="H56"/>
  <c r="H57"/>
  <c r="H58"/>
  <c r="H59"/>
  <c r="E60"/>
  <c r="F60"/>
  <c r="G60"/>
  <c r="H61"/>
  <c r="H62"/>
  <c r="H63"/>
  <c r="F65"/>
  <c r="A68"/>
  <c r="A70"/>
  <c r="F70"/>
  <c r="F71"/>
  <c r="F72"/>
  <c r="A1" i="58"/>
  <c r="A3"/>
  <c r="H8"/>
  <c r="H9"/>
  <c r="H10"/>
  <c r="E11"/>
  <c r="H11"/>
  <c r="H14"/>
  <c r="E16"/>
  <c r="E17"/>
  <c r="H17" s="1"/>
  <c r="H18"/>
  <c r="E21"/>
  <c r="H21"/>
  <c r="H22"/>
  <c r="H23"/>
  <c r="E24"/>
  <c r="H24"/>
  <c r="E26"/>
  <c r="H26"/>
  <c r="E31"/>
  <c r="H31" s="1"/>
  <c r="E32"/>
  <c r="H32" s="1"/>
  <c r="E33"/>
  <c r="H33" s="1"/>
  <c r="E35"/>
  <c r="H35" s="1"/>
  <c r="H36"/>
  <c r="H37"/>
  <c r="E38"/>
  <c r="H38" s="1"/>
  <c r="E44"/>
  <c r="H44" s="1"/>
  <c r="H45"/>
  <c r="H46"/>
  <c r="H52"/>
  <c r="H53"/>
  <c r="H54"/>
  <c r="E55"/>
  <c r="F55"/>
  <c r="G55"/>
  <c r="H55"/>
  <c r="H56"/>
  <c r="H57"/>
  <c r="H59"/>
  <c r="F60"/>
  <c r="G60"/>
  <c r="H61"/>
  <c r="H62"/>
  <c r="H63"/>
  <c r="G65"/>
  <c r="A68"/>
  <c r="A70"/>
  <c r="F71"/>
  <c r="F72"/>
  <c r="E18" i="12"/>
  <c r="AE47" i="1"/>
  <c r="F60" i="27"/>
  <c r="H60" s="1"/>
  <c r="E32" i="12"/>
  <c r="E9"/>
  <c r="E10"/>
  <c r="E10" i="27"/>
  <c r="U37" i="42"/>
  <c r="U39"/>
  <c r="U42"/>
  <c r="U61"/>
  <c r="U32"/>
  <c r="U62"/>
  <c r="U44" s="1"/>
  <c r="U45"/>
  <c r="V91"/>
  <c r="V92"/>
  <c r="V93"/>
  <c r="V94"/>
  <c r="T47" s="1"/>
  <c r="V47" s="1"/>
  <c r="U47"/>
  <c r="T41"/>
  <c r="V61"/>
  <c r="V32"/>
  <c r="V62" s="1"/>
  <c r="V44"/>
  <c r="E37"/>
  <c r="E39"/>
  <c r="E42"/>
  <c r="E61"/>
  <c r="E32"/>
  <c r="E62" s="1"/>
  <c r="E44"/>
  <c r="D44" s="1"/>
  <c r="E45"/>
  <c r="F91"/>
  <c r="F92"/>
  <c r="F93"/>
  <c r="D41"/>
  <c r="F61"/>
  <c r="F32"/>
  <c r="F62"/>
  <c r="F44" s="1"/>
  <c r="M37"/>
  <c r="M39"/>
  <c r="M42"/>
  <c r="M61"/>
  <c r="M32"/>
  <c r="M62"/>
  <c r="M44" s="1"/>
  <c r="M45"/>
  <c r="N91"/>
  <c r="N92"/>
  <c r="N93"/>
  <c r="N94"/>
  <c r="L47" s="1"/>
  <c r="N47" s="1"/>
  <c r="L41"/>
  <c r="N61"/>
  <c r="N32"/>
  <c r="N62" s="1"/>
  <c r="N44" s="1"/>
  <c r="N49" s="1"/>
  <c r="V37"/>
  <c r="V39"/>
  <c r="V49" s="1"/>
  <c r="V42"/>
  <c r="V45"/>
  <c r="F37"/>
  <c r="F39"/>
  <c r="F42"/>
  <c r="F45"/>
  <c r="N37"/>
  <c r="N39"/>
  <c r="N42"/>
  <c r="N45"/>
  <c r="U8"/>
  <c r="U9"/>
  <c r="U13"/>
  <c r="U33"/>
  <c r="U15" s="1"/>
  <c r="U16"/>
  <c r="U91"/>
  <c r="U92"/>
  <c r="U93"/>
  <c r="U94"/>
  <c r="T18" s="1"/>
  <c r="U18" s="1"/>
  <c r="T23"/>
  <c r="T12"/>
  <c r="V33"/>
  <c r="V15" s="1"/>
  <c r="T15" s="1"/>
  <c r="T20" s="1"/>
  <c r="E8"/>
  <c r="E9"/>
  <c r="E13"/>
  <c r="E33"/>
  <c r="E15" s="1"/>
  <c r="E16"/>
  <c r="E91"/>
  <c r="E92"/>
  <c r="E93"/>
  <c r="E94"/>
  <c r="D18" s="1"/>
  <c r="F18" s="1"/>
  <c r="D23"/>
  <c r="D12"/>
  <c r="F33"/>
  <c r="F15" s="1"/>
  <c r="D15" s="1"/>
  <c r="D20" s="1"/>
  <c r="M8"/>
  <c r="M9"/>
  <c r="M13"/>
  <c r="M33"/>
  <c r="M15" s="1"/>
  <c r="M16"/>
  <c r="M91"/>
  <c r="M92"/>
  <c r="M93"/>
  <c r="M94"/>
  <c r="L18" s="1"/>
  <c r="M18" s="1"/>
  <c r="L23"/>
  <c r="L12"/>
  <c r="N33"/>
  <c r="N15" s="1"/>
  <c r="L15" s="1"/>
  <c r="L20" s="1"/>
  <c r="V8"/>
  <c r="V9"/>
  <c r="V13"/>
  <c r="V16"/>
  <c r="V18"/>
  <c r="F8"/>
  <c r="F9"/>
  <c r="F20" s="1"/>
  <c r="F13"/>
  <c r="F16"/>
  <c r="N8"/>
  <c r="N9"/>
  <c r="N13"/>
  <c r="N16"/>
  <c r="U66"/>
  <c r="U72"/>
  <c r="W91"/>
  <c r="W92"/>
  <c r="W93"/>
  <c r="T67"/>
  <c r="T68"/>
  <c r="T69"/>
  <c r="T71"/>
  <c r="E66"/>
  <c r="E69"/>
  <c r="D69" s="1"/>
  <c r="E72"/>
  <c r="G91"/>
  <c r="G92"/>
  <c r="G93"/>
  <c r="D67"/>
  <c r="D68"/>
  <c r="D71"/>
  <c r="M66"/>
  <c r="M69"/>
  <c r="L69" s="1"/>
  <c r="M72"/>
  <c r="O91"/>
  <c r="O92"/>
  <c r="O93"/>
  <c r="L67"/>
  <c r="L68"/>
  <c r="L71"/>
  <c r="C63" i="43"/>
  <c r="E71" s="1"/>
  <c r="E17" i="49"/>
  <c r="E17" i="48"/>
  <c r="G47" i="2"/>
  <c r="E61" i="47"/>
  <c r="H61" s="1"/>
  <c r="E59"/>
  <c r="E58"/>
  <c r="E57"/>
  <c r="E36"/>
  <c r="E27"/>
  <c r="E22"/>
  <c r="A4" i="55"/>
  <c r="F66" i="54"/>
  <c r="F63"/>
  <c r="F62"/>
  <c r="F57"/>
  <c r="F56"/>
  <c r="F49"/>
  <c r="F50"/>
  <c r="F48"/>
  <c r="F40"/>
  <c r="F39"/>
  <c r="F37"/>
  <c r="F36"/>
  <c r="F35"/>
  <c r="F32"/>
  <c r="F31"/>
  <c r="F30"/>
  <c r="F28"/>
  <c r="F26"/>
  <c r="F25"/>
  <c r="F21"/>
  <c r="F20"/>
  <c r="F12"/>
  <c r="I23"/>
  <c r="I28"/>
  <c r="J51"/>
  <c r="J20" i="55"/>
  <c r="D106" i="42"/>
  <c r="T99"/>
  <c r="L99"/>
  <c r="D99"/>
  <c r="T98"/>
  <c r="L98"/>
  <c r="D98"/>
  <c r="T97"/>
  <c r="L97"/>
  <c r="D97"/>
  <c r="T94"/>
  <c r="L94"/>
  <c r="D94"/>
  <c r="T85"/>
  <c r="L85"/>
  <c r="D85"/>
  <c r="T84"/>
  <c r="L84"/>
  <c r="D84"/>
  <c r="V66"/>
  <c r="V72"/>
  <c r="N66"/>
  <c r="N72"/>
  <c r="F66"/>
  <c r="F72"/>
  <c r="V60"/>
  <c r="U60"/>
  <c r="T60" s="1"/>
  <c r="L60"/>
  <c r="D60"/>
  <c r="T59"/>
  <c r="L59"/>
  <c r="D59"/>
  <c r="T58"/>
  <c r="L58"/>
  <c r="D58"/>
  <c r="T57"/>
  <c r="L57"/>
  <c r="D57"/>
  <c r="V31"/>
  <c r="U31"/>
  <c r="T31"/>
  <c r="L31"/>
  <c r="D31"/>
  <c r="T30"/>
  <c r="L30"/>
  <c r="D30"/>
  <c r="T29"/>
  <c r="L29"/>
  <c r="D29"/>
  <c r="T28"/>
  <c r="L28"/>
  <c r="D28"/>
  <c r="E35" i="50"/>
  <c r="E27" i="52"/>
  <c r="H27" s="1"/>
  <c r="A1"/>
  <c r="A3"/>
  <c r="H8"/>
  <c r="H9"/>
  <c r="H10"/>
  <c r="E11"/>
  <c r="G11"/>
  <c r="H11"/>
  <c r="H14"/>
  <c r="E16"/>
  <c r="E17"/>
  <c r="H17" s="1"/>
  <c r="H18"/>
  <c r="G19"/>
  <c r="E21"/>
  <c r="H21" s="1"/>
  <c r="H22"/>
  <c r="H23"/>
  <c r="E24"/>
  <c r="G24"/>
  <c r="H24"/>
  <c r="E26"/>
  <c r="H26"/>
  <c r="C113"/>
  <c r="F76"/>
  <c r="F77"/>
  <c r="F78"/>
  <c r="F80"/>
  <c r="F103"/>
  <c r="F104"/>
  <c r="F105"/>
  <c r="F106"/>
  <c r="F101"/>
  <c r="F100"/>
  <c r="F99"/>
  <c r="F95"/>
  <c r="F96"/>
  <c r="F98"/>
  <c r="F90"/>
  <c r="F91"/>
  <c r="F92"/>
  <c r="F93"/>
  <c r="F85"/>
  <c r="F86"/>
  <c r="F87"/>
  <c r="F88"/>
  <c r="F83"/>
  <c r="F108"/>
  <c r="E31"/>
  <c r="H31"/>
  <c r="E32"/>
  <c r="H32"/>
  <c r="E33"/>
  <c r="H33"/>
  <c r="E35"/>
  <c r="H35"/>
  <c r="H36"/>
  <c r="H37"/>
  <c r="E38"/>
  <c r="G38"/>
  <c r="H38" s="1"/>
  <c r="H45"/>
  <c r="H46"/>
  <c r="H52"/>
  <c r="H53"/>
  <c r="H54"/>
  <c r="E55"/>
  <c r="F55"/>
  <c r="G55"/>
  <c r="G65" s="1"/>
  <c r="H56"/>
  <c r="H57"/>
  <c r="H58"/>
  <c r="H59"/>
  <c r="E60"/>
  <c r="F60"/>
  <c r="G60"/>
  <c r="H61"/>
  <c r="H62"/>
  <c r="H63"/>
  <c r="F65"/>
  <c r="A68"/>
  <c r="A70"/>
  <c r="F70"/>
  <c r="F71"/>
  <c r="F72"/>
  <c r="E35" i="14"/>
  <c r="E38" s="1"/>
  <c r="H38" s="1"/>
  <c r="A1"/>
  <c r="A3"/>
  <c r="A68" s="1"/>
  <c r="E8"/>
  <c r="H8"/>
  <c r="E9"/>
  <c r="H9"/>
  <c r="H10"/>
  <c r="E11"/>
  <c r="H14"/>
  <c r="H16"/>
  <c r="H17"/>
  <c r="H18"/>
  <c r="E19"/>
  <c r="H21"/>
  <c r="H22"/>
  <c r="H23"/>
  <c r="E24"/>
  <c r="H24"/>
  <c r="H26"/>
  <c r="H27"/>
  <c r="H31"/>
  <c r="H32"/>
  <c r="H33"/>
  <c r="H35"/>
  <c r="H36"/>
  <c r="H37"/>
  <c r="H45"/>
  <c r="H46"/>
  <c r="H52"/>
  <c r="H53"/>
  <c r="H54"/>
  <c r="E55"/>
  <c r="F55"/>
  <c r="G55"/>
  <c r="G65" s="1"/>
  <c r="H56"/>
  <c r="H57"/>
  <c r="H58"/>
  <c r="H59"/>
  <c r="E60"/>
  <c r="F60"/>
  <c r="G60"/>
  <c r="H61"/>
  <c r="H62"/>
  <c r="H63"/>
  <c r="F65"/>
  <c r="A66"/>
  <c r="F68"/>
  <c r="F69"/>
  <c r="F70"/>
  <c r="A1" i="13"/>
  <c r="A3"/>
  <c r="H8"/>
  <c r="H9"/>
  <c r="H10"/>
  <c r="E11"/>
  <c r="F11"/>
  <c r="G11"/>
  <c r="H11"/>
  <c r="H14"/>
  <c r="E16"/>
  <c r="H16" s="1"/>
  <c r="H17"/>
  <c r="H18"/>
  <c r="F19"/>
  <c r="G19"/>
  <c r="G39" s="1"/>
  <c r="G41" s="1"/>
  <c r="H21"/>
  <c r="H22"/>
  <c r="H23"/>
  <c r="E24"/>
  <c r="F24"/>
  <c r="F39" s="1"/>
  <c r="G24"/>
  <c r="H24"/>
  <c r="H26"/>
  <c r="H27"/>
  <c r="E28"/>
  <c r="H28"/>
  <c r="E29"/>
  <c r="F29"/>
  <c r="G29"/>
  <c r="H29"/>
  <c r="H31"/>
  <c r="H32"/>
  <c r="H33"/>
  <c r="H35"/>
  <c r="H36"/>
  <c r="H37"/>
  <c r="E38"/>
  <c r="F38"/>
  <c r="G38"/>
  <c r="H38"/>
  <c r="G44"/>
  <c r="H45"/>
  <c r="H46"/>
  <c r="H52"/>
  <c r="H53"/>
  <c r="H54"/>
  <c r="E55"/>
  <c r="F55"/>
  <c r="G55"/>
  <c r="G65" s="1"/>
  <c r="H56"/>
  <c r="H57"/>
  <c r="H58"/>
  <c r="H59"/>
  <c r="E60"/>
  <c r="F60"/>
  <c r="G60"/>
  <c r="H61"/>
  <c r="H62"/>
  <c r="H63"/>
  <c r="F65"/>
  <c r="A68"/>
  <c r="A70"/>
  <c r="F70"/>
  <c r="F71"/>
  <c r="F72"/>
  <c r="F76"/>
  <c r="F77"/>
  <c r="F78"/>
  <c r="F83"/>
  <c r="F85"/>
  <c r="F86"/>
  <c r="F87"/>
  <c r="F88"/>
  <c r="F90"/>
  <c r="F91"/>
  <c r="F92"/>
  <c r="F93"/>
  <c r="F95"/>
  <c r="F96"/>
  <c r="F98" s="1"/>
  <c r="F99"/>
  <c r="F100"/>
  <c r="F101"/>
  <c r="F103"/>
  <c r="F104"/>
  <c r="F105"/>
  <c r="F106"/>
  <c r="F108" s="1"/>
  <c r="C113"/>
  <c r="E61" i="8"/>
  <c r="A1"/>
  <c r="A3"/>
  <c r="A68" s="1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E28"/>
  <c r="H28" s="1"/>
  <c r="H31"/>
  <c r="H32"/>
  <c r="H33"/>
  <c r="H35"/>
  <c r="H36"/>
  <c r="H37"/>
  <c r="E38"/>
  <c r="H38" s="1"/>
  <c r="H45"/>
  <c r="H46"/>
  <c r="G48"/>
  <c r="H52"/>
  <c r="H53"/>
  <c r="H54"/>
  <c r="E55"/>
  <c r="F55"/>
  <c r="G55"/>
  <c r="H55"/>
  <c r="H56"/>
  <c r="H57"/>
  <c r="H58"/>
  <c r="H59"/>
  <c r="E60"/>
  <c r="F60"/>
  <c r="G60"/>
  <c r="H60"/>
  <c r="H61"/>
  <c r="H62"/>
  <c r="E63"/>
  <c r="H63"/>
  <c r="E65"/>
  <c r="F65"/>
  <c r="G65"/>
  <c r="H65"/>
  <c r="A66"/>
  <c r="C111"/>
  <c r="A1" i="41"/>
  <c r="F13"/>
  <c r="F63"/>
  <c r="F62"/>
  <c r="F58"/>
  <c r="F57"/>
  <c r="F51"/>
  <c r="F50"/>
  <c r="F49"/>
  <c r="F42"/>
  <c r="F40"/>
  <c r="F38"/>
  <c r="F37"/>
  <c r="F36"/>
  <c r="F33"/>
  <c r="R33" s="1"/>
  <c r="U33" s="1"/>
  <c r="F32"/>
  <c r="F31"/>
  <c r="F28"/>
  <c r="F26"/>
  <c r="R26" s="1"/>
  <c r="U26" s="1"/>
  <c r="F21"/>
  <c r="F19"/>
  <c r="R19" s="1"/>
  <c r="R21"/>
  <c r="U21" s="1"/>
  <c r="R28"/>
  <c r="U28" s="1"/>
  <c r="R32"/>
  <c r="U32" s="1"/>
  <c r="R36"/>
  <c r="U36" s="1"/>
  <c r="R37"/>
  <c r="U37" s="1"/>
  <c r="R38"/>
  <c r="U38" s="1"/>
  <c r="R40"/>
  <c r="U40" s="1"/>
  <c r="R42"/>
  <c r="U42" s="1"/>
  <c r="R49"/>
  <c r="U49" s="1"/>
  <c r="R50"/>
  <c r="U50" s="1"/>
  <c r="R51"/>
  <c r="U51" s="1"/>
  <c r="R57"/>
  <c r="U57" s="1"/>
  <c r="R58"/>
  <c r="U58" s="1"/>
  <c r="R62"/>
  <c r="U62" s="1"/>
  <c r="R63"/>
  <c r="U63" s="1"/>
  <c r="P72"/>
  <c r="O72"/>
  <c r="R13"/>
  <c r="U13" s="1"/>
  <c r="F23"/>
  <c r="R23" s="1"/>
  <c r="U23" s="1"/>
  <c r="F14"/>
  <c r="R14" s="1"/>
  <c r="U14" s="1"/>
  <c r="F15"/>
  <c r="R15"/>
  <c r="U15" s="1"/>
  <c r="F27"/>
  <c r="R27" s="1"/>
  <c r="U27"/>
  <c r="F41"/>
  <c r="F43"/>
  <c r="R41"/>
  <c r="U41"/>
  <c r="F22"/>
  <c r="F24"/>
  <c r="R24" s="1"/>
  <c r="U24" s="1"/>
  <c r="R22"/>
  <c r="U22" s="1"/>
  <c r="F59"/>
  <c r="R59" s="1"/>
  <c r="U59" s="1"/>
  <c r="F64"/>
  <c r="R64"/>
  <c r="U64" s="1"/>
  <c r="C130" i="43"/>
  <c r="C131"/>
  <c r="C132" s="1"/>
  <c r="E140" s="1"/>
  <c r="A1" i="40"/>
  <c r="F13"/>
  <c r="R13" s="1"/>
  <c r="U13" s="1"/>
  <c r="F21"/>
  <c r="F26"/>
  <c r="R26" s="1"/>
  <c r="U26" s="1"/>
  <c r="F28"/>
  <c r="R28" s="1"/>
  <c r="U28" s="1"/>
  <c r="F31"/>
  <c r="R31" s="1"/>
  <c r="U31" s="1"/>
  <c r="F32"/>
  <c r="R32" s="1"/>
  <c r="U32" s="1"/>
  <c r="F33"/>
  <c r="R33" s="1"/>
  <c r="U33" s="1"/>
  <c r="F37"/>
  <c r="R37" s="1"/>
  <c r="U37" s="1"/>
  <c r="F38"/>
  <c r="R38" s="1"/>
  <c r="U38" s="1"/>
  <c r="F40"/>
  <c r="R40" s="1"/>
  <c r="U40" s="1"/>
  <c r="F42"/>
  <c r="R42" s="1"/>
  <c r="U42" s="1"/>
  <c r="F19"/>
  <c r="R19" s="1"/>
  <c r="F49"/>
  <c r="R49" s="1"/>
  <c r="U49" s="1"/>
  <c r="F50"/>
  <c r="R50" s="1"/>
  <c r="U50" s="1"/>
  <c r="F51"/>
  <c r="R51" s="1"/>
  <c r="U51" s="1"/>
  <c r="F57"/>
  <c r="R57"/>
  <c r="U57" s="1"/>
  <c r="F58"/>
  <c r="F62"/>
  <c r="R62" s="1"/>
  <c r="U62" s="1"/>
  <c r="F63"/>
  <c r="P72"/>
  <c r="O72"/>
  <c r="F23"/>
  <c r="R23" s="1"/>
  <c r="U23" s="1"/>
  <c r="F14"/>
  <c r="R14" s="1"/>
  <c r="U14" s="1"/>
  <c r="F22"/>
  <c r="R22" s="1"/>
  <c r="U22" s="1"/>
  <c r="F27"/>
  <c r="F41"/>
  <c r="F36"/>
  <c r="R36" s="1"/>
  <c r="U36" s="1"/>
  <c r="F59"/>
  <c r="R59" s="1"/>
  <c r="U59" s="1"/>
  <c r="F64"/>
  <c r="R64" s="1"/>
  <c r="U64"/>
  <c r="G57"/>
  <c r="S22"/>
  <c r="V22" s="1"/>
  <c r="A1" i="11"/>
  <c r="A3"/>
  <c r="E8"/>
  <c r="H8" s="1"/>
  <c r="H9"/>
  <c r="H10"/>
  <c r="E11"/>
  <c r="H11" s="1"/>
  <c r="H14"/>
  <c r="H16"/>
  <c r="H17"/>
  <c r="H18"/>
  <c r="E19"/>
  <c r="H19" s="1"/>
  <c r="H21"/>
  <c r="H22"/>
  <c r="H23"/>
  <c r="E24"/>
  <c r="H24"/>
  <c r="H26"/>
  <c r="H27"/>
  <c r="H28"/>
  <c r="E29"/>
  <c r="H29" s="1"/>
  <c r="H31"/>
  <c r="H32"/>
  <c r="H33"/>
  <c r="H35"/>
  <c r="H36"/>
  <c r="H37"/>
  <c r="E38"/>
  <c r="H38" s="1"/>
  <c r="E39"/>
  <c r="H45"/>
  <c r="H46"/>
  <c r="G48"/>
  <c r="H52"/>
  <c r="E53"/>
  <c r="H53"/>
  <c r="H54"/>
  <c r="E55"/>
  <c r="F55"/>
  <c r="G55"/>
  <c r="H56"/>
  <c r="H57"/>
  <c r="H58"/>
  <c r="H59"/>
  <c r="E60"/>
  <c r="F60"/>
  <c r="G60"/>
  <c r="H61"/>
  <c r="H62"/>
  <c r="H63"/>
  <c r="F65"/>
  <c r="A81" i="43"/>
  <c r="A1"/>
  <c r="A80" s="1"/>
  <c r="A83"/>
  <c r="B137"/>
  <c r="B138"/>
  <c r="B139"/>
  <c r="B140"/>
  <c r="B142"/>
  <c r="B143"/>
  <c r="B144"/>
  <c r="B146"/>
  <c r="B147"/>
  <c r="B148"/>
  <c r="B10" i="3"/>
  <c r="B8" i="43" s="1"/>
  <c r="A11" i="3"/>
  <c r="A9" i="43" s="1"/>
  <c r="B11" i="3"/>
  <c r="B9" i="43" s="1"/>
  <c r="A10" i="3"/>
  <c r="A8" i="43" s="1"/>
  <c r="B74" i="3"/>
  <c r="B87" i="43"/>
  <c r="B75" i="3"/>
  <c r="B88" i="43"/>
  <c r="A75" i="3"/>
  <c r="A88" i="43"/>
  <c r="A74" i="3"/>
  <c r="A87" i="43"/>
  <c r="A1" i="20"/>
  <c r="A3"/>
  <c r="H8"/>
  <c r="H9"/>
  <c r="H10"/>
  <c r="E11"/>
  <c r="F11"/>
  <c r="G11"/>
  <c r="H14"/>
  <c r="H16"/>
  <c r="H17"/>
  <c r="H18"/>
  <c r="E19"/>
  <c r="F19"/>
  <c r="G19"/>
  <c r="H21"/>
  <c r="H22"/>
  <c r="H23"/>
  <c r="E24"/>
  <c r="F24"/>
  <c r="G24"/>
  <c r="H24"/>
  <c r="H26"/>
  <c r="H27"/>
  <c r="F29"/>
  <c r="H31"/>
  <c r="H32"/>
  <c r="H33"/>
  <c r="H35"/>
  <c r="H36"/>
  <c r="H37"/>
  <c r="E38"/>
  <c r="F38"/>
  <c r="F39" s="1"/>
  <c r="F41" s="1"/>
  <c r="G38"/>
  <c r="H38"/>
  <c r="H45"/>
  <c r="H46"/>
  <c r="H52"/>
  <c r="H53"/>
  <c r="H54"/>
  <c r="E55"/>
  <c r="F55"/>
  <c r="G55"/>
  <c r="G65" s="1"/>
  <c r="H56"/>
  <c r="H57"/>
  <c r="H58"/>
  <c r="H59"/>
  <c r="E60"/>
  <c r="F60"/>
  <c r="G60"/>
  <c r="H61"/>
  <c r="H62"/>
  <c r="H63"/>
  <c r="F65"/>
  <c r="A66"/>
  <c r="A68"/>
  <c r="F68"/>
  <c r="F69"/>
  <c r="F70"/>
  <c r="A1" i="6"/>
  <c r="A3"/>
  <c r="H8"/>
  <c r="H9"/>
  <c r="H10"/>
  <c r="E11"/>
  <c r="H14"/>
  <c r="H16"/>
  <c r="H17"/>
  <c r="H18"/>
  <c r="E19"/>
  <c r="H21"/>
  <c r="H22"/>
  <c r="H23"/>
  <c r="E24"/>
  <c r="H24"/>
  <c r="H26"/>
  <c r="H27"/>
  <c r="E28"/>
  <c r="H28"/>
  <c r="E29"/>
  <c r="H29"/>
  <c r="H31"/>
  <c r="H32"/>
  <c r="H33"/>
  <c r="H35"/>
  <c r="H36"/>
  <c r="H37"/>
  <c r="E38"/>
  <c r="H38"/>
  <c r="H45"/>
  <c r="H46"/>
  <c r="H52"/>
  <c r="H53"/>
  <c r="H54"/>
  <c r="E55"/>
  <c r="F55"/>
  <c r="G55"/>
  <c r="H56"/>
  <c r="H57"/>
  <c r="H58"/>
  <c r="H59"/>
  <c r="E60"/>
  <c r="F60"/>
  <c r="G60"/>
  <c r="E61"/>
  <c r="H61" s="1"/>
  <c r="H62"/>
  <c r="H63"/>
  <c r="E65"/>
  <c r="F65"/>
  <c r="G65"/>
  <c r="A1" i="22"/>
  <c r="E11"/>
  <c r="E19"/>
  <c r="E24"/>
  <c r="E31"/>
  <c r="E38"/>
  <c r="E55"/>
  <c r="F55"/>
  <c r="F65" s="1"/>
  <c r="G55"/>
  <c r="E60"/>
  <c r="F60"/>
  <c r="G60"/>
  <c r="G65" s="1"/>
  <c r="I62"/>
  <c r="E65"/>
  <c r="A1" i="19"/>
  <c r="A3"/>
  <c r="H8"/>
  <c r="H9"/>
  <c r="H10"/>
  <c r="E11"/>
  <c r="F11"/>
  <c r="G11"/>
  <c r="H14"/>
  <c r="H16"/>
  <c r="H17"/>
  <c r="H18"/>
  <c r="E19"/>
  <c r="F19"/>
  <c r="G19"/>
  <c r="H21"/>
  <c r="H22"/>
  <c r="H23"/>
  <c r="E24"/>
  <c r="F24"/>
  <c r="G24"/>
  <c r="H24"/>
  <c r="H26"/>
  <c r="H27"/>
  <c r="F29"/>
  <c r="H31"/>
  <c r="H32"/>
  <c r="H33"/>
  <c r="H35"/>
  <c r="H36"/>
  <c r="H37"/>
  <c r="E38"/>
  <c r="F38"/>
  <c r="F39" s="1"/>
  <c r="F41" s="1"/>
  <c r="F48" s="1"/>
  <c r="G38"/>
  <c r="H38"/>
  <c r="E44"/>
  <c r="H44"/>
  <c r="E45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1" i="9"/>
  <c r="A3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E28"/>
  <c r="H28" s="1"/>
  <c r="E29"/>
  <c r="H29" s="1"/>
  <c r="H31"/>
  <c r="H32"/>
  <c r="H33"/>
  <c r="H35"/>
  <c r="H36"/>
  <c r="H37"/>
  <c r="E38"/>
  <c r="H38" s="1"/>
  <c r="E39"/>
  <c r="E41" s="1"/>
  <c r="H45"/>
  <c r="H46"/>
  <c r="G48"/>
  <c r="H52"/>
  <c r="H53"/>
  <c r="H54"/>
  <c r="E55"/>
  <c r="F55"/>
  <c r="G55"/>
  <c r="H55"/>
  <c r="H56"/>
  <c r="H57"/>
  <c r="H58"/>
  <c r="H59"/>
  <c r="E60"/>
  <c r="F60"/>
  <c r="G60"/>
  <c r="H60"/>
  <c r="H61"/>
  <c r="E62"/>
  <c r="H63"/>
  <c r="F65"/>
  <c r="G65"/>
  <c r="A66"/>
  <c r="A68"/>
  <c r="C111"/>
  <c r="AE47" i="2"/>
  <c r="A4"/>
  <c r="AS47"/>
  <c r="AA47"/>
  <c r="AB47"/>
  <c r="AC47"/>
  <c r="AD47"/>
  <c r="H47"/>
  <c r="I47"/>
  <c r="J47"/>
  <c r="S47"/>
  <c r="T47"/>
  <c r="V47"/>
  <c r="A1" i="50"/>
  <c r="A3"/>
  <c r="A72" s="1"/>
  <c r="H8"/>
  <c r="H9"/>
  <c r="H10"/>
  <c r="E11"/>
  <c r="H11"/>
  <c r="H14"/>
  <c r="E16"/>
  <c r="H16" s="1"/>
  <c r="H17"/>
  <c r="H18"/>
  <c r="H21"/>
  <c r="H22"/>
  <c r="H23"/>
  <c r="E24"/>
  <c r="H24"/>
  <c r="H26"/>
  <c r="H27"/>
  <c r="E28"/>
  <c r="H28"/>
  <c r="E29"/>
  <c r="H29"/>
  <c r="H31"/>
  <c r="H32"/>
  <c r="H33"/>
  <c r="H35"/>
  <c r="H36"/>
  <c r="H37"/>
  <c r="E38"/>
  <c r="H38"/>
  <c r="H45"/>
  <c r="H46"/>
  <c r="H52"/>
  <c r="H53"/>
  <c r="H54"/>
  <c r="E55"/>
  <c r="F55"/>
  <c r="G55"/>
  <c r="H56"/>
  <c r="H57"/>
  <c r="H58"/>
  <c r="H59"/>
  <c r="E60"/>
  <c r="F60"/>
  <c r="G60"/>
  <c r="H61"/>
  <c r="H62"/>
  <c r="H63"/>
  <c r="F65"/>
  <c r="A70"/>
  <c r="F72"/>
  <c r="F73"/>
  <c r="F74"/>
  <c r="F78"/>
  <c r="F79"/>
  <c r="F80"/>
  <c r="F85"/>
  <c r="F87"/>
  <c r="F88"/>
  <c r="F89"/>
  <c r="F90"/>
  <c r="F92"/>
  <c r="F93"/>
  <c r="F94"/>
  <c r="F95"/>
  <c r="F97"/>
  <c r="F98"/>
  <c r="F100" s="1"/>
  <c r="F101"/>
  <c r="F102"/>
  <c r="F103"/>
  <c r="F105"/>
  <c r="F106"/>
  <c r="F107"/>
  <c r="F108"/>
  <c r="C115"/>
  <c r="A1" i="18"/>
  <c r="A3"/>
  <c r="A70" s="1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E35"/>
  <c r="H35" s="1"/>
  <c r="H36"/>
  <c r="H37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8"/>
  <c r="F70"/>
  <c r="F71"/>
  <c r="F72"/>
  <c r="E32" i="47"/>
  <c r="E33"/>
  <c r="E21"/>
  <c r="E35"/>
  <c r="H35" s="1"/>
  <c r="E31"/>
  <c r="E26"/>
  <c r="A1"/>
  <c r="A3"/>
  <c r="A70" s="1"/>
  <c r="H8"/>
  <c r="H9"/>
  <c r="H10"/>
  <c r="E11"/>
  <c r="H11" s="1"/>
  <c r="H14"/>
  <c r="E16"/>
  <c r="H16"/>
  <c r="H17"/>
  <c r="H18"/>
  <c r="E19"/>
  <c r="H19"/>
  <c r="H21"/>
  <c r="H22"/>
  <c r="H23"/>
  <c r="E24"/>
  <c r="H24" s="1"/>
  <c r="H26"/>
  <c r="H27"/>
  <c r="H31"/>
  <c r="H32"/>
  <c r="H33"/>
  <c r="H36"/>
  <c r="H37"/>
  <c r="H45"/>
  <c r="H46"/>
  <c r="H52"/>
  <c r="H53"/>
  <c r="H54"/>
  <c r="E55"/>
  <c r="F55"/>
  <c r="G55"/>
  <c r="H55"/>
  <c r="H56"/>
  <c r="H57"/>
  <c r="H59"/>
  <c r="F60"/>
  <c r="G60"/>
  <c r="H62"/>
  <c r="H63"/>
  <c r="G65"/>
  <c r="A68"/>
  <c r="F70"/>
  <c r="F71"/>
  <c r="F72"/>
  <c r="F72" i="27"/>
  <c r="F71"/>
  <c r="A3"/>
  <c r="A70"/>
  <c r="A68"/>
  <c r="E55"/>
  <c r="E60"/>
  <c r="E65"/>
  <c r="F55"/>
  <c r="F65"/>
  <c r="G55"/>
  <c r="G65"/>
  <c r="H63"/>
  <c r="H62"/>
  <c r="H61"/>
  <c r="H59"/>
  <c r="H58"/>
  <c r="H57"/>
  <c r="H56"/>
  <c r="H55"/>
  <c r="H54"/>
  <c r="H53"/>
  <c r="E11"/>
  <c r="H11" s="1"/>
  <c r="E19"/>
  <c r="E24"/>
  <c r="E35"/>
  <c r="E38"/>
  <c r="H38" s="1"/>
  <c r="H46"/>
  <c r="H45"/>
  <c r="H37"/>
  <c r="H36"/>
  <c r="H35"/>
  <c r="H33"/>
  <c r="H32"/>
  <c r="H31"/>
  <c r="H27"/>
  <c r="H26"/>
  <c r="H24"/>
  <c r="H23"/>
  <c r="H22"/>
  <c r="H21"/>
  <c r="H19"/>
  <c r="H18"/>
  <c r="H17"/>
  <c r="H16"/>
  <c r="H14"/>
  <c r="H10"/>
  <c r="H9"/>
  <c r="H8"/>
  <c r="A1"/>
  <c r="E32" i="49"/>
  <c r="H32" s="1"/>
  <c r="E33"/>
  <c r="E21"/>
  <c r="H21" s="1"/>
  <c r="E35"/>
  <c r="E31"/>
  <c r="E26"/>
  <c r="A1"/>
  <c r="A3"/>
  <c r="H8"/>
  <c r="H9"/>
  <c r="H10"/>
  <c r="E11"/>
  <c r="H11"/>
  <c r="H14"/>
  <c r="H16"/>
  <c r="H17"/>
  <c r="H18"/>
  <c r="E19"/>
  <c r="H19"/>
  <c r="H22"/>
  <c r="H23"/>
  <c r="E24"/>
  <c r="H24" s="1"/>
  <c r="H26"/>
  <c r="H27"/>
  <c r="H31"/>
  <c r="H33"/>
  <c r="H35"/>
  <c r="H36"/>
  <c r="H37"/>
  <c r="E38"/>
  <c r="H38" s="1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8"/>
  <c r="A70"/>
  <c r="E32" i="48"/>
  <c r="H32" s="1"/>
  <c r="E33"/>
  <c r="E21"/>
  <c r="H21" s="1"/>
  <c r="E35"/>
  <c r="E31"/>
  <c r="E26"/>
  <c r="A1"/>
  <c r="A3"/>
  <c r="A70" s="1"/>
  <c r="H8"/>
  <c r="H9"/>
  <c r="H10"/>
  <c r="E11"/>
  <c r="H11"/>
  <c r="H14"/>
  <c r="H16"/>
  <c r="H18"/>
  <c r="H22"/>
  <c r="H23"/>
  <c r="H26"/>
  <c r="H27"/>
  <c r="H31"/>
  <c r="H33"/>
  <c r="H35"/>
  <c r="H36"/>
  <c r="H37"/>
  <c r="E38"/>
  <c r="H38" s="1"/>
  <c r="H45"/>
  <c r="H46"/>
  <c r="F48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8"/>
  <c r="A1" i="51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H31"/>
  <c r="H32"/>
  <c r="H33"/>
  <c r="E35"/>
  <c r="H35" s="1"/>
  <c r="H36"/>
  <c r="H37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E36" i="29"/>
  <c r="F72"/>
  <c r="F71"/>
  <c r="F70"/>
  <c r="A3"/>
  <c r="A70" s="1"/>
  <c r="A68"/>
  <c r="E55"/>
  <c r="E60"/>
  <c r="E65" s="1"/>
  <c r="F55"/>
  <c r="H55" s="1"/>
  <c r="F60"/>
  <c r="F65"/>
  <c r="G55"/>
  <c r="G60"/>
  <c r="G65" s="1"/>
  <c r="H65"/>
  <c r="H63"/>
  <c r="H62"/>
  <c r="H61"/>
  <c r="H60"/>
  <c r="H59"/>
  <c r="H58"/>
  <c r="H57"/>
  <c r="H56"/>
  <c r="H54"/>
  <c r="H53"/>
  <c r="H52"/>
  <c r="E11"/>
  <c r="E16"/>
  <c r="E19" s="1"/>
  <c r="H19" s="1"/>
  <c r="E21"/>
  <c r="E24" s="1"/>
  <c r="H24" s="1"/>
  <c r="E26"/>
  <c r="E31"/>
  <c r="E32"/>
  <c r="H32" s="1"/>
  <c r="E33"/>
  <c r="E35"/>
  <c r="H46"/>
  <c r="H45"/>
  <c r="H37"/>
  <c r="H36"/>
  <c r="H33"/>
  <c r="H31"/>
  <c r="H27"/>
  <c r="H26"/>
  <c r="H23"/>
  <c r="H22"/>
  <c r="H21"/>
  <c r="H18"/>
  <c r="H17"/>
  <c r="H16"/>
  <c r="H14"/>
  <c r="H11"/>
  <c r="H10"/>
  <c r="H9"/>
  <c r="H8"/>
  <c r="A1"/>
  <c r="E17" i="28"/>
  <c r="F72"/>
  <c r="F71"/>
  <c r="F70"/>
  <c r="A3"/>
  <c r="A70" s="1"/>
  <c r="A68"/>
  <c r="E55"/>
  <c r="E60"/>
  <c r="E65"/>
  <c r="F55"/>
  <c r="F60"/>
  <c r="G55"/>
  <c r="G60"/>
  <c r="G65"/>
  <c r="H63"/>
  <c r="H62"/>
  <c r="H61"/>
  <c r="H59"/>
  <c r="H58"/>
  <c r="H57"/>
  <c r="H56"/>
  <c r="H55"/>
  <c r="H54"/>
  <c r="H53"/>
  <c r="H52"/>
  <c r="E11"/>
  <c r="H11" s="1"/>
  <c r="E16"/>
  <c r="E19"/>
  <c r="E21"/>
  <c r="E24"/>
  <c r="E26"/>
  <c r="E31"/>
  <c r="H31" s="1"/>
  <c r="E32"/>
  <c r="E33"/>
  <c r="H33" s="1"/>
  <c r="E35"/>
  <c r="E38"/>
  <c r="H38" s="1"/>
  <c r="H46"/>
  <c r="H45"/>
  <c r="H37"/>
  <c r="H36"/>
  <c r="H35"/>
  <c r="H32"/>
  <c r="H27"/>
  <c r="H26"/>
  <c r="H24"/>
  <c r="H23"/>
  <c r="H22"/>
  <c r="H21"/>
  <c r="H19"/>
  <c r="H18"/>
  <c r="H17"/>
  <c r="H16"/>
  <c r="H14"/>
  <c r="H10"/>
  <c r="H9"/>
  <c r="H8"/>
  <c r="A1"/>
  <c r="B48" i="3"/>
  <c r="A48"/>
  <c r="D1"/>
  <c r="D5"/>
  <c r="D65"/>
  <c r="D69"/>
  <c r="F95" i="15"/>
  <c r="F74"/>
  <c r="F75"/>
  <c r="F76"/>
  <c r="F78"/>
  <c r="F101"/>
  <c r="F102"/>
  <c r="F103"/>
  <c r="F104"/>
  <c r="F99"/>
  <c r="F98"/>
  <c r="F97"/>
  <c r="F93"/>
  <c r="F94"/>
  <c r="F96"/>
  <c r="F88"/>
  <c r="F89"/>
  <c r="F90"/>
  <c r="F91"/>
  <c r="F83"/>
  <c r="F84"/>
  <c r="F85"/>
  <c r="F86"/>
  <c r="F81"/>
  <c r="F106"/>
  <c r="C111"/>
  <c r="A1"/>
  <c r="A3"/>
  <c r="H8"/>
  <c r="H9"/>
  <c r="H10"/>
  <c r="E11"/>
  <c r="H11"/>
  <c r="H14"/>
  <c r="H16"/>
  <c r="H17"/>
  <c r="H18"/>
  <c r="E19"/>
  <c r="H19"/>
  <c r="H21"/>
  <c r="H22"/>
  <c r="E23"/>
  <c r="H23"/>
  <c r="E24"/>
  <c r="H24"/>
  <c r="H26"/>
  <c r="H27"/>
  <c r="E28"/>
  <c r="H28"/>
  <c r="E29"/>
  <c r="H29"/>
  <c r="H31"/>
  <c r="H32"/>
  <c r="H33"/>
  <c r="H35"/>
  <c r="H36"/>
  <c r="E37"/>
  <c r="H37" s="1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6"/>
  <c r="A68"/>
  <c r="F68"/>
  <c r="F69"/>
  <c r="F70"/>
  <c r="A1" i="17"/>
  <c r="A3"/>
  <c r="A68" s="1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E28"/>
  <c r="H28"/>
  <c r="E29"/>
  <c r="H29"/>
  <c r="H31"/>
  <c r="H32"/>
  <c r="H33"/>
  <c r="E35"/>
  <c r="H35" s="1"/>
  <c r="H36"/>
  <c r="H37"/>
  <c r="E38"/>
  <c r="H38" s="1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6"/>
  <c r="F68"/>
  <c r="F69"/>
  <c r="F70"/>
  <c r="F74"/>
  <c r="F75"/>
  <c r="F76"/>
  <c r="F78"/>
  <c r="F81"/>
  <c r="F83"/>
  <c r="F84"/>
  <c r="F85"/>
  <c r="F88"/>
  <c r="F89"/>
  <c r="F90"/>
  <c r="F93"/>
  <c r="F94"/>
  <c r="F96"/>
  <c r="F97"/>
  <c r="F98"/>
  <c r="F99"/>
  <c r="F101"/>
  <c r="F102"/>
  <c r="F103"/>
  <c r="C111"/>
  <c r="F19" i="5"/>
  <c r="F24"/>
  <c r="F29"/>
  <c r="F38"/>
  <c r="E8"/>
  <c r="H8"/>
  <c r="E44"/>
  <c r="A1"/>
  <c r="A3"/>
  <c r="E9"/>
  <c r="H9" s="1"/>
  <c r="E14"/>
  <c r="H14" s="1"/>
  <c r="E16"/>
  <c r="H16" s="1"/>
  <c r="E17"/>
  <c r="H17" s="1"/>
  <c r="E18"/>
  <c r="H18" s="1"/>
  <c r="E19"/>
  <c r="H19" s="1"/>
  <c r="E21"/>
  <c r="H21" s="1"/>
  <c r="E22"/>
  <c r="H22" s="1"/>
  <c r="E23"/>
  <c r="H23" s="1"/>
  <c r="E24"/>
  <c r="H24" s="1"/>
  <c r="E26"/>
  <c r="H26" s="1"/>
  <c r="E27"/>
  <c r="H27" s="1"/>
  <c r="E31"/>
  <c r="H31" s="1"/>
  <c r="E32"/>
  <c r="H32" s="1"/>
  <c r="E33"/>
  <c r="H33" s="1"/>
  <c r="E35"/>
  <c r="H35" s="1"/>
  <c r="E36"/>
  <c r="H36" s="1"/>
  <c r="E37"/>
  <c r="H37" s="1"/>
  <c r="E38"/>
  <c r="H38" s="1"/>
  <c r="H44"/>
  <c r="E45"/>
  <c r="H45"/>
  <c r="E46"/>
  <c r="H46"/>
  <c r="E52"/>
  <c r="H52" s="1"/>
  <c r="E53"/>
  <c r="H53" s="1"/>
  <c r="E54"/>
  <c r="H54" s="1"/>
  <c r="E55"/>
  <c r="E65" s="1"/>
  <c r="H65" s="1"/>
  <c r="F55"/>
  <c r="G55"/>
  <c r="H56"/>
  <c r="E57"/>
  <c r="H57"/>
  <c r="E58"/>
  <c r="H58"/>
  <c r="E59"/>
  <c r="H59"/>
  <c r="E60"/>
  <c r="F60"/>
  <c r="F65" s="1"/>
  <c r="G60"/>
  <c r="H60"/>
  <c r="H61"/>
  <c r="H62"/>
  <c r="H63"/>
  <c r="G65"/>
  <c r="G67"/>
  <c r="F72" i="45"/>
  <c r="A1"/>
  <c r="A3"/>
  <c r="E8"/>
  <c r="H8" s="1"/>
  <c r="H9"/>
  <c r="H10"/>
  <c r="F11"/>
  <c r="G11"/>
  <c r="H14"/>
  <c r="H16"/>
  <c r="H17"/>
  <c r="H18"/>
  <c r="E19"/>
  <c r="F19"/>
  <c r="G19"/>
  <c r="G39" s="1"/>
  <c r="G41" s="1"/>
  <c r="H21"/>
  <c r="H22"/>
  <c r="H23"/>
  <c r="E24"/>
  <c r="F24"/>
  <c r="F39" s="1"/>
  <c r="F41" s="1"/>
  <c r="G24"/>
  <c r="H24"/>
  <c r="H26"/>
  <c r="H27"/>
  <c r="C111"/>
  <c r="F74"/>
  <c r="F75"/>
  <c r="F76"/>
  <c r="F84"/>
  <c r="F83"/>
  <c r="F85"/>
  <c r="F97"/>
  <c r="F101"/>
  <c r="F102"/>
  <c r="F103"/>
  <c r="F104"/>
  <c r="F99"/>
  <c r="F98"/>
  <c r="F93"/>
  <c r="F94"/>
  <c r="F96" s="1"/>
  <c r="F88"/>
  <c r="F89"/>
  <c r="F90"/>
  <c r="F81"/>
  <c r="E28"/>
  <c r="H28" s="1"/>
  <c r="E29"/>
  <c r="F29"/>
  <c r="G29"/>
  <c r="H31"/>
  <c r="H32"/>
  <c r="H33"/>
  <c r="H35"/>
  <c r="H36"/>
  <c r="H37"/>
  <c r="E38"/>
  <c r="F38"/>
  <c r="G38"/>
  <c r="E39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6"/>
  <c r="A68"/>
  <c r="F68"/>
  <c r="F69"/>
  <c r="F70"/>
  <c r="A1" i="23"/>
  <c r="A3"/>
  <c r="A68" s="1"/>
  <c r="H8"/>
  <c r="H9"/>
  <c r="H10"/>
  <c r="E11"/>
  <c r="G11"/>
  <c r="H11"/>
  <c r="H14"/>
  <c r="H16"/>
  <c r="H17"/>
  <c r="H18"/>
  <c r="E19"/>
  <c r="G19"/>
  <c r="H19" s="1"/>
  <c r="H21"/>
  <c r="H22"/>
  <c r="H23"/>
  <c r="E24"/>
  <c r="G24"/>
  <c r="H24" s="1"/>
  <c r="H26"/>
  <c r="H27"/>
  <c r="E28"/>
  <c r="H28" s="1"/>
  <c r="G29"/>
  <c r="H31"/>
  <c r="H32"/>
  <c r="H33"/>
  <c r="E35"/>
  <c r="H35" s="1"/>
  <c r="H36"/>
  <c r="H37"/>
  <c r="E38"/>
  <c r="G38"/>
  <c r="H38"/>
  <c r="H45"/>
  <c r="H46"/>
  <c r="H52"/>
  <c r="H53"/>
  <c r="H54"/>
  <c r="E55"/>
  <c r="F55"/>
  <c r="G55"/>
  <c r="H55"/>
  <c r="H56"/>
  <c r="H57"/>
  <c r="H58"/>
  <c r="H59"/>
  <c r="E60"/>
  <c r="F60"/>
  <c r="G60"/>
  <c r="H60"/>
  <c r="H61"/>
  <c r="H62"/>
  <c r="H63"/>
  <c r="E65"/>
  <c r="G65"/>
  <c r="A66"/>
  <c r="C111"/>
  <c r="N7" i="4"/>
  <c r="N8"/>
  <c r="N9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5"/>
  <c r="N56"/>
  <c r="N57"/>
  <c r="N58"/>
  <c r="N59"/>
  <c r="N60"/>
  <c r="N61"/>
  <c r="N62"/>
  <c r="N63"/>
  <c r="N64"/>
  <c r="N65"/>
  <c r="N66"/>
  <c r="N67"/>
  <c r="N68"/>
  <c r="N69"/>
  <c r="AC59"/>
  <c r="AC74" s="1"/>
  <c r="AC64"/>
  <c r="AC65"/>
  <c r="AC66"/>
  <c r="AC67"/>
  <c r="AC48"/>
  <c r="AC49"/>
  <c r="AC50"/>
  <c r="AC69"/>
  <c r="AD68"/>
  <c r="AC68"/>
  <c r="AB68"/>
  <c r="AA68"/>
  <c r="Z68"/>
  <c r="Y68"/>
  <c r="X68"/>
  <c r="W68"/>
  <c r="V68"/>
  <c r="U68"/>
  <c r="T68"/>
  <c r="S68"/>
  <c r="R68"/>
  <c r="Q68"/>
  <c r="P68"/>
  <c r="O68"/>
  <c r="M68"/>
  <c r="L68"/>
  <c r="K68"/>
  <c r="J68"/>
  <c r="I68"/>
  <c r="H68"/>
  <c r="G68"/>
  <c r="F68"/>
  <c r="AC63"/>
  <c r="AC62"/>
  <c r="AC61"/>
  <c r="AD60"/>
  <c r="AC60"/>
  <c r="AB60"/>
  <c r="AA60"/>
  <c r="Z60"/>
  <c r="Y60"/>
  <c r="X60"/>
  <c r="W60"/>
  <c r="V60"/>
  <c r="U60"/>
  <c r="T60"/>
  <c r="S60"/>
  <c r="R60"/>
  <c r="Q60"/>
  <c r="P60"/>
  <c r="O60"/>
  <c r="M60"/>
  <c r="L60"/>
  <c r="K60"/>
  <c r="J60"/>
  <c r="I60"/>
  <c r="H60"/>
  <c r="G60"/>
  <c r="F60"/>
  <c r="AC58"/>
  <c r="AC57"/>
  <c r="AC56"/>
  <c r="AD51"/>
  <c r="AC51"/>
  <c r="AB51"/>
  <c r="AA51"/>
  <c r="Z51"/>
  <c r="Y51"/>
  <c r="X51"/>
  <c r="W51"/>
  <c r="V51"/>
  <c r="U51"/>
  <c r="T51"/>
  <c r="S51"/>
  <c r="R51"/>
  <c r="Q51"/>
  <c r="P51"/>
  <c r="O51"/>
  <c r="M51"/>
  <c r="L51"/>
  <c r="K51"/>
  <c r="J51"/>
  <c r="I51"/>
  <c r="H51"/>
  <c r="G51"/>
  <c r="F51"/>
  <c r="AC47"/>
  <c r="AB47"/>
  <c r="AA47"/>
  <c r="Z47"/>
  <c r="Y47"/>
  <c r="X47"/>
  <c r="W47"/>
  <c r="R47"/>
  <c r="Q47"/>
  <c r="P47"/>
  <c r="O47"/>
  <c r="M47"/>
  <c r="L47"/>
  <c r="F47"/>
  <c r="AD45"/>
  <c r="AC45"/>
  <c r="AB45"/>
  <c r="AA45"/>
  <c r="Z45"/>
  <c r="Y45"/>
  <c r="X45"/>
  <c r="W45"/>
  <c r="V45"/>
  <c r="U45"/>
  <c r="T45"/>
  <c r="S45"/>
  <c r="R45"/>
  <c r="Q45"/>
  <c r="P45"/>
  <c r="O45"/>
  <c r="M45"/>
  <c r="L45"/>
  <c r="K45"/>
  <c r="J45"/>
  <c r="I45"/>
  <c r="H45"/>
  <c r="G45"/>
  <c r="F45"/>
  <c r="AC42"/>
  <c r="AC41"/>
  <c r="AC40"/>
  <c r="AD39"/>
  <c r="AC39"/>
  <c r="AB39"/>
  <c r="AA39"/>
  <c r="Z39"/>
  <c r="Y39"/>
  <c r="X39"/>
  <c r="W39"/>
  <c r="V39"/>
  <c r="U39"/>
  <c r="T39"/>
  <c r="S39"/>
  <c r="R39"/>
  <c r="Q39"/>
  <c r="P39"/>
  <c r="O39"/>
  <c r="M39"/>
  <c r="L39"/>
  <c r="K39"/>
  <c r="J39"/>
  <c r="I39"/>
  <c r="H39"/>
  <c r="G39"/>
  <c r="F39"/>
  <c r="AC38"/>
  <c r="AC37"/>
  <c r="AC36"/>
  <c r="AD17"/>
  <c r="AD18"/>
  <c r="AD20"/>
  <c r="AD25"/>
  <c r="AD30"/>
  <c r="AD53"/>
  <c r="AD55"/>
  <c r="X7"/>
  <c r="Y7"/>
  <c r="Z7"/>
  <c r="AA7"/>
  <c r="AB7"/>
  <c r="AC7"/>
  <c r="AD7"/>
  <c r="X8"/>
  <c r="Y8"/>
  <c r="Z8"/>
  <c r="AA8"/>
  <c r="AB8"/>
  <c r="AC8"/>
  <c r="AD8"/>
  <c r="X9"/>
  <c r="Y9"/>
  <c r="Z9"/>
  <c r="AA9"/>
  <c r="AB9"/>
  <c r="AC9"/>
  <c r="AD9"/>
  <c r="AC13"/>
  <c r="AC14"/>
  <c r="AC15"/>
  <c r="V17"/>
  <c r="W17"/>
  <c r="X17"/>
  <c r="Y17"/>
  <c r="Z17"/>
  <c r="AA17"/>
  <c r="AB17"/>
  <c r="AC17"/>
  <c r="V18"/>
  <c r="W18"/>
  <c r="X18"/>
  <c r="Y18"/>
  <c r="Z18"/>
  <c r="AA18"/>
  <c r="AB18"/>
  <c r="AC18"/>
  <c r="AC19"/>
  <c r="V20"/>
  <c r="W20"/>
  <c r="X20"/>
  <c r="Y20"/>
  <c r="Z20"/>
  <c r="AA20"/>
  <c r="AB20"/>
  <c r="AC20"/>
  <c r="AC21"/>
  <c r="AC22"/>
  <c r="AC23"/>
  <c r="V25"/>
  <c r="W25"/>
  <c r="X25"/>
  <c r="Y25"/>
  <c r="Z25"/>
  <c r="AA25"/>
  <c r="AB25"/>
  <c r="AC25"/>
  <c r="AC26"/>
  <c r="AC27"/>
  <c r="AC28"/>
  <c r="V30"/>
  <c r="W30"/>
  <c r="X30"/>
  <c r="Y30"/>
  <c r="Z30"/>
  <c r="AA30"/>
  <c r="AB30"/>
  <c r="AC30"/>
  <c r="AC31"/>
  <c r="AC32"/>
  <c r="AC33"/>
  <c r="V53"/>
  <c r="W53"/>
  <c r="X53"/>
  <c r="Y53"/>
  <c r="Z53"/>
  <c r="AA53"/>
  <c r="AB53"/>
  <c r="AC53"/>
  <c r="V55"/>
  <c r="W55"/>
  <c r="X55"/>
  <c r="Y55"/>
  <c r="Z55"/>
  <c r="AA55"/>
  <c r="AB55"/>
  <c r="AC55"/>
  <c r="U17"/>
  <c r="U18"/>
  <c r="U20"/>
  <c r="U25"/>
  <c r="U30"/>
  <c r="U53"/>
  <c r="U55"/>
  <c r="U7"/>
  <c r="V7"/>
  <c r="W7"/>
  <c r="U8"/>
  <c r="V8"/>
  <c r="W8"/>
  <c r="U9"/>
  <c r="V9"/>
  <c r="W9"/>
  <c r="O7"/>
  <c r="P7"/>
  <c r="Q7"/>
  <c r="R7"/>
  <c r="S7"/>
  <c r="T7"/>
  <c r="O8"/>
  <c r="P8"/>
  <c r="Q8"/>
  <c r="R8"/>
  <c r="S8"/>
  <c r="T8"/>
  <c r="O9"/>
  <c r="P9"/>
  <c r="Q9"/>
  <c r="R9"/>
  <c r="S9"/>
  <c r="T9"/>
  <c r="O17"/>
  <c r="P17"/>
  <c r="Q17"/>
  <c r="R17"/>
  <c r="S17"/>
  <c r="T17"/>
  <c r="O18"/>
  <c r="P18"/>
  <c r="Q18"/>
  <c r="R18"/>
  <c r="S18"/>
  <c r="T18"/>
  <c r="O20"/>
  <c r="P20"/>
  <c r="Q20"/>
  <c r="R20"/>
  <c r="S20"/>
  <c r="T20"/>
  <c r="O25"/>
  <c r="P25"/>
  <c r="Q25"/>
  <c r="R25"/>
  <c r="S25"/>
  <c r="T25"/>
  <c r="O30"/>
  <c r="P30"/>
  <c r="Q30"/>
  <c r="R30"/>
  <c r="S30"/>
  <c r="T30"/>
  <c r="O53"/>
  <c r="P53"/>
  <c r="Q53"/>
  <c r="R53"/>
  <c r="S53"/>
  <c r="T53"/>
  <c r="O55"/>
  <c r="P55"/>
  <c r="Q55"/>
  <c r="R55"/>
  <c r="S55"/>
  <c r="T55"/>
  <c r="M9"/>
  <c r="M8"/>
  <c r="M7"/>
  <c r="M55"/>
  <c r="M53"/>
  <c r="M30"/>
  <c r="M25"/>
  <c r="M20"/>
  <c r="M18"/>
  <c r="M17"/>
  <c r="A1"/>
  <c r="A4"/>
  <c r="F7"/>
  <c r="G7"/>
  <c r="H7"/>
  <c r="I7"/>
  <c r="J7"/>
  <c r="K7"/>
  <c r="L7"/>
  <c r="F8"/>
  <c r="G8"/>
  <c r="H8"/>
  <c r="I8"/>
  <c r="J8"/>
  <c r="K8"/>
  <c r="L8"/>
  <c r="F9"/>
  <c r="G9"/>
  <c r="H9"/>
  <c r="I9"/>
  <c r="J9"/>
  <c r="K9"/>
  <c r="L9"/>
  <c r="F17"/>
  <c r="G17"/>
  <c r="H17"/>
  <c r="I17"/>
  <c r="J17"/>
  <c r="K17"/>
  <c r="L17"/>
  <c r="F18"/>
  <c r="G18"/>
  <c r="H18"/>
  <c r="I18"/>
  <c r="J18"/>
  <c r="K18"/>
  <c r="L18"/>
  <c r="F20"/>
  <c r="G20"/>
  <c r="H20"/>
  <c r="I20"/>
  <c r="J20"/>
  <c r="K20"/>
  <c r="L20"/>
  <c r="F25"/>
  <c r="G25"/>
  <c r="H25"/>
  <c r="I25"/>
  <c r="J25"/>
  <c r="K25"/>
  <c r="L25"/>
  <c r="F30"/>
  <c r="G30"/>
  <c r="H30"/>
  <c r="I30"/>
  <c r="J30"/>
  <c r="K30"/>
  <c r="L30"/>
  <c r="F53"/>
  <c r="G53"/>
  <c r="H53"/>
  <c r="I53"/>
  <c r="J53"/>
  <c r="K53"/>
  <c r="L53"/>
  <c r="F55"/>
  <c r="G55"/>
  <c r="H55"/>
  <c r="I55"/>
  <c r="J55"/>
  <c r="K55"/>
  <c r="L55"/>
  <c r="AC24"/>
  <c r="AC29"/>
  <c r="AC16"/>
  <c r="AC34"/>
  <c r="AC43"/>
  <c r="AC44"/>
  <c r="AC73" s="1"/>
  <c r="AC46"/>
  <c r="AC52"/>
  <c r="G67"/>
  <c r="I64"/>
  <c r="I65"/>
  <c r="I67"/>
  <c r="J65"/>
  <c r="J67"/>
  <c r="K65"/>
  <c r="K67"/>
  <c r="M65"/>
  <c r="M67"/>
  <c r="O64"/>
  <c r="O65"/>
  <c r="O66"/>
  <c r="O67"/>
  <c r="O59"/>
  <c r="P65"/>
  <c r="P67"/>
  <c r="Q66"/>
  <c r="R65"/>
  <c r="R67"/>
  <c r="S64"/>
  <c r="S65"/>
  <c r="S66"/>
  <c r="S67"/>
  <c r="S59"/>
  <c r="T65"/>
  <c r="T67"/>
  <c r="U64"/>
  <c r="U65"/>
  <c r="U66"/>
  <c r="U67"/>
  <c r="U59"/>
  <c r="X65"/>
  <c r="X67"/>
  <c r="Y64"/>
  <c r="Y65"/>
  <c r="Y66"/>
  <c r="Y67"/>
  <c r="Y59"/>
  <c r="G49"/>
  <c r="G50"/>
  <c r="H50"/>
  <c r="H16"/>
  <c r="I49"/>
  <c r="I50"/>
  <c r="J49"/>
  <c r="K49"/>
  <c r="K16"/>
  <c r="M49"/>
  <c r="M50"/>
  <c r="P49"/>
  <c r="Q49"/>
  <c r="R49"/>
  <c r="S49"/>
  <c r="U49"/>
  <c r="U50"/>
  <c r="X50"/>
  <c r="Y49"/>
  <c r="Y50"/>
  <c r="R69"/>
  <c r="M69"/>
  <c r="Y63"/>
  <c r="X63"/>
  <c r="U63"/>
  <c r="T63"/>
  <c r="S63"/>
  <c r="R63"/>
  <c r="Q63"/>
  <c r="P63"/>
  <c r="O63"/>
  <c r="M63"/>
  <c r="K63"/>
  <c r="J63"/>
  <c r="I63"/>
  <c r="H63"/>
  <c r="Y62"/>
  <c r="U62"/>
  <c r="R62"/>
  <c r="O62"/>
  <c r="K62"/>
  <c r="I62"/>
  <c r="G62"/>
  <c r="Y61"/>
  <c r="X61"/>
  <c r="U61"/>
  <c r="T61"/>
  <c r="S61"/>
  <c r="R61"/>
  <c r="Q61"/>
  <c r="P61"/>
  <c r="O61"/>
  <c r="M61"/>
  <c r="K61"/>
  <c r="J61"/>
  <c r="I61"/>
  <c r="H61"/>
  <c r="Y58"/>
  <c r="X58"/>
  <c r="U58"/>
  <c r="S58"/>
  <c r="R58"/>
  <c r="Q58"/>
  <c r="P58"/>
  <c r="O58"/>
  <c r="M58"/>
  <c r="K58"/>
  <c r="J58"/>
  <c r="I58"/>
  <c r="G58"/>
  <c r="X57"/>
  <c r="T57"/>
  <c r="R57"/>
  <c r="P57"/>
  <c r="M57"/>
  <c r="H57"/>
  <c r="Y56"/>
  <c r="X56"/>
  <c r="U56"/>
  <c r="T56"/>
  <c r="S56"/>
  <c r="R56"/>
  <c r="P56"/>
  <c r="O56"/>
  <c r="M56"/>
  <c r="K56"/>
  <c r="J56"/>
  <c r="I56"/>
  <c r="H56"/>
  <c r="G56"/>
  <c r="Z47" i="1"/>
  <c r="U47" i="4" s="1"/>
  <c r="T47" i="1"/>
  <c r="T47" i="4" s="1"/>
  <c r="S47" i="1"/>
  <c r="S47" i="4" s="1"/>
  <c r="J47" i="1"/>
  <c r="J47" i="4" s="1"/>
  <c r="I47" i="1"/>
  <c r="H47"/>
  <c r="H47" i="4" s="1"/>
  <c r="G47" i="1"/>
  <c r="G47" i="4" s="1"/>
  <c r="Y42"/>
  <c r="X42"/>
  <c r="T42"/>
  <c r="R42"/>
  <c r="O42"/>
  <c r="J42"/>
  <c r="H42"/>
  <c r="G42"/>
  <c r="Y41"/>
  <c r="U41"/>
  <c r="T41"/>
  <c r="R41"/>
  <c r="M41"/>
  <c r="K41"/>
  <c r="J41"/>
  <c r="H41"/>
  <c r="X40"/>
  <c r="Q40"/>
  <c r="K40"/>
  <c r="J40"/>
  <c r="I40"/>
  <c r="H40"/>
  <c r="G40"/>
  <c r="Y38"/>
  <c r="U38"/>
  <c r="T38"/>
  <c r="S38"/>
  <c r="R38"/>
  <c r="Q38"/>
  <c r="O38"/>
  <c r="M38"/>
  <c r="K38"/>
  <c r="H38"/>
  <c r="G38"/>
  <c r="Y37"/>
  <c r="X37"/>
  <c r="T37"/>
  <c r="R37"/>
  <c r="P37"/>
  <c r="O37"/>
  <c r="M37"/>
  <c r="J37"/>
  <c r="H37"/>
  <c r="G37"/>
  <c r="G36"/>
  <c r="H36"/>
  <c r="I36"/>
  <c r="K36"/>
  <c r="O36"/>
  <c r="P36"/>
  <c r="R36"/>
  <c r="S36"/>
  <c r="T36"/>
  <c r="U36"/>
  <c r="Y36"/>
  <c r="X13"/>
  <c r="X14"/>
  <c r="X15"/>
  <c r="Y15"/>
  <c r="X19"/>
  <c r="X21"/>
  <c r="Y21"/>
  <c r="X22"/>
  <c r="X23"/>
  <c r="Y23"/>
  <c r="X26"/>
  <c r="Y26"/>
  <c r="X27"/>
  <c r="X28"/>
  <c r="Y28"/>
  <c r="Y29"/>
  <c r="Y31"/>
  <c r="Y32"/>
  <c r="Y33"/>
  <c r="Y34"/>
  <c r="U13"/>
  <c r="U14"/>
  <c r="U19"/>
  <c r="U22"/>
  <c r="U26"/>
  <c r="U27"/>
  <c r="U28"/>
  <c r="U32"/>
  <c r="P13"/>
  <c r="Q13"/>
  <c r="R13"/>
  <c r="S13"/>
  <c r="T13"/>
  <c r="P14"/>
  <c r="R14"/>
  <c r="S14"/>
  <c r="T14"/>
  <c r="P15"/>
  <c r="R15"/>
  <c r="T15"/>
  <c r="O19"/>
  <c r="P19"/>
  <c r="R19"/>
  <c r="S19"/>
  <c r="T19"/>
  <c r="O21"/>
  <c r="P21"/>
  <c r="Q21"/>
  <c r="R21"/>
  <c r="T21"/>
  <c r="O22"/>
  <c r="P22"/>
  <c r="R22"/>
  <c r="S22"/>
  <c r="T22"/>
  <c r="O23"/>
  <c r="P23"/>
  <c r="Q23"/>
  <c r="R23"/>
  <c r="T23"/>
  <c r="P26"/>
  <c r="R26"/>
  <c r="T26"/>
  <c r="O27"/>
  <c r="P27"/>
  <c r="R27"/>
  <c r="T27"/>
  <c r="Q28"/>
  <c r="R28"/>
  <c r="S28"/>
  <c r="T28"/>
  <c r="Q29"/>
  <c r="P31"/>
  <c r="R31"/>
  <c r="T31"/>
  <c r="P32"/>
  <c r="R32"/>
  <c r="T32"/>
  <c r="R33"/>
  <c r="R34"/>
  <c r="M32"/>
  <c r="M31"/>
  <c r="M28"/>
  <c r="M27"/>
  <c r="M26"/>
  <c r="M22"/>
  <c r="M15"/>
  <c r="H13"/>
  <c r="J13"/>
  <c r="K13"/>
  <c r="H14"/>
  <c r="J14"/>
  <c r="K14"/>
  <c r="H15"/>
  <c r="I15"/>
  <c r="J15"/>
  <c r="H19"/>
  <c r="I19"/>
  <c r="J19"/>
  <c r="K19"/>
  <c r="H21"/>
  <c r="J21"/>
  <c r="H22"/>
  <c r="I22"/>
  <c r="J22"/>
  <c r="K22"/>
  <c r="H23"/>
  <c r="J23"/>
  <c r="H26"/>
  <c r="J26"/>
  <c r="K26"/>
  <c r="H27"/>
  <c r="J27"/>
  <c r="H28"/>
  <c r="J28"/>
  <c r="K28"/>
  <c r="H31"/>
  <c r="J31"/>
  <c r="H32"/>
  <c r="I32"/>
  <c r="J32"/>
  <c r="K32"/>
  <c r="H33"/>
  <c r="K33"/>
  <c r="G14"/>
  <c r="G15"/>
  <c r="G19"/>
  <c r="G21"/>
  <c r="G22"/>
  <c r="G23"/>
  <c r="G27"/>
  <c r="G31"/>
  <c r="G32"/>
  <c r="G33"/>
  <c r="M23"/>
  <c r="Z49"/>
  <c r="Z50"/>
  <c r="Z32"/>
  <c r="Z31"/>
  <c r="Z29"/>
  <c r="Z28"/>
  <c r="Z27"/>
  <c r="Z26"/>
  <c r="Z24"/>
  <c r="Z23"/>
  <c r="Z22"/>
  <c r="Z21"/>
  <c r="Z19"/>
  <c r="Z15"/>
  <c r="Z14"/>
  <c r="Z13"/>
  <c r="Z36"/>
  <c r="Z37"/>
  <c r="Z38"/>
  <c r="Z41"/>
  <c r="Z42"/>
  <c r="Z56"/>
  <c r="Z57"/>
  <c r="Z58"/>
  <c r="Z61"/>
  <c r="Z62"/>
  <c r="Z63"/>
  <c r="Z69"/>
  <c r="Z64"/>
  <c r="Z65"/>
  <c r="Z66"/>
  <c r="Z67"/>
  <c r="Z59"/>
  <c r="Z43"/>
  <c r="Z40"/>
  <c r="F19"/>
  <c r="F65"/>
  <c r="F66"/>
  <c r="F67"/>
  <c r="P16"/>
  <c r="T48"/>
  <c r="Y40"/>
  <c r="AD36"/>
  <c r="AD37"/>
  <c r="AD38"/>
  <c r="AD40"/>
  <c r="AD49"/>
  <c r="AD50"/>
  <c r="AD31"/>
  <c r="AD21"/>
  <c r="AD66"/>
  <c r="AD63"/>
  <c r="AD61"/>
  <c r="AD57"/>
  <c r="AF47" i="1"/>
  <c r="AD47" i="4" s="1"/>
  <c r="AD41"/>
  <c r="AD14"/>
  <c r="AD15"/>
  <c r="AD19"/>
  <c r="AD22"/>
  <c r="AD23"/>
  <c r="AD26"/>
  <c r="AD27"/>
  <c r="AD28"/>
  <c r="AD32"/>
  <c r="T49"/>
  <c r="V33"/>
  <c r="V49"/>
  <c r="V50"/>
  <c r="V37"/>
  <c r="V26"/>
  <c r="V22"/>
  <c r="V23"/>
  <c r="V28"/>
  <c r="V63"/>
  <c r="V62"/>
  <c r="V61"/>
  <c r="V58"/>
  <c r="V57"/>
  <c r="V56"/>
  <c r="V47"/>
  <c r="V42"/>
  <c r="V13"/>
  <c r="V14"/>
  <c r="V15"/>
  <c r="V19"/>
  <c r="V64"/>
  <c r="V65"/>
  <c r="V66"/>
  <c r="V67"/>
  <c r="V59"/>
  <c r="V69"/>
  <c r="AA44"/>
  <c r="AA48"/>
  <c r="AA49"/>
  <c r="AA50"/>
  <c r="AA40"/>
  <c r="AA43"/>
  <c r="AA34"/>
  <c r="AA33"/>
  <c r="AA32"/>
  <c r="AA31"/>
  <c r="AA29"/>
  <c r="AA28"/>
  <c r="AA27"/>
  <c r="AA26"/>
  <c r="AA24"/>
  <c r="AA23"/>
  <c r="AA22"/>
  <c r="AA21"/>
  <c r="AA19"/>
  <c r="AA15"/>
  <c r="AA36"/>
  <c r="AA37"/>
  <c r="AA38"/>
  <c r="AA41"/>
  <c r="AA42"/>
  <c r="AA56"/>
  <c r="AA57"/>
  <c r="AA58"/>
  <c r="AA61"/>
  <c r="AA62"/>
  <c r="AA63"/>
  <c r="AA69"/>
  <c r="AA64"/>
  <c r="AA65"/>
  <c r="AA66"/>
  <c r="AA67"/>
  <c r="AA59"/>
  <c r="AA13"/>
  <c r="AA46"/>
  <c r="AA52"/>
  <c r="AA16"/>
  <c r="AA73"/>
  <c r="AA14"/>
  <c r="F13"/>
  <c r="F21"/>
  <c r="F26"/>
  <c r="F27"/>
  <c r="F28"/>
  <c r="F31"/>
  <c r="F32"/>
  <c r="F37"/>
  <c r="F38"/>
  <c r="F40"/>
  <c r="F42"/>
  <c r="F41"/>
  <c r="F36"/>
  <c r="F48"/>
  <c r="F22"/>
  <c r="F49"/>
  <c r="F50"/>
  <c r="F56"/>
  <c r="F57"/>
  <c r="F58"/>
  <c r="F62"/>
  <c r="F63"/>
  <c r="O14"/>
  <c r="O40"/>
  <c r="J59"/>
  <c r="J74" s="1"/>
  <c r="J69"/>
  <c r="J57"/>
  <c r="Z44"/>
  <c r="Z46"/>
  <c r="Z34"/>
  <c r="Z33"/>
  <c r="Z48"/>
  <c r="Z16"/>
  <c r="Z52"/>
  <c r="H67"/>
  <c r="K69"/>
  <c r="I66"/>
  <c r="I69"/>
  <c r="R16"/>
  <c r="V31"/>
  <c r="V36"/>
  <c r="V38"/>
  <c r="V40"/>
  <c r="V21"/>
  <c r="V24"/>
  <c r="V27"/>
  <c r="V29"/>
  <c r="V34"/>
  <c r="V32"/>
  <c r="V46"/>
  <c r="V52"/>
  <c r="V44"/>
  <c r="V48"/>
  <c r="V16"/>
  <c r="V43"/>
  <c r="V41"/>
  <c r="W64"/>
  <c r="W65"/>
  <c r="W66"/>
  <c r="W67"/>
  <c r="W59"/>
  <c r="W49"/>
  <c r="W50"/>
  <c r="W69"/>
  <c r="W63"/>
  <c r="W62"/>
  <c r="W61"/>
  <c r="W58"/>
  <c r="W57"/>
  <c r="W56"/>
  <c r="W42"/>
  <c r="W41"/>
  <c r="W15"/>
  <c r="W19"/>
  <c r="W21"/>
  <c r="W23"/>
  <c r="W26"/>
  <c r="W27"/>
  <c r="W28"/>
  <c r="W29"/>
  <c r="W32"/>
  <c r="W37"/>
  <c r="W38"/>
  <c r="W14"/>
  <c r="W13"/>
  <c r="W33"/>
  <c r="W22"/>
  <c r="W24"/>
  <c r="W34"/>
  <c r="W31"/>
  <c r="W36"/>
  <c r="W46"/>
  <c r="W52"/>
  <c r="W44"/>
  <c r="W48"/>
  <c r="W16"/>
  <c r="W40"/>
  <c r="W43"/>
  <c r="Q36"/>
  <c r="M13"/>
  <c r="M21"/>
  <c r="M40"/>
  <c r="P28"/>
  <c r="P42"/>
  <c r="X36"/>
  <c r="G65"/>
  <c r="A1" i="16"/>
  <c r="A3"/>
  <c r="H8"/>
  <c r="H9"/>
  <c r="H10"/>
  <c r="E11"/>
  <c r="H11" s="1"/>
  <c r="H14"/>
  <c r="H16"/>
  <c r="H17"/>
  <c r="H18"/>
  <c r="E19"/>
  <c r="H19" s="1"/>
  <c r="H21"/>
  <c r="H22"/>
  <c r="H23"/>
  <c r="E24"/>
  <c r="H24"/>
  <c r="H26"/>
  <c r="H27"/>
  <c r="E31"/>
  <c r="H31"/>
  <c r="H32"/>
  <c r="H33"/>
  <c r="H35"/>
  <c r="H36"/>
  <c r="H37"/>
  <c r="E38"/>
  <c r="H38" s="1"/>
  <c r="H45"/>
  <c r="H46"/>
  <c r="H52"/>
  <c r="H53"/>
  <c r="H54"/>
  <c r="E55"/>
  <c r="F55"/>
  <c r="G55"/>
  <c r="H55"/>
  <c r="H56"/>
  <c r="H57"/>
  <c r="H58"/>
  <c r="H59"/>
  <c r="E60"/>
  <c r="F60"/>
  <c r="F65" s="1"/>
  <c r="G60"/>
  <c r="H60"/>
  <c r="H61"/>
  <c r="H62"/>
  <c r="H63"/>
  <c r="E65"/>
  <c r="H65" s="1"/>
  <c r="G65"/>
  <c r="A66"/>
  <c r="A68"/>
  <c r="F68"/>
  <c r="F69"/>
  <c r="F70"/>
  <c r="AD47" i="1"/>
  <c r="AC47"/>
  <c r="A1"/>
  <c r="A4"/>
  <c r="E16" i="12"/>
  <c r="A1"/>
  <c r="A3"/>
  <c r="E8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E31"/>
  <c r="H31" s="1"/>
  <c r="H32"/>
  <c r="H33"/>
  <c r="E35"/>
  <c r="H35" s="1"/>
  <c r="H36"/>
  <c r="H37"/>
  <c r="E38"/>
  <c r="H38" s="1"/>
  <c r="H45"/>
  <c r="H46"/>
  <c r="F48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A66"/>
  <c r="A68"/>
  <c r="F68"/>
  <c r="F69"/>
  <c r="F70"/>
  <c r="F55" i="10"/>
  <c r="F60"/>
  <c r="F65" s="1"/>
  <c r="G55"/>
  <c r="G60"/>
  <c r="G65"/>
  <c r="E53"/>
  <c r="E55"/>
  <c r="E65" s="1"/>
  <c r="E59"/>
  <c r="E60"/>
  <c r="A1"/>
  <c r="A3"/>
  <c r="A68" s="1"/>
  <c r="H8"/>
  <c r="H9"/>
  <c r="H10"/>
  <c r="E11"/>
  <c r="H11"/>
  <c r="H14"/>
  <c r="H16"/>
  <c r="H17"/>
  <c r="H18"/>
  <c r="E19"/>
  <c r="H19"/>
  <c r="H21"/>
  <c r="H22"/>
  <c r="H23"/>
  <c r="E24"/>
  <c r="H24" s="1"/>
  <c r="H26"/>
  <c r="H27"/>
  <c r="H31"/>
  <c r="E32"/>
  <c r="H32"/>
  <c r="H33"/>
  <c r="E35"/>
  <c r="H35" s="1"/>
  <c r="H36"/>
  <c r="H37"/>
  <c r="E38"/>
  <c r="H38" s="1"/>
  <c r="H45"/>
  <c r="H46"/>
  <c r="H52"/>
  <c r="H53"/>
  <c r="H54"/>
  <c r="H55"/>
  <c r="H56"/>
  <c r="H57"/>
  <c r="H58"/>
  <c r="H59"/>
  <c r="H60"/>
  <c r="H61"/>
  <c r="H62"/>
  <c r="H63"/>
  <c r="A66"/>
  <c r="F68"/>
  <c r="F69"/>
  <c r="F70"/>
  <c r="A1" i="24"/>
  <c r="A3"/>
  <c r="H8"/>
  <c r="H9"/>
  <c r="H10"/>
  <c r="E11"/>
  <c r="G11"/>
  <c r="H11" s="1"/>
  <c r="H14"/>
  <c r="H16"/>
  <c r="H17"/>
  <c r="H18"/>
  <c r="E19"/>
  <c r="E39" s="1"/>
  <c r="G19"/>
  <c r="H19"/>
  <c r="H21"/>
  <c r="H22"/>
  <c r="H23"/>
  <c r="E24"/>
  <c r="G24"/>
  <c r="H24"/>
  <c r="H26"/>
  <c r="H27"/>
  <c r="E28"/>
  <c r="H28"/>
  <c r="E29"/>
  <c r="G29"/>
  <c r="H29" s="1"/>
  <c r="H31"/>
  <c r="H32"/>
  <c r="H33"/>
  <c r="H35"/>
  <c r="H36"/>
  <c r="H37"/>
  <c r="E38"/>
  <c r="G38"/>
  <c r="H38"/>
  <c r="G39"/>
  <c r="G41" s="1"/>
  <c r="H45"/>
  <c r="H46"/>
  <c r="H52"/>
  <c r="H53"/>
  <c r="H54"/>
  <c r="E55"/>
  <c r="F55"/>
  <c r="F65" s="1"/>
  <c r="G55"/>
  <c r="H55"/>
  <c r="H56"/>
  <c r="H57"/>
  <c r="H58"/>
  <c r="H59"/>
  <c r="E60"/>
  <c r="F60"/>
  <c r="G60"/>
  <c r="H60"/>
  <c r="H61"/>
  <c r="H62"/>
  <c r="H63"/>
  <c r="E65"/>
  <c r="H65" s="1"/>
  <c r="G65"/>
  <c r="L14" i="2"/>
  <c r="Z14" s="1"/>
  <c r="L22"/>
  <c r="Z22" s="1"/>
  <c r="L23"/>
  <c r="Z23" s="1"/>
  <c r="L27"/>
  <c r="Z27" s="1"/>
  <c r="L28"/>
  <c r="Z28" s="1"/>
  <c r="L32"/>
  <c r="Z32" s="1"/>
  <c r="L36"/>
  <c r="Z36" s="1"/>
  <c r="L40"/>
  <c r="Z40" s="1"/>
  <c r="L41"/>
  <c r="Z41" s="1"/>
  <c r="L50"/>
  <c r="Z50" s="1"/>
  <c r="L56"/>
  <c r="Z56" s="1"/>
  <c r="L57"/>
  <c r="Z57"/>
  <c r="AL57" s="1"/>
  <c r="H57" i="63" s="1"/>
  <c r="L61" i="2"/>
  <c r="Z61" s="1"/>
  <c r="L62"/>
  <c r="Z62"/>
  <c r="AL62" s="1"/>
  <c r="H62" i="63" s="1"/>
  <c r="L65" i="2"/>
  <c r="Z65" s="1"/>
  <c r="L66"/>
  <c r="Z66"/>
  <c r="AL66" s="1"/>
  <c r="H66" i="63" s="1"/>
  <c r="G58" i="41"/>
  <c r="S58" s="1"/>
  <c r="V58" s="1"/>
  <c r="L22" i="4"/>
  <c r="L65"/>
  <c r="AL19" i="2" l="1"/>
  <c r="G19" i="41"/>
  <c r="S19" s="1"/>
  <c r="AL50" i="2"/>
  <c r="H50" i="63" s="1"/>
  <c r="J50" s="1"/>
  <c r="G51" i="41"/>
  <c r="S51" s="1"/>
  <c r="V51" s="1"/>
  <c r="AL40" i="2"/>
  <c r="G40" i="41"/>
  <c r="S40" s="1"/>
  <c r="V40" s="1"/>
  <c r="AL32" i="2"/>
  <c r="H31" i="63" s="1"/>
  <c r="J31" s="1"/>
  <c r="G32" i="41"/>
  <c r="S32" s="1"/>
  <c r="V32" s="1"/>
  <c r="AL27" i="2"/>
  <c r="H26" i="63" s="1"/>
  <c r="G26" s="1"/>
  <c r="G27" i="41"/>
  <c r="S27" s="1"/>
  <c r="V27" s="1"/>
  <c r="AL22" i="2"/>
  <c r="H21" i="63" s="1"/>
  <c r="G21" s="1"/>
  <c r="G22" i="41"/>
  <c r="S22" s="1"/>
  <c r="V22" s="1"/>
  <c r="AB22" i="4"/>
  <c r="AB27" i="1"/>
  <c r="L27" i="4"/>
  <c r="AB28" i="1"/>
  <c r="L28" i="4"/>
  <c r="AP61" i="1"/>
  <c r="H61" i="54" s="1"/>
  <c r="J61" s="1"/>
  <c r="G62" i="40"/>
  <c r="R74" i="4"/>
  <c r="M74"/>
  <c r="K74"/>
  <c r="F43" i="40"/>
  <c r="R41"/>
  <c r="U41" s="1"/>
  <c r="O13" i="4"/>
  <c r="O16" i="2"/>
  <c r="S41" i="4"/>
  <c r="S43" i="2"/>
  <c r="F34"/>
  <c r="F33" i="63" s="1"/>
  <c r="F30"/>
  <c r="F24" i="2"/>
  <c r="F23" i="63" s="1"/>
  <c r="F20"/>
  <c r="I29" i="1"/>
  <c r="M26"/>
  <c r="F29" i="40"/>
  <c r="R29" s="1"/>
  <c r="U29" s="1"/>
  <c r="R27"/>
  <c r="U27" s="1"/>
  <c r="F29" i="2"/>
  <c r="F25" i="63"/>
  <c r="F64" i="2"/>
  <c r="F64" i="63" s="1"/>
  <c r="F61"/>
  <c r="F24" i="1"/>
  <c r="M23"/>
  <c r="F22" i="54"/>
  <c r="M58" i="1"/>
  <c r="F58" i="54"/>
  <c r="M42" i="1"/>
  <c r="F41" i="54"/>
  <c r="AE29" i="2"/>
  <c r="I43"/>
  <c r="G29"/>
  <c r="G29" i="4" s="1"/>
  <c r="M16" i="2"/>
  <c r="AC34" i="1"/>
  <c r="AE34"/>
  <c r="U64" i="2"/>
  <c r="X64" i="4" s="1"/>
  <c r="T59" i="2"/>
  <c r="Q59"/>
  <c r="P64"/>
  <c r="P64" i="4" s="1"/>
  <c r="M64" i="2"/>
  <c r="K59"/>
  <c r="H59"/>
  <c r="H69" s="1"/>
  <c r="G64"/>
  <c r="G64" i="4" s="1"/>
  <c r="AM29" i="1"/>
  <c r="AI34"/>
  <c r="AI24"/>
  <c r="AJ43"/>
  <c r="AE69" i="2"/>
  <c r="G102" i="3" s="1"/>
  <c r="F107" i="43" s="1"/>
  <c r="AD64" i="2"/>
  <c r="X24" i="1"/>
  <c r="V29"/>
  <c r="T34"/>
  <c r="T24"/>
  <c r="S34"/>
  <c r="S24"/>
  <c r="L34"/>
  <c r="K34" i="4" s="1"/>
  <c r="L24" i="1"/>
  <c r="K24" i="4" s="1"/>
  <c r="J29" i="1"/>
  <c r="Z34"/>
  <c r="Z24"/>
  <c r="AN59"/>
  <c r="M66"/>
  <c r="M62"/>
  <c r="O16"/>
  <c r="O16" i="4" s="1"/>
  <c r="L61"/>
  <c r="L43" i="2"/>
  <c r="G63" i="41"/>
  <c r="S63" s="1"/>
  <c r="V63" s="1"/>
  <c r="G67"/>
  <c r="S67" s="1"/>
  <c r="V67" s="1"/>
  <c r="L67" i="2"/>
  <c r="Z67" s="1"/>
  <c r="L63"/>
  <c r="Z63" s="1"/>
  <c r="G64" i="41" s="1"/>
  <c r="S64" s="1"/>
  <c r="V64" s="1"/>
  <c r="L58" i="2"/>
  <c r="L49"/>
  <c r="Z49" s="1"/>
  <c r="AL49" s="1"/>
  <c r="H49" i="63" s="1"/>
  <c r="L42" i="2"/>
  <c r="Z42" s="1"/>
  <c r="L38"/>
  <c r="Z38" s="1"/>
  <c r="G38" i="41" s="1"/>
  <c r="S38" s="1"/>
  <c r="V38" s="1"/>
  <c r="L37" i="2"/>
  <c r="Z37" s="1"/>
  <c r="L31"/>
  <c r="Z31" s="1"/>
  <c r="L26"/>
  <c r="L21"/>
  <c r="L15"/>
  <c r="Z15" s="1"/>
  <c r="W73" i="4"/>
  <c r="Z73"/>
  <c r="F61"/>
  <c r="F33"/>
  <c r="F23"/>
  <c r="Z74"/>
  <c r="G26"/>
  <c r="K31"/>
  <c r="I28"/>
  <c r="I26"/>
  <c r="K21"/>
  <c r="K15"/>
  <c r="M14"/>
  <c r="S31"/>
  <c r="S21"/>
  <c r="U31"/>
  <c r="U21"/>
  <c r="I47"/>
  <c r="Q56"/>
  <c r="G61"/>
  <c r="O69"/>
  <c r="S69"/>
  <c r="U69"/>
  <c r="Y69"/>
  <c r="F34" i="40"/>
  <c r="R34" s="1"/>
  <c r="U34" s="1"/>
  <c r="F16" i="41"/>
  <c r="R16" s="1"/>
  <c r="U16" s="1"/>
  <c r="F61" i="54"/>
  <c r="H43" i="2"/>
  <c r="G24"/>
  <c r="G24" i="4" s="1"/>
  <c r="K16" i="2"/>
  <c r="L13"/>
  <c r="M67" i="1"/>
  <c r="M31"/>
  <c r="AG29"/>
  <c r="AF24"/>
  <c r="AK44"/>
  <c r="AK46" s="1"/>
  <c r="AF16"/>
  <c r="AD16" i="4" s="1"/>
  <c r="AC16" i="1"/>
  <c r="AE29"/>
  <c r="U59" i="2"/>
  <c r="T64"/>
  <c r="T64" i="4" s="1"/>
  <c r="Q64" i="2"/>
  <c r="Q64" i="4" s="1"/>
  <c r="P59" i="2"/>
  <c r="P69" s="1"/>
  <c r="M59"/>
  <c r="K64"/>
  <c r="H64"/>
  <c r="H64" i="4" s="1"/>
  <c r="G59" i="2"/>
  <c r="G69" s="1"/>
  <c r="M41" i="1"/>
  <c r="M57"/>
  <c r="AM34"/>
  <c r="AM24"/>
  <c r="AE64" i="2"/>
  <c r="AD59"/>
  <c r="AD69" s="1"/>
  <c r="G101" i="3" s="1"/>
  <c r="F106" i="43" s="1"/>
  <c r="V34" i="1"/>
  <c r="V24"/>
  <c r="X24" i="4" s="1"/>
  <c r="U34" i="1"/>
  <c r="U24"/>
  <c r="T50" i="4"/>
  <c r="T29" i="1"/>
  <c r="T29" i="4" s="1"/>
  <c r="O43" i="1"/>
  <c r="O43" i="4" s="1"/>
  <c r="I34" i="1"/>
  <c r="I24"/>
  <c r="M33"/>
  <c r="H34"/>
  <c r="H24"/>
  <c r="M40"/>
  <c r="M37"/>
  <c r="M49"/>
  <c r="M38"/>
  <c r="M36"/>
  <c r="M32"/>
  <c r="M19"/>
  <c r="N43"/>
  <c r="N24"/>
  <c r="M24" i="4" s="1"/>
  <c r="Z29" i="1"/>
  <c r="U29" i="4" s="1"/>
  <c r="F65" i="41"/>
  <c r="R65" s="1"/>
  <c r="U65" s="1"/>
  <c r="AG24" i="2"/>
  <c r="AE24"/>
  <c r="S24"/>
  <c r="Q24"/>
  <c r="Q24" i="4" s="1"/>
  <c r="O24" i="2"/>
  <c r="AH24"/>
  <c r="AF24"/>
  <c r="AD24"/>
  <c r="AB24"/>
  <c r="V24"/>
  <c r="T24"/>
  <c r="P24"/>
  <c r="X49" i="4"/>
  <c r="I41"/>
  <c r="AE24" i="1"/>
  <c r="AE16"/>
  <c r="T62" i="4"/>
  <c r="P62"/>
  <c r="G66"/>
  <c r="G57"/>
  <c r="F59" i="2"/>
  <c r="AH16" i="1"/>
  <c r="F113" i="18"/>
  <c r="G28" s="1"/>
  <c r="AI29" i="1"/>
  <c r="AJ16"/>
  <c r="AG64" i="2"/>
  <c r="AG59"/>
  <c r="U29" i="1"/>
  <c r="S29"/>
  <c r="L29"/>
  <c r="K29" i="4" s="1"/>
  <c r="J34" i="1"/>
  <c r="J24"/>
  <c r="J16"/>
  <c r="J16" i="4" s="1"/>
  <c r="H29" i="1"/>
  <c r="F34"/>
  <c r="N34"/>
  <c r="N16"/>
  <c r="M16" i="4" s="1"/>
  <c r="AN64" i="1"/>
  <c r="AP65"/>
  <c r="H65" i="54" s="1"/>
  <c r="G66" i="40"/>
  <c r="S66" s="1"/>
  <c r="V66" s="1"/>
  <c r="F33" i="54"/>
  <c r="F34" i="4"/>
  <c r="W74"/>
  <c r="V73"/>
  <c r="V74"/>
  <c r="I43" i="1"/>
  <c r="G43"/>
  <c r="Z43"/>
  <c r="AM64"/>
  <c r="AL59"/>
  <c r="AK64"/>
  <c r="AJ59"/>
  <c r="AI64"/>
  <c r="AH59"/>
  <c r="AG64"/>
  <c r="AF59"/>
  <c r="AE64"/>
  <c r="AD59"/>
  <c r="AC64"/>
  <c r="Y16"/>
  <c r="W16"/>
  <c r="Y16" i="4" s="1"/>
  <c r="U16" i="1"/>
  <c r="S16"/>
  <c r="S16" i="4" s="1"/>
  <c r="Q16" i="1"/>
  <c r="K16"/>
  <c r="I16"/>
  <c r="I16" i="4" s="1"/>
  <c r="G16" i="1"/>
  <c r="G16" i="4" s="1"/>
  <c r="Y64" i="1"/>
  <c r="AG34"/>
  <c r="AD34"/>
  <c r="AM16"/>
  <c r="T16"/>
  <c r="T16" i="4" s="1"/>
  <c r="H43" i="1"/>
  <c r="N29"/>
  <c r="M29" i="4" s="1"/>
  <c r="Z16" i="1"/>
  <c r="U16" i="4" s="1"/>
  <c r="AM59" i="1"/>
  <c r="AM69" s="1"/>
  <c r="G46" i="3" s="1"/>
  <c r="AL64" i="1"/>
  <c r="AK59"/>
  <c r="AJ64"/>
  <c r="AI59"/>
  <c r="AI69" s="1"/>
  <c r="AH64"/>
  <c r="AG59"/>
  <c r="AF64"/>
  <c r="AD64" i="4" s="1"/>
  <c r="AE59" i="1"/>
  <c r="AE69" s="1"/>
  <c r="AD64"/>
  <c r="AC59"/>
  <c r="Y59"/>
  <c r="AA74" i="4"/>
  <c r="N74"/>
  <c r="G61" i="54"/>
  <c r="G12"/>
  <c r="Y74" i="4"/>
  <c r="U74"/>
  <c r="S74"/>
  <c r="O74"/>
  <c r="M14" i="55"/>
  <c r="L20"/>
  <c r="J66" i="63"/>
  <c r="G66"/>
  <c r="AB65" i="4"/>
  <c r="AL65" i="2"/>
  <c r="H65" i="63" s="1"/>
  <c r="G66" i="41"/>
  <c r="S66" s="1"/>
  <c r="V66" s="1"/>
  <c r="J62" i="63"/>
  <c r="G62"/>
  <c r="Z64" i="2"/>
  <c r="AB61" i="4"/>
  <c r="AL61" i="2"/>
  <c r="G62" i="41"/>
  <c r="J57" i="63"/>
  <c r="G57"/>
  <c r="G57" i="41"/>
  <c r="AL56" i="2"/>
  <c r="AB56" i="4"/>
  <c r="G41" i="41"/>
  <c r="AL41" i="2"/>
  <c r="H40" i="63" s="1"/>
  <c r="Z43" i="2"/>
  <c r="AL36"/>
  <c r="H35" i="63" s="1"/>
  <c r="G36" i="41"/>
  <c r="S36" s="1"/>
  <c r="V36" s="1"/>
  <c r="AB28" i="4"/>
  <c r="AL28" i="2"/>
  <c r="H27" i="63" s="1"/>
  <c r="G28" i="41"/>
  <c r="S28" s="1"/>
  <c r="V28" s="1"/>
  <c r="G23"/>
  <c r="S23" s="1"/>
  <c r="V23" s="1"/>
  <c r="AL23" i="2"/>
  <c r="H22" i="63" s="1"/>
  <c r="AL14" i="2"/>
  <c r="H13" i="63" s="1"/>
  <c r="G14" i="41"/>
  <c r="S14" s="1"/>
  <c r="V14" s="1"/>
  <c r="G44" i="24"/>
  <c r="G48"/>
  <c r="E41"/>
  <c r="H65" i="10"/>
  <c r="G68" i="41"/>
  <c r="S68" s="1"/>
  <c r="V68" s="1"/>
  <c r="AL67" i="2"/>
  <c r="H67" i="63" s="1"/>
  <c r="AL63" i="2"/>
  <c r="H63" i="63" s="1"/>
  <c r="G50"/>
  <c r="G50" i="41"/>
  <c r="S50" s="1"/>
  <c r="V50" s="1"/>
  <c r="H39" i="63"/>
  <c r="AL38" i="2"/>
  <c r="H37" i="63" s="1"/>
  <c r="G31"/>
  <c r="G31" i="41"/>
  <c r="AL31" i="2"/>
  <c r="J26" i="63"/>
  <c r="J21"/>
  <c r="G44" i="45"/>
  <c r="G48" s="1"/>
  <c r="L21" i="42"/>
  <c r="L25"/>
  <c r="D25"/>
  <c r="D21"/>
  <c r="T25"/>
  <c r="T21"/>
  <c r="N50"/>
  <c r="N52" s="1"/>
  <c r="N54" s="1"/>
  <c r="F21"/>
  <c r="F23" s="1"/>
  <c r="F25" s="1"/>
  <c r="F41" i="13"/>
  <c r="F44" i="45"/>
  <c r="E44" s="1"/>
  <c r="H44" s="1"/>
  <c r="F65" i="28"/>
  <c r="H65" s="1"/>
  <c r="H60"/>
  <c r="H55" i="50"/>
  <c r="E65"/>
  <c r="H62" i="9"/>
  <c r="E65"/>
  <c r="H65" s="1"/>
  <c r="H11" i="19"/>
  <c r="H19" i="6"/>
  <c r="E39"/>
  <c r="H11" i="20"/>
  <c r="H55" i="11"/>
  <c r="E65"/>
  <c r="S62" i="40"/>
  <c r="V62" s="1"/>
  <c r="R21"/>
  <c r="U21" s="1"/>
  <c r="F24"/>
  <c r="H19" i="14"/>
  <c r="H16" i="52"/>
  <c r="E19"/>
  <c r="H19" i="59"/>
  <c r="H55" i="60"/>
  <c r="E65"/>
  <c r="H65" s="1"/>
  <c r="H35"/>
  <c r="E38"/>
  <c r="H38" s="1"/>
  <c r="H24"/>
  <c r="H58" i="58"/>
  <c r="E60"/>
  <c r="T12" i="61"/>
  <c r="R20"/>
  <c r="E21" i="62"/>
  <c r="E23" s="1"/>
  <c r="F33" i="61" s="1"/>
  <c r="F22" s="1"/>
  <c r="AP56" i="1"/>
  <c r="AP21"/>
  <c r="G21" i="40"/>
  <c r="AG48" i="1"/>
  <c r="F48" i="51"/>
  <c r="AE43" i="1"/>
  <c r="M47" i="55"/>
  <c r="L53"/>
  <c r="H65" i="23"/>
  <c r="F65"/>
  <c r="G39"/>
  <c r="G41" s="1"/>
  <c r="E29"/>
  <c r="H38" i="45"/>
  <c r="F78"/>
  <c r="E11"/>
  <c r="E39" i="5"/>
  <c r="H39" s="1"/>
  <c r="E29"/>
  <c r="H29" s="1"/>
  <c r="F104" i="17"/>
  <c r="F86"/>
  <c r="E39"/>
  <c r="H65" i="15"/>
  <c r="F65"/>
  <c r="E38"/>
  <c r="F65" i="51"/>
  <c r="H65" s="1"/>
  <c r="E38"/>
  <c r="H38" s="1"/>
  <c r="E24" i="48"/>
  <c r="H24" s="1"/>
  <c r="H65" i="27"/>
  <c r="F65" i="47"/>
  <c r="E38"/>
  <c r="H38" s="1"/>
  <c r="F65" i="18"/>
  <c r="H65" s="1"/>
  <c r="E38"/>
  <c r="F110" i="50"/>
  <c r="F82"/>
  <c r="F112" s="1"/>
  <c r="F115" s="1"/>
  <c r="G65"/>
  <c r="E19"/>
  <c r="H55" i="6"/>
  <c r="H60" i="20"/>
  <c r="G65" i="11"/>
  <c r="E41"/>
  <c r="F29" i="41"/>
  <c r="R29" s="1"/>
  <c r="U29" s="1"/>
  <c r="E29" i="8"/>
  <c r="H60" i="13"/>
  <c r="G48"/>
  <c r="E19"/>
  <c r="H60" i="14"/>
  <c r="H60" i="52"/>
  <c r="F110"/>
  <c r="F113" s="1"/>
  <c r="G28" s="1"/>
  <c r="G94" i="42"/>
  <c r="D74" s="1"/>
  <c r="W94"/>
  <c r="T74" s="1"/>
  <c r="N18"/>
  <c r="N20"/>
  <c r="M20"/>
  <c r="E18"/>
  <c r="E20" s="1"/>
  <c r="U20"/>
  <c r="M47"/>
  <c r="L44"/>
  <c r="L49" s="1"/>
  <c r="M49"/>
  <c r="H60" i="59"/>
  <c r="E24"/>
  <c r="H24" s="1"/>
  <c r="G39" i="50"/>
  <c r="G41" s="1"/>
  <c r="AL44" i="1"/>
  <c r="AL46" s="1"/>
  <c r="F88" i="51"/>
  <c r="F110" i="48"/>
  <c r="F113" s="1"/>
  <c r="G28" s="1"/>
  <c r="F91" i="16"/>
  <c r="F104"/>
  <c r="F93" i="27"/>
  <c r="F106"/>
  <c r="K34" i="2"/>
  <c r="K24"/>
  <c r="H34"/>
  <c r="H34" i="4" s="1"/>
  <c r="H24" i="2"/>
  <c r="AG24" i="1"/>
  <c r="AG44" s="1"/>
  <c r="AG46" s="1"/>
  <c r="AD24"/>
  <c r="AD44" s="1"/>
  <c r="AD46" s="1"/>
  <c r="AD52" s="1"/>
  <c r="F37" i="3" s="1"/>
  <c r="F39" i="60"/>
  <c r="F41" s="1"/>
  <c r="F39" i="10"/>
  <c r="F41" s="1"/>
  <c r="F39" i="8"/>
  <c r="F41" s="1"/>
  <c r="AE44" i="1"/>
  <c r="F110" i="67"/>
  <c r="F113" s="1"/>
  <c r="G28" s="1"/>
  <c r="E38" i="29"/>
  <c r="H38" s="1"/>
  <c r="H35"/>
  <c r="H19" i="19"/>
  <c r="H11" i="6"/>
  <c r="E41"/>
  <c r="H55" i="20"/>
  <c r="E65"/>
  <c r="H65" s="1"/>
  <c r="H19"/>
  <c r="S57" i="40"/>
  <c r="V57" s="1"/>
  <c r="R63"/>
  <c r="U63" s="1"/>
  <c r="F65"/>
  <c r="R65" s="1"/>
  <c r="U65" s="1"/>
  <c r="R58"/>
  <c r="U58" s="1"/>
  <c r="F60"/>
  <c r="R31" i="41"/>
  <c r="U31" s="1"/>
  <c r="F34"/>
  <c r="R34" s="1"/>
  <c r="U34" s="1"/>
  <c r="H55" i="13"/>
  <c r="E65"/>
  <c r="H65" s="1"/>
  <c r="H55" i="14"/>
  <c r="E65"/>
  <c r="H65" s="1"/>
  <c r="H11"/>
  <c r="H55" i="52"/>
  <c r="E65"/>
  <c r="H65" s="1"/>
  <c r="H58" i="47"/>
  <c r="E60"/>
  <c r="H17" i="48"/>
  <c r="E19"/>
  <c r="H16" i="58"/>
  <c r="E19"/>
  <c r="H55" i="59"/>
  <c r="E65"/>
  <c r="H65" s="1"/>
  <c r="H26"/>
  <c r="H11"/>
  <c r="H11" i="60"/>
  <c r="Q43" i="2"/>
  <c r="Q41" i="4"/>
  <c r="V43" i="2"/>
  <c r="U43" i="4" s="1"/>
  <c r="U40"/>
  <c r="T33" i="2"/>
  <c r="E28" i="19"/>
  <c r="G29"/>
  <c r="G48" i="2"/>
  <c r="G48" i="6"/>
  <c r="AK48" i="1"/>
  <c r="F48" i="58"/>
  <c r="H11" i="66"/>
  <c r="AB50" i="1"/>
  <c r="P50" i="4"/>
  <c r="Z44" i="1"/>
  <c r="N73" i="4"/>
  <c r="F65" i="45"/>
  <c r="H65" s="1"/>
  <c r="H39"/>
  <c r="H29"/>
  <c r="F91"/>
  <c r="F106" s="1"/>
  <c r="F86"/>
  <c r="H19"/>
  <c r="H55" i="5"/>
  <c r="F39"/>
  <c r="F91" i="17"/>
  <c r="F65"/>
  <c r="H65" s="1"/>
  <c r="F108" i="15"/>
  <c r="F111" s="1"/>
  <c r="F65" i="48"/>
  <c r="H65" s="1"/>
  <c r="F65" i="49"/>
  <c r="H65" s="1"/>
  <c r="H60" i="50"/>
  <c r="H65" i="19"/>
  <c r="F65"/>
  <c r="G39"/>
  <c r="G41" s="1"/>
  <c r="G48" s="1"/>
  <c r="H65" i="6"/>
  <c r="H60"/>
  <c r="H60" i="11"/>
  <c r="F60" i="41"/>
  <c r="F80" i="13"/>
  <c r="F110" s="1"/>
  <c r="F113" s="1"/>
  <c r="O94" i="42"/>
  <c r="L74" s="1"/>
  <c r="V20"/>
  <c r="F94"/>
  <c r="D47" s="1"/>
  <c r="T44"/>
  <c r="T49" s="1"/>
  <c r="U49"/>
  <c r="F65" i="58"/>
  <c r="AK52" i="1"/>
  <c r="F44" i="3" s="1"/>
  <c r="AS16" i="2"/>
  <c r="AS24"/>
  <c r="F106" i="29"/>
  <c r="F108" s="1"/>
  <c r="F110" s="1"/>
  <c r="F113" s="1"/>
  <c r="G28" s="1"/>
  <c r="AS64" i="2"/>
  <c r="L34" i="61"/>
  <c r="F14" s="1"/>
  <c r="AG16" i="2"/>
  <c r="AE16"/>
  <c r="AC16"/>
  <c r="AA16"/>
  <c r="U16"/>
  <c r="Q16"/>
  <c r="AH43"/>
  <c r="AF43"/>
  <c r="AD43"/>
  <c r="T43"/>
  <c r="R43"/>
  <c r="R44" s="1"/>
  <c r="R46" s="1"/>
  <c r="P43"/>
  <c r="N43"/>
  <c r="AG29"/>
  <c r="AC29"/>
  <c r="AA29"/>
  <c r="U29"/>
  <c r="X29" i="4" s="1"/>
  <c r="S29" i="2"/>
  <c r="S29" i="4" s="1"/>
  <c r="O29" i="2"/>
  <c r="P44"/>
  <c r="P46" s="1"/>
  <c r="F88" i="28"/>
  <c r="F80"/>
  <c r="F93" i="47"/>
  <c r="F106"/>
  <c r="F93" i="49"/>
  <c r="F106"/>
  <c r="F88" i="22"/>
  <c r="F80"/>
  <c r="G39" i="17"/>
  <c r="G41"/>
  <c r="F86" i="10"/>
  <c r="F78"/>
  <c r="J24" i="2"/>
  <c r="I29"/>
  <c r="F93" i="60"/>
  <c r="F106"/>
  <c r="M29" i="2"/>
  <c r="AN44" i="1"/>
  <c r="AN46" s="1"/>
  <c r="AH43"/>
  <c r="AH29"/>
  <c r="F110" i="68"/>
  <c r="F113" s="1"/>
  <c r="G28" s="1"/>
  <c r="F39"/>
  <c r="AJ34" i="1"/>
  <c r="AJ24"/>
  <c r="AG69" i="2"/>
  <c r="G104" i="3" s="1"/>
  <c r="F109" i="43" s="1"/>
  <c r="S50" i="4"/>
  <c r="Q50"/>
  <c r="F98" i="58"/>
  <c r="F108" s="1"/>
  <c r="F43" i="2"/>
  <c r="F39" i="63"/>
  <c r="AL48" i="1"/>
  <c r="F73"/>
  <c r="F14" i="55"/>
  <c r="AS59" i="2"/>
  <c r="L20" i="61"/>
  <c r="F108" i="20"/>
  <c r="F111" s="1"/>
  <c r="G28" s="1"/>
  <c r="F110" i="59"/>
  <c r="F113" s="1"/>
  <c r="G28" s="1"/>
  <c r="F93" i="28"/>
  <c r="F106"/>
  <c r="F93" i="51"/>
  <c r="F108" s="1"/>
  <c r="F110" s="1"/>
  <c r="F113" s="1"/>
  <c r="G28" s="1"/>
  <c r="F88" i="47"/>
  <c r="F80"/>
  <c r="F88" i="49"/>
  <c r="F80"/>
  <c r="F93" i="22"/>
  <c r="F106"/>
  <c r="F108" s="1"/>
  <c r="F86" i="16"/>
  <c r="F78"/>
  <c r="G39" i="15"/>
  <c r="G41" s="1"/>
  <c r="F111" i="12"/>
  <c r="G28" s="1"/>
  <c r="F88" i="27"/>
  <c r="F80"/>
  <c r="K29" i="2"/>
  <c r="F91" i="10"/>
  <c r="F104"/>
  <c r="J29" i="2"/>
  <c r="I34"/>
  <c r="I34" i="4" s="1"/>
  <c r="I24" i="2"/>
  <c r="H29"/>
  <c r="H29" i="4" s="1"/>
  <c r="G34" i="2"/>
  <c r="G34" i="4" s="1"/>
  <c r="F80" i="58"/>
  <c r="F16" i="2"/>
  <c r="F88" i="60"/>
  <c r="F80"/>
  <c r="M24" i="2"/>
  <c r="AF43" i="1"/>
  <c r="AC43"/>
  <c r="AP27"/>
  <c r="H26" i="54" s="1"/>
  <c r="AF29" i="1"/>
  <c r="AC29"/>
  <c r="F39" i="11"/>
  <c r="H39" s="1"/>
  <c r="F39" i="9"/>
  <c r="H39" s="1"/>
  <c r="F39" i="6"/>
  <c r="F41" s="1"/>
  <c r="F39" i="27"/>
  <c r="F41" s="1"/>
  <c r="H60" i="64"/>
  <c r="F110"/>
  <c r="F113" s="1"/>
  <c r="G28" s="1"/>
  <c r="H60" i="67"/>
  <c r="F39" i="59"/>
  <c r="F41"/>
  <c r="H55" i="64"/>
  <c r="E65"/>
  <c r="H65" s="1"/>
  <c r="H16"/>
  <c r="E19"/>
  <c r="H19" i="66"/>
  <c r="F64" i="1"/>
  <c r="M63"/>
  <c r="O33"/>
  <c r="O34" s="1"/>
  <c r="F29" i="14"/>
  <c r="F39" s="1"/>
  <c r="F41" s="1"/>
  <c r="F88" i="58"/>
  <c r="AP22" i="1"/>
  <c r="H21" i="54" s="1"/>
  <c r="F39" i="28"/>
  <c r="F41" s="1"/>
  <c r="F39" i="47"/>
  <c r="F41" s="1"/>
  <c r="F39" i="49"/>
  <c r="F41" s="1"/>
  <c r="F39" i="50"/>
  <c r="F41" s="1"/>
  <c r="F39" i="24"/>
  <c r="F41" s="1"/>
  <c r="F39" i="23"/>
  <c r="F41" s="1"/>
  <c r="F39" i="22"/>
  <c r="F41" s="1"/>
  <c r="F39" i="52"/>
  <c r="F41" s="1"/>
  <c r="F39" i="18"/>
  <c r="F41" s="1"/>
  <c r="F39" i="17"/>
  <c r="F41" s="1"/>
  <c r="F39" i="16"/>
  <c r="F41" s="1"/>
  <c r="F39" i="15"/>
  <c r="F41" s="1"/>
  <c r="AE46" i="1"/>
  <c r="G65" i="64"/>
  <c r="F65" i="66"/>
  <c r="H65" s="1"/>
  <c r="F41" i="29"/>
  <c r="AH34" i="1"/>
  <c r="F39" i="66"/>
  <c r="F41" s="1"/>
  <c r="F108"/>
  <c r="F111" s="1"/>
  <c r="G28" s="1"/>
  <c r="F78" i="14"/>
  <c r="F86"/>
  <c r="AM43" i="1"/>
  <c r="H38" i="68"/>
  <c r="Y43" i="1"/>
  <c r="Y44" s="1"/>
  <c r="Y46" s="1"/>
  <c r="X43"/>
  <c r="X44" s="1"/>
  <c r="X46" s="1"/>
  <c r="W43"/>
  <c r="Y43" i="4" s="1"/>
  <c r="V43" i="1"/>
  <c r="X43" i="4" s="1"/>
  <c r="U43" i="1"/>
  <c r="T43"/>
  <c r="T43" i="4" s="1"/>
  <c r="S43" i="1"/>
  <c r="S43" i="4" s="1"/>
  <c r="R43" i="1"/>
  <c r="R43" i="4" s="1"/>
  <c r="Q43" i="1"/>
  <c r="P43"/>
  <c r="P43" i="4" s="1"/>
  <c r="P29" i="1"/>
  <c r="P29" i="4" s="1"/>
  <c r="O29" i="1"/>
  <c r="O29" i="4" s="1"/>
  <c r="F14" i="1"/>
  <c r="F10" i="5"/>
  <c r="H55" i="67"/>
  <c r="E65"/>
  <c r="H65" s="1"/>
  <c r="H16"/>
  <c r="E19"/>
  <c r="H16" i="68"/>
  <c r="E19"/>
  <c r="F44" i="43"/>
  <c r="F117"/>
  <c r="F59" i="1"/>
  <c r="F91" i="14"/>
  <c r="F106"/>
  <c r="G65" i="67"/>
  <c r="F39"/>
  <c r="F41" s="1"/>
  <c r="F65" i="68"/>
  <c r="H65" s="1"/>
  <c r="F41"/>
  <c r="AI43" i="1"/>
  <c r="AI44" s="1"/>
  <c r="AI46" s="1"/>
  <c r="H38" i="67"/>
  <c r="AJ29" i="1"/>
  <c r="P34"/>
  <c r="P34" i="4" s="1"/>
  <c r="P24" i="1"/>
  <c r="O24"/>
  <c r="L43"/>
  <c r="K43"/>
  <c r="K44" s="1"/>
  <c r="K46" s="1"/>
  <c r="J43"/>
  <c r="F43"/>
  <c r="Z46"/>
  <c r="AK69"/>
  <c r="G44" i="3" s="1"/>
  <c r="F36" i="43" s="1"/>
  <c r="AG69" i="1"/>
  <c r="AC69"/>
  <c r="Y69"/>
  <c r="AB32" l="1"/>
  <c r="L32" i="4"/>
  <c r="AB38" i="1"/>
  <c r="L38" i="4"/>
  <c r="AB37" i="1"/>
  <c r="L37" i="4"/>
  <c r="AB57" i="1"/>
  <c r="M59"/>
  <c r="L59" i="4" s="1"/>
  <c r="L57"/>
  <c r="G75" i="3"/>
  <c r="F88" i="43" s="1"/>
  <c r="G69" i="4"/>
  <c r="G86" i="3"/>
  <c r="F96" i="43" s="1"/>
  <c r="P69" i="4"/>
  <c r="AB31" i="1"/>
  <c r="M34"/>
  <c r="L31" i="4"/>
  <c r="Z13" i="2"/>
  <c r="L16"/>
  <c r="Z21"/>
  <c r="L24"/>
  <c r="L21" i="4"/>
  <c r="AB66" i="1"/>
  <c r="L66" i="4"/>
  <c r="G76" i="3"/>
  <c r="F89" i="43" s="1"/>
  <c r="H69" i="4"/>
  <c r="Q69" i="2"/>
  <c r="Q59" i="4"/>
  <c r="Q74" s="1"/>
  <c r="F23" i="54"/>
  <c r="F24" i="4"/>
  <c r="F28" i="63"/>
  <c r="F29" i="4"/>
  <c r="S33" i="2"/>
  <c r="G29" i="18"/>
  <c r="G39" s="1"/>
  <c r="G41" s="1"/>
  <c r="E28"/>
  <c r="F69" i="2"/>
  <c r="F59" i="63"/>
  <c r="AB19" i="1"/>
  <c r="L19" i="4"/>
  <c r="AB36" i="1"/>
  <c r="L36" i="4"/>
  <c r="AB49" i="1"/>
  <c r="L49" i="4"/>
  <c r="AB40" i="1"/>
  <c r="M43"/>
  <c r="L43" i="4" s="1"/>
  <c r="L40"/>
  <c r="AB41" i="1"/>
  <c r="L41" i="4"/>
  <c r="AB67" i="1"/>
  <c r="L67" i="4"/>
  <c r="AL15" i="2"/>
  <c r="H14" i="63" s="1"/>
  <c r="G15" i="41"/>
  <c r="S15" s="1"/>
  <c r="V15" s="1"/>
  <c r="Z26" i="2"/>
  <c r="L29"/>
  <c r="AL37"/>
  <c r="H36" i="63" s="1"/>
  <c r="G37" i="41"/>
  <c r="S37" s="1"/>
  <c r="V37" s="1"/>
  <c r="AL42" i="2"/>
  <c r="H41" i="63" s="1"/>
  <c r="G42" i="41"/>
  <c r="S42" s="1"/>
  <c r="V42" s="1"/>
  <c r="Z58" i="2"/>
  <c r="L59"/>
  <c r="AB62" i="1"/>
  <c r="L62" i="4"/>
  <c r="AB42" i="1"/>
  <c r="L42" i="4"/>
  <c r="AB58" i="1"/>
  <c r="L58" i="4"/>
  <c r="AB23" i="1"/>
  <c r="L23" i="4"/>
  <c r="M24" i="1"/>
  <c r="L24" i="4" s="1"/>
  <c r="AB26" i="1"/>
  <c r="M29"/>
  <c r="L26" i="4"/>
  <c r="AP28" i="1"/>
  <c r="H27" i="54" s="1"/>
  <c r="G28" i="40"/>
  <c r="G27"/>
  <c r="S27" s="1"/>
  <c r="V27" s="1"/>
  <c r="AB27" i="4"/>
  <c r="AD24"/>
  <c r="U24"/>
  <c r="G59"/>
  <c r="G74" s="1"/>
  <c r="P59"/>
  <c r="P74" s="1"/>
  <c r="N44" i="1"/>
  <c r="Q43" i="4"/>
  <c r="U44" i="1"/>
  <c r="U46" s="1"/>
  <c r="AM44"/>
  <c r="AM46" s="1"/>
  <c r="AC44"/>
  <c r="AC46" s="1"/>
  <c r="J29" i="4"/>
  <c r="AS69" i="2"/>
  <c r="I29" i="4"/>
  <c r="M43"/>
  <c r="F44" i="41"/>
  <c r="R44" s="1"/>
  <c r="U44" s="1"/>
  <c r="M69" i="2"/>
  <c r="G83" i="3" s="1"/>
  <c r="F93" i="43" s="1"/>
  <c r="U69" i="2"/>
  <c r="L64"/>
  <c r="L69" s="1"/>
  <c r="AN69" i="1"/>
  <c r="G47" i="3" s="1"/>
  <c r="S24" i="4"/>
  <c r="T24"/>
  <c r="K69" i="2"/>
  <c r="G79" i="3" s="1"/>
  <c r="F92" i="43" s="1"/>
  <c r="T69" i="2"/>
  <c r="L13" i="4"/>
  <c r="H59"/>
  <c r="H74" s="1"/>
  <c r="T59"/>
  <c r="T74" s="1"/>
  <c r="X59"/>
  <c r="X74" s="1"/>
  <c r="H44" i="1"/>
  <c r="H46" s="1"/>
  <c r="H43" i="4"/>
  <c r="AF69" i="1"/>
  <c r="AD59" i="4"/>
  <c r="AD74" s="1"/>
  <c r="J65" i="54"/>
  <c r="G65"/>
  <c r="AD69" i="1"/>
  <c r="G37" i="3" s="1"/>
  <c r="F29" i="43" s="1"/>
  <c r="AH69" i="1"/>
  <c r="G41" i="3" s="1"/>
  <c r="F33" i="43" s="1"/>
  <c r="AJ69" i="1"/>
  <c r="G43" i="3" s="1"/>
  <c r="F35" i="43" s="1"/>
  <c r="AL69" i="1"/>
  <c r="G45" i="3" s="1"/>
  <c r="F37" i="43" s="1"/>
  <c r="G44" i="1"/>
  <c r="G46" s="1"/>
  <c r="G43" i="4"/>
  <c r="I44" i="1"/>
  <c r="I46" s="1"/>
  <c r="I43" i="4"/>
  <c r="F44" i="66"/>
  <c r="F44" i="14"/>
  <c r="F48"/>
  <c r="F44" i="27"/>
  <c r="F48"/>
  <c r="F44" i="10"/>
  <c r="F48"/>
  <c r="G44" i="50"/>
  <c r="G48" s="1"/>
  <c r="F44" i="6"/>
  <c r="F48"/>
  <c r="G29" i="51"/>
  <c r="G39" s="1"/>
  <c r="G41" s="1"/>
  <c r="AE33" i="2"/>
  <c r="AE34" s="1"/>
  <c r="AE44" s="1"/>
  <c r="E28" i="51"/>
  <c r="AS33" i="2"/>
  <c r="AS34" s="1"/>
  <c r="AS44" s="1"/>
  <c r="AS46" s="1"/>
  <c r="G29" i="29"/>
  <c r="G39" s="1"/>
  <c r="G41" s="1"/>
  <c r="E28"/>
  <c r="F44" i="8"/>
  <c r="F48"/>
  <c r="F44" i="60"/>
  <c r="F48"/>
  <c r="E21" i="42"/>
  <c r="E23" s="1"/>
  <c r="E25"/>
  <c r="G30" i="3"/>
  <c r="F26" i="43" s="1"/>
  <c r="G38" i="3"/>
  <c r="F30" i="43" s="1"/>
  <c r="G42" i="3"/>
  <c r="F34" i="43" s="1"/>
  <c r="N46" i="1"/>
  <c r="J43" i="4"/>
  <c r="J44" i="1"/>
  <c r="L44"/>
  <c r="K43" i="4"/>
  <c r="P44" i="1"/>
  <c r="P24" i="4"/>
  <c r="F44" i="67"/>
  <c r="F48"/>
  <c r="F69" i="1"/>
  <c r="F59" i="4"/>
  <c r="F59" i="54"/>
  <c r="H19" i="68"/>
  <c r="H19" i="67"/>
  <c r="F15" i="1"/>
  <c r="F16" s="1"/>
  <c r="F15" i="40"/>
  <c r="F11" i="5"/>
  <c r="F41" s="1"/>
  <c r="F48" s="1"/>
  <c r="F67" s="1"/>
  <c r="E10"/>
  <c r="E28" i="66"/>
  <c r="G29"/>
  <c r="G39" s="1"/>
  <c r="G41" s="1"/>
  <c r="F44" i="16"/>
  <c r="F44" i="18"/>
  <c r="F44" i="22"/>
  <c r="F44" i="24"/>
  <c r="F44" i="49"/>
  <c r="F44" i="28"/>
  <c r="J21" i="54"/>
  <c r="G21"/>
  <c r="M64" i="1"/>
  <c r="AB63"/>
  <c r="L63" i="4"/>
  <c r="H19" i="64"/>
  <c r="F44" i="59"/>
  <c r="F48"/>
  <c r="I44" i="2"/>
  <c r="I24" i="4"/>
  <c r="G29" i="12"/>
  <c r="G39" s="1"/>
  <c r="G41" s="1"/>
  <c r="N33" i="2"/>
  <c r="E28" i="12"/>
  <c r="G29" i="59"/>
  <c r="G39" s="1"/>
  <c r="G41" s="1"/>
  <c r="AH33" i="2"/>
  <c r="AH34" s="1"/>
  <c r="AH44" s="1"/>
  <c r="AH46" s="1"/>
  <c r="E28" i="59"/>
  <c r="AD76" i="1"/>
  <c r="AD77" s="1"/>
  <c r="F42" i="63"/>
  <c r="F44" i="2"/>
  <c r="F43" i="63" s="1"/>
  <c r="G29" i="68"/>
  <c r="G39" s="1"/>
  <c r="G41" s="1"/>
  <c r="E28"/>
  <c r="J24" i="4"/>
  <c r="G44" i="17"/>
  <c r="R48" i="2" s="1"/>
  <c r="R52" s="1"/>
  <c r="F88" i="3" s="1"/>
  <c r="X16" i="4"/>
  <c r="T50" i="42"/>
  <c r="T54"/>
  <c r="M74"/>
  <c r="M76" s="1"/>
  <c r="N74"/>
  <c r="N76" s="1"/>
  <c r="R43" i="41"/>
  <c r="U43" s="1"/>
  <c r="T34" i="2"/>
  <c r="T33" i="4"/>
  <c r="G29" i="67"/>
  <c r="G39" s="1"/>
  <c r="G41" s="1"/>
  <c r="E28"/>
  <c r="G29" i="48"/>
  <c r="G39" s="1"/>
  <c r="G41" s="1"/>
  <c r="AB33" i="2"/>
  <c r="AB34" s="1"/>
  <c r="AB44" s="1"/>
  <c r="AB46" s="1"/>
  <c r="E28" i="48"/>
  <c r="M50" i="42"/>
  <c r="M52" s="1"/>
  <c r="M54"/>
  <c r="U21"/>
  <c r="U23" s="1"/>
  <c r="U25"/>
  <c r="N21"/>
  <c r="N23" s="1"/>
  <c r="N25"/>
  <c r="U74"/>
  <c r="U76" s="1"/>
  <c r="V74"/>
  <c r="V76" s="1"/>
  <c r="E74"/>
  <c r="E76" s="1"/>
  <c r="F74"/>
  <c r="F76" s="1"/>
  <c r="G29" i="52"/>
  <c r="G39" s="1"/>
  <c r="G41" s="1"/>
  <c r="E28"/>
  <c r="H29" i="8"/>
  <c r="E39"/>
  <c r="H19" i="50"/>
  <c r="E39"/>
  <c r="H38" i="18"/>
  <c r="H38" i="15"/>
  <c r="E39"/>
  <c r="G44" i="23"/>
  <c r="G48"/>
  <c r="H20" i="54"/>
  <c r="H56"/>
  <c r="V14" i="61"/>
  <c r="T20"/>
  <c r="U14"/>
  <c r="S31" i="41"/>
  <c r="V31" s="1"/>
  <c r="J37" i="63"/>
  <c r="G37"/>
  <c r="G39"/>
  <c r="G63"/>
  <c r="J63"/>
  <c r="G67"/>
  <c r="J67"/>
  <c r="H41" i="24"/>
  <c r="J13" i="63"/>
  <c r="G13"/>
  <c r="G35"/>
  <c r="H56"/>
  <c r="S62" i="41"/>
  <c r="V62" s="1"/>
  <c r="G65"/>
  <c r="S65" s="1"/>
  <c r="V65" s="1"/>
  <c r="G36" i="3"/>
  <c r="F28" i="43" s="1"/>
  <c r="G40" i="3"/>
  <c r="F32" i="43" s="1"/>
  <c r="F42" i="54"/>
  <c r="F43" i="4"/>
  <c r="O44" i="1"/>
  <c r="O24" i="4"/>
  <c r="F44" i="68"/>
  <c r="M14" i="1"/>
  <c r="F13" i="54"/>
  <c r="F14" i="4"/>
  <c r="F44" i="29"/>
  <c r="F44" i="15"/>
  <c r="F44" i="17"/>
  <c r="F44" i="52"/>
  <c r="F44" i="23"/>
  <c r="F44" i="50"/>
  <c r="E44" s="1"/>
  <c r="H44" s="1"/>
  <c r="F44" i="47"/>
  <c r="AB33" i="1"/>
  <c r="F64" i="54"/>
  <c r="F64" i="4"/>
  <c r="G29" i="64"/>
  <c r="G39" s="1"/>
  <c r="G41" s="1"/>
  <c r="E28"/>
  <c r="AF44" i="1"/>
  <c r="AD29" i="4"/>
  <c r="J26" i="54"/>
  <c r="G26"/>
  <c r="F46" i="2"/>
  <c r="F15" i="63"/>
  <c r="G44" i="15"/>
  <c r="P48" i="2" s="1"/>
  <c r="P52" s="1"/>
  <c r="F86" i="3" s="1"/>
  <c r="V33" i="2"/>
  <c r="E28" i="20"/>
  <c r="G29"/>
  <c r="G39" s="1"/>
  <c r="G41" s="1"/>
  <c r="Q16" i="4"/>
  <c r="U50" i="42"/>
  <c r="U52" s="1"/>
  <c r="U54"/>
  <c r="E47"/>
  <c r="E49" s="1"/>
  <c r="F47"/>
  <c r="F49" s="1"/>
  <c r="V21"/>
  <c r="V23" s="1"/>
  <c r="V25" s="1"/>
  <c r="R60" i="41"/>
  <c r="U60" s="1"/>
  <c r="F70"/>
  <c r="R70" s="1"/>
  <c r="U70" s="1"/>
  <c r="AP50" i="1"/>
  <c r="H50" i="54" s="1"/>
  <c r="G51" i="40"/>
  <c r="S51" s="1"/>
  <c r="V51" s="1"/>
  <c r="AB50" i="4"/>
  <c r="E29" i="19"/>
  <c r="H28"/>
  <c r="H19" i="58"/>
  <c r="H19" i="48"/>
  <c r="E65" i="47"/>
  <c r="H65" s="1"/>
  <c r="H60"/>
  <c r="R60" i="40"/>
  <c r="U60" s="1"/>
  <c r="F70"/>
  <c r="R70" s="1"/>
  <c r="U70" s="1"/>
  <c r="H41" i="6"/>
  <c r="H44" i="2"/>
  <c r="H24" i="4"/>
  <c r="L54" i="42"/>
  <c r="L50"/>
  <c r="M21"/>
  <c r="M23" s="1"/>
  <c r="M25" s="1"/>
  <c r="H19" i="13"/>
  <c r="E39"/>
  <c r="H39" i="17"/>
  <c r="E41"/>
  <c r="H11" i="45"/>
  <c r="E41"/>
  <c r="E39" i="23"/>
  <c r="H29"/>
  <c r="S21" i="40"/>
  <c r="V21" s="1"/>
  <c r="H60" i="58"/>
  <c r="E65"/>
  <c r="H65" s="1"/>
  <c r="H19" i="52"/>
  <c r="F44" i="40"/>
  <c r="R24"/>
  <c r="U24" s="1"/>
  <c r="F44" i="13"/>
  <c r="E44" s="1"/>
  <c r="H44" s="1"/>
  <c r="H30" i="63"/>
  <c r="J49"/>
  <c r="G49"/>
  <c r="J22"/>
  <c r="G22"/>
  <c r="J27"/>
  <c r="G27"/>
  <c r="G40"/>
  <c r="J40"/>
  <c r="G43" i="41"/>
  <c r="S43" s="1"/>
  <c r="V43" s="1"/>
  <c r="S41"/>
  <c r="V41" s="1"/>
  <c r="S57"/>
  <c r="V57" s="1"/>
  <c r="AL64" i="2"/>
  <c r="H64" i="63" s="1"/>
  <c r="H61"/>
  <c r="G65"/>
  <c r="J65"/>
  <c r="F108" i="14"/>
  <c r="F111" s="1"/>
  <c r="G28" s="1"/>
  <c r="F110" i="58"/>
  <c r="F113" s="1"/>
  <c r="G28" s="1"/>
  <c r="F110" i="27"/>
  <c r="F113" s="1"/>
  <c r="G28" s="1"/>
  <c r="F110" i="49"/>
  <c r="F113" s="1"/>
  <c r="G28" s="1"/>
  <c r="AJ44" i="1"/>
  <c r="AJ46" s="1"/>
  <c r="F108" i="60"/>
  <c r="F108" i="10"/>
  <c r="F111" s="1"/>
  <c r="G28" s="1"/>
  <c r="F46" i="41"/>
  <c r="F106" i="17"/>
  <c r="F108" s="1"/>
  <c r="F111" s="1"/>
  <c r="F108" i="45"/>
  <c r="F111" s="1"/>
  <c r="V50" i="42"/>
  <c r="V52" s="1"/>
  <c r="V54" s="1"/>
  <c r="F44" i="1"/>
  <c r="Q44"/>
  <c r="R44"/>
  <c r="S44"/>
  <c r="T44"/>
  <c r="V44"/>
  <c r="W44"/>
  <c r="F41" i="9"/>
  <c r="F41" i="11"/>
  <c r="AD43" i="4"/>
  <c r="F110" i="60"/>
  <c r="F113" s="1"/>
  <c r="G28" s="1"/>
  <c r="G44" i="2"/>
  <c r="F106" i="10"/>
  <c r="F108" i="28"/>
  <c r="F110" s="1"/>
  <c r="F113" s="1"/>
  <c r="G28" s="1"/>
  <c r="AH44" i="1"/>
  <c r="AH46" s="1"/>
  <c r="F110" i="22"/>
  <c r="F113" s="1"/>
  <c r="G28" s="1"/>
  <c r="F108" i="49"/>
  <c r="F108" i="47"/>
  <c r="F110" s="1"/>
  <c r="F113" s="1"/>
  <c r="G28" s="1"/>
  <c r="AE46" i="2"/>
  <c r="L76" i="42"/>
  <c r="AG52" i="1"/>
  <c r="F40" i="3" s="1"/>
  <c r="K44" i="2"/>
  <c r="K46" s="1"/>
  <c r="K52" s="1"/>
  <c r="F79" i="3" s="1"/>
  <c r="F108" i="27"/>
  <c r="F106" i="16"/>
  <c r="F108" s="1"/>
  <c r="F111" s="1"/>
  <c r="G28" s="1"/>
  <c r="AL52" i="1"/>
  <c r="F45" i="3" s="1"/>
  <c r="T76" i="42"/>
  <c r="D76"/>
  <c r="H65" i="11"/>
  <c r="H39" i="6"/>
  <c r="H65" i="50"/>
  <c r="F48" i="45"/>
  <c r="D49" i="42"/>
  <c r="H39" i="24"/>
  <c r="J27" i="54" l="1"/>
  <c r="G27"/>
  <c r="M44" i="1"/>
  <c r="L29" i="4"/>
  <c r="G23" i="40"/>
  <c r="AB23" i="4"/>
  <c r="AB24" i="1"/>
  <c r="AP23"/>
  <c r="AP58"/>
  <c r="H58" i="54" s="1"/>
  <c r="G59" i="40"/>
  <c r="S59" s="1"/>
  <c r="V59" s="1"/>
  <c r="AB58" i="4"/>
  <c r="AP42" i="1"/>
  <c r="H41" i="54" s="1"/>
  <c r="G42" i="40"/>
  <c r="S42" s="1"/>
  <c r="V42" s="1"/>
  <c r="AB42" i="4"/>
  <c r="AP62" i="1"/>
  <c r="H62" i="54" s="1"/>
  <c r="G63" i="40"/>
  <c r="S63" s="1"/>
  <c r="V63" s="1"/>
  <c r="AB62" i="4"/>
  <c r="G59" i="41"/>
  <c r="AL58" i="2"/>
  <c r="Z59"/>
  <c r="Z69" s="1"/>
  <c r="G41" i="63"/>
  <c r="J41"/>
  <c r="J36"/>
  <c r="G36"/>
  <c r="AL26" i="2"/>
  <c r="Z29"/>
  <c r="G26" i="41"/>
  <c r="G14" i="63"/>
  <c r="J14"/>
  <c r="AP67" i="1"/>
  <c r="H67" i="54" s="1"/>
  <c r="G68" i="40"/>
  <c r="S68" s="1"/>
  <c r="V68" s="1"/>
  <c r="AB67" i="4"/>
  <c r="G41" i="40"/>
  <c r="S41" s="1"/>
  <c r="V41" s="1"/>
  <c r="AB41" i="4"/>
  <c r="AP41" i="1"/>
  <c r="H40" i="54" s="1"/>
  <c r="E29" i="18"/>
  <c r="H28"/>
  <c r="S33" i="4"/>
  <c r="S34" i="2"/>
  <c r="G87" i="3"/>
  <c r="F97" i="43" s="1"/>
  <c r="Q69" i="4"/>
  <c r="AP66" i="1"/>
  <c r="H66" i="54" s="1"/>
  <c r="G67" i="40"/>
  <c r="S67" s="1"/>
  <c r="V67" s="1"/>
  <c r="AB66" i="4"/>
  <c r="G31" i="40"/>
  <c r="S31" s="1"/>
  <c r="V31" s="1"/>
  <c r="AB31" i="4"/>
  <c r="AP31" i="1"/>
  <c r="H30" i="54" s="1"/>
  <c r="G30" s="1"/>
  <c r="G90" i="3"/>
  <c r="F100" i="43" s="1"/>
  <c r="T69" i="4"/>
  <c r="G91" i="3"/>
  <c r="F101" i="43" s="1"/>
  <c r="X69" i="4"/>
  <c r="S28" i="40"/>
  <c r="V28" s="1"/>
  <c r="AP26" i="1"/>
  <c r="G26" i="40"/>
  <c r="S26" s="1"/>
  <c r="V26" s="1"/>
  <c r="AB29" i="1"/>
  <c r="AB26" i="4"/>
  <c r="G40" i="40"/>
  <c r="AB43" i="1"/>
  <c r="AB43" i="4" s="1"/>
  <c r="AB40"/>
  <c r="AP40" i="1"/>
  <c r="G50" i="40"/>
  <c r="S50" s="1"/>
  <c r="V50" s="1"/>
  <c r="AP49" i="1"/>
  <c r="H49" i="54" s="1"/>
  <c r="AB49" i="4"/>
  <c r="G36" i="40"/>
  <c r="S36" s="1"/>
  <c r="V36" s="1"/>
  <c r="AP36" i="1"/>
  <c r="H35" i="54" s="1"/>
  <c r="G35" s="1"/>
  <c r="AB36" i="4"/>
  <c r="G19" i="40"/>
  <c r="S19" s="1"/>
  <c r="AB19" i="4"/>
  <c r="AP19" i="1"/>
  <c r="G74" i="3"/>
  <c r="F69" i="63"/>
  <c r="G44" i="18"/>
  <c r="S48" i="2" s="1"/>
  <c r="Z24"/>
  <c r="AL21"/>
  <c r="AB21" i="4"/>
  <c r="G21" i="41"/>
  <c r="AL13" i="2"/>
  <c r="G13" i="41"/>
  <c r="AB13" i="4"/>
  <c r="Z16" i="2"/>
  <c r="G58" i="40"/>
  <c r="AP57" i="1"/>
  <c r="AB57" i="4"/>
  <c r="AB59" i="1"/>
  <c r="AB59" i="4" s="1"/>
  <c r="AP37" i="1"/>
  <c r="H36" i="54" s="1"/>
  <c r="G37" i="40"/>
  <c r="S37" s="1"/>
  <c r="V37" s="1"/>
  <c r="AB37" i="4"/>
  <c r="G38" i="40"/>
  <c r="S38" s="1"/>
  <c r="V38" s="1"/>
  <c r="AB38" i="4"/>
  <c r="AP38" i="1"/>
  <c r="H37" i="54" s="1"/>
  <c r="AB32" i="4"/>
  <c r="AP32" i="1"/>
  <c r="H31" i="54" s="1"/>
  <c r="G32" i="40"/>
  <c r="S32" s="1"/>
  <c r="V32" s="1"/>
  <c r="AL43" i="2"/>
  <c r="H42" i="63" s="1"/>
  <c r="G42" s="1"/>
  <c r="AD69" i="4"/>
  <c r="G39" i="3"/>
  <c r="F31" i="43" s="1"/>
  <c r="F74" i="4"/>
  <c r="AD83" i="1"/>
  <c r="G29" i="28"/>
  <c r="G39" s="1"/>
  <c r="G41" s="1"/>
  <c r="AF33" i="2"/>
  <c r="AF34" s="1"/>
  <c r="AF44" s="1"/>
  <c r="AF46" s="1"/>
  <c r="E28" i="28"/>
  <c r="Q33" i="2"/>
  <c r="E28" i="16"/>
  <c r="G29"/>
  <c r="G39" s="1"/>
  <c r="G41" s="1"/>
  <c r="G29" i="47"/>
  <c r="G39" s="1"/>
  <c r="G41" s="1"/>
  <c r="E28"/>
  <c r="AD33" i="2"/>
  <c r="AA8" i="42"/>
  <c r="C74" i="43" s="1"/>
  <c r="AG8" i="42"/>
  <c r="D54"/>
  <c r="D50"/>
  <c r="T81"/>
  <c r="T105" s="1"/>
  <c r="T77"/>
  <c r="L77"/>
  <c r="L81"/>
  <c r="L105" s="1"/>
  <c r="L107" s="1"/>
  <c r="E28" i="22"/>
  <c r="E29" s="1"/>
  <c r="E39" s="1"/>
  <c r="E41" s="1"/>
  <c r="G29"/>
  <c r="G39" s="1"/>
  <c r="G41" s="1"/>
  <c r="U33" i="2"/>
  <c r="G44" i="4"/>
  <c r="G46" i="2"/>
  <c r="F44" i="11"/>
  <c r="V46" i="1"/>
  <c r="S46"/>
  <c r="Q46"/>
  <c r="F53" i="41"/>
  <c r="R46"/>
  <c r="U46" s="1"/>
  <c r="J33" i="2"/>
  <c r="G29" i="10"/>
  <c r="G39" s="1"/>
  <c r="G41" s="1"/>
  <c r="E28"/>
  <c r="AA33" i="2"/>
  <c r="AA34" s="1"/>
  <c r="AA44" s="1"/>
  <c r="AA46" s="1"/>
  <c r="G29" i="49"/>
  <c r="G39" s="1"/>
  <c r="G41" s="1"/>
  <c r="E28"/>
  <c r="AC33" i="2"/>
  <c r="AC34" s="1"/>
  <c r="AC44" s="1"/>
  <c r="AC46" s="1"/>
  <c r="E28" i="27"/>
  <c r="G29"/>
  <c r="G39" s="1"/>
  <c r="G41" s="1"/>
  <c r="J64" i="63"/>
  <c r="G64"/>
  <c r="R44" i="40"/>
  <c r="U44" s="1"/>
  <c r="R43"/>
  <c r="U43" s="1"/>
  <c r="H39" i="23"/>
  <c r="E41"/>
  <c r="H46" i="2"/>
  <c r="H44" i="4"/>
  <c r="H29" i="19"/>
  <c r="E39"/>
  <c r="F50" i="42"/>
  <c r="F52" s="1"/>
  <c r="F54"/>
  <c r="AF10"/>
  <c r="AE10" s="1"/>
  <c r="V34" i="2"/>
  <c r="U33" i="4"/>
  <c r="F52" i="2"/>
  <c r="F45" i="63"/>
  <c r="AF46" i="1"/>
  <c r="G44" i="64"/>
  <c r="E44" s="1"/>
  <c r="H44" s="1"/>
  <c r="AP33" i="1"/>
  <c r="G33" i="40"/>
  <c r="AB34" i="1"/>
  <c r="AF48"/>
  <c r="W48"/>
  <c r="Y48" i="4" s="1"/>
  <c r="E44" i="23"/>
  <c r="H44" s="1"/>
  <c r="U48" i="1"/>
  <c r="U52" s="1"/>
  <c r="R48"/>
  <c r="R48" i="4" s="1"/>
  <c r="E44" i="17"/>
  <c r="H44" s="1"/>
  <c r="P48" i="1"/>
  <c r="P48" i="4" s="1"/>
  <c r="E44" i="15"/>
  <c r="H44" s="1"/>
  <c r="AH48" i="1"/>
  <c r="AH52" s="1"/>
  <c r="F41" i="3" s="1"/>
  <c r="F46" i="1"/>
  <c r="F15" i="54"/>
  <c r="F16" i="4"/>
  <c r="AN48" i="1"/>
  <c r="AN52" s="1"/>
  <c r="F47" i="3" s="1"/>
  <c r="O46" i="1"/>
  <c r="J56" i="54"/>
  <c r="G56"/>
  <c r="J20"/>
  <c r="G20"/>
  <c r="H39" i="15"/>
  <c r="E41"/>
  <c r="E41" i="50"/>
  <c r="H39"/>
  <c r="H39" i="8"/>
  <c r="E41"/>
  <c r="H28" i="52"/>
  <c r="E29"/>
  <c r="F77" i="42"/>
  <c r="F79" s="1"/>
  <c r="F81" s="1"/>
  <c r="V77"/>
  <c r="V79" s="1"/>
  <c r="V81" s="1"/>
  <c r="Z8"/>
  <c r="AF8"/>
  <c r="AE8" s="1"/>
  <c r="H28" i="48"/>
  <c r="E29"/>
  <c r="G44"/>
  <c r="G44" i="67"/>
  <c r="G48" s="1"/>
  <c r="T34" i="4"/>
  <c r="T44" i="2"/>
  <c r="T46" s="1"/>
  <c r="T52" s="1"/>
  <c r="F90" i="3" s="1"/>
  <c r="M77" i="42"/>
  <c r="M79" s="1"/>
  <c r="M81" s="1"/>
  <c r="G44" i="68"/>
  <c r="E44" s="1"/>
  <c r="H44" s="1"/>
  <c r="H28" i="59"/>
  <c r="E29"/>
  <c r="G44"/>
  <c r="AH48" i="2" s="1"/>
  <c r="N34"/>
  <c r="M33" i="4"/>
  <c r="M69" i="1"/>
  <c r="L69" i="4" s="1"/>
  <c r="L64"/>
  <c r="L74" s="1"/>
  <c r="AI48" i="1"/>
  <c r="AI52" s="1"/>
  <c r="AC48"/>
  <c r="AC52" s="1"/>
  <c r="X48"/>
  <c r="X52" s="1"/>
  <c r="E44" i="24"/>
  <c r="V48" i="1"/>
  <c r="S48"/>
  <c r="E44" i="18"/>
  <c r="H44" s="1"/>
  <c r="Q48" i="1"/>
  <c r="E29" i="66"/>
  <c r="H28"/>
  <c r="M15" i="1"/>
  <c r="M16" s="1"/>
  <c r="F15" i="4"/>
  <c r="F14" i="54"/>
  <c r="J46" i="1"/>
  <c r="E29" i="29"/>
  <c r="H28"/>
  <c r="Y48" i="1"/>
  <c r="Y52" s="1"/>
  <c r="D81" i="42"/>
  <c r="D77"/>
  <c r="M33" i="2"/>
  <c r="M34" s="1"/>
  <c r="M44" s="1"/>
  <c r="M46" s="1"/>
  <c r="G29" i="60"/>
  <c r="G39" s="1"/>
  <c r="G41" s="1"/>
  <c r="E28"/>
  <c r="F44" i="9"/>
  <c r="H41"/>
  <c r="Y44" i="4"/>
  <c r="W46" i="1"/>
  <c r="T44" i="4"/>
  <c r="T73" s="1"/>
  <c r="T46" i="1"/>
  <c r="R44" i="4"/>
  <c r="R73" s="1"/>
  <c r="R46" i="1"/>
  <c r="F43" i="54"/>
  <c r="F44" i="4"/>
  <c r="AG10" i="42"/>
  <c r="AA10"/>
  <c r="C78" i="43" s="1"/>
  <c r="G29" i="58"/>
  <c r="G39" s="1"/>
  <c r="G41" s="1"/>
  <c r="G48" s="1"/>
  <c r="AG33" i="2"/>
  <c r="AG34" s="1"/>
  <c r="AG44" s="1"/>
  <c r="AG46" s="1"/>
  <c r="AG52" s="1"/>
  <c r="F104" i="3" s="1"/>
  <c r="E28" i="58"/>
  <c r="O33" i="2"/>
  <c r="G29" i="14"/>
  <c r="G39" s="1"/>
  <c r="G41" s="1"/>
  <c r="E28"/>
  <c r="G61" i="63"/>
  <c r="J61"/>
  <c r="J30"/>
  <c r="G30"/>
  <c r="H41" i="45"/>
  <c r="E48"/>
  <c r="H48" s="1"/>
  <c r="H41" i="17"/>
  <c r="E48"/>
  <c r="E41" i="13"/>
  <c r="H39"/>
  <c r="J50" i="54"/>
  <c r="G50"/>
  <c r="E50" i="42"/>
  <c r="E52" s="1"/>
  <c r="E54"/>
  <c r="Z10" s="1"/>
  <c r="E29" i="20"/>
  <c r="H28"/>
  <c r="H28" i="64"/>
  <c r="E29"/>
  <c r="J30" i="54"/>
  <c r="AB14" i="1"/>
  <c r="L14" i="4"/>
  <c r="G56" i="63"/>
  <c r="J56"/>
  <c r="G48" i="52"/>
  <c r="G44"/>
  <c r="E44" s="1"/>
  <c r="H44" s="1"/>
  <c r="E81" i="42"/>
  <c r="E77"/>
  <c r="E79" s="1"/>
  <c r="U77"/>
  <c r="U79" s="1"/>
  <c r="U81" s="1"/>
  <c r="H28" i="67"/>
  <c r="E29"/>
  <c r="N77" i="42"/>
  <c r="N79" s="1"/>
  <c r="N81" s="1"/>
  <c r="H28" i="68"/>
  <c r="E29"/>
  <c r="H28" i="12"/>
  <c r="E29"/>
  <c r="G44"/>
  <c r="I46" i="2"/>
  <c r="I44" i="4"/>
  <c r="AM48" i="1"/>
  <c r="AM52" s="1"/>
  <c r="F46" i="3" s="1"/>
  <c r="AP63" i="1"/>
  <c r="G64" i="40"/>
  <c r="AB64" i="1"/>
  <c r="AB63" i="4"/>
  <c r="G44" i="66"/>
  <c r="E44" s="1"/>
  <c r="H10" i="5"/>
  <c r="E11"/>
  <c r="F16" i="40"/>
  <c r="R15"/>
  <c r="U15" s="1"/>
  <c r="G10" i="3"/>
  <c r="F69" i="4"/>
  <c r="F69" i="54"/>
  <c r="E44" i="67"/>
  <c r="H44" s="1"/>
  <c r="AJ48" i="1"/>
  <c r="P44" i="4"/>
  <c r="P73" s="1"/>
  <c r="P46" i="1"/>
  <c r="K44" i="4"/>
  <c r="L46" i="1"/>
  <c r="N52"/>
  <c r="L48"/>
  <c r="K48" i="4" s="1"/>
  <c r="H48" i="1"/>
  <c r="E44" i="8"/>
  <c r="H44" s="1"/>
  <c r="G44" i="29"/>
  <c r="AS48" i="2" s="1"/>
  <c r="AS52" s="1"/>
  <c r="E29" i="51"/>
  <c r="H28"/>
  <c r="G44"/>
  <c r="G48" s="1"/>
  <c r="G48" i="1"/>
  <c r="E44" i="6"/>
  <c r="J48" i="1"/>
  <c r="AE48"/>
  <c r="AE52" s="1"/>
  <c r="O48"/>
  <c r="AJ52"/>
  <c r="F43" i="3" s="1"/>
  <c r="H41" i="11"/>
  <c r="F48" i="13"/>
  <c r="G48" i="15"/>
  <c r="F48" i="47"/>
  <c r="F48" i="50"/>
  <c r="F48" i="23"/>
  <c r="F48" i="52"/>
  <c r="F48" i="17"/>
  <c r="F48" i="15"/>
  <c r="F48" i="29"/>
  <c r="F48" i="68"/>
  <c r="AG76" i="1"/>
  <c r="AG77" s="1"/>
  <c r="AG83" s="1"/>
  <c r="G48" i="17"/>
  <c r="AH52" i="2"/>
  <c r="F105" i="3" s="1"/>
  <c r="F48" i="28"/>
  <c r="F48" i="49"/>
  <c r="F48" i="24"/>
  <c r="F48" i="22"/>
  <c r="F48" i="18"/>
  <c r="F48" i="16"/>
  <c r="F48" i="66"/>
  <c r="J36" i="54" l="1"/>
  <c r="G36"/>
  <c r="S58" i="40"/>
  <c r="V58" s="1"/>
  <c r="G60"/>
  <c r="S60" s="1"/>
  <c r="V60" s="1"/>
  <c r="H12" i="63"/>
  <c r="G12" s="1"/>
  <c r="T107" i="3"/>
  <c r="F26" i="61"/>
  <c r="AL16" i="2"/>
  <c r="H15" i="63" s="1"/>
  <c r="F87" i="43"/>
  <c r="F114" s="1"/>
  <c r="F119" s="1"/>
  <c r="F123" s="1"/>
  <c r="F126" s="1"/>
  <c r="G44" i="20" s="1"/>
  <c r="G81" i="3"/>
  <c r="G96" s="1"/>
  <c r="G107" s="1"/>
  <c r="G49" i="54"/>
  <c r="J49"/>
  <c r="AP43" i="1"/>
  <c r="H42" i="54" s="1"/>
  <c r="G42" s="1"/>
  <c r="H39"/>
  <c r="G39" s="1"/>
  <c r="S34" i="4"/>
  <c r="S44" i="2"/>
  <c r="G40" i="54"/>
  <c r="J40"/>
  <c r="S26" i="41"/>
  <c r="V26" s="1"/>
  <c r="G29"/>
  <c r="S29" s="1"/>
  <c r="V29" s="1"/>
  <c r="H25" i="63"/>
  <c r="AL29" i="2"/>
  <c r="H28" i="63" s="1"/>
  <c r="H58"/>
  <c r="AL59" i="2"/>
  <c r="G62" i="54"/>
  <c r="J62"/>
  <c r="J58"/>
  <c r="G58"/>
  <c r="S23" i="40"/>
  <c r="V23" s="1"/>
  <c r="G24"/>
  <c r="S24" s="1"/>
  <c r="V24" s="1"/>
  <c r="G31" i="54"/>
  <c r="J31"/>
  <c r="J37"/>
  <c r="G37"/>
  <c r="H57"/>
  <c r="AP59" i="1"/>
  <c r="H59" i="54" s="1"/>
  <c r="S13" i="41"/>
  <c r="V13" s="1"/>
  <c r="G16"/>
  <c r="S16" s="1"/>
  <c r="V16" s="1"/>
  <c r="G24"/>
  <c r="S24" s="1"/>
  <c r="V24" s="1"/>
  <c r="S21"/>
  <c r="V21" s="1"/>
  <c r="AL24" i="2"/>
  <c r="H23" i="63" s="1"/>
  <c r="G23" s="1"/>
  <c r="H20"/>
  <c r="G43" i="40"/>
  <c r="S43" s="1"/>
  <c r="V43" s="1"/>
  <c r="S40"/>
  <c r="V40" s="1"/>
  <c r="H25" i="54"/>
  <c r="AP29" i="1"/>
  <c r="H28" i="54" s="1"/>
  <c r="J66"/>
  <c r="G66"/>
  <c r="H29" i="18"/>
  <c r="E39"/>
  <c r="J67" i="54"/>
  <c r="G67"/>
  <c r="S59" i="41"/>
  <c r="V59" s="1"/>
  <c r="G60"/>
  <c r="J41" i="54"/>
  <c r="G41"/>
  <c r="H22"/>
  <c r="AP24" i="1"/>
  <c r="H23" i="54" s="1"/>
  <c r="AB24" i="4"/>
  <c r="G48" i="29"/>
  <c r="S48" i="4"/>
  <c r="E44" i="29"/>
  <c r="H44" s="1"/>
  <c r="G48" i="18"/>
  <c r="G29" i="40"/>
  <c r="S29" s="1"/>
  <c r="V29" s="1"/>
  <c r="AB29" i="4"/>
  <c r="Y73"/>
  <c r="AB12" i="42"/>
  <c r="Y12" s="1"/>
  <c r="C70" i="43" s="1"/>
  <c r="AH12" i="42"/>
  <c r="AE12" s="1"/>
  <c r="Y10"/>
  <c r="C69" i="43" s="1"/>
  <c r="C77"/>
  <c r="F38" i="3"/>
  <c r="AE76" i="1"/>
  <c r="AE77" s="1"/>
  <c r="H44" i="6"/>
  <c r="E48"/>
  <c r="H48" s="1"/>
  <c r="L52" i="1"/>
  <c r="K46" i="4"/>
  <c r="P52" i="1"/>
  <c r="P46" i="4"/>
  <c r="F8" i="43"/>
  <c r="F41" s="1"/>
  <c r="G17" i="3"/>
  <c r="G34" s="1"/>
  <c r="F46" i="40"/>
  <c r="R16"/>
  <c r="U16" s="1"/>
  <c r="AB64" i="4"/>
  <c r="AB74" s="1"/>
  <c r="AB69" i="1"/>
  <c r="AB69" i="4" s="1"/>
  <c r="H63" i="54"/>
  <c r="AP64" i="1"/>
  <c r="I52" i="2"/>
  <c r="F77" i="3" s="1"/>
  <c r="I46" i="4"/>
  <c r="N48" i="2"/>
  <c r="M48" i="4" s="1"/>
  <c r="E44" i="12"/>
  <c r="H44" s="1"/>
  <c r="J59" i="54"/>
  <c r="G59"/>
  <c r="M46" i="1"/>
  <c r="L16" i="4"/>
  <c r="H29" i="64"/>
  <c r="E39"/>
  <c r="E29" i="14"/>
  <c r="H28"/>
  <c r="O34" i="2"/>
  <c r="O33" i="4"/>
  <c r="C147" i="43"/>
  <c r="R52" i="1"/>
  <c r="R46" i="4"/>
  <c r="T52" i="1"/>
  <c r="T46" i="4"/>
  <c r="W52" i="1"/>
  <c r="Y46" i="4"/>
  <c r="I48" i="1"/>
  <c r="M48" s="1"/>
  <c r="E44" i="9"/>
  <c r="G44" i="60"/>
  <c r="G48" s="1"/>
  <c r="F30" i="3"/>
  <c r="Y76" i="1"/>
  <c r="Y77" s="1"/>
  <c r="Y83" s="1"/>
  <c r="J52"/>
  <c r="AB15"/>
  <c r="L15" i="4"/>
  <c r="H29" i="66"/>
  <c r="E39"/>
  <c r="F29" i="3"/>
  <c r="X76" i="1"/>
  <c r="X77" s="1"/>
  <c r="F36" i="3"/>
  <c r="AC76" i="1"/>
  <c r="AC77" s="1"/>
  <c r="F42" i="3"/>
  <c r="AI76" i="1"/>
  <c r="AI77" s="1"/>
  <c r="M34" i="4"/>
  <c r="N44" i="2"/>
  <c r="AB48"/>
  <c r="AB52" s="1"/>
  <c r="F99" i="3" s="1"/>
  <c r="E44" i="48"/>
  <c r="H44" s="1"/>
  <c r="C73" i="43"/>
  <c r="Y8" i="42"/>
  <c r="E48" i="50"/>
  <c r="H48" s="1"/>
  <c r="H41"/>
  <c r="J23" i="63"/>
  <c r="O52" i="1"/>
  <c r="F26" i="3"/>
  <c r="U76" i="1"/>
  <c r="U77" s="1"/>
  <c r="U83" s="1"/>
  <c r="S33" i="40"/>
  <c r="V33" s="1"/>
  <c r="G34"/>
  <c r="H39" i="19"/>
  <c r="E41"/>
  <c r="H41" i="23"/>
  <c r="E48"/>
  <c r="H48" s="1"/>
  <c r="G44" i="27"/>
  <c r="G44" i="49"/>
  <c r="H28" i="10"/>
  <c r="E29"/>
  <c r="J33" i="4"/>
  <c r="L33" i="2"/>
  <c r="J34"/>
  <c r="F72" i="41"/>
  <c r="R53"/>
  <c r="U53" s="1"/>
  <c r="K48" i="1"/>
  <c r="K52" s="1"/>
  <c r="E44" i="11"/>
  <c r="G44" i="22"/>
  <c r="G48" s="1"/>
  <c r="C143" i="43"/>
  <c r="H28" i="47"/>
  <c r="E29"/>
  <c r="E29" i="16"/>
  <c r="H28"/>
  <c r="E29" i="28"/>
  <c r="H28"/>
  <c r="G44"/>
  <c r="G48"/>
  <c r="G48" i="4"/>
  <c r="G52" i="1"/>
  <c r="AE48" i="2"/>
  <c r="AE52" s="1"/>
  <c r="F102" i="3" s="1"/>
  <c r="E44" i="51"/>
  <c r="H44" s="1"/>
  <c r="H29"/>
  <c r="E39"/>
  <c r="H48" i="4"/>
  <c r="H52" i="1"/>
  <c r="F19" i="3"/>
  <c r="N76" i="1"/>
  <c r="N77" s="1"/>
  <c r="H11" i="5"/>
  <c r="E41"/>
  <c r="S64" i="40"/>
  <c r="V64" s="1"/>
  <c r="G65"/>
  <c r="H29" i="12"/>
  <c r="E39"/>
  <c r="H29" i="68"/>
  <c r="E39"/>
  <c r="H29" i="67"/>
  <c r="E39"/>
  <c r="AP14" i="1"/>
  <c r="G14" i="40"/>
  <c r="AB16" i="1"/>
  <c r="AB14" i="4"/>
  <c r="H29" i="20"/>
  <c r="E39"/>
  <c r="E48" i="13"/>
  <c r="H48" s="1"/>
  <c r="H41"/>
  <c r="G48" i="14"/>
  <c r="G44"/>
  <c r="H28" i="58"/>
  <c r="E29"/>
  <c r="H28" i="60"/>
  <c r="E29"/>
  <c r="H29" i="29"/>
  <c r="E39"/>
  <c r="H44" i="24"/>
  <c r="E48"/>
  <c r="H48" s="1"/>
  <c r="H29" i="59"/>
  <c r="E39"/>
  <c r="H29" i="48"/>
  <c r="E39"/>
  <c r="H29" i="52"/>
  <c r="E39"/>
  <c r="H41" i="8"/>
  <c r="E48"/>
  <c r="H48" s="1"/>
  <c r="H41" i="15"/>
  <c r="E48"/>
  <c r="H48" s="1"/>
  <c r="F52" i="1"/>
  <c r="F46" i="4"/>
  <c r="F45" i="54"/>
  <c r="AB44" i="1"/>
  <c r="H32" i="54"/>
  <c r="AP34" i="1"/>
  <c r="AF52"/>
  <c r="F71" i="2"/>
  <c r="F52" i="63"/>
  <c r="F70" s="1"/>
  <c r="F74" i="3"/>
  <c r="U34" i="4"/>
  <c r="V44" i="2"/>
  <c r="H52"/>
  <c r="F76" i="3" s="1"/>
  <c r="H46" i="4"/>
  <c r="H28" i="27"/>
  <c r="E29"/>
  <c r="H28" i="49"/>
  <c r="E29"/>
  <c r="G44" i="10"/>
  <c r="Q52" i="1"/>
  <c r="S52"/>
  <c r="V52"/>
  <c r="G52" i="2"/>
  <c r="F75" i="3" s="1"/>
  <c r="G46" i="4"/>
  <c r="X33"/>
  <c r="U34" i="2"/>
  <c r="T107" i="42"/>
  <c r="G15" i="63"/>
  <c r="AD33" i="4"/>
  <c r="AD34" i="2"/>
  <c r="G44" i="47"/>
  <c r="G44" i="16"/>
  <c r="Q33" i="4"/>
  <c r="Q34" i="2"/>
  <c r="H48" i="17"/>
  <c r="H73" i="4"/>
  <c r="G73"/>
  <c r="K73"/>
  <c r="G48" i="66"/>
  <c r="E44" i="59"/>
  <c r="H44" s="1"/>
  <c r="G48" i="12"/>
  <c r="F48" i="9"/>
  <c r="G48" i="59"/>
  <c r="G48" i="68"/>
  <c r="G48" i="48"/>
  <c r="AE14" i="42"/>
  <c r="F73" i="4"/>
  <c r="G48" i="64"/>
  <c r="F48" i="11"/>
  <c r="D105" i="42"/>
  <c r="J22" i="54" l="1"/>
  <c r="G22"/>
  <c r="J25"/>
  <c r="G25"/>
  <c r="J57"/>
  <c r="G57"/>
  <c r="G58" i="63"/>
  <c r="J58"/>
  <c r="J25"/>
  <c r="G25"/>
  <c r="V48" i="2"/>
  <c r="G48" i="20"/>
  <c r="G23" i="54"/>
  <c r="J23"/>
  <c r="G70" i="41"/>
  <c r="S70" s="1"/>
  <c r="V70" s="1"/>
  <c r="S60"/>
  <c r="V60" s="1"/>
  <c r="E41" i="18"/>
  <c r="H39"/>
  <c r="G28" i="54"/>
  <c r="J28"/>
  <c r="J20" i="63"/>
  <c r="G20"/>
  <c r="AL69" i="2"/>
  <c r="H59" i="63"/>
  <c r="G28"/>
  <c r="J28"/>
  <c r="S46" i="2"/>
  <c r="S44" i="4"/>
  <c r="S73" s="1"/>
  <c r="AC83" i="1"/>
  <c r="D107" i="42"/>
  <c r="AK14"/>
  <c r="Q48" i="2"/>
  <c r="Q48" i="4" s="1"/>
  <c r="E44" i="16"/>
  <c r="H44" s="1"/>
  <c r="F27" i="3"/>
  <c r="V76" i="1"/>
  <c r="V77" s="1"/>
  <c r="F24" i="3"/>
  <c r="S76" i="1"/>
  <c r="S77" s="1"/>
  <c r="F22" i="3"/>
  <c r="Q76" i="1"/>
  <c r="Q77" s="1"/>
  <c r="J48" i="2"/>
  <c r="E44" i="10"/>
  <c r="H44" s="1"/>
  <c r="H33" i="54"/>
  <c r="AP44" i="1"/>
  <c r="H43" i="54" s="1"/>
  <c r="F10" i="3"/>
  <c r="F52" i="54"/>
  <c r="F70" s="1"/>
  <c r="F52" i="4"/>
  <c r="F71" s="1"/>
  <c r="F71" i="1"/>
  <c r="F76"/>
  <c r="F77" s="1"/>
  <c r="AB46"/>
  <c r="AB16" i="4"/>
  <c r="F26" i="55"/>
  <c r="T55" i="3"/>
  <c r="H13" i="54"/>
  <c r="H29" i="47"/>
  <c r="E39"/>
  <c r="H44" i="11"/>
  <c r="E48"/>
  <c r="H48" s="1"/>
  <c r="J34" i="4"/>
  <c r="J44" i="2"/>
  <c r="AA48"/>
  <c r="AA52" s="1"/>
  <c r="F98" i="3" s="1"/>
  <c r="E44" i="49"/>
  <c r="H44" s="1"/>
  <c r="AC48" i="2"/>
  <c r="AC52" s="1"/>
  <c r="F100" i="3" s="1"/>
  <c r="E44" i="27"/>
  <c r="H44" s="1"/>
  <c r="C68" i="43"/>
  <c r="Y14" i="42"/>
  <c r="N46" i="2"/>
  <c r="M44" i="4"/>
  <c r="M73" s="1"/>
  <c r="G15" i="40"/>
  <c r="S15" s="1"/>
  <c r="V15" s="1"/>
  <c r="AP15" i="1"/>
  <c r="H14" i="54" s="1"/>
  <c r="AB15" i="4"/>
  <c r="F14" i="3"/>
  <c r="J76" i="1"/>
  <c r="J77" s="1"/>
  <c r="H44" i="9"/>
  <c r="E48"/>
  <c r="H48" s="1"/>
  <c r="H39" i="64"/>
  <c r="E41"/>
  <c r="H64" i="54"/>
  <c r="AP69" i="1"/>
  <c r="G50" i="3"/>
  <c r="C138" i="43"/>
  <c r="C139"/>
  <c r="AD48" i="2"/>
  <c r="AD48" i="4" s="1"/>
  <c r="E44" i="47"/>
  <c r="H44" s="1"/>
  <c r="Q34" i="4"/>
  <c r="Q44" i="2"/>
  <c r="AD44"/>
  <c r="AD34" i="4"/>
  <c r="X34"/>
  <c r="U44" i="2"/>
  <c r="H29" i="49"/>
  <c r="E39"/>
  <c r="H29" i="27"/>
  <c r="E39"/>
  <c r="V46" i="2"/>
  <c r="U44" i="4"/>
  <c r="F39" i="3"/>
  <c r="AF76" i="1"/>
  <c r="AF77" s="1"/>
  <c r="G32" i="54"/>
  <c r="H39" i="52"/>
  <c r="E41"/>
  <c r="H39" i="48"/>
  <c r="E41"/>
  <c r="H39" i="59"/>
  <c r="E41"/>
  <c r="E41" i="29"/>
  <c r="H39"/>
  <c r="H29" i="60"/>
  <c r="E39"/>
  <c r="H29" i="58"/>
  <c r="E39"/>
  <c r="O48" i="2"/>
  <c r="O48" i="4" s="1"/>
  <c r="E44" i="14"/>
  <c r="H44" s="1"/>
  <c r="H39" i="20"/>
  <c r="E41"/>
  <c r="S14" i="40"/>
  <c r="V14" s="1"/>
  <c r="H39" i="67"/>
  <c r="E41"/>
  <c r="H39" i="68"/>
  <c r="E41"/>
  <c r="H39" i="12"/>
  <c r="E41"/>
  <c r="S65" i="40"/>
  <c r="V65" s="1"/>
  <c r="G70"/>
  <c r="S70" s="1"/>
  <c r="V70" s="1"/>
  <c r="H41" i="5"/>
  <c r="E48"/>
  <c r="F12" i="3"/>
  <c r="H52" i="4"/>
  <c r="H76" i="1"/>
  <c r="H77" s="1"/>
  <c r="H39" i="51"/>
  <c r="E41"/>
  <c r="F11" i="3"/>
  <c r="G52" i="4"/>
  <c r="G76" i="1"/>
  <c r="G77" s="1"/>
  <c r="AF48" i="2"/>
  <c r="AF52" s="1"/>
  <c r="F103" i="3" s="1"/>
  <c r="E44" i="28"/>
  <c r="H44" s="1"/>
  <c r="H29"/>
  <c r="E39"/>
  <c r="E39" i="16"/>
  <c r="H29"/>
  <c r="U48" i="2"/>
  <c r="X48" i="4" s="1"/>
  <c r="E44" i="22"/>
  <c r="E48" s="1"/>
  <c r="F15" i="3"/>
  <c r="K76" i="1"/>
  <c r="K77" s="1"/>
  <c r="Z33" i="2"/>
  <c r="L33" i="4"/>
  <c r="L34" i="2"/>
  <c r="H29" i="10"/>
  <c r="E39"/>
  <c r="H41" i="19"/>
  <c r="E48"/>
  <c r="H48" s="1"/>
  <c r="S34" i="40"/>
  <c r="V34" s="1"/>
  <c r="G44"/>
  <c r="S44" s="1"/>
  <c r="V44" s="1"/>
  <c r="F20" i="3"/>
  <c r="O76" i="1"/>
  <c r="O77" s="1"/>
  <c r="C75" i="43"/>
  <c r="D74" s="1"/>
  <c r="C142"/>
  <c r="H39" i="66"/>
  <c r="E41"/>
  <c r="M48" i="2"/>
  <c r="M52" s="1"/>
  <c r="F83" i="3" s="1"/>
  <c r="E44" i="60"/>
  <c r="H44" s="1"/>
  <c r="I48" i="4"/>
  <c r="I73" s="1"/>
  <c r="I52" i="1"/>
  <c r="F28" i="3"/>
  <c r="Y52" i="4"/>
  <c r="W76" i="1"/>
  <c r="W77" s="1"/>
  <c r="F25" i="3"/>
  <c r="T52" i="4"/>
  <c r="T76" i="1"/>
  <c r="T77" s="1"/>
  <c r="F23" i="3"/>
  <c r="R52" i="4"/>
  <c r="R76" i="1"/>
  <c r="R77" s="1"/>
  <c r="O44" i="2"/>
  <c r="O34" i="4"/>
  <c r="H29" i="14"/>
  <c r="E39"/>
  <c r="M52" i="1"/>
  <c r="J63" i="54"/>
  <c r="G63"/>
  <c r="R46" i="40"/>
  <c r="U46" s="1"/>
  <c r="F53"/>
  <c r="F46" i="43"/>
  <c r="F50" s="1"/>
  <c r="F53" s="1"/>
  <c r="F44" i="20" s="1"/>
  <c r="F21" i="3"/>
  <c r="P52" i="4"/>
  <c r="P76" i="1"/>
  <c r="P77" s="1"/>
  <c r="F16" i="3"/>
  <c r="K52" i="4"/>
  <c r="L76" i="1"/>
  <c r="L77" s="1"/>
  <c r="L83" s="1"/>
  <c r="C79" i="43"/>
  <c r="D78" s="1"/>
  <c r="C146"/>
  <c r="G48" i="16"/>
  <c r="G48" i="47"/>
  <c r="Y18" i="42"/>
  <c r="G48" i="10"/>
  <c r="N83" i="1"/>
  <c r="G48" i="49"/>
  <c r="G48" i="27"/>
  <c r="AI83" i="1"/>
  <c r="X83"/>
  <c r="AE83"/>
  <c r="S52" i="2" l="1"/>
  <c r="S46" i="4"/>
  <c r="H69" i="63"/>
  <c r="F12" i="61"/>
  <c r="F16" s="1"/>
  <c r="E48" i="18"/>
  <c r="H48" s="1"/>
  <c r="H41"/>
  <c r="G59" i="63"/>
  <c r="J59"/>
  <c r="D77" i="43"/>
  <c r="D79" s="1"/>
  <c r="D73"/>
  <c r="G16" i="40"/>
  <c r="S16" s="1"/>
  <c r="V16" s="1"/>
  <c r="F83" i="1"/>
  <c r="C148" i="43"/>
  <c r="D147" s="1"/>
  <c r="Z48" i="1"/>
  <c r="E44" i="20"/>
  <c r="F48"/>
  <c r="M70" i="1"/>
  <c r="J17" i="3" s="1"/>
  <c r="O46" i="2"/>
  <c r="O44" i="4"/>
  <c r="O73" s="1"/>
  <c r="D75" i="43"/>
  <c r="H39" i="10"/>
  <c r="E41"/>
  <c r="L34" i="4"/>
  <c r="L44" i="2"/>
  <c r="AL33"/>
  <c r="G33" i="41"/>
  <c r="Z34" i="2"/>
  <c r="AB33" i="4"/>
  <c r="E41" i="28"/>
  <c r="H39"/>
  <c r="H41" i="51"/>
  <c r="E48"/>
  <c r="H48" s="1"/>
  <c r="H48" i="5"/>
  <c r="E67"/>
  <c r="H41" i="12"/>
  <c r="E48"/>
  <c r="H48" s="1"/>
  <c r="H41" i="68"/>
  <c r="E48"/>
  <c r="H48" s="1"/>
  <c r="H41" i="67"/>
  <c r="E48"/>
  <c r="H48" s="1"/>
  <c r="E48" i="20"/>
  <c r="H41"/>
  <c r="H39" i="58"/>
  <c r="E41"/>
  <c r="H39" i="60"/>
  <c r="E41"/>
  <c r="E48" i="59"/>
  <c r="H48" s="1"/>
  <c r="H41"/>
  <c r="H41" i="48"/>
  <c r="E48"/>
  <c r="H48" s="1"/>
  <c r="H41" i="52"/>
  <c r="E48"/>
  <c r="H48" s="1"/>
  <c r="E41" i="27"/>
  <c r="H39"/>
  <c r="H39" i="49"/>
  <c r="E41"/>
  <c r="U46" i="2"/>
  <c r="X44" i="4"/>
  <c r="X73" s="1"/>
  <c r="Q46" i="2"/>
  <c r="Q44" i="4"/>
  <c r="Q73" s="1"/>
  <c r="J64" i="54"/>
  <c r="G64"/>
  <c r="J14"/>
  <c r="G14"/>
  <c r="J46" i="2"/>
  <c r="J44" i="4"/>
  <c r="H39" i="47"/>
  <c r="E41"/>
  <c r="J13" i="54"/>
  <c r="G13"/>
  <c r="G43"/>
  <c r="F72" i="40"/>
  <c r="R53"/>
  <c r="U53" s="1"/>
  <c r="H39" i="14"/>
  <c r="E41"/>
  <c r="F13" i="3"/>
  <c r="I52" i="4"/>
  <c r="I76" i="1"/>
  <c r="I77" s="1"/>
  <c r="E48" i="66"/>
  <c r="H48" s="1"/>
  <c r="H41"/>
  <c r="C144" i="43"/>
  <c r="D143" s="1"/>
  <c r="H39" i="16"/>
  <c r="E41"/>
  <c r="G46" i="40"/>
  <c r="E48" i="29"/>
  <c r="H48" s="1"/>
  <c r="H41"/>
  <c r="V52" i="2"/>
  <c r="F92" i="3" s="1"/>
  <c r="U46" i="4"/>
  <c r="AD46" i="2"/>
  <c r="AD44" i="4"/>
  <c r="AD73" s="1"/>
  <c r="H69" i="54"/>
  <c r="F12" i="55"/>
  <c r="F16" s="1"/>
  <c r="H41" i="64"/>
  <c r="E48"/>
  <c r="H48" s="1"/>
  <c r="N52" i="2"/>
  <c r="M46" i="4"/>
  <c r="C137" i="43"/>
  <c r="C71"/>
  <c r="G33" i="54"/>
  <c r="L48" i="2"/>
  <c r="J48" i="4"/>
  <c r="O83" i="1"/>
  <c r="G83"/>
  <c r="Q83"/>
  <c r="S83"/>
  <c r="V83"/>
  <c r="P83"/>
  <c r="G41" i="43"/>
  <c r="R83" i="1"/>
  <c r="T83"/>
  <c r="W83"/>
  <c r="K83"/>
  <c r="H83"/>
  <c r="AF83"/>
  <c r="J83"/>
  <c r="AP16"/>
  <c r="F17" i="3"/>
  <c r="G69" i="63" l="1"/>
  <c r="J69"/>
  <c r="F89" i="3"/>
  <c r="S52" i="4"/>
  <c r="J73"/>
  <c r="AP46" i="1"/>
  <c r="H15" i="54"/>
  <c r="Z48" i="2"/>
  <c r="L48" i="4"/>
  <c r="D69" i="43"/>
  <c r="E69" s="1"/>
  <c r="E79" s="1"/>
  <c r="D70"/>
  <c r="E70" s="1"/>
  <c r="S46" i="40"/>
  <c r="V46" s="1"/>
  <c r="H41" i="16"/>
  <c r="E48"/>
  <c r="H48" s="1"/>
  <c r="E48" i="14"/>
  <c r="H48" s="1"/>
  <c r="H41"/>
  <c r="H41" i="47"/>
  <c r="E48"/>
  <c r="H48" s="1"/>
  <c r="H41" i="49"/>
  <c r="E48"/>
  <c r="H48" s="1"/>
  <c r="E48" i="60"/>
  <c r="H48" s="1"/>
  <c r="H41"/>
  <c r="H41" i="58"/>
  <c r="E48"/>
  <c r="H48" s="1"/>
  <c r="S33" i="41"/>
  <c r="V33" s="1"/>
  <c r="G34"/>
  <c r="L46" i="2"/>
  <c r="L44" i="4"/>
  <c r="H41" i="10"/>
  <c r="E48"/>
  <c r="H48" s="1"/>
  <c r="U48" i="4"/>
  <c r="U73" s="1"/>
  <c r="Z52" i="1"/>
  <c r="AB48"/>
  <c r="H17" i="3"/>
  <c r="C140" i="43"/>
  <c r="D137" s="1"/>
  <c r="F84" i="3"/>
  <c r="M52" i="4"/>
  <c r="J69" i="54"/>
  <c r="G69"/>
  <c r="AD52" i="2"/>
  <c r="AD46" i="4"/>
  <c r="J52" i="2"/>
  <c r="J46" i="4"/>
  <c r="Q52" i="2"/>
  <c r="Q46" i="4"/>
  <c r="U52" i="2"/>
  <c r="X46" i="4"/>
  <c r="H41" i="27"/>
  <c r="E48"/>
  <c r="H48" s="1"/>
  <c r="H41" i="28"/>
  <c r="E48"/>
  <c r="H48" s="1"/>
  <c r="Z44" i="2"/>
  <c r="AB34" i="4"/>
  <c r="H32" i="63"/>
  <c r="AL34" i="2"/>
  <c r="O52"/>
  <c r="O46" i="4"/>
  <c r="I83" i="1"/>
  <c r="D68" i="43"/>
  <c r="D142"/>
  <c r="H48" i="20"/>
  <c r="D146" i="43"/>
  <c r="D148" s="1"/>
  <c r="L73" i="4" l="1"/>
  <c r="E68" i="43"/>
  <c r="E75" s="1"/>
  <c r="D71"/>
  <c r="E137"/>
  <c r="E144" s="1"/>
  <c r="E143" s="1"/>
  <c r="AP48" i="1"/>
  <c r="H48" i="54" s="1"/>
  <c r="G49" i="40"/>
  <c r="AB48" i="4"/>
  <c r="AB52" i="1"/>
  <c r="L52" i="2"/>
  <c r="L46" i="4"/>
  <c r="E78" i="43"/>
  <c r="E77"/>
  <c r="AL48" i="2"/>
  <c r="H48" i="63" s="1"/>
  <c r="G49" i="41"/>
  <c r="S49" s="1"/>
  <c r="V49" s="1"/>
  <c r="H45" i="54"/>
  <c r="H33" i="63"/>
  <c r="AL44" i="2"/>
  <c r="D144" i="43"/>
  <c r="F85" i="3"/>
  <c r="O52" i="4"/>
  <c r="G32" i="63"/>
  <c r="Z46" i="2"/>
  <c r="AB44" i="4"/>
  <c r="F91" i="3"/>
  <c r="X52" i="4"/>
  <c r="F87" i="3"/>
  <c r="Q52" i="4"/>
  <c r="F78" i="3"/>
  <c r="F81" s="1"/>
  <c r="J52" i="4"/>
  <c r="F101" i="3"/>
  <c r="AD52" i="4"/>
  <c r="AD71" s="1"/>
  <c r="D139" i="43"/>
  <c r="E139" s="1"/>
  <c r="D138"/>
  <c r="E138" s="1"/>
  <c r="E148" s="1"/>
  <c r="F31" i="3"/>
  <c r="F34" s="1"/>
  <c r="U52" i="4"/>
  <c r="Z76" i="1"/>
  <c r="Z77" s="1"/>
  <c r="S34" i="41"/>
  <c r="V34" s="1"/>
  <c r="G44"/>
  <c r="G15" i="54"/>
  <c r="AB73" i="4" l="1"/>
  <c r="AP52" i="1"/>
  <c r="F18" i="55" s="1"/>
  <c r="F20" s="1"/>
  <c r="F24" s="1"/>
  <c r="S44" i="41"/>
  <c r="V44" s="1"/>
  <c r="G46"/>
  <c r="E147" i="43"/>
  <c r="E146"/>
  <c r="H43" i="63"/>
  <c r="AL46" i="2"/>
  <c r="AB70" i="1"/>
  <c r="J34" i="3" s="1"/>
  <c r="S49" i="40"/>
  <c r="V49" s="1"/>
  <c r="G53"/>
  <c r="F50" i="3"/>
  <c r="H34"/>
  <c r="T57"/>
  <c r="F96"/>
  <c r="H81"/>
  <c r="Z52" i="2"/>
  <c r="Z70" s="1"/>
  <c r="K96" i="3" s="1"/>
  <c r="AB46" i="4"/>
  <c r="G33" i="63"/>
  <c r="G45" i="54"/>
  <c r="G48" i="63"/>
  <c r="L70" i="2"/>
  <c r="K81" i="3" s="1"/>
  <c r="L52" i="4"/>
  <c r="L71" s="1"/>
  <c r="G48" i="54"/>
  <c r="E74" i="43"/>
  <c r="E73"/>
  <c r="Z83" i="1"/>
  <c r="E142" i="43"/>
  <c r="D140"/>
  <c r="H52" i="54" l="1"/>
  <c r="G52" s="1"/>
  <c r="AP76" i="1"/>
  <c r="AP77" s="1"/>
  <c r="AP83" s="1"/>
  <c r="AP85" s="1"/>
  <c r="AP70"/>
  <c r="J50" i="3" s="1"/>
  <c r="H50"/>
  <c r="T58"/>
  <c r="H70" i="54"/>
  <c r="AL52" i="2"/>
  <c r="H45" i="63"/>
  <c r="G53" i="41"/>
  <c r="S46"/>
  <c r="V46" s="1"/>
  <c r="F107" i="3"/>
  <c r="H96"/>
  <c r="T109"/>
  <c r="S53" i="40"/>
  <c r="V53" s="1"/>
  <c r="G72"/>
  <c r="G12" i="56"/>
  <c r="F28" i="55"/>
  <c r="G43" i="63"/>
  <c r="AB52" i="4"/>
  <c r="H107" i="3" l="1"/>
  <c r="T110"/>
  <c r="S53" i="41"/>
  <c r="V53" s="1"/>
  <c r="G72"/>
  <c r="F18" i="61"/>
  <c r="F20" s="1"/>
  <c r="F24" s="1"/>
  <c r="H52" i="63"/>
  <c r="AL70" i="2"/>
  <c r="K107" i="3" s="1"/>
  <c r="G17" i="56"/>
  <c r="G15"/>
  <c r="G21"/>
  <c r="G19"/>
  <c r="I32" i="54" s="1"/>
  <c r="I12"/>
  <c r="G45" i="63"/>
  <c r="I33" i="54" l="1"/>
  <c r="J32"/>
  <c r="G52" i="63"/>
  <c r="H70"/>
  <c r="I15" i="54"/>
  <c r="J12"/>
  <c r="I35"/>
  <c r="J35" s="1"/>
  <c r="G23" i="56"/>
  <c r="G25" s="1"/>
  <c r="F28" i="61"/>
  <c r="G7" i="62"/>
  <c r="I39" i="54"/>
  <c r="G11" i="62" l="1"/>
  <c r="G15"/>
  <c r="I32" i="63" s="1"/>
  <c r="I12"/>
  <c r="G13" i="62"/>
  <c r="I39" i="63" s="1"/>
  <c r="G27" i="56"/>
  <c r="I48" i="54" s="1"/>
  <c r="J48" s="1"/>
  <c r="J33"/>
  <c r="I42"/>
  <c r="J42" s="1"/>
  <c r="J39"/>
  <c r="J15"/>
  <c r="I42" i="63" l="1"/>
  <c r="J42" s="1"/>
  <c r="J39"/>
  <c r="G17" i="62"/>
  <c r="G19" s="1"/>
  <c r="I35" i="63"/>
  <c r="J35" s="1"/>
  <c r="I15"/>
  <c r="J12"/>
  <c r="I33"/>
  <c r="J32"/>
  <c r="I43" i="54"/>
  <c r="G29" i="56"/>
  <c r="J43" i="54" l="1"/>
  <c r="I45"/>
  <c r="I43" i="63"/>
  <c r="J43" s="1"/>
  <c r="J33"/>
  <c r="I45"/>
  <c r="J15"/>
  <c r="G21" i="62"/>
  <c r="I48" i="63" s="1"/>
  <c r="J48" s="1"/>
  <c r="I52" l="1"/>
  <c r="J52" s="1"/>
  <c r="J70" s="1"/>
  <c r="J45"/>
  <c r="G23" i="62"/>
  <c r="I52" i="54"/>
  <c r="J52" s="1"/>
  <c r="J70" s="1"/>
  <c r="J45"/>
</calcChain>
</file>

<file path=xl/comments1.xml><?xml version="1.0" encoding="utf-8"?>
<comments xmlns="http://schemas.openxmlformats.org/spreadsheetml/2006/main">
  <authors>
    <author>sz0rsr</author>
  </authors>
  <commentList>
    <comment ref="F22" authorId="0">
      <text>
        <r>
          <rPr>
            <b/>
            <sz val="8"/>
            <color indexed="81"/>
            <rFont val="Tahoma"/>
          </rPr>
          <t xml:space="preserve">PF Conversion Factor….Millwood expires in 2004, therfore Millwood Pro Formed out here
</t>
        </r>
      </text>
    </comment>
  </commentList>
</comments>
</file>

<file path=xl/comments2.xml><?xml version="1.0" encoding="utf-8"?>
<comments xmlns="http://schemas.openxmlformats.org/spreadsheetml/2006/main">
  <authors>
    <author>Karen Schuh</author>
  </authors>
  <commentList>
    <comment ref="F18" authorId="0">
      <text>
        <r>
          <rPr>
            <b/>
            <sz val="10"/>
            <color indexed="81"/>
            <rFont val="Tahoma"/>
          </rPr>
          <t>Karen Schuh:</t>
        </r>
        <r>
          <rPr>
            <sz val="10"/>
            <color indexed="81"/>
            <rFont val="Tahoma"/>
          </rPr>
          <t xml:space="preserve">
There is a new line item called "Gas Used for Products Extraction". I didn't enter a new line item for this, I just included it with this line item.</t>
        </r>
      </text>
    </comment>
  </commentList>
</comments>
</file>

<file path=xl/comments3.xml><?xml version="1.0" encoding="utf-8"?>
<comments xmlns="http://schemas.openxmlformats.org/spreadsheetml/2006/main">
  <authors>
    <author>rzk7kq</author>
  </authors>
  <commentList>
    <comment ref="F44" authorId="0">
      <text>
        <r>
          <rPr>
            <b/>
            <sz val="8"/>
            <color indexed="81"/>
            <rFont val="Tahoma"/>
          </rPr>
          <t>rzk7kq:</t>
        </r>
        <r>
          <rPr>
            <sz val="8"/>
            <color indexed="81"/>
            <rFont val="Tahoma"/>
          </rPr>
          <t xml:space="preserve">
WA includes STD
Cap Structure at 12/31/2005 provided by Paul Kimball</t>
        </r>
      </text>
    </comment>
    <comment ref="F117" authorId="0">
      <text>
        <r>
          <rPr>
            <b/>
            <sz val="8"/>
            <color indexed="81"/>
            <rFont val="Tahoma"/>
          </rPr>
          <t>rzk7kq:</t>
        </r>
        <r>
          <rPr>
            <sz val="8"/>
            <color indexed="81"/>
            <rFont val="Tahoma"/>
          </rPr>
          <t xml:space="preserve">
ID excludes STD
Cap Structure at 12/31/2005 provided by Paul Kimball</t>
        </r>
      </text>
    </comment>
  </commentList>
</comments>
</file>

<file path=xl/comments4.xml><?xml version="1.0" encoding="utf-8"?>
<comments xmlns="http://schemas.openxmlformats.org/spreadsheetml/2006/main">
  <authors>
    <author>sz0rsr</author>
  </authors>
  <commentList>
    <comment ref="F22" authorId="0">
      <text>
        <r>
          <rPr>
            <b/>
            <sz val="8"/>
            <color indexed="81"/>
            <rFont val="Tahoma"/>
          </rPr>
          <t xml:space="preserve">PF Conversion Factor….Millwood expires in 2004, therfore Millwood Pro Formed out here
</t>
        </r>
      </text>
    </comment>
  </commentList>
</comments>
</file>

<file path=xl/sharedStrings.xml><?xml version="1.0" encoding="utf-8"?>
<sst xmlns="http://schemas.openxmlformats.org/spreadsheetml/2006/main" count="4923" uniqueCount="535">
  <si>
    <t>GAS RESULTS OF OPERATION</t>
  </si>
  <si>
    <t>WASHINGTON RESTATED RESULTS</t>
  </si>
  <si>
    <t>(000'S OF DOLLARS)</t>
  </si>
  <si>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</si>
  <si>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</si>
  <si>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</si>
  <si>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</si>
  <si>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</si>
  <si>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</si>
  <si>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</si>
  <si>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</si>
  <si>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</si>
  <si>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</si>
  <si>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>on Office</t>
  </si>
  <si>
    <t>Gas</t>
  </si>
  <si>
    <t>and DSM</t>
  </si>
  <si>
    <t xml:space="preserve">Customer </t>
  </si>
  <si>
    <t>Subtotal</t>
  </si>
  <si>
    <t xml:space="preserve">B &amp; O </t>
  </si>
  <si>
    <t>Property</t>
  </si>
  <si>
    <t>Expense</t>
  </si>
  <si>
    <t xml:space="preserve">and </t>
  </si>
  <si>
    <t>Debt</t>
  </si>
  <si>
    <t>A/R</t>
  </si>
  <si>
    <t>Charges to</t>
  </si>
  <si>
    <t>Restated</t>
  </si>
  <si>
    <t>Pro Forma</t>
  </si>
  <si>
    <t>No.</t>
  </si>
  <si>
    <t>DESCRIPTION</t>
  </si>
  <si>
    <t>Report</t>
  </si>
  <si>
    <t>Rate Base</t>
  </si>
  <si>
    <t>Building</t>
  </si>
  <si>
    <t>Inventory</t>
  </si>
  <si>
    <t>Investment</t>
  </si>
  <si>
    <t>Advances</t>
  </si>
  <si>
    <t>Actual</t>
  </si>
  <si>
    <t>Adjustment</t>
  </si>
  <si>
    <t>Taxes</t>
  </si>
  <si>
    <t>Tax</t>
  </si>
  <si>
    <t>Damages</t>
  </si>
  <si>
    <t>Interest</t>
  </si>
  <si>
    <t>blank</t>
  </si>
  <si>
    <t>Expenses</t>
  </si>
  <si>
    <t>Subs</t>
  </si>
  <si>
    <t>Total</t>
  </si>
  <si>
    <t>a</t>
  </si>
  <si>
    <t>b</t>
  </si>
  <si>
    <t>c</t>
  </si>
  <si>
    <t>d</t>
  </si>
  <si>
    <t>e</t>
  </si>
  <si>
    <t>f</t>
  </si>
  <si>
    <t>g</t>
  </si>
  <si>
    <t>-</t>
  </si>
  <si>
    <t>h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</si>
  <si>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</si>
  <si>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</si>
  <si>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</si>
  <si>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</si>
  <si>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</si>
  <si>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</si>
  <si>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</si>
  <si>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</si>
  <si>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</si>
  <si>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</si>
  <si>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</si>
  <si>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</si>
  <si>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PF1</t>
  </si>
  <si>
    <t>PF2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</si>
  <si>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</si>
  <si>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</si>
  <si>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</si>
  <si>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</si>
  <si>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</si>
  <si>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</si>
  <si>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</si>
  <si>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</si>
  <si>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</si>
  <si>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</si>
  <si>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</si>
  <si>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</si>
  <si>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</si>
  <si>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</si>
  <si>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</si>
  <si>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</si>
  <si>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</si>
  <si>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</si>
  <si>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</si>
  <si>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</si>
  <si>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</si>
  <si>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</si>
  <si>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</si>
  <si>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</si>
  <si>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</si>
  <si>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</si>
  <si>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</si>
  <si>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</si>
  <si>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</si>
  <si>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</si>
  <si>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</si>
  <si>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</si>
  <si>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</si>
  <si>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</si>
  <si>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</si>
  <si>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</si>
  <si>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</si>
  <si>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</si>
  <si>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</si>
  <si>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</si>
  <si>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RATE OF RETURN</t>
  </si>
  <si>
    <t>IDAHO RESTATED RESULTS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</si>
  <si>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</si>
  <si>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</si>
  <si>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</si>
  <si>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</si>
  <si>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</si>
  <si>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</si>
  <si>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</si>
  <si>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</si>
  <si>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Gas</t>
  </si>
  <si>
    <t>SYSTEM RESTATED RESULTS</t>
  </si>
  <si>
    <t>*</t>
  </si>
  <si>
    <t>i</t>
  </si>
  <si>
    <t>l</t>
  </si>
  <si>
    <t>w</t>
  </si>
  <si>
    <t>x</t>
  </si>
  <si>
    <t>GAS ADJUSTMENT SUMMARY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</si>
  <si>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</si>
  <si>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</si>
  <si>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</si>
  <si>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</si>
  <si>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</si>
  <si>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</si>
  <si>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</si>
  <si>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</si>
  <si>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</si>
  <si>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</si>
  <si>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</si>
  <si>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>Exploration &amp; Development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</si>
  <si>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</si>
  <si>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</si>
  <si>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</si>
  <si>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</si>
  <si>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</si>
  <si>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</si>
  <si>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</si>
  <si>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</si>
  <si>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</si>
  <si>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</si>
  <si>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</si>
  <si>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</si>
  <si>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</si>
  <si>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</si>
  <si>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</si>
  <si>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</si>
  <si>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</si>
  <si>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</si>
  <si>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</si>
  <si>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</si>
  <si>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</si>
  <si>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</si>
  <si>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</si>
  <si>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 xml:space="preserve">      Total Accum. Depreciation</t>
  </si>
  <si>
    <t>DEFERRED TAXES</t>
  </si>
  <si>
    <t xml:space="preserve"> </t>
  </si>
  <si>
    <t>DEFERRED FIT RATE BASE</t>
  </si>
  <si>
    <t xml:space="preserve">   Current Accrual (at 35%)</t>
  </si>
  <si>
    <t xml:space="preserve">   General Plant</t>
  </si>
  <si>
    <t>DEFERRED GAIN</t>
  </si>
  <si>
    <t>ON OFFICE BUILDING</t>
  </si>
  <si>
    <t>CALCULATION OF IDAHO STATE INCOME TAX</t>
  </si>
  <si>
    <t xml:space="preserve">(000's OF DOLLARS)   </t>
  </si>
  <si>
    <t>Operating Income before FIT and SIT</t>
  </si>
  <si>
    <t>Idaho State Income Tax</t>
  </si>
  <si>
    <t xml:space="preserve">    Adjusted Rate of </t>
  </si>
  <si>
    <t>ADJUSTMENT</t>
  </si>
  <si>
    <t>DSM INVESTMENT</t>
  </si>
  <si>
    <t>CUSTOMER</t>
  </si>
  <si>
    <t>ADVANCES</t>
  </si>
  <si>
    <t>ELIMINATE</t>
  </si>
  <si>
    <t>B &amp; O TAXES</t>
  </si>
  <si>
    <t>PROPERTY TAX</t>
  </si>
  <si>
    <t>UNCOLLECTIBLE</t>
  </si>
  <si>
    <t>EXPENSE</t>
  </si>
  <si>
    <t>REGULATORY EXPENSE</t>
  </si>
  <si>
    <t>INJURIES</t>
  </si>
  <si>
    <t>AND DAMAGES</t>
  </si>
  <si>
    <t>FEDERAL</t>
  </si>
  <si>
    <t>INCOME TAX</t>
  </si>
  <si>
    <t>RESTATE</t>
  </si>
  <si>
    <t>DEBT INTEREST</t>
  </si>
  <si>
    <t>A/R EXPENSES</t>
  </si>
  <si>
    <t>OFFICE SPACE CHARGES</t>
  </si>
  <si>
    <t>TO SUBSIDIARIES</t>
  </si>
  <si>
    <t>RESTATE WASHINGTON</t>
  </si>
  <si>
    <t>Twelve month period</t>
  </si>
  <si>
    <t>Idaho State Income Tax Adjusted Rate of</t>
  </si>
  <si>
    <t>Company Name</t>
  </si>
  <si>
    <t>AVISTA UTILITIES</t>
  </si>
  <si>
    <t>TWELVE MONTHS ENDED</t>
  </si>
  <si>
    <t>Difference</t>
  </si>
  <si>
    <t>% Difference</t>
  </si>
  <si>
    <t>Deferred Gain</t>
  </si>
  <si>
    <t>Uncollectible</t>
  </si>
  <si>
    <t>Weatherization</t>
  </si>
  <si>
    <t>Normalization &amp;</t>
  </si>
  <si>
    <t>Gas Cost Adjust</t>
  </si>
  <si>
    <t>AND GAS COST ADJUSTMENT</t>
  </si>
  <si>
    <t>Jurisdictional Allocation</t>
  </si>
  <si>
    <t>Allocator</t>
  </si>
  <si>
    <t>Oregon</t>
  </si>
  <si>
    <t>California</t>
  </si>
  <si>
    <t>ELECTRIC</t>
  </si>
  <si>
    <t xml:space="preserve">This calcualtion uses a calculation like that of AMA </t>
  </si>
  <si>
    <t>Intangible</t>
  </si>
  <si>
    <t>TOTAL ELECTRIC</t>
  </si>
  <si>
    <t>It adds the "first" and "last" together , divides by 2,</t>
  </si>
  <si>
    <t>then adds the result to the "middle" and divides by 2</t>
  </si>
  <si>
    <t>Transmission</t>
  </si>
  <si>
    <t>TOTAL GAS</t>
  </si>
  <si>
    <t>Direct Distribution</t>
  </si>
  <si>
    <t>TOTAL WPNG</t>
  </si>
  <si>
    <t>Allocated Distribution</t>
  </si>
  <si>
    <t>Check Figure</t>
  </si>
  <si>
    <t>Direct General</t>
  </si>
  <si>
    <t>To update this sheet for a new 12 month period:</t>
  </si>
  <si>
    <t>Allocated General</t>
  </si>
  <si>
    <t xml:space="preserve">Allocated Common </t>
  </si>
  <si>
    <t>Update the date in cell X2</t>
  </si>
  <si>
    <t>Subtotal Electric</t>
  </si>
  <si>
    <t>Percent</t>
  </si>
  <si>
    <t>Electric Overhead</t>
  </si>
  <si>
    <t>Allocation Factors - From Roo E-ALL-12A</t>
  </si>
  <si>
    <t>Production Transmission Ratio</t>
  </si>
  <si>
    <t>Jurisdictional Four Factor</t>
  </si>
  <si>
    <t>Net Electric Distribution Plant</t>
  </si>
  <si>
    <t>Direct Assignment</t>
  </si>
  <si>
    <t>1C</t>
  </si>
  <si>
    <t>Allocated Common</t>
  </si>
  <si>
    <t>Subtotal Gas</t>
  </si>
  <si>
    <t>Gas Overhead</t>
  </si>
  <si>
    <t>Allocation Factors - From ROO G-ALL-12A</t>
  </si>
  <si>
    <t>System Contract Demand</t>
  </si>
  <si>
    <t>Actual Therms Purchased</t>
  </si>
  <si>
    <t>WPNG</t>
  </si>
  <si>
    <t>Subtotal WPNG</t>
  </si>
  <si>
    <t>WPNG Overhead</t>
  </si>
  <si>
    <t>Allocation Factors - From Roo W-ALL-12A</t>
  </si>
  <si>
    <t>Total Company</t>
  </si>
  <si>
    <t>WWP Electric</t>
  </si>
  <si>
    <t>WWP Gas</t>
  </si>
  <si>
    <t xml:space="preserve">COMMON </t>
  </si>
  <si>
    <t xml:space="preserve">     Total Common</t>
  </si>
  <si>
    <t>Allocation Factors</t>
  </si>
  <si>
    <t>Utility 7</t>
  </si>
  <si>
    <t>Utility 8</t>
  </si>
  <si>
    <t>Utility 9</t>
  </si>
  <si>
    <t>Washington - Gas</t>
  </si>
  <si>
    <t>(000's)</t>
  </si>
  <si>
    <t>Adjustment Description</t>
  </si>
  <si>
    <t>Adjustments</t>
  </si>
  <si>
    <t xml:space="preserve">   Total Restated Rate Base</t>
  </si>
  <si>
    <t>Restated Debt Interest</t>
  </si>
  <si>
    <t>Actual Interest (G-FIT-12A)</t>
  </si>
  <si>
    <t>Capitalized Interest</t>
  </si>
  <si>
    <t>Increase (Decrease) in Interest Expense</t>
  </si>
  <si>
    <t>FIT Rate</t>
  </si>
  <si>
    <t>Increase (Decrease) in FIT</t>
  </si>
  <si>
    <t>Capitalized Interest-Company</t>
  </si>
  <si>
    <t>Equity AFUDC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</si>
  <si>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</si>
  <si>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</si>
  <si>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</si>
  <si>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</si>
  <si>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</si>
  <si>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</si>
  <si>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</si>
  <si>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</si>
  <si>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</si>
  <si>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</si>
  <si>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</si>
  <si>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</si>
  <si>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</si>
  <si>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Gas</t>
  </si>
  <si>
    <t>done</t>
  </si>
  <si>
    <t>not done</t>
  </si>
  <si>
    <t>Liz</t>
  </si>
  <si>
    <t>Tara</t>
  </si>
  <si>
    <t>Weighted Average Cost of Debt</t>
  </si>
  <si>
    <t>STATE INCOME TAX</t>
  </si>
  <si>
    <t>PRO FORMA ADJUSTMENT</t>
  </si>
  <si>
    <t xml:space="preserve">     Pro Forma Total</t>
  </si>
  <si>
    <t xml:space="preserve">AVISTA UTILITIES  </t>
  </si>
  <si>
    <t xml:space="preserve">GAS RESULTS OF OPERATION  </t>
  </si>
  <si>
    <t xml:space="preserve">IDAHO RESTATED RESULTS  </t>
  </si>
  <si>
    <t xml:space="preserve">(000'S OF DOLLARS)  </t>
  </si>
  <si>
    <t xml:space="preserve">REVENUES  </t>
  </si>
  <si>
    <t xml:space="preserve">Total General Business  </t>
  </si>
  <si>
    <t xml:space="preserve">Total Transportation  </t>
  </si>
  <si>
    <t xml:space="preserve">Other Revenues  </t>
  </si>
  <si>
    <t xml:space="preserve">Total Gas Revenues  </t>
  </si>
  <si>
    <t xml:space="preserve">EXPENSES  </t>
  </si>
  <si>
    <t xml:space="preserve">Exploration and Development  </t>
  </si>
  <si>
    <t xml:space="preserve">Production  </t>
  </si>
  <si>
    <t xml:space="preserve">City Gate Purchases  </t>
  </si>
  <si>
    <t xml:space="preserve">Purchased Gas Expense  </t>
  </si>
  <si>
    <t xml:space="preserve">Net Nat Gas Storage Trans  </t>
  </si>
  <si>
    <t xml:space="preserve">Total Production  </t>
  </si>
  <si>
    <t xml:space="preserve">Underground Storage  </t>
  </si>
  <si>
    <t xml:space="preserve">Operating Expenses  </t>
  </si>
  <si>
    <t xml:space="preserve">Depreciation  </t>
  </si>
  <si>
    <t xml:space="preserve">Taxes  </t>
  </si>
  <si>
    <t xml:space="preserve">Total Underground Storage  </t>
  </si>
  <si>
    <t xml:space="preserve">Distribution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</si>
  <si>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</si>
  <si>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</si>
  <si>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</si>
  <si>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</si>
  <si>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</si>
  <si>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</si>
  <si>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Gas Expense  </t>
  </si>
  <si>
    <t xml:space="preserve">OPERATING INCOME BEFORE FIT  </t>
  </si>
  <si>
    <t xml:space="preserve">FEDERAL INCOME TAX  </t>
  </si>
  <si>
    <t xml:space="preserve">Current Accrual  </t>
  </si>
  <si>
    <t xml:space="preserve">Deferred FIT  </t>
  </si>
  <si>
    <t xml:space="preserve">Amort ITC  </t>
  </si>
  <si>
    <t xml:space="preserve">NET OPERATING INCOME  </t>
  </si>
  <si>
    <t xml:space="preserve">RATE BASE: PLANT IN SERVICE  </t>
  </si>
  <si>
    <t xml:space="preserve">Distribution Plant  </t>
  </si>
  <si>
    <t xml:space="preserve">General Plant  </t>
  </si>
  <si>
    <t xml:space="preserve">Total Plant in Service  </t>
  </si>
  <si>
    <t xml:space="preserve">ACCUMULATED DEPRECIATION  </t>
  </si>
  <si>
    <t xml:space="preserve">Total Accum. Depreciation  </t>
  </si>
  <si>
    <t xml:space="preserve">DEFERRED FIT  </t>
  </si>
  <si>
    <t xml:space="preserve">GAS INVENTORY  </t>
  </si>
  <si>
    <t xml:space="preserve">GAIN ON SALE OF BUILDING  </t>
  </si>
  <si>
    <t xml:space="preserve">TOTAL RATE BASE  </t>
  </si>
  <si>
    <t xml:space="preserve">RATE OF RETURN  </t>
  </si>
  <si>
    <t>PF3</t>
  </si>
  <si>
    <t>PF4</t>
  </si>
  <si>
    <t>PRO FORMA</t>
  </si>
  <si>
    <t>keep me</t>
  </si>
  <si>
    <t>PF5</t>
  </si>
  <si>
    <t>Comes from "DebtCalc"</t>
  </si>
  <si>
    <t>Copy columns Q:W over A:G</t>
  </si>
  <si>
    <t>Then input into Q:W and  I:O</t>
  </si>
  <si>
    <t>Restate Debt Interest</t>
  </si>
  <si>
    <t>Theresa</t>
  </si>
  <si>
    <t>PF7</t>
  </si>
  <si>
    <t>Incentives</t>
  </si>
  <si>
    <t>Labor</t>
  </si>
  <si>
    <t>Non-Exec</t>
  </si>
  <si>
    <t>Exec</t>
  </si>
  <si>
    <t>DEPRECIATION</t>
  </si>
  <si>
    <t>Weather</t>
  </si>
  <si>
    <t>Ending Balance CWIP December 31, 2005</t>
  </si>
  <si>
    <t>Production/Transmission</t>
  </si>
  <si>
    <t>CD WA / CD ID</t>
  </si>
  <si>
    <t>Common All - CDAA</t>
  </si>
  <si>
    <t>Common Gas - GDAA</t>
  </si>
  <si>
    <t>Common WWP - CDAN</t>
  </si>
  <si>
    <t>Common Washington - CDWA</t>
  </si>
  <si>
    <t>Common Idaho - CDID</t>
  </si>
  <si>
    <t>Jeanne</t>
  </si>
  <si>
    <t>NET GAINS &amp; LOSSES</t>
  </si>
  <si>
    <t>Net</t>
  </si>
  <si>
    <t>Gains/losses</t>
  </si>
  <si>
    <t>EXCISE TAXES</t>
  </si>
  <si>
    <t>Excise</t>
  </si>
  <si>
    <t>New method weather normalization</t>
  </si>
  <si>
    <t>New Method weather normalization</t>
  </si>
  <si>
    <t>Ending Balance CWIP June 30, 2006</t>
  </si>
  <si>
    <t>Ending Balance CWIP December 31, 2006</t>
  </si>
  <si>
    <t>Average CWIP for the Twelve Months Ended 12/31/06</t>
  </si>
  <si>
    <t>Ending CWIP at 12/31/06</t>
  </si>
  <si>
    <t>updated for 2006</t>
  </si>
  <si>
    <t>Calculation of General Revenue Requirement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</si>
  <si>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</si>
  <si>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</si>
  <si>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</si>
  <si>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</si>
  <si>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</si>
  <si>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</si>
  <si>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</si>
  <si>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</si>
  <si>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</si>
  <si>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Pref Trust</t>
  </si>
  <si>
    <t>Net Operating Income Deficiency</t>
  </si>
  <si>
    <t>Conversion Factor</t>
  </si>
  <si>
    <t>Common</t>
  </si>
  <si>
    <t>Revenue Requirement</t>
  </si>
  <si>
    <t>Total General Business Revenues</t>
  </si>
  <si>
    <t>Percentage Revenue Increase</t>
  </si>
  <si>
    <t>Pref Stock</t>
  </si>
  <si>
    <t>WASHINGTON PRO FORMA RESULTS</t>
  </si>
  <si>
    <t>WITH PRESENT RATES</t>
  </si>
  <si>
    <t>WITH PROPOSED RATES</t>
  </si>
  <si>
    <t>Actual Per</t>
  </si>
  <si>
    <t>Proposed</t>
  </si>
  <si>
    <t>Revenues &amp;</t>
  </si>
  <si>
    <t>Related Exp</t>
  </si>
  <si>
    <t>(000's OF DOLLARS)</t>
  </si>
  <si>
    <t>Pro Forma Cost of Capital</t>
  </si>
  <si>
    <t>WASH</t>
  </si>
  <si>
    <t xml:space="preserve">Pro Forma Rate Base </t>
  </si>
  <si>
    <t>Revenue Conversion Factor</t>
  </si>
  <si>
    <t>Washington - Gas System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</si>
  <si>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</si>
  <si>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</si>
  <si>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</si>
  <si>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</si>
  <si>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</si>
  <si>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</si>
  <si>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</si>
  <si>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 xml:space="preserve">    Total Expense</t>
  </si>
  <si>
    <t>Net Operating Income Before FIT</t>
  </si>
  <si>
    <t xml:space="preserve">  Federal Income Tax @ 35%</t>
  </si>
  <si>
    <t>REVENUE CONVERSION FACTOR</t>
  </si>
  <si>
    <t>NOTES:</t>
  </si>
  <si>
    <t>(1)  Calculation of Effective Uncollectible Rate:</t>
  </si>
  <si>
    <t xml:space="preserve">       Net Write-Offs *</t>
  </si>
  <si>
    <t xml:space="preserve">         Divided by:</t>
  </si>
  <si>
    <t xml:space="preserve">       Sales to Ultimate Customers + Transport **</t>
  </si>
  <si>
    <t xml:space="preserve">       EFFECTIVE RATE</t>
  </si>
  <si>
    <t xml:space="preserve">     *  From Uncollectible Adjustment Workpapers.</t>
  </si>
  <si>
    <t xml:space="preserve">     ** From Results of Operations Report G-OPS-12A.</t>
  </si>
  <si>
    <t>(2)  WUTC fees rate per March 5, 2004 letter</t>
  </si>
  <si>
    <t>(3)  Calculation of Effective Washington Excise Tax :</t>
  </si>
  <si>
    <t xml:space="preserve">     Nominal Rate *</t>
  </si>
  <si>
    <t xml:space="preserve">       Multiplied by</t>
  </si>
  <si>
    <t xml:space="preserve">       Uncollectibles Factor:</t>
  </si>
  <si>
    <t xml:space="preserve">         Revenue</t>
  </si>
  <si>
    <t xml:space="preserve">         Less: Effective Uncoll Rate</t>
  </si>
  <si>
    <t xml:space="preserve">     EFFECTIVE RATE</t>
  </si>
  <si>
    <t xml:space="preserve">     *  From Combined Excise Tax Return.</t>
  </si>
  <si>
    <t>(4)  Calculation of Franchise Fee Rate:</t>
  </si>
  <si>
    <t xml:space="preserve">     Total Fees Paid (Millwood/Spokane) *</t>
  </si>
  <si>
    <t xml:space="preserve">     *  From Excise/Franchise Tax Adjustment Workpapers.</t>
  </si>
  <si>
    <t>LABOR NON-EXECUTIVE</t>
  </si>
  <si>
    <t>LABOR EXECUTIVE</t>
  </si>
  <si>
    <t>Short-Term Debt</t>
  </si>
  <si>
    <t>Long-Term Debt</t>
  </si>
  <si>
    <t>Contract</t>
  </si>
  <si>
    <t>WA Wtd Debt</t>
  </si>
  <si>
    <t>ID Wtd Debt</t>
  </si>
  <si>
    <t>All Inputs</t>
  </si>
  <si>
    <t>REVENUE  NORMALIZATION</t>
  </si>
  <si>
    <t>Revenue</t>
  </si>
  <si>
    <t>WORKPAPERS</t>
  </si>
  <si>
    <t>In support of</t>
  </si>
  <si>
    <t>Witness:  Elizabeth M. Andrews</t>
  </si>
  <si>
    <t>Exhibit No.___(EMA-3)</t>
  </si>
  <si>
    <t xml:space="preserve">(Breakdown </t>
  </si>
  <si>
    <t>b/w LTD &amp; STD)</t>
  </si>
  <si>
    <t>True-up</t>
  </si>
  <si>
    <t>TRUE-UP</t>
  </si>
  <si>
    <t>Capital Add</t>
  </si>
  <si>
    <t>2007</t>
  </si>
  <si>
    <t>2008</t>
  </si>
  <si>
    <t>2009</t>
  </si>
  <si>
    <t>PF6</t>
  </si>
  <si>
    <t>PF8</t>
  </si>
  <si>
    <t>PF9</t>
  </si>
  <si>
    <t>Open</t>
  </si>
  <si>
    <t>Pat</t>
  </si>
  <si>
    <t>Scott</t>
  </si>
  <si>
    <t>JP Storage</t>
  </si>
  <si>
    <t>JP STORAGE</t>
  </si>
  <si>
    <t>CAPITAL ADDITIONS 2008</t>
  </si>
  <si>
    <t>CAPITAL ADDITIONS 2009</t>
  </si>
  <si>
    <t>INCENTIVES</t>
  </si>
  <si>
    <t>Need to exclude STD</t>
  </si>
  <si>
    <t>(2007 LMA)</t>
  </si>
  <si>
    <t xml:space="preserve">GBR = </t>
  </si>
  <si>
    <t xml:space="preserve">GBR= </t>
  </si>
  <si>
    <t>PF Rev. Req.=</t>
  </si>
  <si>
    <t>Restated Total Rev.  Req.=</t>
  </si>
  <si>
    <t>WA</t>
  </si>
  <si>
    <t>ID</t>
  </si>
  <si>
    <t>tm 2/15/08</t>
  </si>
  <si>
    <t>OPERATING &amp; MAINTENANCE SAVINGS</t>
  </si>
  <si>
    <t>(Associated with Mobile Dispatch)</t>
  </si>
  <si>
    <t>Dave/Jeanne/Tara</t>
  </si>
  <si>
    <t>PFx</t>
  </si>
  <si>
    <t>AMR</t>
  </si>
  <si>
    <t>CF-ID gas</t>
  </si>
  <si>
    <t>Completed last</t>
  </si>
  <si>
    <t>IDAHO</t>
  </si>
  <si>
    <t>CALCULATION OF CONVERSION FACTOR:  IDAHO GAS</t>
  </si>
  <si>
    <t xml:space="preserve">  Uncollectibles (1)</t>
  </si>
  <si>
    <t xml:space="preserve">  Commission Fees (2)</t>
  </si>
  <si>
    <t xml:space="preserve">  Idaho Income Tax (3)</t>
  </si>
  <si>
    <t xml:space="preserve">  Federal Income Tax @</t>
  </si>
  <si>
    <t>IDAHO PRO FORMA RESULTS</t>
  </si>
  <si>
    <t>WASHINGTON</t>
  </si>
  <si>
    <t>Revised Allowed Rate of Return</t>
  </si>
  <si>
    <t>NOI Requirement</t>
  </si>
  <si>
    <t>TWELVE MONTHS ENDED SEPTEMBER 30, 2008</t>
  </si>
  <si>
    <t>Docket No. UG-09__</t>
  </si>
  <si>
    <t>MISCELLANEOUS</t>
  </si>
  <si>
    <t>Misc</t>
  </si>
  <si>
    <t>PF10</t>
  </si>
  <si>
    <t xml:space="preserve">Karen </t>
  </si>
  <si>
    <t>EMPLOYEE BENEFITS</t>
  </si>
  <si>
    <t>(Pension/Medical Insurance)</t>
  </si>
  <si>
    <t>INSURANCE</t>
  </si>
  <si>
    <t>Employee</t>
  </si>
  <si>
    <t>Benefits</t>
  </si>
  <si>
    <t>Insurance</t>
  </si>
  <si>
    <t>(Pension and Med. Insur.)</t>
  </si>
  <si>
    <t>Restating</t>
  </si>
  <si>
    <t>RESTATING ADJUSTMENTS</t>
  </si>
  <si>
    <t>PF11</t>
  </si>
  <si>
    <t>PF12</t>
  </si>
  <si>
    <t>Information</t>
  </si>
  <si>
    <t>Services</t>
  </si>
  <si>
    <t>INFORMATION SERVICES</t>
  </si>
  <si>
    <t>(Updated 12/19/08-LMA)</t>
  </si>
  <si>
    <t>check</t>
  </si>
  <si>
    <t>For the Twelve Months Ended September 30, 2008</t>
  </si>
  <si>
    <t>Management</t>
  </si>
  <si>
    <t>ASSET MANAGEMENT</t>
  </si>
  <si>
    <t>Asset</t>
  </si>
  <si>
    <t>FILED</t>
  </si>
  <si>
    <t>Direct Rate of Return requested-FILED</t>
  </si>
  <si>
    <t>NOI Requirement-FILED</t>
  </si>
  <si>
    <t>Revenue Requirement-FILED</t>
  </si>
  <si>
    <t>SETTLEMENT</t>
  </si>
  <si>
    <t>DIFF</t>
  </si>
  <si>
    <t>Difference fron Direct Filing versus Settlement Agreement</t>
  </si>
  <si>
    <t>Revenue Requirement-Settlement Revised</t>
  </si>
  <si>
    <t>(RD-Not reflected in settlement document - flow through)</t>
  </si>
  <si>
    <t>Change</t>
  </si>
  <si>
    <t>per settlement Attachment A</t>
  </si>
  <si>
    <t>difference flowed through restate debt</t>
  </si>
  <si>
    <t>(NOTE_ Slightly different than Settlement Document Attachment A pg 2- restate debt flow through not reflected by $60k reducing rev. req.)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</si>
</sst>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#,###_);\(#,###\)"/>
    <numFmt numFmtId="169" formatCode="_(&quot;$&quot;#,###_);_(&quot;$&quot;\ \(#,###\);_(* _);_(@_)"/>
    <numFmt numFmtId="170" formatCode="0.000000"/>
    <numFmt numFmtId="171" formatCode="0.000%"/>
    <numFmt numFmtId="172" formatCode="0,_);\(0,\)"/>
    <numFmt numFmtId="173" formatCode="0_);\(0\)"/>
    <numFmt numFmtId="174" formatCode="&quot;x &quot;0.00"/>
    <numFmt numFmtId="175" formatCode="&quot;x &quot;0.000"/>
    <numFmt numFmtId="176" formatCode="_(* #,##0_);_(* \(#,##0\);_(* &quot;-&quot;??_);_(@_)"/>
    <numFmt numFmtId="177" formatCode="#,##0.000000"/>
    <numFmt numFmtId="178" formatCode="_(&quot;$&quot;* #,##0_);_(&quot;$&quot;* \(#,##0\);_(&quot;$&quot;* &quot;-&quot;??_);_(@_)"/>
    <numFmt numFmtId="179" formatCode="0.00000"/>
  </numFmts>
  <fonts count="85">
    <font>
      <sz val="10"/>
      <name val="Arial"/>
    </font>
    <font>
      <sz val="10"/>
      <name val="Arial"/>
    </font>
    <font>
      <sz val="10"/>
      <name val="Geneva"/>
    </font>
    <font>
      <sz val="9"/>
      <name val="Times New Roman"/>
      <family val="1"/>
    </font>
    <font>
      <sz val="9"/>
      <name val="Times New Roman"/>
    </font>
    <font>
      <b/>
      <sz val="9"/>
      <name val="Times New Roman"/>
      <family val="1"/>
    </font>
    <font>
      <b/>
      <sz val="9"/>
      <name val="Times New Roman"/>
    </font>
    <font>
      <i/>
      <sz val="9"/>
      <name val="Times New Roman"/>
      <family val="1"/>
    </font>
    <font>
      <u/>
      <sz val="9"/>
      <name val="Times New Roman"/>
    </font>
    <font>
      <b/>
      <sz val="10"/>
      <name val="Geneva"/>
    </font>
    <font>
      <sz val="10"/>
      <name val="Courier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name val="Calisto MT"/>
      <family val="1"/>
    </font>
    <font>
      <b/>
      <sz val="9"/>
      <name val="Calisto MT"/>
      <family val="1"/>
    </font>
    <font>
      <u/>
      <sz val="9"/>
      <name val="Calisto MT"/>
      <family val="1"/>
    </font>
    <font>
      <sz val="9"/>
      <color indexed="8"/>
      <name val="Times New Roman"/>
      <family val="1"/>
    </font>
    <font>
      <sz val="10"/>
      <name val="Calisto MT"/>
      <family val="1"/>
    </font>
    <font>
      <sz val="10"/>
      <color indexed="21"/>
      <name val="Calisto MT"/>
      <family val="1"/>
    </font>
    <font>
      <sz val="9"/>
      <color indexed="14"/>
      <name val="Times New Roman"/>
      <family val="1"/>
    </font>
    <font>
      <sz val="9"/>
      <color indexed="33"/>
      <name val="Times New Roman"/>
      <family val="1"/>
    </font>
    <font>
      <u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8"/>
      <name val="Times New Roman"/>
    </font>
    <font>
      <b/>
      <u/>
      <sz val="8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1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i/>
      <sz val="10"/>
      <name val="Times New Roman"/>
      <family val="1"/>
    </font>
    <font>
      <sz val="9"/>
      <color indexed="56"/>
      <name val="Times New Roman"/>
      <family val="1"/>
    </font>
    <font>
      <b/>
      <sz val="9"/>
      <color indexed="56"/>
      <name val="Times New Roman"/>
      <family val="1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u/>
      <sz val="10"/>
      <color indexed="12"/>
      <name val="Times New Roman"/>
      <family val="1"/>
    </font>
    <font>
      <sz val="9"/>
      <color indexed="57"/>
      <name val="Times New Roman"/>
      <family val="1"/>
    </font>
    <font>
      <i/>
      <sz val="9"/>
      <color indexed="57"/>
      <name val="Times New Roman"/>
      <family val="1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10"/>
      <name val="Times New Roman"/>
      <family val="1"/>
    </font>
    <font>
      <sz val="9"/>
      <color indexed="12"/>
      <name val="Times New Roman"/>
      <family val="1"/>
    </font>
    <font>
      <b/>
      <i/>
      <sz val="10"/>
      <color indexed="10"/>
      <name val="Times New Roman"/>
      <family val="1"/>
    </font>
    <font>
      <sz val="9"/>
      <name val="Courier New"/>
      <family val="3"/>
    </font>
    <font>
      <b/>
      <sz val="10"/>
      <name val="Times New Roman"/>
    </font>
    <font>
      <b/>
      <sz val="10"/>
      <color indexed="48"/>
      <name val="Times New Roman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Calisto MT"/>
      <family val="1"/>
    </font>
    <font>
      <sz val="9"/>
      <color indexed="12"/>
      <name val="Calisto MT"/>
    </font>
    <font>
      <b/>
      <sz val="18"/>
      <name val="Times New Roman"/>
      <family val="1"/>
    </font>
    <font>
      <sz val="14"/>
      <name val="Times New Roman"/>
      <family val="1"/>
    </font>
    <font>
      <b/>
      <sz val="9"/>
      <color indexed="10"/>
      <name val="Courier New"/>
    </font>
    <font>
      <i/>
      <sz val="10"/>
      <color indexed="10"/>
      <name val="Times New Roman"/>
      <family val="1"/>
    </font>
    <font>
      <b/>
      <sz val="10"/>
      <color indexed="10"/>
      <name val="Arial"/>
    </font>
    <font>
      <u/>
      <sz val="10"/>
      <color indexed="10"/>
      <name val="Times New Roman"/>
      <family val="1"/>
    </font>
    <font>
      <sz val="9"/>
      <color indexed="10"/>
      <name val="Times New Roman"/>
    </font>
    <font>
      <b/>
      <sz val="10"/>
      <color indexed="4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56"/>
      <name val="Times New Roman"/>
      <family val="1"/>
    </font>
    <font>
      <sz val="10"/>
      <name val="Arial"/>
    </font>
    <font>
      <sz val="8"/>
      <name val="Arial"/>
    </font>
    <font>
      <b/>
      <sz val="10"/>
      <color indexed="81"/>
      <name val="Tahoma"/>
    </font>
    <font>
      <sz val="10"/>
      <color indexed="81"/>
      <name val="Tahoma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9" fontId="1" fillId="0" borderId="0" applyFont="0" applyFill="0" applyBorder="0" applyAlignment="0" applyProtection="0"/>
  </cellStyleXfs>
  <cellXfs count="1213">
    <xf numFmtId="0" fontId="0" fillId="0" borderId="0" xfId="0"/>
    <xf numFmtId="0" fontId="3" fillId="0" borderId="0" xfId="28" applyNumberFormat="1" applyFont="1" applyAlignment="1">
      <alignment horizontal="left"/>
    </xf>
    <xf numFmtId="0" fontId="3" fillId="0" borderId="0" xfId="28" applyFont="1"/>
    <xf numFmtId="0" fontId="5" fillId="0" borderId="0" xfId="28" applyNumberFormat="1" applyFont="1" applyAlignment="1">
      <alignment horizontal="center"/>
    </xf>
    <xf numFmtId="0" fontId="5" fillId="0" borderId="0" xfId="28" applyFont="1" applyAlignment="1">
      <alignment horizontal="center"/>
    </xf>
    <xf numFmtId="0" fontId="5" fillId="0" borderId="1" xfId="28" applyNumberFormat="1" applyFont="1" applyBorder="1" applyAlignment="1">
      <alignment horizontal="center"/>
    </xf>
    <xf numFmtId="0" fontId="5" fillId="0" borderId="2" xfId="28" applyFont="1" applyBorder="1" applyAlignment="1">
      <alignment horizontal="center"/>
    </xf>
    <xf numFmtId="0" fontId="5" fillId="0" borderId="3" xfId="28" applyFont="1" applyBorder="1" applyAlignment="1">
      <alignment horizontal="center"/>
    </xf>
    <xf numFmtId="0" fontId="3" fillId="0" borderId="4" xfId="28" applyFont="1" applyBorder="1"/>
    <xf numFmtId="0" fontId="5" fillId="0" borderId="5" xfId="28" applyNumberFormat="1" applyFont="1" applyBorder="1" applyAlignment="1">
      <alignment horizontal="center"/>
    </xf>
    <xf numFmtId="0" fontId="5" fillId="0" borderId="6" xfId="28" applyFont="1" applyBorder="1" applyAlignment="1">
      <alignment horizontal="center"/>
    </xf>
    <xf numFmtId="0" fontId="5" fillId="0" borderId="0" xfId="28" applyFont="1" applyBorder="1" applyAlignment="1">
      <alignment horizontal="center"/>
    </xf>
    <xf numFmtId="0" fontId="3" fillId="0" borderId="7" xfId="28" applyFont="1" applyBorder="1"/>
    <xf numFmtId="0" fontId="5" fillId="0" borderId="8" xfId="28" applyNumberFormat="1" applyFont="1" applyBorder="1" applyAlignment="1">
      <alignment horizontal="center"/>
    </xf>
    <xf numFmtId="0" fontId="5" fillId="0" borderId="9" xfId="28" applyFont="1" applyBorder="1" applyAlignment="1">
      <alignment horizontal="center"/>
    </xf>
    <xf numFmtId="0" fontId="5" fillId="0" borderId="10" xfId="28" applyFont="1" applyBorder="1" applyAlignment="1">
      <alignment horizontal="center"/>
    </xf>
    <xf numFmtId="0" fontId="5" fillId="0" borderId="11" xfId="28" applyFont="1" applyBorder="1" applyAlignment="1">
      <alignment horizontal="center"/>
    </xf>
    <xf numFmtId="0" fontId="3" fillId="0" borderId="0" xfId="28" applyFont="1" applyAlignment="1">
      <alignment horizontal="center"/>
    </xf>
    <xf numFmtId="0" fontId="3" fillId="0" borderId="0" xfId="28" applyNumberFormat="1" applyFont="1" applyAlignment="1">
      <alignment horizontal="center"/>
    </xf>
    <xf numFmtId="5" fontId="3" fillId="0" borderId="0" xfId="28" applyNumberFormat="1" applyFont="1"/>
    <xf numFmtId="37" fontId="3" fillId="0" borderId="0" xfId="28" applyNumberFormat="1" applyFont="1"/>
    <xf numFmtId="0" fontId="3" fillId="0" borderId="0" xfId="28" applyNumberFormat="1" applyFont="1" applyBorder="1" applyAlignment="1">
      <alignment horizontal="center"/>
    </xf>
    <xf numFmtId="37" fontId="3" fillId="0" borderId="0" xfId="28" applyNumberFormat="1" applyFont="1" applyBorder="1"/>
    <xf numFmtId="0" fontId="3" fillId="0" borderId="0" xfId="28" applyFont="1" applyBorder="1"/>
    <xf numFmtId="10" fontId="3" fillId="0" borderId="0" xfId="30" applyNumberFormat="1" applyFont="1"/>
    <xf numFmtId="0" fontId="3" fillId="0" borderId="0" xfId="17" applyNumberFormat="1" applyFont="1" applyFill="1" applyAlignment="1">
      <alignment horizontal="left"/>
    </xf>
    <xf numFmtId="0" fontId="3" fillId="0" borderId="0" xfId="17" applyFont="1" applyFill="1"/>
    <xf numFmtId="3" fontId="3" fillId="0" borderId="0" xfId="17" applyNumberFormat="1" applyFont="1" applyFill="1"/>
    <xf numFmtId="3" fontId="4" fillId="0" borderId="0" xfId="17" applyNumberFormat="1" applyFont="1" applyFill="1"/>
    <xf numFmtId="0" fontId="5" fillId="0" borderId="0" xfId="17" applyFont="1" applyFill="1" applyAlignment="1">
      <alignment horizontal="center"/>
    </xf>
    <xf numFmtId="3" fontId="6" fillId="0" borderId="0" xfId="17" applyNumberFormat="1" applyFont="1" applyFill="1" applyAlignment="1">
      <alignment horizontal="center"/>
    </xf>
    <xf numFmtId="0" fontId="5" fillId="0" borderId="1" xfId="17" applyNumberFormat="1" applyFont="1" applyFill="1" applyBorder="1" applyAlignment="1">
      <alignment horizontal="center"/>
    </xf>
    <xf numFmtId="0" fontId="5" fillId="0" borderId="2" xfId="17" applyFont="1" applyFill="1" applyBorder="1" applyAlignment="1">
      <alignment horizontal="center"/>
    </xf>
    <xf numFmtId="0" fontId="5" fillId="0" borderId="3" xfId="17" applyFont="1" applyFill="1" applyBorder="1" applyAlignment="1">
      <alignment horizontal="center"/>
    </xf>
    <xf numFmtId="0" fontId="3" fillId="0" borderId="4" xfId="17" applyFont="1" applyFill="1" applyBorder="1"/>
    <xf numFmtId="3" fontId="5" fillId="0" borderId="1" xfId="17" applyNumberFormat="1" applyFont="1" applyFill="1" applyBorder="1" applyAlignment="1">
      <alignment horizontal="center"/>
    </xf>
    <xf numFmtId="3" fontId="6" fillId="0" borderId="1" xfId="17" applyNumberFormat="1" applyFont="1" applyFill="1" applyBorder="1" applyAlignment="1">
      <alignment horizontal="center"/>
    </xf>
    <xf numFmtId="0" fontId="5" fillId="0" borderId="5" xfId="17" applyNumberFormat="1" applyFont="1" applyFill="1" applyBorder="1" applyAlignment="1">
      <alignment horizontal="center"/>
    </xf>
    <xf numFmtId="0" fontId="5" fillId="0" borderId="6" xfId="17" applyFont="1" applyFill="1" applyBorder="1" applyAlignment="1">
      <alignment horizontal="center"/>
    </xf>
    <xf numFmtId="0" fontId="5" fillId="0" borderId="0" xfId="17" applyFont="1" applyFill="1" applyBorder="1" applyAlignment="1">
      <alignment horizontal="center"/>
    </xf>
    <xf numFmtId="0" fontId="3" fillId="0" borderId="7" xfId="17" applyFont="1" applyFill="1" applyBorder="1"/>
    <xf numFmtId="3" fontId="5" fillId="0" borderId="5" xfId="17" applyNumberFormat="1" applyFont="1" applyFill="1" applyBorder="1" applyAlignment="1">
      <alignment horizontal="center"/>
    </xf>
    <xf numFmtId="3" fontId="6" fillId="0" borderId="5" xfId="17" applyNumberFormat="1" applyFont="1" applyFill="1" applyBorder="1" applyAlignment="1">
      <alignment horizontal="center"/>
    </xf>
    <xf numFmtId="0" fontId="5" fillId="0" borderId="8" xfId="17" applyNumberFormat="1" applyFont="1" applyFill="1" applyBorder="1" applyAlignment="1">
      <alignment horizontal="center"/>
    </xf>
    <xf numFmtId="0" fontId="5" fillId="0" borderId="9" xfId="17" applyFont="1" applyFill="1" applyBorder="1" applyAlignment="1">
      <alignment horizontal="center"/>
    </xf>
    <xf numFmtId="0" fontId="5" fillId="0" borderId="10" xfId="17" applyFont="1" applyFill="1" applyBorder="1" applyAlignment="1">
      <alignment horizontal="center"/>
    </xf>
    <xf numFmtId="0" fontId="5" fillId="0" borderId="11" xfId="17" applyFont="1" applyFill="1" applyBorder="1" applyAlignment="1">
      <alignment horizontal="center"/>
    </xf>
    <xf numFmtId="3" fontId="5" fillId="0" borderId="8" xfId="17" applyNumberFormat="1" applyFont="1" applyFill="1" applyBorder="1" applyAlignment="1">
      <alignment horizontal="center"/>
    </xf>
    <xf numFmtId="3" fontId="6" fillId="0" borderId="8" xfId="17" applyNumberFormat="1" applyFont="1" applyFill="1" applyBorder="1" applyAlignment="1">
      <alignment horizontal="center"/>
    </xf>
    <xf numFmtId="0" fontId="7" fillId="0" borderId="0" xfId="17" applyNumberFormat="1" applyFont="1" applyFill="1" applyAlignment="1">
      <alignment horizontal="center"/>
    </xf>
    <xf numFmtId="0" fontId="7" fillId="0" borderId="0" xfId="17" applyFont="1" applyFill="1" applyAlignment="1">
      <alignment horizontal="center"/>
    </xf>
    <xf numFmtId="0" fontId="3" fillId="0" borderId="0" xfId="17" applyFont="1" applyFill="1" applyAlignment="1">
      <alignment horizontal="center"/>
    </xf>
    <xf numFmtId="3" fontId="7" fillId="0" borderId="0" xfId="17" applyNumberFormat="1" applyFont="1" applyFill="1" applyAlignment="1">
      <alignment horizontal="center"/>
    </xf>
    <xf numFmtId="3" fontId="4" fillId="0" borderId="0" xfId="17" applyNumberFormat="1" applyFont="1" applyFill="1" applyAlignment="1">
      <alignment horizontal="center"/>
    </xf>
    <xf numFmtId="3" fontId="4" fillId="0" borderId="0" xfId="17" applyNumberFormat="1" applyFont="1" applyFill="1" applyBorder="1" applyAlignment="1">
      <alignment horizontal="center"/>
    </xf>
    <xf numFmtId="0" fontId="3" fillId="0" borderId="0" xfId="17" applyNumberFormat="1" applyFont="1" applyFill="1" applyAlignment="1">
      <alignment horizontal="center"/>
    </xf>
    <xf numFmtId="3" fontId="4" fillId="0" borderId="0" xfId="17" applyNumberFormat="1" applyFont="1" applyFill="1" applyBorder="1"/>
    <xf numFmtId="5" fontId="3" fillId="0" borderId="0" xfId="17" applyNumberFormat="1" applyFont="1" applyFill="1"/>
    <xf numFmtId="37" fontId="3" fillId="0" borderId="0" xfId="17" applyNumberFormat="1" applyFont="1" applyFill="1"/>
    <xf numFmtId="0" fontId="3" fillId="0" borderId="0" xfId="17" applyNumberFormat="1" applyFont="1" applyFill="1" applyBorder="1" applyAlignment="1">
      <alignment horizontal="center"/>
    </xf>
    <xf numFmtId="37" fontId="3" fillId="0" borderId="0" xfId="17" applyNumberFormat="1" applyFont="1" applyFill="1" applyBorder="1"/>
    <xf numFmtId="0" fontId="3" fillId="0" borderId="0" xfId="17" applyFont="1" applyFill="1" applyBorder="1"/>
    <xf numFmtId="10" fontId="3" fillId="0" borderId="0" xfId="30" applyNumberFormat="1" applyFont="1" applyFill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30" applyNumberFormat="1" applyFont="1"/>
    <xf numFmtId="168" fontId="3" fillId="0" borderId="0" xfId="17" applyNumberFormat="1" applyFont="1" applyFill="1"/>
    <xf numFmtId="168" fontId="3" fillId="0" borderId="10" xfId="17" applyNumberFormat="1" applyFont="1" applyFill="1" applyBorder="1"/>
    <xf numFmtId="168" fontId="3" fillId="0" borderId="3" xfId="17" applyNumberFormat="1" applyFont="1" applyFill="1" applyBorder="1"/>
    <xf numFmtId="168" fontId="3" fillId="0" borderId="0" xfId="17" applyNumberFormat="1" applyFont="1" applyFill="1" applyBorder="1"/>
    <xf numFmtId="168" fontId="4" fillId="0" borderId="10" xfId="17" applyNumberFormat="1" applyFont="1" applyFill="1" applyBorder="1"/>
    <xf numFmtId="168" fontId="4" fillId="0" borderId="0" xfId="17" applyNumberFormat="1" applyFont="1" applyFill="1"/>
    <xf numFmtId="168" fontId="4" fillId="0" borderId="0" xfId="17" applyNumberFormat="1" applyFont="1" applyFill="1" applyBorder="1"/>
    <xf numFmtId="168" fontId="4" fillId="0" borderId="3" xfId="17" applyNumberFormat="1" applyFont="1" applyFill="1" applyBorder="1"/>
    <xf numFmtId="169" fontId="3" fillId="0" borderId="0" xfId="17" applyNumberFormat="1" applyFont="1" applyFill="1"/>
    <xf numFmtId="169" fontId="3" fillId="0" borderId="12" xfId="17" applyNumberFormat="1" applyFont="1" applyFill="1" applyBorder="1"/>
    <xf numFmtId="169" fontId="4" fillId="0" borderId="12" xfId="17" applyNumberFormat="1" applyFont="1" applyFill="1" applyBorder="1"/>
    <xf numFmtId="169" fontId="4" fillId="0" borderId="0" xfId="17" applyNumberFormat="1" applyFont="1" applyFill="1"/>
    <xf numFmtId="0" fontId="3" fillId="0" borderId="0" xfId="7" applyFont="1" applyAlignment="1">
      <alignment horizontal="centerContinuous"/>
    </xf>
    <xf numFmtId="165" fontId="3" fillId="0" borderId="0" xfId="7" applyNumberFormat="1" applyFont="1" applyAlignment="1">
      <alignment horizontal="right"/>
    </xf>
    <xf numFmtId="166" fontId="3" fillId="0" borderId="0" xfId="7" applyNumberFormat="1" applyFont="1" applyAlignment="1">
      <alignment horizontal="right"/>
    </xf>
    <xf numFmtId="0" fontId="3" fillId="0" borderId="0" xfId="7" applyFont="1"/>
    <xf numFmtId="166" fontId="3" fillId="0" borderId="0" xfId="7" applyNumberFormat="1" applyFont="1" applyAlignment="1">
      <alignment horizontal="center"/>
    </xf>
    <xf numFmtId="165" fontId="3" fillId="0" borderId="10" xfId="7" applyNumberFormat="1" applyFont="1" applyBorder="1" applyAlignment="1">
      <alignment horizontal="right"/>
    </xf>
    <xf numFmtId="166" fontId="5" fillId="0" borderId="10" xfId="7" applyNumberFormat="1" applyFont="1" applyBorder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10" xfId="7" applyFont="1" applyBorder="1" applyAlignment="1">
      <alignment horizontal="centerContinuous"/>
    </xf>
    <xf numFmtId="165" fontId="3" fillId="0" borderId="10" xfId="7" applyNumberFormat="1" applyFont="1" applyBorder="1" applyAlignment="1">
      <alignment horizontal="center"/>
    </xf>
    <xf numFmtId="166" fontId="3" fillId="0" borderId="1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165" fontId="3" fillId="0" borderId="0" xfId="7" applyNumberFormat="1" applyFont="1" applyAlignment="1">
      <alignment horizontal="center"/>
    </xf>
    <xf numFmtId="5" fontId="3" fillId="0" borderId="0" xfId="7" applyNumberFormat="1" applyFont="1"/>
    <xf numFmtId="164" fontId="3" fillId="0" borderId="0" xfId="7" applyNumberFormat="1" applyFont="1"/>
    <xf numFmtId="37" fontId="3" fillId="0" borderId="0" xfId="7" applyNumberFormat="1" applyFont="1"/>
    <xf numFmtId="37" fontId="3" fillId="0" borderId="10" xfId="7" applyNumberFormat="1" applyFont="1" applyBorder="1"/>
    <xf numFmtId="3" fontId="3" fillId="0" borderId="0" xfId="7" applyNumberFormat="1" applyFont="1" applyAlignment="1">
      <alignment horizontal="left"/>
    </xf>
    <xf numFmtId="167" fontId="3" fillId="0" borderId="0" xfId="7" applyNumberFormat="1" applyFont="1"/>
    <xf numFmtId="165" fontId="3" fillId="0" borderId="0" xfId="7" applyNumberFormat="1" applyFont="1"/>
    <xf numFmtId="166" fontId="3" fillId="0" borderId="0" xfId="7" applyNumberFormat="1" applyFont="1"/>
    <xf numFmtId="164" fontId="3" fillId="0" borderId="0" xfId="7" applyNumberFormat="1" applyFont="1" applyAlignment="1">
      <alignment horizontal="left"/>
    </xf>
    <xf numFmtId="5" fontId="3" fillId="0" borderId="12" xfId="7" applyNumberFormat="1" applyFont="1" applyBorder="1"/>
    <xf numFmtId="0" fontId="3" fillId="0" borderId="10" xfId="7" applyFont="1" applyBorder="1" applyAlignment="1">
      <alignment horizontal="center"/>
    </xf>
    <xf numFmtId="0" fontId="3" fillId="0" borderId="0" xfId="7" applyFont="1" applyAlignment="1">
      <alignment horizontal="right"/>
    </xf>
    <xf numFmtId="170" fontId="3" fillId="0" borderId="0" xfId="7" applyNumberFormat="1" applyFont="1"/>
    <xf numFmtId="0" fontId="4" fillId="0" borderId="0" xfId="4" applyFont="1" applyAlignment="1">
      <alignment horizontal="centerContinuous"/>
    </xf>
    <xf numFmtId="0" fontId="4" fillId="0" borderId="0" xfId="4" applyFont="1"/>
    <xf numFmtId="165" fontId="4" fillId="0" borderId="0" xfId="4" applyNumberFormat="1" applyFont="1" applyAlignment="1">
      <alignment horizontal="right"/>
    </xf>
    <xf numFmtId="166" fontId="4" fillId="0" borderId="0" xfId="4" applyNumberFormat="1" applyFont="1" applyAlignment="1">
      <alignment horizontal="right"/>
    </xf>
    <xf numFmtId="166" fontId="4" fillId="0" borderId="0" xfId="4" applyNumberFormat="1" applyFont="1" applyAlignment="1">
      <alignment horizontal="center"/>
    </xf>
    <xf numFmtId="165" fontId="4" fillId="0" borderId="10" xfId="4" applyNumberFormat="1" applyFont="1" applyBorder="1" applyAlignment="1">
      <alignment horizontal="right"/>
    </xf>
    <xf numFmtId="166" fontId="6" fillId="0" borderId="10" xfId="4" applyNumberFormat="1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10" xfId="4" applyFont="1" applyBorder="1" applyAlignment="1">
      <alignment horizontal="centerContinuous"/>
    </xf>
    <xf numFmtId="165" fontId="4" fillId="0" borderId="10" xfId="4" applyNumberFormat="1" applyFont="1" applyBorder="1" applyAlignment="1">
      <alignment horizontal="center"/>
    </xf>
    <xf numFmtId="166" fontId="4" fillId="0" borderId="10" xfId="4" applyNumberFormat="1" applyFont="1" applyBorder="1" applyAlignment="1">
      <alignment horizontal="center"/>
    </xf>
    <xf numFmtId="165" fontId="4" fillId="0" borderId="0" xfId="4" applyNumberFormat="1" applyFont="1" applyAlignment="1">
      <alignment horizontal="center"/>
    </xf>
    <xf numFmtId="5" fontId="4" fillId="0" borderId="0" xfId="4" applyNumberFormat="1" applyFont="1"/>
    <xf numFmtId="37" fontId="4" fillId="0" borderId="0" xfId="4" applyNumberFormat="1" applyFont="1"/>
    <xf numFmtId="37" fontId="4" fillId="0" borderId="10" xfId="4" applyNumberFormat="1" applyFont="1" applyBorder="1"/>
    <xf numFmtId="3" fontId="4" fillId="0" borderId="0" xfId="4" applyNumberFormat="1" applyFont="1" applyAlignment="1">
      <alignment horizontal="left"/>
    </xf>
    <xf numFmtId="167" fontId="4" fillId="0" borderId="0" xfId="4" applyNumberFormat="1" applyFont="1"/>
    <xf numFmtId="165" fontId="4" fillId="0" borderId="0" xfId="4" applyNumberFormat="1" applyFont="1"/>
    <xf numFmtId="166" fontId="4" fillId="0" borderId="0" xfId="4" applyNumberFormat="1" applyFont="1"/>
    <xf numFmtId="164" fontId="4" fillId="0" borderId="0" xfId="4" applyNumberFormat="1" applyFont="1" applyAlignment="1">
      <alignment horizontal="left"/>
    </xf>
    <xf numFmtId="5" fontId="4" fillId="0" borderId="12" xfId="4" applyNumberFormat="1" applyFont="1" applyBorder="1"/>
    <xf numFmtId="0" fontId="4" fillId="0" borderId="0" xfId="4" applyFont="1" applyBorder="1" applyAlignment="1">
      <alignment horizontal="centerContinuous"/>
    </xf>
    <xf numFmtId="0" fontId="4" fillId="0" borderId="0" xfId="4" applyFont="1" applyBorder="1"/>
    <xf numFmtId="165" fontId="4" fillId="0" borderId="0" xfId="4" applyNumberFormat="1" applyFont="1" applyBorder="1"/>
    <xf numFmtId="166" fontId="4" fillId="0" borderId="0" xfId="4" applyNumberFormat="1" applyFont="1" applyBorder="1"/>
    <xf numFmtId="0" fontId="15" fillId="0" borderId="0" xfId="25" applyFont="1" applyAlignment="1">
      <alignment horizontal="centerContinuous"/>
    </xf>
    <xf numFmtId="0" fontId="15" fillId="0" borderId="0" xfId="25" applyFont="1"/>
    <xf numFmtId="165" fontId="15" fillId="0" borderId="0" xfId="25" applyNumberFormat="1" applyFont="1" applyAlignment="1">
      <alignment horizontal="right"/>
    </xf>
    <xf numFmtId="166" fontId="15" fillId="0" borderId="0" xfId="25" applyNumberFormat="1" applyFont="1" applyAlignment="1">
      <alignment horizontal="right"/>
    </xf>
    <xf numFmtId="3" fontId="15" fillId="0" borderId="0" xfId="25" applyNumberFormat="1" applyFont="1" applyAlignment="1">
      <alignment horizontal="centerContinuous"/>
    </xf>
    <xf numFmtId="3" fontId="16" fillId="0" borderId="10" xfId="25" applyNumberFormat="1" applyFont="1" applyBorder="1" applyAlignment="1">
      <alignment horizontal="centerContinuous"/>
    </xf>
    <xf numFmtId="3" fontId="15" fillId="0" borderId="10" xfId="25" applyNumberFormat="1" applyFont="1" applyBorder="1" applyAlignment="1">
      <alignment horizontal="centerContinuous"/>
    </xf>
    <xf numFmtId="0" fontId="15" fillId="0" borderId="0" xfId="25" applyFont="1" applyAlignment="1">
      <alignment horizontal="center"/>
    </xf>
    <xf numFmtId="166" fontId="15" fillId="0" borderId="0" xfId="25" applyNumberFormat="1" applyFont="1" applyAlignment="1">
      <alignment horizontal="center"/>
    </xf>
    <xf numFmtId="0" fontId="15" fillId="0" borderId="0" xfId="25" applyFont="1" applyBorder="1" applyAlignment="1">
      <alignment horizontal="center"/>
    </xf>
    <xf numFmtId="0" fontId="15" fillId="0" borderId="10" xfId="25" applyFont="1" applyBorder="1" applyAlignment="1">
      <alignment horizontal="centerContinuous"/>
    </xf>
    <xf numFmtId="165" fontId="15" fillId="0" borderId="10" xfId="25" applyNumberFormat="1" applyFont="1" applyBorder="1" applyAlignment="1">
      <alignment horizontal="center"/>
    </xf>
    <xf numFmtId="166" fontId="15" fillId="0" borderId="10" xfId="25" applyNumberFormat="1" applyFont="1" applyBorder="1" applyAlignment="1">
      <alignment horizontal="center"/>
    </xf>
    <xf numFmtId="0" fontId="17" fillId="0" borderId="0" xfId="25" applyFont="1" applyAlignment="1">
      <alignment horizontal="center"/>
    </xf>
    <xf numFmtId="165" fontId="15" fillId="0" borderId="0" xfId="25" applyNumberFormat="1" applyFont="1" applyAlignment="1">
      <alignment horizontal="center"/>
    </xf>
    <xf numFmtId="5" fontId="15" fillId="0" borderId="0" xfId="25" applyNumberFormat="1" applyFont="1"/>
    <xf numFmtId="164" fontId="15" fillId="0" borderId="0" xfId="25" applyNumberFormat="1" applyFont="1"/>
    <xf numFmtId="37" fontId="15" fillId="0" borderId="0" xfId="25" applyNumberFormat="1" applyFont="1"/>
    <xf numFmtId="37" fontId="15" fillId="0" borderId="10" xfId="25" applyNumberFormat="1" applyFont="1" applyBorder="1"/>
    <xf numFmtId="3" fontId="15" fillId="0" borderId="0" xfId="25" applyNumberFormat="1" applyFont="1" applyAlignment="1">
      <alignment horizontal="left"/>
    </xf>
    <xf numFmtId="167" fontId="15" fillId="0" borderId="0" xfId="25" applyNumberFormat="1" applyFont="1"/>
    <xf numFmtId="165" fontId="15" fillId="0" borderId="0" xfId="25" applyNumberFormat="1" applyFont="1"/>
    <xf numFmtId="166" fontId="15" fillId="0" borderId="0" xfId="25" applyNumberFormat="1" applyFont="1"/>
    <xf numFmtId="164" fontId="15" fillId="0" borderId="0" xfId="25" applyNumberFormat="1" applyFont="1" applyAlignment="1">
      <alignment horizontal="left"/>
    </xf>
    <xf numFmtId="5" fontId="15" fillId="0" borderId="12" xfId="25" applyNumberFormat="1" applyFont="1" applyBorder="1"/>
    <xf numFmtId="0" fontId="15" fillId="0" borderId="10" xfId="25" applyFont="1" applyBorder="1" applyAlignment="1">
      <alignment horizontal="center"/>
    </xf>
    <xf numFmtId="0" fontId="15" fillId="0" borderId="0" xfId="25" applyFont="1" applyAlignment="1">
      <alignment horizontal="right"/>
    </xf>
    <xf numFmtId="170" fontId="15" fillId="0" borderId="0" xfId="25" applyNumberFormat="1" applyFont="1"/>
    <xf numFmtId="0" fontId="4" fillId="0" borderId="0" xfId="28" applyNumberFormat="1" applyFont="1" applyAlignment="1">
      <alignment horizontal="center"/>
    </xf>
    <xf numFmtId="0" fontId="4" fillId="0" borderId="0" xfId="28" applyFont="1" applyAlignment="1">
      <alignment horizontal="center"/>
    </xf>
    <xf numFmtId="0" fontId="4" fillId="0" borderId="0" xfId="17" applyFont="1" applyFill="1" applyAlignment="1">
      <alignment horizontal="center"/>
    </xf>
    <xf numFmtId="0" fontId="2" fillId="0" borderId="0" xfId="28" applyFont="1"/>
    <xf numFmtId="0" fontId="6" fillId="0" borderId="0" xfId="17" applyNumberFormat="1" applyFont="1" applyFill="1" applyAlignment="1">
      <alignment horizontal="center"/>
    </xf>
    <xf numFmtId="0" fontId="6" fillId="0" borderId="0" xfId="17" applyFont="1" applyFill="1" applyAlignment="1">
      <alignment horizontal="center"/>
    </xf>
    <xf numFmtId="0" fontId="9" fillId="0" borderId="0" xfId="28" applyFont="1"/>
    <xf numFmtId="37" fontId="3" fillId="0" borderId="0" xfId="0" applyNumberFormat="1" applyFont="1"/>
    <xf numFmtId="5" fontId="18" fillId="0" borderId="12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0" applyFont="1"/>
    <xf numFmtId="0" fontId="19" fillId="0" borderId="0" xfId="0" applyFont="1"/>
    <xf numFmtId="0" fontId="15" fillId="0" borderId="0" xfId="10" applyFont="1" applyAlignment="1">
      <alignment horizontal="right"/>
    </xf>
    <xf numFmtId="0" fontId="15" fillId="0" borderId="0" xfId="0" applyFont="1"/>
    <xf numFmtId="0" fontId="20" fillId="0" borderId="0" xfId="8" applyFont="1" applyAlignment="1">
      <alignment horizontal="left"/>
    </xf>
    <xf numFmtId="0" fontId="20" fillId="0" borderId="0" xfId="0" applyFont="1"/>
    <xf numFmtId="0" fontId="3" fillId="0" borderId="0" xfId="0" applyNumberFormat="1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13" xfId="0" applyNumberFormat="1" applyFont="1" applyBorder="1" applyAlignment="1">
      <alignment horizontal="centerContinuous"/>
    </xf>
    <xf numFmtId="14" fontId="5" fillId="0" borderId="14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/>
    <xf numFmtId="3" fontId="5" fillId="0" borderId="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Border="1"/>
    <xf numFmtId="3" fontId="5" fillId="0" borderId="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5" fontId="3" fillId="0" borderId="0" xfId="0" applyNumberFormat="1" applyFont="1"/>
    <xf numFmtId="10" fontId="3" fillId="0" borderId="0" xfId="0" applyNumberFormat="1" applyFont="1"/>
    <xf numFmtId="37" fontId="3" fillId="0" borderId="10" xfId="0" applyNumberFormat="1" applyFont="1" applyBorder="1"/>
    <xf numFmtId="37" fontId="3" fillId="0" borderId="0" xfId="0" applyNumberFormat="1" applyFont="1" applyBorder="1"/>
    <xf numFmtId="37" fontId="3" fillId="0" borderId="15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11" applyFont="1" applyAlignment="1">
      <alignment horizontal="centerContinuous"/>
    </xf>
    <xf numFmtId="0" fontId="3" fillId="0" borderId="0" xfId="11" applyFont="1"/>
    <xf numFmtId="165" fontId="3" fillId="0" borderId="0" xfId="11" applyNumberFormat="1" applyFont="1" applyAlignment="1">
      <alignment horizontal="right"/>
    </xf>
    <xf numFmtId="166" fontId="3" fillId="0" borderId="0" xfId="11" applyNumberFormat="1" applyFont="1" applyAlignment="1">
      <alignment horizontal="right"/>
    </xf>
    <xf numFmtId="165" fontId="3" fillId="0" borderId="0" xfId="11" applyNumberFormat="1" applyFont="1" applyAlignment="1">
      <alignment horizontal="centerContinuous"/>
    </xf>
    <xf numFmtId="166" fontId="3" fillId="0" borderId="0" xfId="11" applyNumberFormat="1" applyFont="1" applyAlignment="1">
      <alignment horizontal="centerContinuous"/>
    </xf>
    <xf numFmtId="166" fontId="3" fillId="0" borderId="0" xfId="11" applyNumberFormat="1" applyFont="1" applyAlignment="1">
      <alignment horizontal="center"/>
    </xf>
    <xf numFmtId="165" fontId="3" fillId="0" borderId="10" xfId="11" applyNumberFormat="1" applyFont="1" applyBorder="1" applyAlignment="1">
      <alignment horizontal="right"/>
    </xf>
    <xf numFmtId="166" fontId="5" fillId="0" borderId="10" xfId="11" applyNumberFormat="1" applyFont="1" applyBorder="1" applyAlignment="1">
      <alignment horizontal="center"/>
    </xf>
    <xf numFmtId="0" fontId="3" fillId="0" borderId="0" xfId="11" applyFont="1" applyAlignment="1">
      <alignment horizontal="center"/>
    </xf>
    <xf numFmtId="0" fontId="3" fillId="0" borderId="0" xfId="11" applyFont="1" applyBorder="1" applyAlignment="1">
      <alignment horizontal="center"/>
    </xf>
    <xf numFmtId="0" fontId="3" fillId="0" borderId="10" xfId="11" applyFont="1" applyBorder="1" applyAlignment="1">
      <alignment horizontal="centerContinuous"/>
    </xf>
    <xf numFmtId="165" fontId="3" fillId="0" borderId="10" xfId="11" applyNumberFormat="1" applyFont="1" applyBorder="1" applyAlignment="1">
      <alignment horizontal="center"/>
    </xf>
    <xf numFmtId="166" fontId="3" fillId="0" borderId="10" xfId="11" applyNumberFormat="1" applyFont="1" applyBorder="1" applyAlignment="1">
      <alignment horizontal="center"/>
    </xf>
    <xf numFmtId="0" fontId="11" fillId="0" borderId="0" xfId="11" applyFont="1" applyAlignment="1">
      <alignment horizontal="center"/>
    </xf>
    <xf numFmtId="165" fontId="3" fillId="0" borderId="0" xfId="11" applyNumberFormat="1" applyFont="1" applyAlignment="1">
      <alignment horizontal="center"/>
    </xf>
    <xf numFmtId="5" fontId="3" fillId="0" borderId="0" xfId="11" applyNumberFormat="1" applyFont="1"/>
    <xf numFmtId="164" fontId="3" fillId="0" borderId="0" xfId="11" applyNumberFormat="1" applyFont="1"/>
    <xf numFmtId="37" fontId="3" fillId="0" borderId="0" xfId="11" applyNumberFormat="1" applyFont="1"/>
    <xf numFmtId="37" fontId="3" fillId="0" borderId="10" xfId="11" applyNumberFormat="1" applyFont="1" applyBorder="1"/>
    <xf numFmtId="3" fontId="3" fillId="0" borderId="0" xfId="11" applyNumberFormat="1" applyFont="1" applyAlignment="1">
      <alignment horizontal="left"/>
    </xf>
    <xf numFmtId="165" fontId="3" fillId="0" borderId="0" xfId="11" applyNumberFormat="1" applyFont="1"/>
    <xf numFmtId="166" fontId="3" fillId="0" borderId="0" xfId="11" applyNumberFormat="1" applyFont="1"/>
    <xf numFmtId="164" fontId="3" fillId="0" borderId="0" xfId="11" applyNumberFormat="1" applyFont="1" applyAlignment="1">
      <alignment horizontal="left"/>
    </xf>
    <xf numFmtId="5" fontId="3" fillId="0" borderId="12" xfId="11" applyNumberFormat="1" applyFont="1" applyBorder="1"/>
    <xf numFmtId="0" fontId="3" fillId="0" borderId="0" xfId="11" applyFont="1" applyBorder="1" applyAlignment="1">
      <alignment horizontal="centerContinuous"/>
    </xf>
    <xf numFmtId="0" fontId="3" fillId="0" borderId="0" xfId="11" applyFont="1" applyBorder="1"/>
    <xf numFmtId="165" fontId="3" fillId="0" borderId="0" xfId="11" applyNumberFormat="1" applyFont="1" applyBorder="1"/>
    <xf numFmtId="166" fontId="3" fillId="0" borderId="0" xfId="11" applyNumberFormat="1" applyFont="1" applyBorder="1"/>
    <xf numFmtId="166" fontId="3" fillId="0" borderId="0" xfId="11" applyNumberFormat="1" applyFont="1" applyBorder="1" applyAlignment="1">
      <alignment horizontal="center"/>
    </xf>
    <xf numFmtId="5" fontId="3" fillId="0" borderId="0" xfId="11" applyNumberFormat="1" applyFont="1" applyBorder="1"/>
    <xf numFmtId="37" fontId="3" fillId="0" borderId="0" xfId="11" applyNumberFormat="1" applyFont="1" applyBorder="1"/>
    <xf numFmtId="0" fontId="3" fillId="0" borderId="0" xfId="11" applyFont="1" applyBorder="1" applyAlignment="1">
      <alignment horizontal="right"/>
    </xf>
    <xf numFmtId="170" fontId="3" fillId="0" borderId="0" xfId="11" applyNumberFormat="1" applyFont="1" applyBorder="1"/>
    <xf numFmtId="0" fontId="3" fillId="0" borderId="0" xfId="15" applyFont="1" applyAlignment="1">
      <alignment horizontal="centerContinuous"/>
    </xf>
    <xf numFmtId="0" fontId="3" fillId="0" borderId="0" xfId="15" applyFont="1"/>
    <xf numFmtId="165" fontId="3" fillId="0" borderId="0" xfId="15" applyNumberFormat="1" applyFont="1" applyAlignment="1">
      <alignment horizontal="right"/>
    </xf>
    <xf numFmtId="166" fontId="3" fillId="0" borderId="0" xfId="15" applyNumberFormat="1" applyFont="1" applyAlignment="1">
      <alignment horizontal="right"/>
    </xf>
    <xf numFmtId="166" fontId="3" fillId="0" borderId="0" xfId="15" applyNumberFormat="1" applyFont="1" applyAlignment="1">
      <alignment horizontal="center"/>
    </xf>
    <xf numFmtId="165" fontId="3" fillId="0" borderId="10" xfId="15" applyNumberFormat="1" applyFont="1" applyBorder="1" applyAlignment="1">
      <alignment horizontal="right"/>
    </xf>
    <xf numFmtId="166" fontId="5" fillId="0" borderId="10" xfId="15" applyNumberFormat="1" applyFont="1" applyBorder="1" applyAlignment="1">
      <alignment horizontal="center"/>
    </xf>
    <xf numFmtId="0" fontId="3" fillId="0" borderId="0" xfId="15" applyFont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10" xfId="15" applyFont="1" applyBorder="1" applyAlignment="1">
      <alignment horizontal="centerContinuous"/>
    </xf>
    <xf numFmtId="165" fontId="3" fillId="0" borderId="10" xfId="15" applyNumberFormat="1" applyFont="1" applyBorder="1" applyAlignment="1">
      <alignment horizontal="center"/>
    </xf>
    <xf numFmtId="166" fontId="3" fillId="0" borderId="10" xfId="15" applyNumberFormat="1" applyFont="1" applyBorder="1" applyAlignment="1">
      <alignment horizontal="center"/>
    </xf>
    <xf numFmtId="0" fontId="11" fillId="0" borderId="0" xfId="15" applyFont="1" applyAlignment="1">
      <alignment horizontal="center"/>
    </xf>
    <xf numFmtId="165" fontId="3" fillId="0" borderId="0" xfId="15" applyNumberFormat="1" applyFont="1" applyAlignment="1">
      <alignment horizontal="center"/>
    </xf>
    <xf numFmtId="5" fontId="3" fillId="0" borderId="0" xfId="15" applyNumberFormat="1" applyFont="1"/>
    <xf numFmtId="164" fontId="3" fillId="0" borderId="0" xfId="15" applyNumberFormat="1" applyFont="1"/>
    <xf numFmtId="37" fontId="3" fillId="0" borderId="0" xfId="15" applyNumberFormat="1" applyFont="1"/>
    <xf numFmtId="37" fontId="3" fillId="0" borderId="10" xfId="15" applyNumberFormat="1" applyFont="1" applyBorder="1"/>
    <xf numFmtId="3" fontId="3" fillId="0" borderId="0" xfId="15" applyNumberFormat="1" applyFont="1" applyAlignment="1">
      <alignment horizontal="left"/>
    </xf>
    <xf numFmtId="167" fontId="3" fillId="0" borderId="0" xfId="15" applyNumberFormat="1" applyFont="1"/>
    <xf numFmtId="165" fontId="3" fillId="0" borderId="0" xfId="15" applyNumberFormat="1" applyFont="1"/>
    <xf numFmtId="166" fontId="3" fillId="0" borderId="0" xfId="15" applyNumberFormat="1" applyFont="1"/>
    <xf numFmtId="164" fontId="3" fillId="0" borderId="0" xfId="15" applyNumberFormat="1" applyFont="1" applyAlignment="1">
      <alignment horizontal="left"/>
    </xf>
    <xf numFmtId="5" fontId="3" fillId="0" borderId="12" xfId="15" applyNumberFormat="1" applyFont="1" applyBorder="1"/>
    <xf numFmtId="0" fontId="3" fillId="0" borderId="10" xfId="15" applyFont="1" applyBorder="1" applyAlignment="1">
      <alignment horizontal="center"/>
    </xf>
    <xf numFmtId="0" fontId="3" fillId="0" borderId="0" xfId="15" applyFont="1" applyAlignment="1">
      <alignment horizontal="right"/>
    </xf>
    <xf numFmtId="170" fontId="3" fillId="0" borderId="0" xfId="15" applyNumberFormat="1" applyFont="1"/>
    <xf numFmtId="0" fontId="3" fillId="0" borderId="0" xfId="12" applyFont="1" applyAlignment="1">
      <alignment horizontal="centerContinuous"/>
    </xf>
    <xf numFmtId="0" fontId="3" fillId="0" borderId="0" xfId="12" applyFont="1"/>
    <xf numFmtId="165" fontId="3" fillId="0" borderId="0" xfId="12" applyNumberFormat="1" applyFont="1" applyAlignment="1">
      <alignment horizontal="right"/>
    </xf>
    <xf numFmtId="166" fontId="3" fillId="0" borderId="0" xfId="12" applyNumberFormat="1" applyFont="1" applyAlignment="1">
      <alignment horizontal="right"/>
    </xf>
    <xf numFmtId="166" fontId="3" fillId="0" borderId="0" xfId="12" applyNumberFormat="1" applyFont="1" applyAlignment="1">
      <alignment horizontal="center"/>
    </xf>
    <xf numFmtId="165" fontId="3" fillId="0" borderId="10" xfId="12" applyNumberFormat="1" applyFont="1" applyBorder="1" applyAlignment="1">
      <alignment horizontal="right"/>
    </xf>
    <xf numFmtId="166" fontId="5" fillId="0" borderId="10" xfId="12" applyNumberFormat="1" applyFont="1" applyBorder="1" applyAlignment="1">
      <alignment horizontal="center"/>
    </xf>
    <xf numFmtId="0" fontId="3" fillId="0" borderId="0" xfId="12" applyFont="1" applyAlignment="1">
      <alignment horizontal="center"/>
    </xf>
    <xf numFmtId="0" fontId="3" fillId="0" borderId="0" xfId="12" applyFont="1" applyBorder="1" applyAlignment="1">
      <alignment horizontal="center"/>
    </xf>
    <xf numFmtId="0" fontId="3" fillId="0" borderId="10" xfId="12" applyFont="1" applyBorder="1" applyAlignment="1">
      <alignment horizontal="centerContinuous"/>
    </xf>
    <xf numFmtId="165" fontId="3" fillId="0" borderId="10" xfId="12" applyNumberFormat="1" applyFont="1" applyBorder="1" applyAlignment="1">
      <alignment horizontal="center"/>
    </xf>
    <xf numFmtId="166" fontId="3" fillId="0" borderId="10" xfId="12" applyNumberFormat="1" applyFont="1" applyBorder="1" applyAlignment="1">
      <alignment horizontal="center"/>
    </xf>
    <xf numFmtId="0" fontId="11" fillId="0" borderId="0" xfId="12" applyFont="1" applyAlignment="1">
      <alignment horizontal="center"/>
    </xf>
    <xf numFmtId="165" fontId="3" fillId="0" borderId="0" xfId="12" applyNumberFormat="1" applyFont="1" applyAlignment="1">
      <alignment horizontal="center"/>
    </xf>
    <xf numFmtId="5" fontId="3" fillId="0" borderId="0" xfId="12" applyNumberFormat="1" applyFont="1"/>
    <xf numFmtId="164" fontId="3" fillId="0" borderId="0" xfId="12" applyNumberFormat="1" applyFont="1"/>
    <xf numFmtId="37" fontId="3" fillId="0" borderId="0" xfId="12" applyNumberFormat="1" applyFont="1"/>
    <xf numFmtId="37" fontId="3" fillId="0" borderId="10" xfId="12" applyNumberFormat="1" applyFont="1" applyBorder="1"/>
    <xf numFmtId="3" fontId="3" fillId="0" borderId="0" xfId="12" applyNumberFormat="1" applyFont="1" applyAlignment="1">
      <alignment horizontal="left"/>
    </xf>
    <xf numFmtId="167" fontId="3" fillId="0" borderId="0" xfId="12" applyNumberFormat="1" applyFont="1"/>
    <xf numFmtId="165" fontId="3" fillId="0" borderId="0" xfId="12" applyNumberFormat="1" applyFont="1"/>
    <xf numFmtId="166" fontId="3" fillId="0" borderId="0" xfId="12" applyNumberFormat="1" applyFont="1"/>
    <xf numFmtId="164" fontId="3" fillId="0" borderId="0" xfId="12" applyNumberFormat="1" applyFont="1" applyAlignment="1">
      <alignment horizontal="left"/>
    </xf>
    <xf numFmtId="5" fontId="3" fillId="0" borderId="12" xfId="12" applyNumberFormat="1" applyFont="1" applyBorder="1"/>
    <xf numFmtId="165" fontId="3" fillId="0" borderId="10" xfId="12" applyNumberFormat="1" applyFont="1" applyBorder="1"/>
    <xf numFmtId="0" fontId="3" fillId="0" borderId="10" xfId="12" applyFont="1" applyBorder="1"/>
    <xf numFmtId="0" fontId="3" fillId="0" borderId="10" xfId="12" applyFont="1" applyBorder="1" applyAlignment="1">
      <alignment horizontal="center"/>
    </xf>
    <xf numFmtId="0" fontId="3" fillId="0" borderId="0" xfId="12" applyFont="1" applyAlignment="1">
      <alignment horizontal="right"/>
    </xf>
    <xf numFmtId="170" fontId="3" fillId="0" borderId="0" xfId="12" applyNumberFormat="1" applyFont="1"/>
    <xf numFmtId="0" fontId="3" fillId="0" borderId="0" xfId="14" applyFont="1" applyAlignment="1">
      <alignment horizontal="centerContinuous"/>
    </xf>
    <xf numFmtId="0" fontId="3" fillId="0" borderId="0" xfId="14" applyFont="1"/>
    <xf numFmtId="165" fontId="3" fillId="0" borderId="0" xfId="14" applyNumberFormat="1" applyFont="1" applyAlignment="1">
      <alignment horizontal="right"/>
    </xf>
    <xf numFmtId="166" fontId="3" fillId="0" borderId="0" xfId="14" applyNumberFormat="1" applyFont="1" applyAlignment="1">
      <alignment horizontal="right"/>
    </xf>
    <xf numFmtId="166" fontId="3" fillId="0" borderId="0" xfId="14" applyNumberFormat="1" applyFont="1" applyAlignment="1">
      <alignment horizontal="center"/>
    </xf>
    <xf numFmtId="165" fontId="3" fillId="0" borderId="10" xfId="14" applyNumberFormat="1" applyFont="1" applyBorder="1" applyAlignment="1">
      <alignment horizontal="right"/>
    </xf>
    <xf numFmtId="166" fontId="5" fillId="0" borderId="10" xfId="14" applyNumberFormat="1" applyFont="1" applyBorder="1" applyAlignment="1">
      <alignment horizontal="center"/>
    </xf>
    <xf numFmtId="0" fontId="3" fillId="0" borderId="0" xfId="14" applyFont="1" applyAlignment="1">
      <alignment horizontal="center"/>
    </xf>
    <xf numFmtId="0" fontId="3" fillId="0" borderId="0" xfId="14" applyFont="1" applyBorder="1" applyAlignment="1">
      <alignment horizontal="center"/>
    </xf>
    <xf numFmtId="0" fontId="3" fillId="0" borderId="10" xfId="14" applyFont="1" applyBorder="1" applyAlignment="1">
      <alignment horizontal="centerContinuous"/>
    </xf>
    <xf numFmtId="165" fontId="3" fillId="0" borderId="10" xfId="14" applyNumberFormat="1" applyFont="1" applyBorder="1" applyAlignment="1">
      <alignment horizontal="center"/>
    </xf>
    <xf numFmtId="166" fontId="3" fillId="0" borderId="10" xfId="14" applyNumberFormat="1" applyFont="1" applyBorder="1" applyAlignment="1">
      <alignment horizontal="center"/>
    </xf>
    <xf numFmtId="0" fontId="11" fillId="0" borderId="0" xfId="14" applyFont="1" applyAlignment="1">
      <alignment horizontal="center"/>
    </xf>
    <xf numFmtId="165" fontId="3" fillId="0" borderId="0" xfId="14" applyNumberFormat="1" applyFont="1" applyAlignment="1">
      <alignment horizontal="center"/>
    </xf>
    <xf numFmtId="5" fontId="3" fillId="0" borderId="0" xfId="14" applyNumberFormat="1" applyFont="1"/>
    <xf numFmtId="164" fontId="3" fillId="0" borderId="0" xfId="14" applyNumberFormat="1" applyFont="1"/>
    <xf numFmtId="37" fontId="3" fillId="0" borderId="0" xfId="14" applyNumberFormat="1" applyFont="1"/>
    <xf numFmtId="37" fontId="3" fillId="0" borderId="10" xfId="14" applyNumberFormat="1" applyFont="1" applyBorder="1"/>
    <xf numFmtId="3" fontId="3" fillId="0" borderId="0" xfId="14" applyNumberFormat="1" applyFont="1" applyAlignment="1">
      <alignment horizontal="left"/>
    </xf>
    <xf numFmtId="165" fontId="3" fillId="0" borderId="0" xfId="14" applyNumberFormat="1" applyFont="1"/>
    <xf numFmtId="166" fontId="3" fillId="0" borderId="0" xfId="14" applyNumberFormat="1" applyFont="1"/>
    <xf numFmtId="164" fontId="3" fillId="0" borderId="0" xfId="14" applyNumberFormat="1" applyFont="1" applyAlignment="1">
      <alignment horizontal="left"/>
    </xf>
    <xf numFmtId="5" fontId="3" fillId="0" borderId="12" xfId="14" applyNumberFormat="1" applyFont="1" applyBorder="1"/>
    <xf numFmtId="0" fontId="3" fillId="0" borderId="0" xfId="29" applyFont="1"/>
    <xf numFmtId="165" fontId="3" fillId="0" borderId="0" xfId="29" applyNumberFormat="1" applyFont="1" applyAlignment="1">
      <alignment horizontal="right"/>
    </xf>
    <xf numFmtId="166" fontId="3" fillId="0" borderId="0" xfId="29" applyNumberFormat="1" applyFont="1" applyAlignment="1">
      <alignment horizontal="right"/>
    </xf>
    <xf numFmtId="0" fontId="3" fillId="0" borderId="0" xfId="29" applyFont="1" applyAlignment="1">
      <alignment horizontal="centerContinuous"/>
    </xf>
    <xf numFmtId="166" fontId="3" fillId="0" borderId="0" xfId="29" applyNumberFormat="1" applyFont="1" applyAlignment="1">
      <alignment horizontal="center"/>
    </xf>
    <xf numFmtId="165" fontId="3" fillId="0" borderId="10" xfId="29" applyNumberFormat="1" applyFont="1" applyBorder="1" applyAlignment="1">
      <alignment horizontal="right"/>
    </xf>
    <xf numFmtId="166" fontId="5" fillId="0" borderId="10" xfId="29" applyNumberFormat="1" applyFont="1" applyBorder="1" applyAlignment="1">
      <alignment horizontal="center"/>
    </xf>
    <xf numFmtId="0" fontId="3" fillId="0" borderId="0" xfId="29" applyFont="1" applyAlignment="1">
      <alignment horizontal="center"/>
    </xf>
    <xf numFmtId="0" fontId="3" fillId="0" borderId="0" xfId="29" applyFont="1" applyBorder="1" applyAlignment="1">
      <alignment horizontal="center"/>
    </xf>
    <xf numFmtId="0" fontId="3" fillId="0" borderId="10" xfId="29" applyFont="1" applyBorder="1" applyAlignment="1">
      <alignment horizontal="centerContinuous"/>
    </xf>
    <xf numFmtId="165" fontId="3" fillId="0" borderId="10" xfId="29" applyNumberFormat="1" applyFont="1" applyBorder="1" applyAlignment="1">
      <alignment horizontal="center"/>
    </xf>
    <xf numFmtId="166" fontId="3" fillId="0" borderId="10" xfId="29" applyNumberFormat="1" applyFont="1" applyBorder="1" applyAlignment="1">
      <alignment horizontal="center"/>
    </xf>
    <xf numFmtId="0" fontId="11" fillId="0" borderId="0" xfId="29" applyFont="1" applyAlignment="1">
      <alignment horizontal="center"/>
    </xf>
    <xf numFmtId="165" fontId="3" fillId="0" borderId="0" xfId="29" applyNumberFormat="1" applyFont="1" applyAlignment="1">
      <alignment horizontal="center"/>
    </xf>
    <xf numFmtId="5" fontId="3" fillId="0" borderId="0" xfId="29" applyNumberFormat="1" applyFont="1"/>
    <xf numFmtId="164" fontId="3" fillId="0" borderId="0" xfId="29" applyNumberFormat="1" applyFont="1"/>
    <xf numFmtId="37" fontId="3" fillId="0" borderId="0" xfId="29" applyNumberFormat="1" applyFont="1"/>
    <xf numFmtId="37" fontId="3" fillId="0" borderId="10" xfId="29" applyNumberFormat="1" applyFont="1" applyBorder="1"/>
    <xf numFmtId="3" fontId="3" fillId="0" borderId="0" xfId="29" applyNumberFormat="1" applyFont="1" applyAlignment="1">
      <alignment horizontal="left"/>
    </xf>
    <xf numFmtId="165" fontId="3" fillId="0" borderId="0" xfId="29" applyNumberFormat="1" applyFont="1"/>
    <xf numFmtId="166" fontId="3" fillId="0" borderId="0" xfId="29" applyNumberFormat="1" applyFont="1"/>
    <xf numFmtId="164" fontId="3" fillId="0" borderId="0" xfId="29" applyNumberFormat="1" applyFont="1" applyAlignment="1">
      <alignment horizontal="left"/>
    </xf>
    <xf numFmtId="5" fontId="3" fillId="0" borderId="12" xfId="29" applyNumberFormat="1" applyFont="1" applyBorder="1"/>
    <xf numFmtId="165" fontId="3" fillId="0" borderId="10" xfId="29" applyNumberFormat="1" applyFont="1" applyBorder="1"/>
    <xf numFmtId="0" fontId="3" fillId="0" borderId="10" xfId="29" applyFont="1" applyBorder="1"/>
    <xf numFmtId="0" fontId="3" fillId="0" borderId="10" xfId="29" applyFont="1" applyBorder="1" applyAlignment="1">
      <alignment horizontal="center"/>
    </xf>
    <xf numFmtId="0" fontId="3" fillId="0" borderId="0" xfId="29" applyFont="1" applyAlignment="1">
      <alignment horizontal="right"/>
    </xf>
    <xf numFmtId="170" fontId="3" fillId="0" borderId="0" xfId="29" applyNumberFormat="1" applyFont="1"/>
    <xf numFmtId="0" fontId="3" fillId="0" borderId="0" xfId="20" applyFont="1" applyAlignment="1">
      <alignment horizontal="centerContinuous"/>
    </xf>
    <xf numFmtId="0" fontId="3" fillId="0" borderId="0" xfId="20" applyFont="1"/>
    <xf numFmtId="165" fontId="3" fillId="0" borderId="0" xfId="20" applyNumberFormat="1" applyFont="1" applyAlignment="1">
      <alignment horizontal="right"/>
    </xf>
    <xf numFmtId="166" fontId="3" fillId="0" borderId="0" xfId="20" applyNumberFormat="1" applyFont="1" applyAlignment="1">
      <alignment horizontal="right"/>
    </xf>
    <xf numFmtId="166" fontId="3" fillId="0" borderId="0" xfId="20" applyNumberFormat="1" applyFont="1" applyAlignment="1">
      <alignment horizontal="center"/>
    </xf>
    <xf numFmtId="165" fontId="3" fillId="0" borderId="10" xfId="20" applyNumberFormat="1" applyFont="1" applyBorder="1" applyAlignment="1">
      <alignment horizontal="right"/>
    </xf>
    <xf numFmtId="166" fontId="5" fillId="0" borderId="10" xfId="20" applyNumberFormat="1" applyFont="1" applyBorder="1" applyAlignment="1">
      <alignment horizontal="center"/>
    </xf>
    <xf numFmtId="0" fontId="3" fillId="0" borderId="0" xfId="20" applyFont="1" applyAlignment="1">
      <alignment horizontal="center"/>
    </xf>
    <xf numFmtId="0" fontId="3" fillId="0" borderId="0" xfId="20" applyFont="1" applyBorder="1" applyAlignment="1">
      <alignment horizontal="center"/>
    </xf>
    <xf numFmtId="0" fontId="3" fillId="0" borderId="10" xfId="20" applyFont="1" applyBorder="1" applyAlignment="1">
      <alignment horizontal="centerContinuous"/>
    </xf>
    <xf numFmtId="165" fontId="3" fillId="0" borderId="10" xfId="20" applyNumberFormat="1" applyFont="1" applyBorder="1" applyAlignment="1">
      <alignment horizontal="center"/>
    </xf>
    <xf numFmtId="166" fontId="3" fillId="0" borderId="10" xfId="20" applyNumberFormat="1" applyFont="1" applyBorder="1" applyAlignment="1">
      <alignment horizontal="center"/>
    </xf>
    <xf numFmtId="0" fontId="11" fillId="0" borderId="0" xfId="20" applyFont="1" applyAlignment="1">
      <alignment horizontal="center"/>
    </xf>
    <xf numFmtId="165" fontId="3" fillId="0" borderId="0" xfId="20" applyNumberFormat="1" applyFont="1" applyAlignment="1">
      <alignment horizontal="center"/>
    </xf>
    <xf numFmtId="5" fontId="3" fillId="0" borderId="0" xfId="20" applyNumberFormat="1" applyFont="1"/>
    <xf numFmtId="164" fontId="3" fillId="0" borderId="0" xfId="20" applyNumberFormat="1" applyFont="1"/>
    <xf numFmtId="37" fontId="3" fillId="0" borderId="0" xfId="20" applyNumberFormat="1" applyFont="1"/>
    <xf numFmtId="37" fontId="3" fillId="0" borderId="10" xfId="20" applyNumberFormat="1" applyFont="1" applyBorder="1"/>
    <xf numFmtId="3" fontId="3" fillId="0" borderId="0" xfId="20" applyNumberFormat="1" applyFont="1" applyAlignment="1">
      <alignment horizontal="left"/>
    </xf>
    <xf numFmtId="167" fontId="3" fillId="0" borderId="0" xfId="20" applyNumberFormat="1" applyFont="1"/>
    <xf numFmtId="165" fontId="3" fillId="0" borderId="0" xfId="20" applyNumberFormat="1" applyFont="1"/>
    <xf numFmtId="166" fontId="3" fillId="0" borderId="0" xfId="20" applyNumberFormat="1" applyFont="1"/>
    <xf numFmtId="164" fontId="3" fillId="0" borderId="0" xfId="20" applyNumberFormat="1" applyFont="1" applyAlignment="1">
      <alignment horizontal="left"/>
    </xf>
    <xf numFmtId="5" fontId="3" fillId="0" borderId="12" xfId="20" applyNumberFormat="1" applyFont="1" applyBorder="1"/>
    <xf numFmtId="5" fontId="3" fillId="0" borderId="0" xfId="20" applyNumberFormat="1" applyFont="1" applyBorder="1"/>
    <xf numFmtId="165" fontId="3" fillId="0" borderId="10" xfId="20" applyNumberFormat="1" applyFont="1" applyBorder="1"/>
    <xf numFmtId="0" fontId="3" fillId="0" borderId="10" xfId="20" applyFont="1" applyBorder="1"/>
    <xf numFmtId="0" fontId="3" fillId="0" borderId="10" xfId="20" applyFont="1" applyBorder="1" applyAlignment="1">
      <alignment horizontal="center"/>
    </xf>
    <xf numFmtId="0" fontId="3" fillId="0" borderId="0" xfId="20" applyFont="1" applyAlignment="1">
      <alignment horizontal="right"/>
    </xf>
    <xf numFmtId="170" fontId="3" fillId="0" borderId="0" xfId="20" applyNumberFormat="1" applyFont="1"/>
    <xf numFmtId="0" fontId="3" fillId="0" borderId="0" xfId="6" applyFont="1" applyAlignment="1">
      <alignment horizontal="centerContinuous"/>
    </xf>
    <xf numFmtId="0" fontId="3" fillId="0" borderId="0" xfId="6" applyFont="1"/>
    <xf numFmtId="165" fontId="3" fillId="0" borderId="0" xfId="6" applyNumberFormat="1" applyFont="1" applyAlignment="1">
      <alignment horizontal="right"/>
    </xf>
    <xf numFmtId="166" fontId="3" fillId="0" borderId="0" xfId="6" applyNumberFormat="1" applyFont="1" applyAlignment="1">
      <alignment horizontal="right"/>
    </xf>
    <xf numFmtId="166" fontId="3" fillId="0" borderId="0" xfId="6" applyNumberFormat="1" applyFont="1" applyAlignment="1">
      <alignment horizontal="center"/>
    </xf>
    <xf numFmtId="165" fontId="3" fillId="0" borderId="10" xfId="6" applyNumberFormat="1" applyFont="1" applyBorder="1" applyAlignment="1">
      <alignment horizontal="right"/>
    </xf>
    <xf numFmtId="166" fontId="5" fillId="0" borderId="10" xfId="6" applyNumberFormat="1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10" xfId="6" applyFont="1" applyBorder="1" applyAlignment="1">
      <alignment horizontal="centerContinuous"/>
    </xf>
    <xf numFmtId="165" fontId="3" fillId="0" borderId="10" xfId="6" applyNumberFormat="1" applyFont="1" applyBorder="1" applyAlignment="1">
      <alignment horizontal="center"/>
    </xf>
    <xf numFmtId="166" fontId="3" fillId="0" borderId="10" xfId="6" applyNumberFormat="1" applyFont="1" applyBorder="1" applyAlignment="1">
      <alignment horizontal="center"/>
    </xf>
    <xf numFmtId="0" fontId="11" fillId="0" borderId="0" xfId="6" applyFont="1" applyAlignment="1">
      <alignment horizontal="center"/>
    </xf>
    <xf numFmtId="165" fontId="3" fillId="0" borderId="0" xfId="6" applyNumberFormat="1" applyFont="1" applyAlignment="1">
      <alignment horizontal="center"/>
    </xf>
    <xf numFmtId="5" fontId="3" fillId="0" borderId="0" xfId="6" applyNumberFormat="1" applyFont="1"/>
    <xf numFmtId="164" fontId="3" fillId="0" borderId="0" xfId="6" applyNumberFormat="1" applyFont="1"/>
    <xf numFmtId="37" fontId="3" fillId="0" borderId="0" xfId="6" applyNumberFormat="1" applyFont="1"/>
    <xf numFmtId="37" fontId="3" fillId="0" borderId="10" xfId="6" applyNumberFormat="1" applyFont="1" applyBorder="1"/>
    <xf numFmtId="37" fontId="21" fillId="0" borderId="10" xfId="6" applyNumberFormat="1" applyFont="1" applyBorder="1"/>
    <xf numFmtId="3" fontId="3" fillId="0" borderId="0" xfId="6" applyNumberFormat="1" applyFont="1" applyAlignment="1">
      <alignment horizontal="left"/>
    </xf>
    <xf numFmtId="167" fontId="3" fillId="0" borderId="0" xfId="6" applyNumberFormat="1" applyFont="1"/>
    <xf numFmtId="165" fontId="3" fillId="0" borderId="0" xfId="6" applyNumberFormat="1" applyFont="1"/>
    <xf numFmtId="166" fontId="3" fillId="0" borderId="0" xfId="6" applyNumberFormat="1" applyFont="1"/>
    <xf numFmtId="164" fontId="3" fillId="0" borderId="0" xfId="6" applyNumberFormat="1" applyFont="1" applyAlignment="1">
      <alignment horizontal="left"/>
    </xf>
    <xf numFmtId="5" fontId="3" fillId="0" borderId="12" xfId="6" applyNumberFormat="1" applyFont="1" applyBorder="1"/>
    <xf numFmtId="165" fontId="3" fillId="0" borderId="10" xfId="6" applyNumberFormat="1" applyFont="1" applyBorder="1"/>
    <xf numFmtId="0" fontId="3" fillId="0" borderId="10" xfId="6" applyFont="1" applyBorder="1"/>
    <xf numFmtId="0" fontId="3" fillId="0" borderId="10" xfId="6" applyFont="1" applyBorder="1" applyAlignment="1">
      <alignment horizontal="center"/>
    </xf>
    <xf numFmtId="0" fontId="3" fillId="0" borderId="0" xfId="6" applyFont="1" applyAlignment="1">
      <alignment horizontal="right"/>
    </xf>
    <xf numFmtId="170" fontId="3" fillId="0" borderId="0" xfId="6" applyNumberFormat="1" applyFont="1"/>
    <xf numFmtId="0" fontId="3" fillId="0" borderId="0" xfId="21" applyFont="1" applyAlignment="1">
      <alignment horizontal="centerContinuous"/>
    </xf>
    <xf numFmtId="0" fontId="3" fillId="0" borderId="0" xfId="21" applyFont="1"/>
    <xf numFmtId="165" fontId="3" fillId="0" borderId="0" xfId="21" applyNumberFormat="1" applyFont="1" applyAlignment="1">
      <alignment horizontal="right"/>
    </xf>
    <xf numFmtId="166" fontId="3" fillId="0" borderId="0" xfId="21" applyNumberFormat="1" applyFont="1" applyAlignment="1">
      <alignment horizontal="right"/>
    </xf>
    <xf numFmtId="166" fontId="3" fillId="0" borderId="0" xfId="21" applyNumberFormat="1" applyFont="1" applyAlignment="1">
      <alignment horizontal="center"/>
    </xf>
    <xf numFmtId="165" fontId="3" fillId="0" borderId="10" xfId="21" applyNumberFormat="1" applyFont="1" applyBorder="1" applyAlignment="1">
      <alignment horizontal="right"/>
    </xf>
    <xf numFmtId="166" fontId="5" fillId="0" borderId="10" xfId="21" applyNumberFormat="1" applyFont="1" applyBorder="1" applyAlignment="1">
      <alignment horizontal="center"/>
    </xf>
    <xf numFmtId="0" fontId="3" fillId="0" borderId="0" xfId="21" applyFont="1" applyAlignment="1">
      <alignment horizontal="center"/>
    </xf>
    <xf numFmtId="0" fontId="3" fillId="0" borderId="0" xfId="21" applyFont="1" applyBorder="1" applyAlignment="1">
      <alignment horizontal="center"/>
    </xf>
    <xf numFmtId="0" fontId="3" fillId="0" borderId="10" xfId="21" applyFont="1" applyBorder="1" applyAlignment="1">
      <alignment horizontal="centerContinuous"/>
    </xf>
    <xf numFmtId="165" fontId="3" fillId="0" borderId="10" xfId="21" applyNumberFormat="1" applyFont="1" applyBorder="1" applyAlignment="1">
      <alignment horizontal="center"/>
    </xf>
    <xf numFmtId="166" fontId="3" fillId="0" borderId="10" xfId="21" applyNumberFormat="1" applyFont="1" applyBorder="1" applyAlignment="1">
      <alignment horizontal="center"/>
    </xf>
    <xf numFmtId="0" fontId="11" fillId="0" borderId="0" xfId="21" applyFont="1" applyAlignment="1">
      <alignment horizontal="center"/>
    </xf>
    <xf numFmtId="165" fontId="3" fillId="0" borderId="0" xfId="21" applyNumberFormat="1" applyFont="1" applyAlignment="1">
      <alignment horizontal="center"/>
    </xf>
    <xf numFmtId="5" fontId="3" fillId="0" borderId="0" xfId="21" applyNumberFormat="1" applyFont="1"/>
    <xf numFmtId="164" fontId="3" fillId="0" borderId="0" xfId="21" applyNumberFormat="1" applyFont="1"/>
    <xf numFmtId="37" fontId="3" fillId="0" borderId="0" xfId="21" applyNumberFormat="1" applyFont="1"/>
    <xf numFmtId="37" fontId="3" fillId="0" borderId="10" xfId="21" applyNumberFormat="1" applyFont="1" applyBorder="1"/>
    <xf numFmtId="3" fontId="3" fillId="0" borderId="0" xfId="21" applyNumberFormat="1" applyFont="1" applyAlignment="1">
      <alignment horizontal="left"/>
    </xf>
    <xf numFmtId="37" fontId="18" fillId="0" borderId="0" xfId="21" applyNumberFormat="1" applyFont="1"/>
    <xf numFmtId="165" fontId="3" fillId="0" borderId="0" xfId="21" applyNumberFormat="1" applyFont="1"/>
    <xf numFmtId="166" fontId="3" fillId="0" borderId="0" xfId="21" applyNumberFormat="1" applyFont="1"/>
    <xf numFmtId="164" fontId="3" fillId="0" borderId="0" xfId="21" applyNumberFormat="1" applyFont="1" applyAlignment="1">
      <alignment horizontal="left"/>
    </xf>
    <xf numFmtId="5" fontId="3" fillId="0" borderId="12" xfId="21" applyNumberFormat="1" applyFont="1" applyBorder="1"/>
    <xf numFmtId="0" fontId="3" fillId="0" borderId="10" xfId="21" applyFont="1" applyBorder="1" applyAlignment="1">
      <alignment horizontal="center"/>
    </xf>
    <xf numFmtId="0" fontId="3" fillId="0" borderId="0" xfId="21" applyFont="1" applyAlignment="1">
      <alignment horizontal="right"/>
    </xf>
    <xf numFmtId="170" fontId="3" fillId="0" borderId="0" xfId="21" applyNumberFormat="1" applyFont="1" applyBorder="1"/>
    <xf numFmtId="0" fontId="3" fillId="0" borderId="0" xfId="26" applyFont="1" applyAlignment="1">
      <alignment horizontal="centerContinuous"/>
    </xf>
    <xf numFmtId="0" fontId="3" fillId="0" borderId="0" xfId="26" applyFont="1"/>
    <xf numFmtId="165" fontId="3" fillId="0" borderId="0" xfId="26" applyNumberFormat="1" applyFont="1" applyAlignment="1">
      <alignment horizontal="right"/>
    </xf>
    <xf numFmtId="166" fontId="3" fillId="0" borderId="0" xfId="26" applyNumberFormat="1" applyFont="1" applyAlignment="1">
      <alignment horizontal="right"/>
    </xf>
    <xf numFmtId="166" fontId="3" fillId="0" borderId="0" xfId="26" applyNumberFormat="1" applyFont="1" applyAlignment="1">
      <alignment horizontal="center"/>
    </xf>
    <xf numFmtId="165" fontId="3" fillId="0" borderId="10" xfId="26" applyNumberFormat="1" applyFont="1" applyBorder="1" applyAlignment="1">
      <alignment horizontal="right"/>
    </xf>
    <xf numFmtId="166" fontId="5" fillId="0" borderId="10" xfId="26" applyNumberFormat="1" applyFont="1" applyBorder="1" applyAlignment="1">
      <alignment horizontal="center"/>
    </xf>
    <xf numFmtId="0" fontId="3" fillId="0" borderId="0" xfId="26" applyFont="1" applyAlignment="1">
      <alignment horizontal="center"/>
    </xf>
    <xf numFmtId="0" fontId="3" fillId="0" borderId="0" xfId="26" applyFont="1" applyBorder="1" applyAlignment="1">
      <alignment horizontal="center"/>
    </xf>
    <xf numFmtId="0" fontId="3" fillId="0" borderId="10" xfId="26" applyFont="1" applyBorder="1" applyAlignment="1">
      <alignment horizontal="centerContinuous"/>
    </xf>
    <xf numFmtId="165" fontId="3" fillId="0" borderId="10" xfId="26" applyNumberFormat="1" applyFont="1" applyBorder="1" applyAlignment="1">
      <alignment horizontal="center"/>
    </xf>
    <xf numFmtId="166" fontId="3" fillId="0" borderId="10" xfId="26" applyNumberFormat="1" applyFont="1" applyBorder="1" applyAlignment="1">
      <alignment horizontal="center"/>
    </xf>
    <xf numFmtId="0" fontId="11" fillId="0" borderId="0" xfId="26" applyFont="1" applyAlignment="1">
      <alignment horizontal="center"/>
    </xf>
    <xf numFmtId="165" fontId="3" fillId="0" borderId="0" xfId="26" applyNumberFormat="1" applyFont="1" applyAlignment="1">
      <alignment horizontal="center"/>
    </xf>
    <xf numFmtId="5" fontId="3" fillId="0" borderId="0" xfId="26" applyNumberFormat="1" applyFont="1"/>
    <xf numFmtId="164" fontId="3" fillId="0" borderId="0" xfId="26" applyNumberFormat="1" applyFont="1"/>
    <xf numFmtId="37" fontId="3" fillId="0" borderId="0" xfId="26" applyNumberFormat="1" applyFont="1"/>
    <xf numFmtId="37" fontId="3" fillId="0" borderId="10" xfId="26" applyNumberFormat="1" applyFont="1" applyBorder="1"/>
    <xf numFmtId="37" fontId="21" fillId="0" borderId="10" xfId="26" applyNumberFormat="1" applyFont="1" applyBorder="1"/>
    <xf numFmtId="3" fontId="3" fillId="0" borderId="0" xfId="26" applyNumberFormat="1" applyFont="1" applyAlignment="1">
      <alignment horizontal="left"/>
    </xf>
    <xf numFmtId="167" fontId="3" fillId="0" borderId="0" xfId="26" applyNumberFormat="1" applyFont="1"/>
    <xf numFmtId="165" fontId="3" fillId="0" borderId="0" xfId="26" applyNumberFormat="1" applyFont="1"/>
    <xf numFmtId="166" fontId="3" fillId="0" borderId="0" xfId="26" applyNumberFormat="1" applyFont="1"/>
    <xf numFmtId="164" fontId="3" fillId="0" borderId="0" xfId="26" applyNumberFormat="1" applyFont="1" applyAlignment="1">
      <alignment horizontal="left"/>
    </xf>
    <xf numFmtId="5" fontId="3" fillId="0" borderId="12" xfId="26" applyNumberFormat="1" applyFont="1" applyBorder="1"/>
    <xf numFmtId="165" fontId="3" fillId="0" borderId="10" xfId="26" applyNumberFormat="1" applyFont="1" applyBorder="1"/>
    <xf numFmtId="0" fontId="3" fillId="0" borderId="10" xfId="26" applyFont="1" applyBorder="1"/>
    <xf numFmtId="0" fontId="3" fillId="0" borderId="10" xfId="26" applyFont="1" applyBorder="1" applyAlignment="1">
      <alignment horizontal="center"/>
    </xf>
    <xf numFmtId="0" fontId="3" fillId="0" borderId="0" xfId="26" applyFont="1" applyAlignment="1">
      <alignment horizontal="right"/>
    </xf>
    <xf numFmtId="170" fontId="3" fillId="0" borderId="0" xfId="26" applyNumberFormat="1" applyFont="1"/>
    <xf numFmtId="0" fontId="3" fillId="0" borderId="0" xfId="22" applyFont="1" applyAlignment="1">
      <alignment horizontal="centerContinuous"/>
    </xf>
    <xf numFmtId="0" fontId="3" fillId="0" borderId="0" xfId="22" applyFont="1"/>
    <xf numFmtId="165" fontId="3" fillId="0" borderId="0" xfId="22" applyNumberFormat="1" applyFont="1" applyAlignment="1">
      <alignment horizontal="right"/>
    </xf>
    <xf numFmtId="166" fontId="3" fillId="0" borderId="0" xfId="22" applyNumberFormat="1" applyFont="1" applyAlignment="1">
      <alignment horizontal="right"/>
    </xf>
    <xf numFmtId="166" fontId="3" fillId="0" borderId="0" xfId="22" applyNumberFormat="1" applyFont="1" applyAlignment="1">
      <alignment horizontal="center"/>
    </xf>
    <xf numFmtId="165" fontId="3" fillId="0" borderId="10" xfId="22" applyNumberFormat="1" applyFont="1" applyBorder="1" applyAlignment="1">
      <alignment horizontal="right"/>
    </xf>
    <xf numFmtId="166" fontId="5" fillId="0" borderId="10" xfId="22" applyNumberFormat="1" applyFont="1" applyBorder="1" applyAlignment="1">
      <alignment horizontal="center"/>
    </xf>
    <xf numFmtId="0" fontId="3" fillId="0" borderId="0" xfId="22" applyFont="1" applyAlignment="1">
      <alignment horizontal="center"/>
    </xf>
    <xf numFmtId="0" fontId="3" fillId="0" borderId="0" xfId="22" applyFont="1" applyBorder="1" applyAlignment="1">
      <alignment horizontal="center"/>
    </xf>
    <xf numFmtId="0" fontId="3" fillId="0" borderId="10" xfId="22" applyFont="1" applyBorder="1" applyAlignment="1">
      <alignment horizontal="centerContinuous"/>
    </xf>
    <xf numFmtId="165" fontId="3" fillId="0" borderId="10" xfId="22" applyNumberFormat="1" applyFont="1" applyBorder="1" applyAlignment="1">
      <alignment horizontal="center"/>
    </xf>
    <xf numFmtId="166" fontId="3" fillId="0" borderId="10" xfId="22" applyNumberFormat="1" applyFont="1" applyBorder="1" applyAlignment="1">
      <alignment horizontal="center"/>
    </xf>
    <xf numFmtId="0" fontId="11" fillId="0" borderId="0" xfId="22" applyFont="1" applyAlignment="1">
      <alignment horizontal="center"/>
    </xf>
    <xf numFmtId="165" fontId="3" fillId="0" borderId="0" xfId="22" applyNumberFormat="1" applyFont="1" applyAlignment="1">
      <alignment horizontal="center"/>
    </xf>
    <xf numFmtId="5" fontId="3" fillId="0" borderId="0" xfId="22" applyNumberFormat="1" applyFont="1"/>
    <xf numFmtId="164" fontId="3" fillId="0" borderId="0" xfId="22" applyNumberFormat="1" applyFont="1"/>
    <xf numFmtId="37" fontId="3" fillId="0" borderId="0" xfId="22" applyNumberFormat="1" applyFont="1"/>
    <xf numFmtId="37" fontId="3" fillId="0" borderId="10" xfId="22" applyNumberFormat="1" applyFont="1" applyBorder="1"/>
    <xf numFmtId="37" fontId="21" fillId="0" borderId="10" xfId="22" applyNumberFormat="1" applyFont="1" applyBorder="1"/>
    <xf numFmtId="3" fontId="3" fillId="0" borderId="0" xfId="22" applyNumberFormat="1" applyFont="1" applyAlignment="1">
      <alignment horizontal="left"/>
    </xf>
    <xf numFmtId="167" fontId="3" fillId="0" borderId="0" xfId="22" applyNumberFormat="1" applyFont="1"/>
    <xf numFmtId="165" fontId="3" fillId="0" borderId="0" xfId="22" applyNumberFormat="1" applyFont="1"/>
    <xf numFmtId="166" fontId="3" fillId="0" borderId="0" xfId="22" applyNumberFormat="1" applyFont="1"/>
    <xf numFmtId="164" fontId="3" fillId="0" borderId="0" xfId="22" applyNumberFormat="1" applyFont="1" applyAlignment="1">
      <alignment horizontal="left"/>
    </xf>
    <xf numFmtId="5" fontId="3" fillId="0" borderId="12" xfId="22" applyNumberFormat="1" applyFont="1" applyBorder="1"/>
    <xf numFmtId="165" fontId="3" fillId="0" borderId="10" xfId="22" applyNumberFormat="1" applyFont="1" applyBorder="1"/>
    <xf numFmtId="0" fontId="3" fillId="0" borderId="10" xfId="22" applyFont="1" applyBorder="1"/>
    <xf numFmtId="0" fontId="3" fillId="0" borderId="10" xfId="22" applyFont="1" applyBorder="1" applyAlignment="1">
      <alignment horizontal="center"/>
    </xf>
    <xf numFmtId="0" fontId="3" fillId="0" borderId="0" xfId="22" applyFont="1" applyAlignment="1">
      <alignment horizontal="right"/>
    </xf>
    <xf numFmtId="170" fontId="3" fillId="0" borderId="0" xfId="22" applyNumberFormat="1" applyFont="1"/>
    <xf numFmtId="5" fontId="21" fillId="0" borderId="12" xfId="22" applyNumberFormat="1" applyFont="1" applyBorder="1"/>
    <xf numFmtId="0" fontId="3" fillId="0" borderId="0" xfId="19" applyFont="1" applyAlignment="1">
      <alignment horizontal="centerContinuous"/>
    </xf>
    <xf numFmtId="0" fontId="3" fillId="0" borderId="0" xfId="19" applyFont="1"/>
    <xf numFmtId="165" fontId="3" fillId="0" borderId="0" xfId="19" applyNumberFormat="1" applyFont="1" applyAlignment="1">
      <alignment horizontal="right"/>
    </xf>
    <xf numFmtId="166" fontId="3" fillId="0" borderId="0" xfId="19" applyNumberFormat="1" applyFont="1" applyAlignment="1">
      <alignment horizontal="right"/>
    </xf>
    <xf numFmtId="0" fontId="12" fillId="0" borderId="0" xfId="19" applyFont="1"/>
    <xf numFmtId="166" fontId="3" fillId="0" borderId="0" xfId="19" applyNumberFormat="1" applyFont="1" applyAlignment="1">
      <alignment horizontal="center"/>
    </xf>
    <xf numFmtId="165" fontId="3" fillId="0" borderId="10" xfId="19" applyNumberFormat="1" applyFont="1" applyBorder="1" applyAlignment="1">
      <alignment horizontal="right"/>
    </xf>
    <xf numFmtId="166" fontId="5" fillId="0" borderId="10" xfId="19" applyNumberFormat="1" applyFont="1" applyBorder="1" applyAlignment="1">
      <alignment horizontal="center"/>
    </xf>
    <xf numFmtId="0" fontId="3" fillId="0" borderId="0" xfId="19" applyFont="1" applyAlignment="1">
      <alignment horizontal="center"/>
    </xf>
    <xf numFmtId="0" fontId="3" fillId="0" borderId="0" xfId="19" applyFont="1" applyBorder="1" applyAlignment="1">
      <alignment horizontal="center"/>
    </xf>
    <xf numFmtId="0" fontId="3" fillId="0" borderId="10" xfId="19" applyFont="1" applyBorder="1" applyAlignment="1">
      <alignment horizontal="centerContinuous"/>
    </xf>
    <xf numFmtId="165" fontId="3" fillId="0" borderId="10" xfId="19" applyNumberFormat="1" applyFont="1" applyBorder="1" applyAlignment="1">
      <alignment horizontal="center"/>
    </xf>
    <xf numFmtId="166" fontId="3" fillId="0" borderId="10" xfId="19" applyNumberFormat="1" applyFont="1" applyBorder="1" applyAlignment="1">
      <alignment horizontal="center"/>
    </xf>
    <xf numFmtId="0" fontId="11" fillId="0" borderId="0" xfId="19" applyFont="1" applyAlignment="1">
      <alignment horizontal="center"/>
    </xf>
    <xf numFmtId="165" fontId="3" fillId="0" borderId="0" xfId="19" applyNumberFormat="1" applyFont="1" applyAlignment="1">
      <alignment horizontal="center"/>
    </xf>
    <xf numFmtId="5" fontId="3" fillId="0" borderId="0" xfId="19" applyNumberFormat="1" applyFont="1"/>
    <xf numFmtId="164" fontId="3" fillId="0" borderId="0" xfId="19" applyNumberFormat="1" applyFont="1"/>
    <xf numFmtId="37" fontId="3" fillId="0" borderId="0" xfId="19" applyNumberFormat="1" applyFont="1"/>
    <xf numFmtId="37" fontId="3" fillId="0" borderId="10" xfId="19" applyNumberFormat="1" applyFont="1" applyBorder="1"/>
    <xf numFmtId="3" fontId="3" fillId="0" borderId="0" xfId="19" applyNumberFormat="1" applyFont="1" applyAlignment="1">
      <alignment horizontal="left"/>
    </xf>
    <xf numFmtId="165" fontId="3" fillId="0" borderId="0" xfId="19" applyNumberFormat="1" applyFont="1"/>
    <xf numFmtId="166" fontId="3" fillId="0" borderId="0" xfId="19" applyNumberFormat="1" applyFont="1"/>
    <xf numFmtId="164" fontId="3" fillId="0" borderId="0" xfId="19" applyNumberFormat="1" applyFont="1" applyAlignment="1">
      <alignment horizontal="left"/>
    </xf>
    <xf numFmtId="5" fontId="3" fillId="0" borderId="12" xfId="19" applyNumberFormat="1" applyFont="1" applyBorder="1"/>
    <xf numFmtId="5" fontId="3" fillId="0" borderId="0" xfId="19" applyNumberFormat="1" applyFont="1" applyBorder="1"/>
    <xf numFmtId="165" fontId="3" fillId="0" borderId="10" xfId="19" applyNumberFormat="1" applyFont="1" applyBorder="1"/>
    <xf numFmtId="0" fontId="3" fillId="0" borderId="10" xfId="19" applyFont="1" applyBorder="1"/>
    <xf numFmtId="0" fontId="3" fillId="0" borderId="10" xfId="19" applyFont="1" applyBorder="1" applyAlignment="1">
      <alignment horizontal="center"/>
    </xf>
    <xf numFmtId="0" fontId="3" fillId="0" borderId="0" xfId="19" applyFont="1" applyAlignment="1">
      <alignment horizontal="right"/>
    </xf>
    <xf numFmtId="170" fontId="3" fillId="0" borderId="0" xfId="19" applyNumberFormat="1" applyFont="1" applyBorder="1"/>
    <xf numFmtId="0" fontId="3" fillId="0" borderId="0" xfId="13" applyFont="1" applyAlignment="1">
      <alignment horizontal="centerContinuous"/>
    </xf>
    <xf numFmtId="0" fontId="3" fillId="0" borderId="0" xfId="13" applyFont="1"/>
    <xf numFmtId="165" fontId="3" fillId="0" borderId="0" xfId="13" applyNumberFormat="1" applyFont="1" applyAlignment="1">
      <alignment horizontal="right"/>
    </xf>
    <xf numFmtId="166" fontId="3" fillId="0" borderId="0" xfId="13" applyNumberFormat="1" applyFont="1" applyAlignment="1">
      <alignment horizontal="right"/>
    </xf>
    <xf numFmtId="166" fontId="3" fillId="0" borderId="0" xfId="13" applyNumberFormat="1" applyFont="1" applyAlignment="1">
      <alignment horizontal="center"/>
    </xf>
    <xf numFmtId="165" fontId="3" fillId="0" borderId="10" xfId="13" applyNumberFormat="1" applyFont="1" applyBorder="1" applyAlignment="1">
      <alignment horizontal="right"/>
    </xf>
    <xf numFmtId="166" fontId="5" fillId="0" borderId="10" xfId="13" applyNumberFormat="1" applyFont="1" applyBorder="1" applyAlignment="1">
      <alignment horizontal="center"/>
    </xf>
    <xf numFmtId="0" fontId="3" fillId="0" borderId="0" xfId="13" applyFont="1" applyAlignment="1">
      <alignment horizontal="center"/>
    </xf>
    <xf numFmtId="0" fontId="3" fillId="0" borderId="0" xfId="13" applyFont="1" applyBorder="1" applyAlignment="1">
      <alignment horizontal="center"/>
    </xf>
    <xf numFmtId="0" fontId="3" fillId="0" borderId="10" xfId="13" applyFont="1" applyBorder="1" applyAlignment="1">
      <alignment horizontal="centerContinuous"/>
    </xf>
    <xf numFmtId="165" fontId="3" fillId="0" borderId="10" xfId="13" applyNumberFormat="1" applyFont="1" applyBorder="1" applyAlignment="1">
      <alignment horizontal="center"/>
    </xf>
    <xf numFmtId="166" fontId="3" fillId="0" borderId="10" xfId="13" applyNumberFormat="1" applyFont="1" applyBorder="1" applyAlignment="1">
      <alignment horizontal="center"/>
    </xf>
    <xf numFmtId="0" fontId="11" fillId="0" borderId="0" xfId="13" applyFont="1" applyAlignment="1">
      <alignment horizontal="center"/>
    </xf>
    <xf numFmtId="165" fontId="3" fillId="0" borderId="0" xfId="13" applyNumberFormat="1" applyFont="1" applyAlignment="1">
      <alignment horizontal="center"/>
    </xf>
    <xf numFmtId="5" fontId="3" fillId="0" borderId="0" xfId="13" applyNumberFormat="1" applyFont="1"/>
    <xf numFmtId="164" fontId="3" fillId="0" borderId="0" xfId="13" applyNumberFormat="1" applyFont="1"/>
    <xf numFmtId="37" fontId="3" fillId="0" borderId="0" xfId="13" applyNumberFormat="1" applyFont="1"/>
    <xf numFmtId="37" fontId="3" fillId="0" borderId="10" xfId="13" applyNumberFormat="1" applyFont="1" applyBorder="1"/>
    <xf numFmtId="3" fontId="3" fillId="0" borderId="0" xfId="13" applyNumberFormat="1" applyFont="1" applyAlignment="1">
      <alignment horizontal="left"/>
    </xf>
    <xf numFmtId="165" fontId="3" fillId="0" borderId="0" xfId="13" applyNumberFormat="1" applyFont="1"/>
    <xf numFmtId="166" fontId="3" fillId="0" borderId="0" xfId="13" applyNumberFormat="1" applyFont="1"/>
    <xf numFmtId="164" fontId="3" fillId="0" borderId="0" xfId="13" applyNumberFormat="1" applyFont="1" applyAlignment="1">
      <alignment horizontal="left"/>
    </xf>
    <xf numFmtId="5" fontId="3" fillId="0" borderId="12" xfId="13" applyNumberFormat="1" applyFont="1" applyBorder="1"/>
    <xf numFmtId="0" fontId="3" fillId="0" borderId="0" xfId="13" applyFont="1" applyBorder="1" applyAlignment="1">
      <alignment horizontal="centerContinuous"/>
    </xf>
    <xf numFmtId="0" fontId="3" fillId="0" borderId="0" xfId="13" applyFont="1" applyBorder="1"/>
    <xf numFmtId="165" fontId="3" fillId="0" borderId="0" xfId="13" applyNumberFormat="1" applyFont="1" applyBorder="1"/>
    <xf numFmtId="166" fontId="3" fillId="0" borderId="0" xfId="13" applyNumberFormat="1" applyFont="1" applyBorder="1"/>
    <xf numFmtId="166" fontId="3" fillId="0" borderId="0" xfId="13" applyNumberFormat="1" applyFont="1" applyBorder="1" applyAlignment="1">
      <alignment horizontal="center"/>
    </xf>
    <xf numFmtId="5" fontId="3" fillId="0" borderId="0" xfId="13" applyNumberFormat="1" applyFont="1" applyBorder="1"/>
    <xf numFmtId="37" fontId="3" fillId="0" borderId="0" xfId="13" applyNumberFormat="1" applyFont="1" applyBorder="1"/>
    <xf numFmtId="0" fontId="3" fillId="0" borderId="0" xfId="13" applyFont="1" applyBorder="1" applyAlignment="1">
      <alignment horizontal="right"/>
    </xf>
    <xf numFmtId="170" fontId="3" fillId="0" borderId="0" xfId="13" applyNumberFormat="1" applyFont="1" applyBorder="1"/>
    <xf numFmtId="0" fontId="3" fillId="0" borderId="0" xfId="10" applyFont="1" applyAlignment="1">
      <alignment horizontal="centerContinuous"/>
    </xf>
    <xf numFmtId="0" fontId="3" fillId="0" borderId="0" xfId="10" applyFont="1"/>
    <xf numFmtId="165" fontId="3" fillId="0" borderId="0" xfId="10" applyNumberFormat="1" applyFont="1" applyAlignment="1">
      <alignment horizontal="right"/>
    </xf>
    <xf numFmtId="166" fontId="3" fillId="0" borderId="0" xfId="10" applyNumberFormat="1" applyFont="1" applyAlignment="1">
      <alignment horizontal="right"/>
    </xf>
    <xf numFmtId="166" fontId="3" fillId="0" borderId="0" xfId="10" applyNumberFormat="1" applyFont="1" applyAlignment="1">
      <alignment horizontal="center"/>
    </xf>
    <xf numFmtId="165" fontId="3" fillId="0" borderId="10" xfId="10" applyNumberFormat="1" applyFont="1" applyBorder="1" applyAlignment="1">
      <alignment horizontal="right"/>
    </xf>
    <xf numFmtId="166" fontId="5" fillId="0" borderId="10" xfId="10" applyNumberFormat="1" applyFont="1" applyBorder="1" applyAlignment="1">
      <alignment horizontal="center"/>
    </xf>
    <xf numFmtId="0" fontId="3" fillId="0" borderId="0" xfId="10" applyFont="1" applyAlignment="1">
      <alignment horizontal="center"/>
    </xf>
    <xf numFmtId="0" fontId="3" fillId="0" borderId="0" xfId="10" applyFont="1" applyBorder="1" applyAlignment="1">
      <alignment horizontal="center"/>
    </xf>
    <xf numFmtId="0" fontId="3" fillId="0" borderId="10" xfId="10" applyFont="1" applyBorder="1" applyAlignment="1">
      <alignment horizontal="centerContinuous"/>
    </xf>
    <xf numFmtId="165" fontId="3" fillId="0" borderId="10" xfId="10" applyNumberFormat="1" applyFont="1" applyBorder="1" applyAlignment="1">
      <alignment horizontal="center"/>
    </xf>
    <xf numFmtId="166" fontId="3" fillId="0" borderId="10" xfId="10" applyNumberFormat="1" applyFont="1" applyBorder="1" applyAlignment="1">
      <alignment horizontal="center"/>
    </xf>
    <xf numFmtId="0" fontId="11" fillId="0" borderId="0" xfId="10" applyFont="1" applyAlignment="1">
      <alignment horizontal="center"/>
    </xf>
    <xf numFmtId="165" fontId="3" fillId="0" borderId="0" xfId="10" applyNumberFormat="1" applyFont="1" applyAlignment="1">
      <alignment horizontal="center"/>
    </xf>
    <xf numFmtId="5" fontId="3" fillId="0" borderId="0" xfId="10" applyNumberFormat="1" applyFont="1"/>
    <xf numFmtId="164" fontId="3" fillId="0" borderId="0" xfId="10" applyNumberFormat="1" applyFont="1"/>
    <xf numFmtId="37" fontId="3" fillId="0" borderId="0" xfId="10" applyNumberFormat="1" applyFont="1"/>
    <xf numFmtId="37" fontId="3" fillId="0" borderId="10" xfId="10" applyNumberFormat="1" applyFont="1" applyBorder="1"/>
    <xf numFmtId="3" fontId="3" fillId="0" borderId="0" xfId="10" applyNumberFormat="1" applyFont="1" applyAlignment="1">
      <alignment horizontal="left"/>
    </xf>
    <xf numFmtId="165" fontId="3" fillId="0" borderId="0" xfId="10" applyNumberFormat="1" applyFont="1"/>
    <xf numFmtId="166" fontId="3" fillId="0" borderId="0" xfId="10" applyNumberFormat="1" applyFont="1"/>
    <xf numFmtId="164" fontId="3" fillId="0" borderId="0" xfId="10" applyNumberFormat="1" applyFont="1" applyAlignment="1">
      <alignment horizontal="left"/>
    </xf>
    <xf numFmtId="5" fontId="3" fillId="0" borderId="12" xfId="10" applyNumberFormat="1" applyFont="1" applyBorder="1"/>
    <xf numFmtId="165" fontId="3" fillId="0" borderId="10" xfId="10" applyNumberFormat="1" applyFont="1" applyBorder="1"/>
    <xf numFmtId="0" fontId="3" fillId="0" borderId="10" xfId="10" applyFont="1" applyBorder="1"/>
    <xf numFmtId="0" fontId="3" fillId="0" borderId="10" xfId="10" applyFont="1" applyBorder="1" applyAlignment="1">
      <alignment horizontal="center"/>
    </xf>
    <xf numFmtId="0" fontId="3" fillId="0" borderId="0" xfId="10" applyFont="1" applyAlignment="1">
      <alignment horizontal="right"/>
    </xf>
    <xf numFmtId="170" fontId="3" fillId="0" borderId="0" xfId="10" applyNumberFormat="1" applyFont="1"/>
    <xf numFmtId="0" fontId="3" fillId="0" borderId="0" xfId="25" applyFont="1" applyAlignment="1">
      <alignment horizontal="centerContinuous"/>
    </xf>
    <xf numFmtId="0" fontId="3" fillId="0" borderId="0" xfId="25" applyFont="1"/>
    <xf numFmtId="165" fontId="3" fillId="0" borderId="0" xfId="25" applyNumberFormat="1" applyFont="1" applyAlignment="1">
      <alignment horizontal="right"/>
    </xf>
    <xf numFmtId="166" fontId="3" fillId="0" borderId="0" xfId="25" applyNumberFormat="1" applyFont="1" applyAlignment="1">
      <alignment horizontal="right"/>
    </xf>
    <xf numFmtId="3" fontId="3" fillId="0" borderId="0" xfId="25" applyNumberFormat="1" applyFont="1" applyAlignment="1">
      <alignment horizontal="center"/>
    </xf>
    <xf numFmtId="3" fontId="5" fillId="0" borderId="10" xfId="25" applyNumberFormat="1" applyFont="1" applyBorder="1" applyAlignment="1">
      <alignment horizontal="center"/>
    </xf>
    <xf numFmtId="3" fontId="3" fillId="0" borderId="10" xfId="25" applyNumberFormat="1" applyFont="1" applyBorder="1" applyAlignment="1">
      <alignment horizontal="center"/>
    </xf>
    <xf numFmtId="0" fontId="3" fillId="0" borderId="0" xfId="25" applyFont="1" applyAlignment="1">
      <alignment horizontal="center"/>
    </xf>
    <xf numFmtId="166" fontId="3" fillId="0" borderId="0" xfId="25" applyNumberFormat="1" applyFont="1" applyAlignment="1">
      <alignment horizontal="center"/>
    </xf>
    <xf numFmtId="0" fontId="3" fillId="0" borderId="0" xfId="25" applyFont="1" applyBorder="1" applyAlignment="1">
      <alignment horizontal="center"/>
    </xf>
    <xf numFmtId="0" fontId="3" fillId="0" borderId="10" xfId="25" applyFont="1" applyBorder="1" applyAlignment="1">
      <alignment horizontal="centerContinuous"/>
    </xf>
    <xf numFmtId="165" fontId="3" fillId="0" borderId="10" xfId="25" applyNumberFormat="1" applyFont="1" applyBorder="1" applyAlignment="1">
      <alignment horizontal="center"/>
    </xf>
    <xf numFmtId="166" fontId="3" fillId="0" borderId="10" xfId="25" applyNumberFormat="1" applyFont="1" applyBorder="1" applyAlignment="1">
      <alignment horizontal="center"/>
    </xf>
    <xf numFmtId="0" fontId="11" fillId="0" borderId="0" xfId="25" applyFont="1" applyAlignment="1">
      <alignment horizontal="center"/>
    </xf>
    <xf numFmtId="165" fontId="3" fillId="0" borderId="0" xfId="25" applyNumberFormat="1" applyFont="1" applyAlignment="1">
      <alignment horizontal="center"/>
    </xf>
    <xf numFmtId="37" fontId="3" fillId="0" borderId="0" xfId="25" applyNumberFormat="1" applyFont="1"/>
    <xf numFmtId="5" fontId="3" fillId="0" borderId="0" xfId="25" applyNumberFormat="1" applyFont="1"/>
    <xf numFmtId="164" fontId="3" fillId="0" borderId="0" xfId="25" applyNumberFormat="1" applyFont="1"/>
    <xf numFmtId="37" fontId="3" fillId="0" borderId="10" xfId="25" applyNumberFormat="1" applyFont="1" applyBorder="1"/>
    <xf numFmtId="37" fontId="22" fillId="0" borderId="10" xfId="25" applyNumberFormat="1" applyFont="1" applyBorder="1"/>
    <xf numFmtId="37" fontId="3" fillId="0" borderId="0" xfId="25" applyNumberFormat="1" applyFont="1" applyBorder="1"/>
    <xf numFmtId="3" fontId="3" fillId="0" borderId="0" xfId="25" applyNumberFormat="1" applyFont="1" applyAlignment="1">
      <alignment horizontal="left"/>
    </xf>
    <xf numFmtId="167" fontId="3" fillId="0" borderId="0" xfId="25" applyNumberFormat="1" applyFont="1"/>
    <xf numFmtId="165" fontId="3" fillId="0" borderId="0" xfId="25" applyNumberFormat="1" applyFont="1"/>
    <xf numFmtId="166" fontId="3" fillId="0" borderId="0" xfId="25" applyNumberFormat="1" applyFont="1"/>
    <xf numFmtId="164" fontId="3" fillId="0" borderId="0" xfId="25" applyNumberFormat="1" applyFont="1" applyAlignment="1">
      <alignment horizontal="left"/>
    </xf>
    <xf numFmtId="5" fontId="3" fillId="0" borderId="12" xfId="25" applyNumberFormat="1" applyFont="1" applyBorder="1"/>
    <xf numFmtId="5" fontId="22" fillId="0" borderId="12" xfId="10" applyNumberFormat="1" applyFont="1" applyBorder="1"/>
    <xf numFmtId="0" fontId="3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0" xfId="0" applyNumberFormat="1" applyFont="1" applyBorder="1"/>
    <xf numFmtId="172" fontId="3" fillId="0" borderId="0" xfId="0" applyNumberFormat="1" applyFont="1"/>
    <xf numFmtId="172" fontId="3" fillId="0" borderId="10" xfId="0" applyNumberFormat="1" applyFont="1" applyBorder="1"/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2" xfId="0" applyNumberFormat="1" applyFont="1" applyBorder="1"/>
    <xf numFmtId="0" fontId="3" fillId="0" borderId="0" xfId="8" applyFont="1" applyAlignment="1">
      <alignment horizontal="centerContinuous"/>
    </xf>
    <xf numFmtId="0" fontId="3" fillId="0" borderId="0" xfId="8" applyFont="1"/>
    <xf numFmtId="165" fontId="3" fillId="0" borderId="0" xfId="8" applyNumberFormat="1" applyFont="1" applyAlignment="1">
      <alignment horizontal="right"/>
    </xf>
    <xf numFmtId="166" fontId="3" fillId="0" borderId="0" xfId="8" applyNumberFormat="1" applyFont="1" applyAlignment="1">
      <alignment horizontal="right"/>
    </xf>
    <xf numFmtId="166" fontId="3" fillId="0" borderId="0" xfId="8" applyNumberFormat="1" applyFont="1" applyAlignment="1">
      <alignment horizontal="center"/>
    </xf>
    <xf numFmtId="165" fontId="3" fillId="0" borderId="10" xfId="8" applyNumberFormat="1" applyFont="1" applyBorder="1" applyAlignment="1">
      <alignment horizontal="right"/>
    </xf>
    <xf numFmtId="0" fontId="3" fillId="0" borderId="0" xfId="8" applyFont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10" xfId="8" applyFont="1" applyBorder="1" applyAlignment="1">
      <alignment horizontal="centerContinuous"/>
    </xf>
    <xf numFmtId="165" fontId="3" fillId="0" borderId="10" xfId="8" applyNumberFormat="1" applyFont="1" applyBorder="1" applyAlignment="1">
      <alignment horizontal="center"/>
    </xf>
    <xf numFmtId="166" fontId="3" fillId="0" borderId="10" xfId="8" applyNumberFormat="1" applyFont="1" applyBorder="1" applyAlignment="1">
      <alignment horizontal="center"/>
    </xf>
    <xf numFmtId="0" fontId="11" fillId="0" borderId="0" xfId="8" applyFont="1" applyAlignment="1">
      <alignment horizontal="center"/>
    </xf>
    <xf numFmtId="165" fontId="3" fillId="0" borderId="0" xfId="8" applyNumberFormat="1" applyFont="1" applyAlignment="1">
      <alignment horizontal="center"/>
    </xf>
    <xf numFmtId="5" fontId="3" fillId="0" borderId="0" xfId="8" applyNumberFormat="1" applyFont="1"/>
    <xf numFmtId="164" fontId="3" fillId="0" borderId="0" xfId="8" applyNumberFormat="1" applyFont="1"/>
    <xf numFmtId="37" fontId="3" fillId="0" borderId="0" xfId="8" applyNumberFormat="1" applyFont="1"/>
    <xf numFmtId="37" fontId="3" fillId="0" borderId="10" xfId="8" applyNumberFormat="1" applyFont="1" applyBorder="1"/>
    <xf numFmtId="3" fontId="3" fillId="0" borderId="0" xfId="8" applyNumberFormat="1" applyFont="1" applyAlignment="1">
      <alignment horizontal="left"/>
    </xf>
    <xf numFmtId="167" fontId="3" fillId="0" borderId="0" xfId="8" applyNumberFormat="1" applyFont="1"/>
    <xf numFmtId="165" fontId="3" fillId="0" borderId="0" xfId="8" applyNumberFormat="1" applyFont="1"/>
    <xf numFmtId="166" fontId="3" fillId="0" borderId="0" xfId="8" applyNumberFormat="1" applyFont="1"/>
    <xf numFmtId="164" fontId="3" fillId="0" borderId="0" xfId="8" applyNumberFormat="1" applyFont="1" applyAlignment="1">
      <alignment horizontal="left"/>
    </xf>
    <xf numFmtId="5" fontId="3" fillId="0" borderId="12" xfId="8" applyNumberFormat="1" applyFont="1" applyBorder="1"/>
    <xf numFmtId="0" fontId="3" fillId="0" borderId="0" xfId="8" applyFont="1" applyBorder="1" applyAlignment="1">
      <alignment horizontal="centerContinuous"/>
    </xf>
    <xf numFmtId="0" fontId="3" fillId="0" borderId="0" xfId="8" applyFont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5" fontId="12" fillId="0" borderId="0" xfId="0" applyNumberFormat="1" applyFont="1" applyBorder="1"/>
    <xf numFmtId="10" fontId="13" fillId="0" borderId="0" xfId="0" applyNumberFormat="1" applyFont="1" applyBorder="1"/>
    <xf numFmtId="3" fontId="12" fillId="0" borderId="0" xfId="0" applyNumberFormat="1" applyFont="1" applyBorder="1"/>
    <xf numFmtId="37" fontId="12" fillId="0" borderId="0" xfId="0" applyNumberFormat="1" applyFont="1" applyBorder="1"/>
    <xf numFmtId="0" fontId="23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6" fontId="12" fillId="0" borderId="0" xfId="3" applyNumberFormat="1" applyFont="1" applyBorder="1"/>
    <xf numFmtId="3" fontId="24" fillId="0" borderId="0" xfId="0" applyNumberFormat="1" applyFont="1" applyAlignment="1">
      <alignment horizontal="center"/>
    </xf>
    <xf numFmtId="3" fontId="24" fillId="0" borderId="0" xfId="0" applyNumberFormat="1" applyFont="1"/>
    <xf numFmtId="0" fontId="24" fillId="0" borderId="0" xfId="0" applyFont="1"/>
    <xf numFmtId="5" fontId="24" fillId="0" borderId="0" xfId="0" applyNumberFormat="1" applyFont="1"/>
    <xf numFmtId="37" fontId="12" fillId="0" borderId="3" xfId="0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5" fontId="12" fillId="0" borderId="0" xfId="0" applyNumberFormat="1" applyFont="1"/>
    <xf numFmtId="0" fontId="12" fillId="0" borderId="0" xfId="0" applyFont="1" applyFill="1" applyAlignment="1">
      <alignment horizontal="center"/>
    </xf>
    <xf numFmtId="5" fontId="12" fillId="0" borderId="16" xfId="0" applyNumberFormat="1" applyFont="1" applyBorder="1"/>
    <xf numFmtId="0" fontId="12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37" fontId="24" fillId="0" borderId="0" xfId="0" applyNumberFormat="1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Border="1"/>
    <xf numFmtId="37" fontId="24" fillId="0" borderId="0" xfId="0" applyNumberFormat="1" applyFont="1" applyBorder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37" fontId="27" fillId="0" borderId="0" xfId="0" applyNumberFormat="1" applyFont="1" applyBorder="1"/>
    <xf numFmtId="5" fontId="27" fillId="0" borderId="0" xfId="0" applyNumberFormat="1" applyFont="1" applyBorder="1"/>
    <xf numFmtId="173" fontId="3" fillId="0" borderId="0" xfId="0" applyNumberFormat="1" applyFont="1"/>
    <xf numFmtId="173" fontId="3" fillId="0" borderId="3" xfId="0" applyNumberFormat="1" applyFont="1" applyBorder="1"/>
    <xf numFmtId="3" fontId="12" fillId="0" borderId="0" xfId="23" applyNumberFormat="1" applyFont="1" applyAlignment="1">
      <alignment horizontal="centerContinuous"/>
    </xf>
    <xf numFmtId="0" fontId="12" fillId="0" borderId="0" xfId="23" applyFont="1" applyAlignment="1">
      <alignment horizontal="centerContinuous"/>
    </xf>
    <xf numFmtId="3" fontId="12" fillId="0" borderId="0" xfId="23" applyNumberFormat="1" applyFont="1"/>
    <xf numFmtId="3" fontId="12" fillId="0" borderId="0" xfId="23" applyNumberFormat="1" applyFont="1" applyBorder="1" applyAlignment="1">
      <alignment horizontal="centerContinuous"/>
    </xf>
    <xf numFmtId="0" fontId="12" fillId="0" borderId="0" xfId="23" applyFont="1" applyBorder="1" applyAlignment="1">
      <alignment horizontal="centerContinuous"/>
    </xf>
    <xf numFmtId="0" fontId="12" fillId="0" borderId="0" xfId="23" applyFont="1"/>
    <xf numFmtId="3" fontId="12" fillId="0" borderId="0" xfId="23" applyNumberFormat="1" applyFont="1" applyAlignment="1">
      <alignment horizontal="center"/>
    </xf>
    <xf numFmtId="0" fontId="12" fillId="0" borderId="0" xfId="23" applyFont="1" applyAlignment="1">
      <alignment horizontal="center"/>
    </xf>
    <xf numFmtId="3" fontId="12" fillId="0" borderId="10" xfId="23" applyNumberFormat="1" applyFont="1" applyBorder="1"/>
    <xf numFmtId="3" fontId="12" fillId="0" borderId="10" xfId="23" applyNumberFormat="1" applyFont="1" applyBorder="1" applyAlignment="1">
      <alignment horizontal="center"/>
    </xf>
    <xf numFmtId="164" fontId="12" fillId="0" borderId="0" xfId="23" applyNumberFormat="1" applyFont="1"/>
    <xf numFmtId="164" fontId="12" fillId="0" borderId="3" xfId="23" applyNumberFormat="1" applyFont="1" applyBorder="1"/>
    <xf numFmtId="10" fontId="12" fillId="0" borderId="0" xfId="23" applyNumberFormat="1" applyFont="1"/>
    <xf numFmtId="174" fontId="12" fillId="0" borderId="0" xfId="23" applyNumberFormat="1" applyFont="1"/>
    <xf numFmtId="175" fontId="12" fillId="0" borderId="10" xfId="23" applyNumberFormat="1" applyFont="1" applyBorder="1"/>
    <xf numFmtId="0" fontId="12" fillId="0" borderId="17" xfId="23" applyFont="1" applyBorder="1"/>
    <xf numFmtId="164" fontId="12" fillId="0" borderId="0" xfId="23" applyNumberFormat="1" applyFont="1" applyAlignment="1">
      <alignment horizontal="center"/>
    </xf>
    <xf numFmtId="3" fontId="12" fillId="0" borderId="0" xfId="23" applyNumberFormat="1" applyFont="1" applyBorder="1"/>
    <xf numFmtId="10" fontId="12" fillId="0" borderId="3" xfId="23" applyNumberFormat="1" applyFont="1" applyBorder="1"/>
    <xf numFmtId="171" fontId="12" fillId="0" borderId="0" xfId="30" applyNumberFormat="1" applyFont="1"/>
    <xf numFmtId="171" fontId="12" fillId="0" borderId="0" xfId="23" applyNumberFormat="1" applyFont="1"/>
    <xf numFmtId="171" fontId="12" fillId="0" borderId="3" xfId="23" applyNumberFormat="1" applyFont="1" applyBorder="1"/>
    <xf numFmtId="3" fontId="14" fillId="0" borderId="0" xfId="23" applyNumberFormat="1" applyFont="1" applyBorder="1" applyAlignment="1">
      <alignment horizontal="centerContinuous"/>
    </xf>
    <xf numFmtId="3" fontId="39" fillId="0" borderId="0" xfId="23" applyNumberFormat="1" applyFont="1" applyFill="1" applyBorder="1"/>
    <xf numFmtId="10" fontId="12" fillId="0" borderId="0" xfId="23" applyNumberFormat="1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/>
    <xf numFmtId="37" fontId="38" fillId="0" borderId="0" xfId="0" applyNumberFormat="1" applyFont="1" applyBorder="1"/>
    <xf numFmtId="37" fontId="3" fillId="0" borderId="0" xfId="6" applyNumberFormat="1" applyFont="1" applyBorder="1"/>
    <xf numFmtId="0" fontId="29" fillId="0" borderId="0" xfId="24" applyFont="1" applyAlignment="1">
      <alignment horizontal="centerContinuous"/>
    </xf>
    <xf numFmtId="0" fontId="29" fillId="0" borderId="0" xfId="24" applyFont="1"/>
    <xf numFmtId="0" fontId="29" fillId="0" borderId="0" xfId="24" applyFont="1" applyBorder="1" applyAlignment="1">
      <alignment horizontal="centerContinuous"/>
    </xf>
    <xf numFmtId="0" fontId="30" fillId="0" borderId="0" xfId="24" applyFont="1" applyAlignment="1">
      <alignment horizontal="centerContinuous"/>
    </xf>
    <xf numFmtId="0" fontId="30" fillId="0" borderId="0" xfId="24" applyFont="1" applyBorder="1" applyAlignment="1">
      <alignment horizontal="centerContinuous"/>
    </xf>
    <xf numFmtId="0" fontId="31" fillId="0" borderId="0" xfId="24" applyFont="1"/>
    <xf numFmtId="0" fontId="31" fillId="0" borderId="0" xfId="24" applyFont="1" applyAlignment="1">
      <alignment horizontal="center"/>
    </xf>
    <xf numFmtId="0" fontId="31" fillId="0" borderId="0" xfId="24" applyFont="1" applyBorder="1"/>
    <xf numFmtId="0" fontId="31" fillId="0" borderId="0" xfId="24" applyFont="1" applyAlignment="1">
      <alignment horizontal="right"/>
    </xf>
    <xf numFmtId="0" fontId="31" fillId="0" borderId="0" xfId="24" applyFont="1" applyBorder="1" applyAlignment="1">
      <alignment horizontal="center"/>
    </xf>
    <xf numFmtId="0" fontId="32" fillId="0" borderId="0" xfId="24" applyFont="1"/>
    <xf numFmtId="0" fontId="31" fillId="0" borderId="3" xfId="24" applyFont="1" applyBorder="1" applyAlignment="1">
      <alignment horizontal="center"/>
    </xf>
    <xf numFmtId="0" fontId="31" fillId="0" borderId="3" xfId="24" applyFont="1" applyBorder="1"/>
    <xf numFmtId="0" fontId="31" fillId="0" borderId="3" xfId="24" applyFont="1" applyBorder="1" applyAlignment="1">
      <alignment horizontal="right"/>
    </xf>
    <xf numFmtId="0" fontId="31" fillId="0" borderId="2" xfId="24" applyFont="1" applyBorder="1"/>
    <xf numFmtId="0" fontId="31" fillId="0" borderId="4" xfId="24" applyFont="1" applyBorder="1"/>
    <xf numFmtId="3" fontId="33" fillId="0" borderId="0" xfId="24" applyNumberFormat="1" applyFont="1"/>
    <xf numFmtId="3" fontId="31" fillId="0" borderId="0" xfId="24" applyNumberFormat="1" applyFont="1"/>
    <xf numFmtId="3" fontId="31" fillId="0" borderId="6" xfId="24" applyNumberFormat="1" applyFont="1" applyBorder="1"/>
    <xf numFmtId="3" fontId="31" fillId="0" borderId="0" xfId="24" applyNumberFormat="1" applyFont="1" applyBorder="1"/>
    <xf numFmtId="3" fontId="31" fillId="0" borderId="7" xfId="24" applyNumberFormat="1" applyFont="1" applyBorder="1"/>
    <xf numFmtId="3" fontId="31" fillId="0" borderId="9" xfId="24" applyNumberFormat="1" applyFont="1" applyBorder="1"/>
    <xf numFmtId="0" fontId="31" fillId="0" borderId="10" xfId="24" applyFont="1" applyBorder="1"/>
    <xf numFmtId="0" fontId="31" fillId="0" borderId="11" xfId="24" applyFont="1" applyBorder="1"/>
    <xf numFmtId="0" fontId="34" fillId="0" borderId="0" xfId="24" applyFont="1" applyBorder="1"/>
    <xf numFmtId="3" fontId="35" fillId="0" borderId="0" xfId="24" applyNumberFormat="1" applyFont="1"/>
    <xf numFmtId="171" fontId="31" fillId="0" borderId="0" xfId="24" applyNumberFormat="1" applyFont="1"/>
    <xf numFmtId="3" fontId="36" fillId="0" borderId="0" xfId="24" applyNumberFormat="1" applyFont="1"/>
    <xf numFmtId="0" fontId="31" fillId="0" borderId="0" xfId="24" applyFont="1" applyAlignment="1">
      <alignment horizontal="left"/>
    </xf>
    <xf numFmtId="171" fontId="33" fillId="0" borderId="0" xfId="24" applyNumberFormat="1" applyFont="1" applyFill="1" applyBorder="1"/>
    <xf numFmtId="3" fontId="33" fillId="0" borderId="0" xfId="2" applyNumberFormat="1" applyFont="1" applyBorder="1"/>
    <xf numFmtId="171" fontId="33" fillId="0" borderId="0" xfId="24" applyNumberFormat="1" applyFont="1"/>
    <xf numFmtId="3" fontId="31" fillId="0" borderId="3" xfId="24" applyNumberFormat="1" applyFont="1" applyBorder="1"/>
    <xf numFmtId="3" fontId="12" fillId="0" borderId="0" xfId="24" applyNumberFormat="1" applyFont="1"/>
    <xf numFmtId="0" fontId="12" fillId="0" borderId="0" xfId="24" applyFont="1"/>
    <xf numFmtId="10" fontId="12" fillId="0" borderId="0" xfId="24" applyNumberFormat="1" applyFont="1"/>
    <xf numFmtId="3" fontId="42" fillId="0" borderId="0" xfId="28" applyNumberFormat="1" applyFont="1"/>
    <xf numFmtId="3" fontId="43" fillId="0" borderId="0" xfId="28" applyNumberFormat="1" applyFont="1" applyAlignment="1">
      <alignment horizontal="center"/>
    </xf>
    <xf numFmtId="169" fontId="42" fillId="0" borderId="0" xfId="17" applyNumberFormat="1" applyFont="1" applyFill="1"/>
    <xf numFmtId="37" fontId="42" fillId="0" borderId="0" xfId="28" applyNumberFormat="1" applyFont="1"/>
    <xf numFmtId="168" fontId="42" fillId="0" borderId="0" xfId="17" applyNumberFormat="1" applyFont="1" applyFill="1"/>
    <xf numFmtId="37" fontId="42" fillId="0" borderId="10" xfId="28" applyNumberFormat="1" applyFont="1" applyBorder="1"/>
    <xf numFmtId="168" fontId="42" fillId="0" borderId="10" xfId="17" applyNumberFormat="1" applyFont="1" applyFill="1" applyBorder="1"/>
    <xf numFmtId="168" fontId="42" fillId="0" borderId="0" xfId="17" applyNumberFormat="1" applyFont="1" applyFill="1" applyBorder="1"/>
    <xf numFmtId="5" fontId="42" fillId="0" borderId="12" xfId="28" applyNumberFormat="1" applyFont="1" applyBorder="1"/>
    <xf numFmtId="37" fontId="42" fillId="0" borderId="3" xfId="28" applyNumberFormat="1" applyFont="1" applyBorder="1"/>
    <xf numFmtId="3" fontId="42" fillId="0" borderId="0" xfId="28" applyNumberFormat="1" applyFont="1" applyFill="1" applyBorder="1" applyAlignment="1">
      <alignment horizontal="center"/>
    </xf>
    <xf numFmtId="37" fontId="21" fillId="0" borderId="10" xfId="29" applyNumberFormat="1" applyFont="1" applyBorder="1"/>
    <xf numFmtId="0" fontId="44" fillId="0" borderId="0" xfId="24" applyFont="1" applyAlignment="1">
      <alignment horizontal="centerContinuous"/>
    </xf>
    <xf numFmtId="0" fontId="45" fillId="0" borderId="0" xfId="24" applyFont="1" applyAlignment="1">
      <alignment horizontal="centerContinuous"/>
    </xf>
    <xf numFmtId="0" fontId="46" fillId="0" borderId="0" xfId="24" applyFont="1"/>
    <xf numFmtId="0" fontId="46" fillId="0" borderId="0" xfId="24" applyFont="1" applyAlignment="1">
      <alignment horizontal="right"/>
    </xf>
    <xf numFmtId="0" fontId="46" fillId="0" borderId="3" xfId="24" applyFont="1" applyBorder="1"/>
    <xf numFmtId="3" fontId="46" fillId="0" borderId="0" xfId="24" applyNumberFormat="1" applyFont="1"/>
    <xf numFmtId="0" fontId="46" fillId="0" borderId="17" xfId="24" applyFont="1" applyBorder="1"/>
    <xf numFmtId="3" fontId="3" fillId="0" borderId="0" xfId="28" applyNumberFormat="1" applyFont="1"/>
    <xf numFmtId="3" fontId="5" fillId="0" borderId="0" xfId="28" applyNumberFormat="1" applyFont="1" applyAlignment="1">
      <alignment horizontal="center"/>
    </xf>
    <xf numFmtId="3" fontId="5" fillId="0" borderId="1" xfId="28" applyNumberFormat="1" applyFont="1" applyBorder="1" applyAlignment="1">
      <alignment horizontal="center"/>
    </xf>
    <xf numFmtId="3" fontId="5" fillId="0" borderId="5" xfId="28" applyNumberFormat="1" applyFont="1" applyBorder="1" applyAlignment="1">
      <alignment horizontal="center"/>
    </xf>
    <xf numFmtId="3" fontId="5" fillId="0" borderId="8" xfId="28" applyNumberFormat="1" applyFont="1" applyBorder="1" applyAlignment="1">
      <alignment horizontal="center"/>
    </xf>
    <xf numFmtId="3" fontId="3" fillId="0" borderId="0" xfId="28" applyNumberFormat="1" applyFont="1" applyAlignment="1">
      <alignment horizontal="center"/>
    </xf>
    <xf numFmtId="37" fontId="3" fillId="0" borderId="10" xfId="28" applyNumberFormat="1" applyFont="1" applyBorder="1"/>
    <xf numFmtId="5" fontId="3" fillId="0" borderId="12" xfId="28" applyNumberFormat="1" applyFont="1" applyBorder="1"/>
    <xf numFmtId="37" fontId="3" fillId="0" borderId="3" xfId="28" applyNumberFormat="1" applyFont="1" applyBorder="1"/>
    <xf numFmtId="164" fontId="37" fillId="0" borderId="0" xfId="23" applyNumberFormat="1" applyFont="1" applyFill="1" applyBorder="1"/>
    <xf numFmtId="3" fontId="37" fillId="0" borderId="0" xfId="23" applyNumberFormat="1" applyFont="1" applyFill="1" applyBorder="1"/>
    <xf numFmtId="0" fontId="47" fillId="0" borderId="0" xfId="24" applyFont="1" applyAlignment="1">
      <alignment horizontal="centerContinuous"/>
    </xf>
    <xf numFmtId="0" fontId="48" fillId="0" borderId="0" xfId="24" applyFont="1" applyAlignment="1">
      <alignment horizontal="centerContinuous"/>
    </xf>
    <xf numFmtId="0" fontId="31" fillId="0" borderId="17" xfId="24" applyFont="1" applyBorder="1"/>
    <xf numFmtId="3" fontId="12" fillId="0" borderId="0" xfId="24" applyNumberFormat="1" applyFont="1" applyAlignment="1">
      <alignment horizontal="center"/>
    </xf>
    <xf numFmtId="3" fontId="12" fillId="0" borderId="0" xfId="24" applyNumberFormat="1" applyFont="1" applyAlignment="1">
      <alignment horizontal="left"/>
    </xf>
    <xf numFmtId="3" fontId="12" fillId="0" borderId="0" xfId="23" applyNumberFormat="1" applyFont="1" applyAlignment="1">
      <alignment horizontal="left"/>
    </xf>
    <xf numFmtId="10" fontId="38" fillId="0" borderId="10" xfId="24" applyNumberFormat="1" applyFont="1" applyBorder="1"/>
    <xf numFmtId="169" fontId="3" fillId="0" borderId="0" xfId="28" applyNumberFormat="1" applyFont="1"/>
    <xf numFmtId="37" fontId="21" fillId="0" borderId="10" xfId="20" applyNumberFormat="1" applyFont="1" applyBorder="1"/>
    <xf numFmtId="0" fontId="41" fillId="0" borderId="0" xfId="0" applyFont="1" applyAlignment="1">
      <alignment horizontal="center"/>
    </xf>
    <xf numFmtId="3" fontId="49" fillId="0" borderId="0" xfId="28" applyNumberFormat="1" applyFont="1"/>
    <xf numFmtId="169" fontId="49" fillId="0" borderId="0" xfId="17" applyNumberFormat="1" applyFont="1" applyFill="1"/>
    <xf numFmtId="168" fontId="49" fillId="0" borderId="0" xfId="17" applyNumberFormat="1" applyFont="1" applyFill="1"/>
    <xf numFmtId="168" fontId="49" fillId="0" borderId="10" xfId="17" applyNumberFormat="1" applyFont="1" applyFill="1" applyBorder="1"/>
    <xf numFmtId="37" fontId="49" fillId="0" borderId="0" xfId="28" applyNumberFormat="1" applyFont="1"/>
    <xf numFmtId="168" fontId="49" fillId="0" borderId="0" xfId="17" applyNumberFormat="1" applyFont="1" applyFill="1" applyBorder="1"/>
    <xf numFmtId="37" fontId="49" fillId="0" borderId="10" xfId="28" applyNumberFormat="1" applyFont="1" applyBorder="1"/>
    <xf numFmtId="5" fontId="49" fillId="0" borderId="12" xfId="28" applyNumberFormat="1" applyFont="1" applyBorder="1"/>
    <xf numFmtId="37" fontId="49" fillId="0" borderId="3" xfId="28" applyNumberFormat="1" applyFont="1" applyBorder="1"/>
    <xf numFmtId="3" fontId="50" fillId="0" borderId="0" xfId="28" applyNumberFormat="1" applyFont="1" applyAlignment="1">
      <alignment horizontal="center"/>
    </xf>
    <xf numFmtId="3" fontId="3" fillId="0" borderId="0" xfId="5" applyNumberFormat="1" applyFont="1" applyAlignment="1">
      <alignment horizontal="center"/>
    </xf>
    <xf numFmtId="3" fontId="13" fillId="0" borderId="0" xfId="23" applyNumberFormat="1" applyFont="1" applyAlignment="1">
      <alignment horizontal="centerContinuous"/>
    </xf>
    <xf numFmtId="0" fontId="13" fillId="0" borderId="0" xfId="23" applyFont="1" applyAlignment="1">
      <alignment horizontal="centerContinuous"/>
    </xf>
    <xf numFmtId="0" fontId="13" fillId="0" borderId="0" xfId="23" applyFont="1"/>
    <xf numFmtId="3" fontId="13" fillId="0" borderId="0" xfId="23" applyNumberFormat="1" applyFont="1"/>
    <xf numFmtId="3" fontId="51" fillId="0" borderId="0" xfId="24" applyNumberFormat="1" applyFont="1" applyBorder="1" applyAlignment="1">
      <alignment horizontal="centerContinuous"/>
    </xf>
    <xf numFmtId="37" fontId="52" fillId="0" borderId="0" xfId="9" applyNumberFormat="1" applyFont="1" applyProtection="1">
      <protection locked="0"/>
    </xf>
    <xf numFmtId="164" fontId="3" fillId="0" borderId="0" xfId="18" applyNumberFormat="1" applyFont="1"/>
    <xf numFmtId="3" fontId="53" fillId="0" borderId="0" xfId="9" applyNumberFormat="1" applyFont="1"/>
    <xf numFmtId="10" fontId="12" fillId="0" borderId="0" xfId="0" applyNumberFormat="1" applyFont="1" applyBorder="1"/>
    <xf numFmtId="3" fontId="43" fillId="0" borderId="1" xfId="27" applyNumberFormat="1" applyFont="1" applyBorder="1" applyAlignment="1">
      <alignment horizontal="center"/>
    </xf>
    <xf numFmtId="3" fontId="43" fillId="0" borderId="5" xfId="27" applyNumberFormat="1" applyFont="1" applyBorder="1" applyAlignment="1">
      <alignment horizontal="center"/>
    </xf>
    <xf numFmtId="3" fontId="43" fillId="0" borderId="8" xfId="27" applyNumberFormat="1" applyFont="1" applyBorder="1" applyAlignment="1">
      <alignment horizontal="center"/>
    </xf>
    <xf numFmtId="3" fontId="50" fillId="0" borderId="1" xfId="28" applyNumberFormat="1" applyFont="1" applyBorder="1" applyAlignment="1">
      <alignment horizontal="center"/>
    </xf>
    <xf numFmtId="3" fontId="50" fillId="0" borderId="5" xfId="28" applyNumberFormat="1" applyFont="1" applyBorder="1" applyAlignment="1">
      <alignment horizontal="center"/>
    </xf>
    <xf numFmtId="3" fontId="50" fillId="0" borderId="8" xfId="28" applyNumberFormat="1" applyFont="1" applyBorder="1" applyAlignment="1">
      <alignment horizontal="center"/>
    </xf>
    <xf numFmtId="37" fontId="12" fillId="0" borderId="0" xfId="24" applyNumberFormat="1" applyFont="1" applyAlignment="1">
      <alignment horizontal="right"/>
    </xf>
    <xf numFmtId="37" fontId="12" fillId="0" borderId="0" xfId="23" applyNumberFormat="1" applyFont="1"/>
    <xf numFmtId="37" fontId="12" fillId="0" borderId="0" xfId="23" applyNumberFormat="1" applyFont="1" applyFill="1" applyBorder="1"/>
    <xf numFmtId="5" fontId="12" fillId="0" borderId="0" xfId="24" applyNumberFormat="1" applyFont="1" applyAlignment="1">
      <alignment horizontal="right"/>
    </xf>
    <xf numFmtId="5" fontId="12" fillId="0" borderId="3" xfId="23" applyNumberFormat="1" applyFont="1" applyBorder="1"/>
    <xf numFmtId="5" fontId="12" fillId="0" borderId="0" xfId="23" applyNumberFormat="1" applyFont="1"/>
    <xf numFmtId="5" fontId="12" fillId="0" borderId="0" xfId="23" applyNumberFormat="1" applyFont="1" applyFill="1" applyBorder="1"/>
    <xf numFmtId="3" fontId="50" fillId="0" borderId="1" xfId="28" applyNumberFormat="1" applyFont="1" applyFill="1" applyBorder="1" applyAlignment="1">
      <alignment horizontal="center"/>
    </xf>
    <xf numFmtId="3" fontId="50" fillId="0" borderId="5" xfId="28" applyNumberFormat="1" applyFont="1" applyFill="1" applyBorder="1" applyAlignment="1">
      <alignment horizontal="center"/>
    </xf>
    <xf numFmtId="3" fontId="50" fillId="0" borderId="8" xfId="28" applyNumberFormat="1" applyFont="1" applyFill="1" applyBorder="1" applyAlignment="1">
      <alignment horizontal="center"/>
    </xf>
    <xf numFmtId="3" fontId="49" fillId="0" borderId="0" xfId="28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3" fontId="5" fillId="0" borderId="0" xfId="28" applyNumberFormat="1" applyFont="1"/>
    <xf numFmtId="10" fontId="12" fillId="0" borderId="12" xfId="0" applyNumberFormat="1" applyFont="1" applyBorder="1" applyAlignment="1">
      <alignment horizontal="center"/>
    </xf>
    <xf numFmtId="3" fontId="3" fillId="0" borderId="0" xfId="28" applyNumberFormat="1" applyFont="1" applyFill="1" applyBorder="1" applyAlignment="1">
      <alignment horizontal="center"/>
    </xf>
    <xf numFmtId="10" fontId="38" fillId="0" borderId="10" xfId="23" applyNumberFormat="1" applyFont="1" applyBorder="1"/>
    <xf numFmtId="166" fontId="3" fillId="0" borderId="0" xfId="11" applyNumberFormat="1" applyFont="1" applyFill="1" applyBorder="1"/>
    <xf numFmtId="0" fontId="3" fillId="0" borderId="0" xfId="11" applyFont="1" applyFill="1" applyBorder="1"/>
    <xf numFmtId="166" fontId="3" fillId="0" borderId="0" xfId="11" applyNumberFormat="1" applyFont="1" applyFill="1" applyBorder="1" applyAlignment="1">
      <alignment horizontal="center"/>
    </xf>
    <xf numFmtId="37" fontId="3" fillId="0" borderId="0" xfId="11" applyNumberFormat="1" applyFont="1" applyFill="1"/>
    <xf numFmtId="0" fontId="29" fillId="0" borderId="0" xfId="24" applyFont="1" applyBorder="1"/>
    <xf numFmtId="0" fontId="56" fillId="0" borderId="0" xfId="24" applyFont="1"/>
    <xf numFmtId="171" fontId="46" fillId="0" borderId="0" xfId="30" applyNumberFormat="1" applyFont="1"/>
    <xf numFmtId="9" fontId="31" fillId="0" borderId="0" xfId="30" applyNumberFormat="1" applyFont="1"/>
    <xf numFmtId="10" fontId="46" fillId="0" borderId="0" xfId="30" applyNumberFormat="1" applyFont="1"/>
    <xf numFmtId="167" fontId="31" fillId="0" borderId="0" xfId="30" applyNumberFormat="1" applyFont="1"/>
    <xf numFmtId="176" fontId="33" fillId="0" borderId="0" xfId="1" applyNumberFormat="1" applyFont="1"/>
    <xf numFmtId="176" fontId="33" fillId="0" borderId="0" xfId="1" applyNumberFormat="1" applyFont="1" applyAlignment="1">
      <alignment horizontal="center"/>
    </xf>
    <xf numFmtId="3" fontId="33" fillId="0" borderId="0" xfId="24" applyNumberFormat="1" applyFont="1" applyBorder="1"/>
    <xf numFmtId="10" fontId="58" fillId="0" borderId="0" xfId="23" applyNumberFormat="1" applyFont="1"/>
    <xf numFmtId="3" fontId="58" fillId="0" borderId="0" xfId="23" applyNumberFormat="1" applyFont="1"/>
    <xf numFmtId="164" fontId="58" fillId="0" borderId="0" xfId="23" applyNumberFormat="1" applyFont="1"/>
    <xf numFmtId="0" fontId="39" fillId="0" borderId="0" xfId="23" applyFont="1"/>
    <xf numFmtId="0" fontId="47" fillId="0" borderId="0" xfId="24" applyFont="1" applyBorder="1" applyAlignment="1">
      <alignment horizontal="centerContinuous"/>
    </xf>
    <xf numFmtId="0" fontId="44" fillId="0" borderId="0" xfId="24" applyFont="1" applyBorder="1" applyAlignment="1">
      <alignment horizontal="centerContinuous"/>
    </xf>
    <xf numFmtId="0" fontId="46" fillId="0" borderId="0" xfId="24" applyFont="1" applyBorder="1"/>
    <xf numFmtId="0" fontId="31" fillId="0" borderId="0" xfId="24" applyFont="1" applyBorder="1" applyAlignment="1">
      <alignment horizontal="right"/>
    </xf>
    <xf numFmtId="0" fontId="46" fillId="0" borderId="0" xfId="24" applyFont="1" applyBorder="1" applyAlignment="1">
      <alignment horizontal="right"/>
    </xf>
    <xf numFmtId="3" fontId="46" fillId="0" borderId="0" xfId="24" applyNumberFormat="1" applyFont="1" applyBorder="1"/>
    <xf numFmtId="0" fontId="5" fillId="0" borderId="0" xfId="0" applyFont="1" applyAlignment="1">
      <alignment horizontal="centerContinuous"/>
    </xf>
    <xf numFmtId="37" fontId="3" fillId="0" borderId="0" xfId="27" applyNumberFormat="1" applyFont="1"/>
    <xf numFmtId="37" fontId="3" fillId="0" borderId="0" xfId="27" applyNumberFormat="1" applyFont="1" applyBorder="1"/>
    <xf numFmtId="171" fontId="3" fillId="0" borderId="10" xfId="30" applyNumberFormat="1" applyFont="1" applyBorder="1"/>
    <xf numFmtId="171" fontId="3" fillId="0" borderId="0" xfId="30" applyNumberFormat="1" applyFont="1" applyBorder="1"/>
    <xf numFmtId="10" fontId="59" fillId="0" borderId="0" xfId="30" applyNumberFormat="1" applyFont="1"/>
    <xf numFmtId="5" fontId="3" fillId="0" borderId="10" xfId="0" applyNumberFormat="1" applyFont="1" applyBorder="1"/>
    <xf numFmtId="5" fontId="3" fillId="0" borderId="0" xfId="0" applyNumberFormat="1" applyFont="1" applyBorder="1"/>
    <xf numFmtId="5" fontId="3" fillId="0" borderId="18" xfId="0" applyNumberFormat="1" applyFont="1" applyBorder="1"/>
    <xf numFmtId="10" fontId="3" fillId="0" borderId="16" xfId="30" applyNumberFormat="1" applyFont="1" applyBorder="1"/>
    <xf numFmtId="0" fontId="3" fillId="0" borderId="0" xfId="27" applyFont="1"/>
    <xf numFmtId="37" fontId="3" fillId="0" borderId="0" xfId="16" applyNumberFormat="1" applyFont="1"/>
    <xf numFmtId="0" fontId="3" fillId="0" borderId="0" xfId="27" applyNumberFormat="1" applyFont="1" applyAlignment="1">
      <alignment horizontal="left"/>
    </xf>
    <xf numFmtId="0" fontId="3" fillId="0" borderId="0" xfId="27" applyNumberFormat="1" applyFont="1" applyAlignment="1">
      <alignment horizontal="center"/>
    </xf>
    <xf numFmtId="0" fontId="5" fillId="0" borderId="0" xfId="27" applyNumberFormat="1" applyFont="1" applyAlignment="1">
      <alignment horizontal="center"/>
    </xf>
    <xf numFmtId="0" fontId="5" fillId="0" borderId="0" xfId="27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27" applyNumberFormat="1" applyFont="1" applyBorder="1" applyAlignment="1">
      <alignment horizontal="center"/>
    </xf>
    <xf numFmtId="0" fontId="5" fillId="0" borderId="2" xfId="27" applyNumberFormat="1" applyFont="1" applyBorder="1" applyAlignment="1">
      <alignment horizontal="center"/>
    </xf>
    <xf numFmtId="0" fontId="5" fillId="0" borderId="2" xfId="27" applyFont="1" applyBorder="1" applyAlignment="1">
      <alignment horizontal="center"/>
    </xf>
    <xf numFmtId="0" fontId="5" fillId="0" borderId="3" xfId="27" applyFont="1" applyBorder="1" applyAlignment="1">
      <alignment horizontal="center"/>
    </xf>
    <xf numFmtId="0" fontId="5" fillId="0" borderId="4" xfId="27" applyFont="1" applyBorder="1" applyAlignment="1">
      <alignment horizontal="center"/>
    </xf>
    <xf numFmtId="0" fontId="5" fillId="0" borderId="5" xfId="27" applyNumberFormat="1" applyFont="1" applyBorder="1" applyAlignment="1">
      <alignment horizontal="center"/>
    </xf>
    <xf numFmtId="0" fontId="5" fillId="0" borderId="6" xfId="27" applyNumberFormat="1" applyFont="1" applyBorder="1" applyAlignment="1">
      <alignment horizontal="center"/>
    </xf>
    <xf numFmtId="0" fontId="5" fillId="0" borderId="6" xfId="27" applyFont="1" applyBorder="1" applyAlignment="1">
      <alignment horizontal="center"/>
    </xf>
    <xf numFmtId="0" fontId="5" fillId="0" borderId="0" xfId="27" applyFont="1" applyBorder="1" applyAlignment="1">
      <alignment horizontal="center"/>
    </xf>
    <xf numFmtId="0" fontId="5" fillId="0" borderId="7" xfId="27" applyFont="1" applyBorder="1" applyAlignment="1">
      <alignment horizontal="center"/>
    </xf>
    <xf numFmtId="0" fontId="5" fillId="0" borderId="8" xfId="27" applyNumberFormat="1" applyFont="1" applyBorder="1" applyAlignment="1">
      <alignment horizontal="center"/>
    </xf>
    <xf numFmtId="0" fontId="5" fillId="0" borderId="9" xfId="27" applyNumberFormat="1" applyFont="1" applyBorder="1" applyAlignment="1">
      <alignment horizontal="center"/>
    </xf>
    <xf numFmtId="0" fontId="5" fillId="0" borderId="9" xfId="27" applyFont="1" applyBorder="1" applyAlignment="1">
      <alignment horizontal="center"/>
    </xf>
    <xf numFmtId="0" fontId="5" fillId="0" borderId="10" xfId="27" applyFont="1" applyBorder="1" applyAlignment="1">
      <alignment horizontal="center"/>
    </xf>
    <xf numFmtId="0" fontId="5" fillId="0" borderId="11" xfId="27" applyFont="1" applyBorder="1" applyAlignment="1">
      <alignment horizontal="center"/>
    </xf>
    <xf numFmtId="0" fontId="7" fillId="0" borderId="0" xfId="27" applyNumberFormat="1" applyFont="1" applyAlignment="1">
      <alignment horizontal="center"/>
    </xf>
    <xf numFmtId="0" fontId="7" fillId="0" borderId="0" xfId="27" applyFont="1" applyAlignment="1">
      <alignment horizontal="center"/>
    </xf>
    <xf numFmtId="10" fontId="3" fillId="0" borderId="0" xfId="28" applyNumberFormat="1" applyFont="1"/>
    <xf numFmtId="37" fontId="3" fillId="0" borderId="0" xfId="27" applyNumberFormat="1" applyFont="1" applyBorder="1" applyAlignment="1">
      <alignment horizontal="center"/>
    </xf>
    <xf numFmtId="0" fontId="3" fillId="0" borderId="0" xfId="27" applyFont="1" applyBorder="1"/>
    <xf numFmtId="0" fontId="13" fillId="0" borderId="13" xfId="0" applyFont="1" applyBorder="1"/>
    <xf numFmtId="37" fontId="5" fillId="0" borderId="15" xfId="27" applyNumberFormat="1" applyFont="1" applyBorder="1" applyAlignment="1">
      <alignment horizontal="center"/>
    </xf>
    <xf numFmtId="37" fontId="5" fillId="0" borderId="14" xfId="27" applyNumberFormat="1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5" fontId="42" fillId="0" borderId="0" xfId="0" applyNumberFormat="1" applyFont="1" applyBorder="1"/>
    <xf numFmtId="10" fontId="42" fillId="0" borderId="0" xfId="30" applyNumberFormat="1" applyFont="1"/>
    <xf numFmtId="176" fontId="3" fillId="0" borderId="0" xfId="1" applyNumberFormat="1" applyFont="1" applyBorder="1"/>
    <xf numFmtId="171" fontId="3" fillId="0" borderId="0" xfId="30" applyNumberFormat="1" applyFont="1"/>
    <xf numFmtId="37" fontId="3" fillId="0" borderId="15" xfId="28" applyNumberFormat="1" applyFont="1" applyBorder="1"/>
    <xf numFmtId="37" fontId="3" fillId="0" borderId="12" xfId="28" applyNumberFormat="1" applyFont="1" applyBorder="1"/>
    <xf numFmtId="176" fontId="3" fillId="0" borderId="0" xfId="1" applyNumberFormat="1" applyFont="1"/>
    <xf numFmtId="176" fontId="3" fillId="0" borderId="10" xfId="1" applyNumberFormat="1" applyFont="1" applyBorder="1"/>
    <xf numFmtId="176" fontId="3" fillId="0" borderId="15" xfId="1" applyNumberFormat="1" applyFont="1" applyBorder="1"/>
    <xf numFmtId="176" fontId="3" fillId="0" borderId="12" xfId="1" applyNumberFormat="1" applyFont="1" applyBorder="1"/>
    <xf numFmtId="170" fontId="13" fillId="0" borderId="0" xfId="0" applyNumberFormat="1" applyFont="1" applyAlignment="1">
      <alignment horizontal="center"/>
    </xf>
    <xf numFmtId="170" fontId="60" fillId="0" borderId="0" xfId="0" applyNumberFormat="1" applyFont="1"/>
    <xf numFmtId="14" fontId="60" fillId="0" borderId="0" xfId="0" applyNumberFormat="1" applyFont="1"/>
    <xf numFmtId="0" fontId="60" fillId="0" borderId="0" xfId="0" applyFont="1"/>
    <xf numFmtId="170" fontId="60" fillId="0" borderId="0" xfId="0" applyNumberFormat="1" applyFont="1" applyAlignment="1">
      <alignment horizontal="right"/>
    </xf>
    <xf numFmtId="170" fontId="12" fillId="0" borderId="0" xfId="0" applyNumberFormat="1" applyFont="1"/>
    <xf numFmtId="170" fontId="61" fillId="0" borderId="0" xfId="0" applyNumberFormat="1" applyFont="1" applyAlignment="1">
      <alignment horizontal="center"/>
    </xf>
    <xf numFmtId="170" fontId="13" fillId="0" borderId="0" xfId="0" applyNumberFormat="1" applyFont="1"/>
    <xf numFmtId="5" fontId="12" fillId="0" borderId="0" xfId="1" applyNumberFormat="1" applyFont="1"/>
    <xf numFmtId="176" fontId="12" fillId="0" borderId="0" xfId="1" applyNumberFormat="1" applyFont="1"/>
    <xf numFmtId="170" fontId="62" fillId="0" borderId="0" xfId="0" applyNumberFormat="1" applyFont="1"/>
    <xf numFmtId="176" fontId="12" fillId="0" borderId="15" xfId="1" applyNumberFormat="1" applyFont="1" applyBorder="1"/>
    <xf numFmtId="176" fontId="12" fillId="0" borderId="0" xfId="1" applyNumberFormat="1" applyFont="1" applyBorder="1"/>
    <xf numFmtId="10" fontId="62" fillId="0" borderId="0" xfId="0" applyNumberFormat="1" applyFont="1"/>
    <xf numFmtId="176" fontId="12" fillId="0" borderId="10" xfId="1" applyNumberFormat="1" applyFont="1" applyBorder="1"/>
    <xf numFmtId="164" fontId="12" fillId="0" borderId="12" xfId="1" applyNumberFormat="1" applyFont="1" applyBorder="1"/>
    <xf numFmtId="0" fontId="41" fillId="0" borderId="0" xfId="0" applyFont="1"/>
    <xf numFmtId="3" fontId="3" fillId="0" borderId="0" xfId="0" applyNumberFormat="1" applyFont="1" applyAlignment="1">
      <alignment horizontal="center"/>
    </xf>
    <xf numFmtId="165" fontId="3" fillId="0" borderId="0" xfId="20" applyNumberFormat="1" applyFont="1" applyBorder="1"/>
    <xf numFmtId="0" fontId="3" fillId="0" borderId="0" xfId="20" applyFont="1" applyBorder="1"/>
    <xf numFmtId="166" fontId="3" fillId="0" borderId="0" xfId="20" applyNumberFormat="1" applyFont="1" applyBorder="1" applyAlignment="1">
      <alignment horizontal="center"/>
    </xf>
    <xf numFmtId="165" fontId="3" fillId="0" borderId="0" xfId="21" applyNumberFormat="1" applyFont="1" applyBorder="1"/>
    <xf numFmtId="0" fontId="3" fillId="0" borderId="0" xfId="21" applyFont="1" applyBorder="1"/>
    <xf numFmtId="37" fontId="3" fillId="2" borderId="0" xfId="16" applyNumberFormat="1" applyFont="1" applyFill="1" applyAlignment="1">
      <alignment horizontal="center"/>
    </xf>
    <xf numFmtId="10" fontId="3" fillId="2" borderId="0" xfId="30" applyNumberFormat="1" applyFont="1" applyFill="1"/>
    <xf numFmtId="37" fontId="3" fillId="3" borderId="0" xfId="16" applyNumberFormat="1" applyFont="1" applyFill="1" applyAlignment="1">
      <alignment horizontal="center"/>
    </xf>
    <xf numFmtId="10" fontId="3" fillId="3" borderId="0" xfId="30" applyNumberFormat="1" applyFont="1" applyFill="1"/>
    <xf numFmtId="170" fontId="37" fillId="0" borderId="0" xfId="0" applyNumberFormat="1" applyFont="1"/>
    <xf numFmtId="0" fontId="63" fillId="0" borderId="0" xfId="0" applyFont="1"/>
    <xf numFmtId="170" fontId="37" fillId="0" borderId="15" xfId="0" applyNumberFormat="1" applyFont="1" applyBorder="1"/>
    <xf numFmtId="5" fontId="3" fillId="0" borderId="0" xfId="29" applyNumberFormat="1" applyFont="1" applyBorder="1"/>
    <xf numFmtId="37" fontId="3" fillId="0" borderId="3" xfId="29" applyNumberFormat="1" applyFont="1" applyBorder="1"/>
    <xf numFmtId="5" fontId="57" fillId="0" borderId="0" xfId="29" applyNumberFormat="1" applyFont="1"/>
    <xf numFmtId="37" fontId="57" fillId="0" borderId="0" xfId="29" applyNumberFormat="1" applyFont="1"/>
    <xf numFmtId="37" fontId="57" fillId="0" borderId="0" xfId="29" applyNumberFormat="1" applyFont="1" applyBorder="1"/>
    <xf numFmtId="37" fontId="57" fillId="0" borderId="10" xfId="29" applyNumberFormat="1" applyFont="1" applyBorder="1"/>
    <xf numFmtId="0" fontId="64" fillId="0" borderId="0" xfId="0" applyFont="1"/>
    <xf numFmtId="170" fontId="65" fillId="0" borderId="0" xfId="10" applyNumberFormat="1" applyFont="1" applyFill="1"/>
    <xf numFmtId="5" fontId="37" fillId="0" borderId="10" xfId="23" applyNumberFormat="1" applyFont="1" applyBorder="1"/>
    <xf numFmtId="3" fontId="5" fillId="0" borderId="1" xfId="27" applyNumberFormat="1" applyFont="1" applyBorder="1" applyAlignment="1">
      <alignment horizontal="center"/>
    </xf>
    <xf numFmtId="3" fontId="5" fillId="0" borderId="5" xfId="27" applyNumberFormat="1" applyFont="1" applyBorder="1" applyAlignment="1">
      <alignment horizontal="center"/>
    </xf>
    <xf numFmtId="3" fontId="5" fillId="0" borderId="8" xfId="27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0" fillId="0" borderId="0" xfId="0" applyFill="1"/>
    <xf numFmtId="37" fontId="3" fillId="0" borderId="0" xfId="16" applyNumberFormat="1" applyFont="1" applyFill="1" applyAlignment="1">
      <alignment horizontal="center"/>
    </xf>
    <xf numFmtId="37" fontId="50" fillId="0" borderId="0" xfId="27" applyNumberFormat="1" applyFont="1" applyAlignment="1">
      <alignment horizontal="left"/>
    </xf>
    <xf numFmtId="0" fontId="68" fillId="0" borderId="0" xfId="0" applyFont="1" applyAlignment="1">
      <alignment horizontal="left"/>
    </xf>
    <xf numFmtId="3" fontId="50" fillId="0" borderId="5" xfId="27" applyNumberFormat="1" applyFont="1" applyBorder="1" applyAlignment="1">
      <alignment horizontal="center"/>
    </xf>
    <xf numFmtId="3" fontId="50" fillId="0" borderId="8" xfId="27" applyNumberFormat="1" applyFont="1" applyBorder="1" applyAlignment="1">
      <alignment horizontal="center"/>
    </xf>
    <xf numFmtId="3" fontId="50" fillId="0" borderId="8" xfId="28" quotePrefix="1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10" fontId="39" fillId="0" borderId="0" xfId="0" applyNumberFormat="1" applyFont="1" applyAlignment="1">
      <alignment horizontal="center"/>
    </xf>
    <xf numFmtId="10" fontId="69" fillId="0" borderId="0" xfId="0" applyNumberFormat="1" applyFont="1" applyAlignment="1">
      <alignment horizontal="center"/>
    </xf>
    <xf numFmtId="3" fontId="39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3" fontId="49" fillId="0" borderId="0" xfId="27" applyNumberFormat="1" applyFont="1" applyAlignment="1">
      <alignment horizontal="center"/>
    </xf>
    <xf numFmtId="0" fontId="50" fillId="2" borderId="0" xfId="0" applyFont="1" applyFill="1" applyAlignment="1">
      <alignment horizontal="center"/>
    </xf>
    <xf numFmtId="0" fontId="0" fillId="4" borderId="0" xfId="0" applyFill="1"/>
    <xf numFmtId="37" fontId="3" fillId="4" borderId="0" xfId="27" applyNumberFormat="1" applyFont="1" applyFill="1"/>
    <xf numFmtId="0" fontId="13" fillId="4" borderId="13" xfId="0" applyFont="1" applyFill="1" applyBorder="1"/>
    <xf numFmtId="37" fontId="5" fillId="4" borderId="15" xfId="27" applyNumberFormat="1" applyFont="1" applyFill="1" applyBorder="1" applyAlignment="1">
      <alignment horizontal="center"/>
    </xf>
    <xf numFmtId="37" fontId="5" fillId="4" borderId="14" xfId="27" applyNumberFormat="1" applyFont="1" applyFill="1" applyBorder="1"/>
    <xf numFmtId="0" fontId="12" fillId="4" borderId="0" xfId="0" applyFont="1" applyFill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37" fontId="3" fillId="4" borderId="0" xfId="27" applyNumberFormat="1" applyFont="1" applyFill="1" applyBorder="1"/>
    <xf numFmtId="0" fontId="3" fillId="4" borderId="0" xfId="0" applyFont="1" applyFill="1"/>
    <xf numFmtId="5" fontId="42" fillId="4" borderId="0" xfId="0" applyNumberFormat="1" applyFont="1" applyFill="1" applyBorder="1"/>
    <xf numFmtId="10" fontId="59" fillId="4" borderId="0" xfId="30" applyNumberFormat="1" applyFont="1" applyFill="1"/>
    <xf numFmtId="176" fontId="3" fillId="4" borderId="0" xfId="1" applyNumberFormat="1" applyFont="1" applyFill="1" applyBorder="1"/>
    <xf numFmtId="10" fontId="3" fillId="4" borderId="0" xfId="30" applyNumberFormat="1" applyFont="1" applyFill="1"/>
    <xf numFmtId="10" fontId="42" fillId="4" borderId="0" xfId="30" applyNumberFormat="1" applyFont="1" applyFill="1"/>
    <xf numFmtId="0" fontId="71" fillId="0" borderId="0" xfId="0" applyFont="1" applyBorder="1" applyAlignment="1">
      <alignment horizontal="center"/>
    </xf>
    <xf numFmtId="171" fontId="3" fillId="4" borderId="0" xfId="30" applyNumberFormat="1" applyFont="1" applyFill="1"/>
    <xf numFmtId="5" fontId="3" fillId="4" borderId="0" xfId="0" applyNumberFormat="1" applyFont="1" applyFill="1" applyBorder="1"/>
    <xf numFmtId="10" fontId="3" fillId="4" borderId="16" xfId="30" applyNumberFormat="1" applyFont="1" applyFill="1" applyBorder="1"/>
    <xf numFmtId="0" fontId="63" fillId="2" borderId="0" xfId="0" applyFont="1" applyFill="1"/>
    <xf numFmtId="0" fontId="70" fillId="2" borderId="0" xfId="0" applyFont="1" applyFill="1"/>
    <xf numFmtId="0" fontId="0" fillId="2" borderId="0" xfId="0" applyFill="1"/>
    <xf numFmtId="3" fontId="39" fillId="0" borderId="0" xfId="23" applyNumberFormat="1" applyFont="1"/>
    <xf numFmtId="171" fontId="59" fillId="0" borderId="0" xfId="30" applyNumberFormat="1" applyFont="1"/>
    <xf numFmtId="171" fontId="59" fillId="4" borderId="0" xfId="30" applyNumberFormat="1" applyFont="1" applyFill="1"/>
    <xf numFmtId="178" fontId="39" fillId="0" borderId="0" xfId="3" applyNumberFormat="1" applyFont="1" applyAlignment="1">
      <alignment horizontal="center"/>
    </xf>
    <xf numFmtId="10" fontId="39" fillId="0" borderId="0" xfId="30" applyNumberFormat="1" applyFont="1" applyAlignment="1">
      <alignment horizontal="center"/>
    </xf>
    <xf numFmtId="10" fontId="39" fillId="0" borderId="0" xfId="0" applyNumberFormat="1" applyFont="1" applyBorder="1"/>
    <xf numFmtId="178" fontId="39" fillId="0" borderId="0" xfId="3" applyNumberFormat="1" applyFont="1" applyBorder="1"/>
    <xf numFmtId="0" fontId="39" fillId="0" borderId="0" xfId="0" applyFont="1" applyBorder="1"/>
    <xf numFmtId="0" fontId="63" fillId="0" borderId="0" xfId="0" applyFont="1" applyAlignment="1">
      <alignment horizontal="right"/>
    </xf>
    <xf numFmtId="3" fontId="43" fillId="0" borderId="1" xfId="28" applyNumberFormat="1" applyFont="1" applyBorder="1" applyAlignment="1">
      <alignment horizontal="center"/>
    </xf>
    <xf numFmtId="3" fontId="43" fillId="0" borderId="5" xfId="28" applyNumberFormat="1" applyFont="1" applyBorder="1" applyAlignment="1">
      <alignment horizontal="center"/>
    </xf>
    <xf numFmtId="3" fontId="43" fillId="0" borderId="8" xfId="28" applyNumberFormat="1" applyFont="1" applyBorder="1" applyAlignment="1">
      <alignment horizontal="center"/>
    </xf>
    <xf numFmtId="3" fontId="42" fillId="0" borderId="0" xfId="28" applyNumberFormat="1" applyFont="1" applyAlignment="1">
      <alignment horizontal="center"/>
    </xf>
    <xf numFmtId="3" fontId="43" fillId="0" borderId="0" xfId="28" applyNumberFormat="1" applyFont="1"/>
    <xf numFmtId="3" fontId="43" fillId="0" borderId="1" xfId="28" applyNumberFormat="1" applyFont="1" applyFill="1" applyBorder="1" applyAlignment="1">
      <alignment horizontal="center"/>
    </xf>
    <xf numFmtId="3" fontId="43" fillId="0" borderId="5" xfId="28" applyNumberFormat="1" applyFont="1" applyFill="1" applyBorder="1" applyAlignment="1">
      <alignment horizontal="center"/>
    </xf>
    <xf numFmtId="3" fontId="43" fillId="0" borderId="8" xfId="28" applyNumberFormat="1" applyFont="1" applyFill="1" applyBorder="1" applyAlignment="1">
      <alignment horizontal="center"/>
    </xf>
    <xf numFmtId="3" fontId="43" fillId="0" borderId="8" xfId="28" quotePrefix="1" applyNumberFormat="1" applyFont="1" applyFill="1" applyBorder="1" applyAlignment="1">
      <alignment horizontal="center"/>
    </xf>
    <xf numFmtId="3" fontId="42" fillId="0" borderId="0" xfId="27" applyNumberFormat="1" applyFont="1" applyAlignment="1">
      <alignment horizontal="center"/>
    </xf>
    <xf numFmtId="37" fontId="3" fillId="0" borderId="0" xfId="19" applyNumberFormat="1" applyFont="1" applyBorder="1"/>
    <xf numFmtId="37" fontId="3" fillId="0" borderId="3" xfId="20" applyNumberFormat="1" applyFont="1" applyBorder="1"/>
    <xf numFmtId="37" fontId="3" fillId="0" borderId="0" xfId="8" applyNumberFormat="1" applyFont="1" applyBorder="1"/>
    <xf numFmtId="37" fontId="3" fillId="0" borderId="15" xfId="8" applyNumberFormat="1" applyFont="1" applyBorder="1"/>
    <xf numFmtId="37" fontId="3" fillId="0" borderId="3" xfId="8" applyNumberFormat="1" applyFont="1" applyBorder="1"/>
    <xf numFmtId="3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/>
    <xf numFmtId="0" fontId="24" fillId="0" borderId="0" xfId="0" applyFont="1" applyFill="1"/>
    <xf numFmtId="37" fontId="24" fillId="0" borderId="0" xfId="0" applyNumberFormat="1" applyFont="1" applyFill="1"/>
    <xf numFmtId="0" fontId="27" fillId="0" borderId="0" xfId="0" applyFont="1" applyFill="1" applyAlignment="1">
      <alignment horizontal="center"/>
    </xf>
    <xf numFmtId="0" fontId="12" fillId="0" borderId="0" xfId="0" applyFont="1" applyFill="1" applyBorder="1"/>
    <xf numFmtId="37" fontId="12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27" fillId="0" borderId="0" xfId="0" applyFont="1" applyFill="1"/>
    <xf numFmtId="0" fontId="27" fillId="0" borderId="0" xfId="0" applyFont="1" applyFill="1" applyBorder="1"/>
    <xf numFmtId="37" fontId="27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5" borderId="0" xfId="0" applyFont="1" applyFill="1"/>
    <xf numFmtId="10" fontId="27" fillId="0" borderId="0" xfId="0" applyNumberFormat="1" applyFont="1" applyFill="1" applyBorder="1"/>
    <xf numFmtId="37" fontId="72" fillId="0" borderId="10" xfId="4" applyNumberFormat="1" applyFont="1" applyBorder="1"/>
    <xf numFmtId="170" fontId="73" fillId="0" borderId="0" xfId="0" applyNumberFormat="1" applyFont="1"/>
    <xf numFmtId="170" fontId="61" fillId="0" borderId="0" xfId="0" applyNumberFormat="1" applyFont="1"/>
    <xf numFmtId="170" fontId="12" fillId="0" borderId="15" xfId="0" applyNumberFormat="1" applyFont="1" applyBorder="1"/>
    <xf numFmtId="10" fontId="12" fillId="0" borderId="0" xfId="0" applyNumberFormat="1" applyFont="1"/>
    <xf numFmtId="170" fontId="39" fillId="0" borderId="0" xfId="0" applyNumberFormat="1" applyFont="1"/>
    <xf numFmtId="170" fontId="74" fillId="0" borderId="15" xfId="0" applyNumberFormat="1" applyFont="1" applyBorder="1"/>
    <xf numFmtId="37" fontId="49" fillId="0" borderId="10" xfId="8" applyNumberFormat="1" applyFont="1" applyBorder="1"/>
    <xf numFmtId="0" fontId="49" fillId="0" borderId="0" xfId="0" applyFont="1" applyAlignment="1">
      <alignment horizontal="right"/>
    </xf>
    <xf numFmtId="178" fontId="39" fillId="0" borderId="0" xfId="3" applyNumberFormat="1" applyFont="1"/>
    <xf numFmtId="164" fontId="39" fillId="0" borderId="0" xfId="23" applyNumberFormat="1" applyFont="1"/>
    <xf numFmtId="0" fontId="39" fillId="0" borderId="0" xfId="23" applyFont="1" applyFill="1"/>
    <xf numFmtId="3" fontId="12" fillId="0" borderId="0" xfId="23" applyNumberFormat="1" applyFont="1" applyFill="1"/>
    <xf numFmtId="0" fontId="37" fillId="2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75" fillId="0" borderId="0" xfId="28" applyNumberFormat="1" applyFont="1"/>
    <xf numFmtId="169" fontId="42" fillId="0" borderId="0" xfId="28" applyNumberFormat="1" applyFont="1"/>
    <xf numFmtId="169" fontId="42" fillId="0" borderId="10" xfId="17" applyNumberFormat="1" applyFont="1" applyFill="1" applyBorder="1"/>
    <xf numFmtId="37" fontId="42" fillId="0" borderId="0" xfId="28" applyNumberFormat="1" applyFont="1" applyBorder="1"/>
    <xf numFmtId="0" fontId="42" fillId="0" borderId="0" xfId="28" applyFont="1"/>
    <xf numFmtId="3" fontId="42" fillId="0" borderId="0" xfId="28" applyNumberFormat="1" applyFont="1" applyFill="1" applyBorder="1"/>
    <xf numFmtId="177" fontId="3" fillId="0" borderId="0" xfId="27" applyNumberFormat="1" applyFont="1" applyFill="1"/>
    <xf numFmtId="3" fontId="3" fillId="0" borderId="0" xfId="27" applyNumberFormat="1" applyFont="1" applyFill="1"/>
    <xf numFmtId="3" fontId="3" fillId="0" borderId="0" xfId="28" applyNumberFormat="1" applyFont="1" applyFill="1"/>
    <xf numFmtId="0" fontId="3" fillId="0" borderId="0" xfId="28" applyNumberFormat="1" applyFont="1" applyFill="1" applyAlignment="1">
      <alignment horizontal="left"/>
    </xf>
    <xf numFmtId="0" fontId="3" fillId="0" borderId="0" xfId="28" applyFont="1" applyFill="1"/>
    <xf numFmtId="0" fontId="3" fillId="0" borderId="0" xfId="27" applyFont="1" applyFill="1"/>
    <xf numFmtId="0" fontId="2" fillId="0" borderId="0" xfId="28" applyFont="1" applyFill="1"/>
    <xf numFmtId="0" fontId="3" fillId="0" borderId="0" xfId="28" applyNumberFormat="1" applyFont="1" applyFill="1" applyAlignment="1">
      <alignment horizontal="center"/>
    </xf>
    <xf numFmtId="0" fontId="76" fillId="0" borderId="0" xfId="0" applyFont="1" applyFill="1"/>
    <xf numFmtId="37" fontId="4" fillId="2" borderId="10" xfId="0" applyNumberFormat="1" applyFont="1" applyFill="1" applyBorder="1"/>
    <xf numFmtId="0" fontId="38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37" fontId="57" fillId="0" borderId="10" xfId="19" applyNumberFormat="1" applyFont="1" applyBorder="1"/>
    <xf numFmtId="37" fontId="57" fillId="0" borderId="0" xfId="19" applyNumberFormat="1" applyFont="1"/>
    <xf numFmtId="5" fontId="57" fillId="0" borderId="0" xfId="19" applyNumberFormat="1" applyFont="1"/>
    <xf numFmtId="37" fontId="3" fillId="6" borderId="0" xfId="27" applyNumberFormat="1" applyFont="1" applyFill="1"/>
    <xf numFmtId="0" fontId="12" fillId="6" borderId="0" xfId="0" applyFont="1" applyFill="1"/>
    <xf numFmtId="37" fontId="3" fillId="6" borderId="0" xfId="27" applyNumberFormat="1" applyFont="1" applyFill="1" applyBorder="1"/>
    <xf numFmtId="0" fontId="3" fillId="6" borderId="0" xfId="0" applyFont="1" applyFill="1"/>
    <xf numFmtId="10" fontId="59" fillId="6" borderId="0" xfId="30" applyNumberFormat="1" applyFont="1" applyFill="1"/>
    <xf numFmtId="171" fontId="59" fillId="6" borderId="0" xfId="30" applyNumberFormat="1" applyFont="1" applyFill="1"/>
    <xf numFmtId="176" fontId="3" fillId="6" borderId="0" xfId="1" applyNumberFormat="1" applyFont="1" applyFill="1" applyBorder="1"/>
    <xf numFmtId="37" fontId="3" fillId="6" borderId="0" xfId="16" applyNumberFormat="1" applyFont="1" applyFill="1" applyAlignment="1">
      <alignment horizontal="center"/>
    </xf>
    <xf numFmtId="10" fontId="3" fillId="6" borderId="0" xfId="30" applyNumberFormat="1" applyFont="1" applyFill="1"/>
    <xf numFmtId="171" fontId="3" fillId="6" borderId="0" xfId="30" applyNumberFormat="1" applyFont="1" applyFill="1"/>
    <xf numFmtId="5" fontId="3" fillId="6" borderId="0" xfId="0" applyNumberFormat="1" applyFont="1" applyFill="1" applyBorder="1"/>
    <xf numFmtId="10" fontId="3" fillId="6" borderId="16" xfId="30" applyNumberFormat="1" applyFont="1" applyFill="1" applyBorder="1"/>
    <xf numFmtId="0" fontId="12" fillId="6" borderId="13" xfId="0" applyFont="1" applyFill="1" applyBorder="1"/>
    <xf numFmtId="37" fontId="3" fillId="6" borderId="15" xfId="27" applyNumberFormat="1" applyFont="1" applyFill="1" applyBorder="1" applyAlignment="1">
      <alignment horizontal="center"/>
    </xf>
    <xf numFmtId="37" fontId="3" fillId="6" borderId="14" xfId="27" applyNumberFormat="1" applyFont="1" applyFill="1" applyBorder="1"/>
    <xf numFmtId="0" fontId="3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3" fontId="80" fillId="0" borderId="0" xfId="0" applyNumberFormat="1" applyFont="1" applyFill="1"/>
    <xf numFmtId="3" fontId="3" fillId="0" borderId="0" xfId="0" applyNumberFormat="1" applyFont="1" applyFill="1"/>
    <xf numFmtId="3" fontId="12" fillId="0" borderId="0" xfId="24" applyNumberFormat="1" applyFont="1" applyFill="1" applyAlignment="1">
      <alignment horizontal="center"/>
    </xf>
    <xf numFmtId="3" fontId="12" fillId="0" borderId="0" xfId="24" applyNumberFormat="1" applyFont="1" applyFill="1" applyAlignment="1">
      <alignment horizontal="left"/>
    </xf>
    <xf numFmtId="0" fontId="12" fillId="0" borderId="0" xfId="23" applyFont="1" applyFill="1"/>
    <xf numFmtId="3" fontId="63" fillId="0" borderId="0" xfId="23" applyNumberFormat="1" applyFont="1" applyAlignment="1">
      <alignment horizontal="center"/>
    </xf>
    <xf numFmtId="37" fontId="3" fillId="5" borderId="0" xfId="27" applyNumberFormat="1" applyFont="1" applyFill="1"/>
    <xf numFmtId="0" fontId="13" fillId="5" borderId="13" xfId="0" applyFont="1" applyFill="1" applyBorder="1"/>
    <xf numFmtId="37" fontId="5" fillId="5" borderId="15" xfId="27" applyNumberFormat="1" applyFont="1" applyFill="1" applyBorder="1" applyAlignment="1">
      <alignment horizontal="center"/>
    </xf>
    <xf numFmtId="37" fontId="5" fillId="5" borderId="14" xfId="27" applyNumberFormat="1" applyFont="1" applyFill="1" applyBorder="1"/>
    <xf numFmtId="37" fontId="3" fillId="5" borderId="0" xfId="16" applyNumberFormat="1" applyFont="1" applyFill="1"/>
    <xf numFmtId="0" fontId="5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10" xfId="0" applyFont="1" applyFill="1" applyBorder="1" applyAlignment="1">
      <alignment horizontal="center"/>
    </xf>
    <xf numFmtId="37" fontId="3" fillId="5" borderId="0" xfId="27" applyNumberFormat="1" applyFont="1" applyFill="1" applyBorder="1"/>
    <xf numFmtId="5" fontId="42" fillId="5" borderId="0" xfId="0" applyNumberFormat="1" applyFont="1" applyFill="1" applyBorder="1"/>
    <xf numFmtId="10" fontId="59" fillId="5" borderId="0" xfId="30" applyNumberFormat="1" applyFont="1" applyFill="1"/>
    <xf numFmtId="176" fontId="3" fillId="5" borderId="0" xfId="1" applyNumberFormat="1" applyFont="1" applyFill="1" applyBorder="1"/>
    <xf numFmtId="171" fontId="59" fillId="5" borderId="0" xfId="30" applyNumberFormat="1" applyFont="1" applyFill="1"/>
    <xf numFmtId="37" fontId="3" fillId="5" borderId="0" xfId="16" applyNumberFormat="1" applyFont="1" applyFill="1" applyAlignment="1">
      <alignment horizontal="center"/>
    </xf>
    <xf numFmtId="10" fontId="3" fillId="5" borderId="0" xfId="30" applyNumberFormat="1" applyFont="1" applyFill="1"/>
    <xf numFmtId="10" fontId="42" fillId="5" borderId="0" xfId="30" applyNumberFormat="1" applyFont="1" applyFill="1"/>
    <xf numFmtId="171" fontId="3" fillId="5" borderId="0" xfId="30" applyNumberFormat="1" applyFont="1" applyFill="1"/>
    <xf numFmtId="0" fontId="12" fillId="5" borderId="0" xfId="0" applyFont="1" applyFill="1"/>
    <xf numFmtId="5" fontId="3" fillId="5" borderId="0" xfId="0" applyNumberFormat="1" applyFont="1" applyFill="1" applyBorder="1"/>
    <xf numFmtId="10" fontId="3" fillId="5" borderId="16" xfId="30" applyNumberFormat="1" applyFont="1" applyFill="1" applyBorder="1"/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28" applyNumberFormat="1" applyFont="1" applyAlignment="1">
      <alignment horizontal="center"/>
    </xf>
    <xf numFmtId="179" fontId="57" fillId="0" borderId="0" xfId="0" applyNumberFormat="1" applyFont="1"/>
    <xf numFmtId="179" fontId="37" fillId="0" borderId="16" xfId="0" applyNumberFormat="1" applyFont="1" applyBorder="1"/>
    <xf numFmtId="0" fontId="5" fillId="0" borderId="0" xfId="27" applyFont="1"/>
    <xf numFmtId="0" fontId="5" fillId="7" borderId="0" xfId="27" applyNumberFormat="1" applyFont="1" applyFill="1" applyAlignment="1">
      <alignment horizontal="left"/>
    </xf>
    <xf numFmtId="0" fontId="5" fillId="8" borderId="0" xfId="27" applyNumberFormat="1" applyFont="1" applyFill="1" applyAlignment="1">
      <alignment horizontal="left"/>
    </xf>
    <xf numFmtId="3" fontId="3" fillId="9" borderId="0" xfId="28" applyNumberFormat="1" applyFont="1" applyFill="1"/>
    <xf numFmtId="0" fontId="3" fillId="7" borderId="0" xfId="28" applyFont="1" applyFill="1"/>
    <xf numFmtId="0" fontId="3" fillId="7" borderId="0" xfId="27" applyFont="1" applyFill="1"/>
    <xf numFmtId="3" fontId="3" fillId="7" borderId="0" xfId="27" applyNumberFormat="1" applyFont="1" applyFill="1"/>
    <xf numFmtId="3" fontId="3" fillId="7" borderId="0" xfId="28" applyNumberFormat="1" applyFont="1" applyFill="1"/>
    <xf numFmtId="0" fontId="3" fillId="7" borderId="0" xfId="28" applyNumberFormat="1" applyFont="1" applyFill="1" applyAlignment="1">
      <alignment horizontal="center"/>
    </xf>
    <xf numFmtId="0" fontId="5" fillId="8" borderId="0" xfId="27" applyFont="1" applyFill="1" applyAlignment="1">
      <alignment wrapText="1"/>
    </xf>
    <xf numFmtId="0" fontId="3" fillId="7" borderId="0" xfId="27" applyFont="1" applyFill="1" applyAlignment="1">
      <alignment horizontal="right"/>
    </xf>
    <xf numFmtId="0" fontId="3" fillId="8" borderId="0" xfId="28" applyFont="1" applyFill="1"/>
    <xf numFmtId="3" fontId="3" fillId="8" borderId="0" xfId="27" applyNumberFormat="1" applyFont="1" applyFill="1"/>
    <xf numFmtId="3" fontId="3" fillId="8" borderId="0" xfId="28" applyNumberFormat="1" applyFont="1" applyFill="1"/>
    <xf numFmtId="0" fontId="5" fillId="0" borderId="0" xfId="27" applyFont="1" applyFill="1"/>
    <xf numFmtId="0" fontId="81" fillId="0" borderId="0" xfId="0" applyFont="1"/>
    <xf numFmtId="3" fontId="82" fillId="0" borderId="0" xfId="28" applyNumberFormat="1" applyFont="1" applyFill="1"/>
    <xf numFmtId="3" fontId="83" fillId="0" borderId="0" xfId="28" applyNumberFormat="1" applyFont="1" applyFill="1"/>
    <xf numFmtId="3" fontId="5" fillId="8" borderId="0" xfId="28" applyNumberFormat="1" applyFont="1" applyFill="1" applyAlignment="1">
      <alignment horizontal="center"/>
    </xf>
    <xf numFmtId="3" fontId="5" fillId="0" borderId="1" xfId="28" applyNumberFormat="1" applyFont="1" applyFill="1" applyBorder="1" applyAlignment="1">
      <alignment horizontal="center"/>
    </xf>
    <xf numFmtId="3" fontId="3" fillId="0" borderId="1" xfId="28" applyNumberFormat="1" applyFont="1" applyFill="1" applyBorder="1" applyAlignment="1">
      <alignment horizontal="center"/>
    </xf>
    <xf numFmtId="3" fontId="5" fillId="8" borderId="1" xfId="28" applyNumberFormat="1" applyFont="1" applyFill="1" applyBorder="1" applyAlignment="1">
      <alignment horizontal="center"/>
    </xf>
    <xf numFmtId="3" fontId="5" fillId="0" borderId="5" xfId="28" applyNumberFormat="1" applyFont="1" applyFill="1" applyBorder="1" applyAlignment="1">
      <alignment horizontal="center"/>
    </xf>
    <xf numFmtId="3" fontId="3" fillId="0" borderId="5" xfId="28" applyNumberFormat="1" applyFont="1" applyFill="1" applyBorder="1" applyAlignment="1">
      <alignment horizontal="center"/>
    </xf>
    <xf numFmtId="3" fontId="5" fillId="8" borderId="5" xfId="28" applyNumberFormat="1" applyFont="1" applyFill="1" applyBorder="1" applyAlignment="1">
      <alignment horizontal="center"/>
    </xf>
    <xf numFmtId="3" fontId="5" fillId="0" borderId="8" xfId="28" applyNumberFormat="1" applyFont="1" applyFill="1" applyBorder="1" applyAlignment="1">
      <alignment horizontal="center"/>
    </xf>
    <xf numFmtId="3" fontId="5" fillId="8" borderId="8" xfId="28" applyNumberFormat="1" applyFont="1" applyFill="1" applyBorder="1" applyAlignment="1">
      <alignment horizontal="center"/>
    </xf>
    <xf numFmtId="3" fontId="5" fillId="0" borderId="8" xfId="28" quotePrefix="1" applyNumberFormat="1" applyFont="1" applyFill="1" applyBorder="1" applyAlignment="1">
      <alignment horizontal="center"/>
    </xf>
    <xf numFmtId="3" fontId="3" fillId="8" borderId="0" xfId="28" applyNumberFormat="1" applyFont="1" applyFill="1" applyBorder="1" applyAlignment="1">
      <alignment horizontal="center"/>
    </xf>
    <xf numFmtId="3" fontId="3" fillId="0" borderId="0" xfId="28" applyNumberFormat="1" applyFont="1" applyFill="1" applyBorder="1"/>
    <xf numFmtId="169" fontId="3" fillId="8" borderId="0" xfId="17" applyNumberFormat="1" applyFont="1" applyFill="1"/>
    <xf numFmtId="168" fontId="3" fillId="8" borderId="0" xfId="17" applyNumberFormat="1" applyFont="1" applyFill="1"/>
    <xf numFmtId="168" fontId="3" fillId="8" borderId="10" xfId="17" applyNumberFormat="1" applyFont="1" applyFill="1" applyBorder="1"/>
    <xf numFmtId="37" fontId="3" fillId="8" borderId="0" xfId="28" applyNumberFormat="1" applyFont="1" applyFill="1"/>
    <xf numFmtId="169" fontId="3" fillId="0" borderId="10" xfId="17" applyNumberFormat="1" applyFont="1" applyFill="1" applyBorder="1"/>
    <xf numFmtId="168" fontId="3" fillId="8" borderId="0" xfId="17" applyNumberFormat="1" applyFont="1" applyFill="1" applyBorder="1"/>
    <xf numFmtId="37" fontId="3" fillId="8" borderId="10" xfId="28" applyNumberFormat="1" applyFont="1" applyFill="1" applyBorder="1"/>
    <xf numFmtId="5" fontId="3" fillId="8" borderId="12" xfId="28" applyNumberFormat="1" applyFont="1" applyFill="1" applyBorder="1"/>
    <xf numFmtId="168" fontId="5" fillId="0" borderId="0" xfId="17" applyNumberFormat="1" applyFont="1" applyFill="1"/>
    <xf numFmtId="169" fontId="5" fillId="0" borderId="0" xfId="17" applyNumberFormat="1" applyFont="1" applyFill="1"/>
    <xf numFmtId="168" fontId="5" fillId="0" borderId="10" xfId="17" applyNumberFormat="1" applyFont="1" applyFill="1" applyBorder="1"/>
    <xf numFmtId="37" fontId="3" fillId="8" borderId="3" xfId="28" applyNumberFormat="1" applyFont="1" applyFill="1" applyBorder="1"/>
    <xf numFmtId="3" fontId="5" fillId="0" borderId="0" xfId="28" applyNumberFormat="1" applyFont="1" applyFill="1"/>
    <xf numFmtId="0" fontId="81" fillId="0" borderId="0" xfId="0" applyFont="1" applyFill="1"/>
    <xf numFmtId="3" fontId="5" fillId="9" borderId="0" xfId="27" applyNumberFormat="1" applyFont="1" applyFill="1"/>
    <xf numFmtId="3" fontId="84" fillId="9" borderId="0" xfId="27" applyNumberFormat="1" applyFont="1" applyFill="1"/>
    <xf numFmtId="3" fontId="5" fillId="9" borderId="16" xfId="27" applyNumberFormat="1" applyFont="1" applyFill="1" applyBorder="1"/>
    <xf numFmtId="0" fontId="84" fillId="0" borderId="0" xfId="27" applyFont="1"/>
  </cellXfs>
  <cellStyles count="31">
    <cellStyle name="Comma" xfId="1" builtinId="3"/>
    <cellStyle name="Comma_RestateDebtInt1200case" xfId="2"/>
    <cellStyle name="Currency" xfId="3" builtinId="4"/>
    <cellStyle name="Normal" xfId="0" builtinId="0"/>
    <cellStyle name="Normal_AR Exp Summ-Gas" xfId="4"/>
    <cellStyle name="Normal_B&amp;OElSum" xfId="5"/>
    <cellStyle name="Normal_B&amp;OGasSum" xfId="6"/>
    <cellStyle name="Normal_Bld Gain Summ-Gas" xfId="7"/>
    <cellStyle name="Normal_Bldg Lease A-S" xfId="8"/>
    <cellStyle name="Normal_Debt Int AS Elec" xfId="9"/>
    <cellStyle name="Normal_Debt Int AS Gas" xfId="10"/>
    <cellStyle name="Normal_DFIT-WaGas_SUM" xfId="11"/>
    <cellStyle name="Normal_DSMAS-Gas" xfId="12"/>
    <cellStyle name="Normal_FIT AS Gas" xfId="13"/>
    <cellStyle name="Normal_Gas" xfId="14"/>
    <cellStyle name="Normal_GasInvSum" xfId="15"/>
    <cellStyle name="Normal_IDElec6_97" xfId="16"/>
    <cellStyle name="Normal_IDGas6_97" xfId="17"/>
    <cellStyle name="Normal_InjDamSum-Elec" xfId="18"/>
    <cellStyle name="Normal_InjDamSum-Gas" xfId="19"/>
    <cellStyle name="Normal_PurGas-Summ" xfId="20"/>
    <cellStyle name="Normal_R&amp;P AS GAS" xfId="21"/>
    <cellStyle name="Normal_Reg Exp Summ-gas" xfId="22"/>
    <cellStyle name="Normal_RestateDebtInt1200" xfId="23"/>
    <cellStyle name="Normal_RestateDebtInt1200case" xfId="24"/>
    <cellStyle name="Normal_Sub Space Summ-Gas" xfId="25"/>
    <cellStyle name="Normal_UncollectSumm-Gas" xfId="26"/>
    <cellStyle name="Normal_WAElec6_97" xfId="27"/>
    <cellStyle name="Normal_WAGas6_97" xfId="28"/>
    <cellStyle name="Normal_WeatherASGas" xfId="29"/>
    <cellStyle name="Percent" xfId="3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01m107/2005/2005%20WA%20E%20&amp;%20G%20General%20Case/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se-WA%20ELECsumm2006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2"/>
      <sheetName val="ID_DSM_Inv"/>
      <sheetName val="SYSElec12_05"/>
      <sheetName val="WARateNorm"/>
      <sheetName val="DebtCalcPFnot used"/>
      <sheetName val="PFDebtIntnot used"/>
      <sheetName val="IDPGE"/>
      <sheetName val="not-used "/>
      <sheetName val="not used -1"/>
      <sheetName val="PF12open"/>
      <sheetName val="PF13open"/>
      <sheetName val="PF14open"/>
      <sheetName val="PSID"/>
      <sheetName val="PSWA-not used"/>
      <sheetName val="CWIPAllocDebt"/>
      <sheetName val="IDElec12_06"/>
    </sheetNames>
    <sheetDataSet>
      <sheetData sheetId="0"/>
      <sheetData sheetId="1">
        <row r="1">
          <cell r="A1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N72"/>
  <sheetViews>
    <sheetView workbookViewId="0">
      <selection activeCell="E1" sqref="E1"/>
    </sheetView>
  </sheetViews>
  <sheetFormatPr defaultRowHeight="12.75"/>
  <cols>
    <col min="1" max="1" width="4.7109375" style="908" customWidth="1"/>
    <col min="2" max="3" width="1.7109375" style="905" customWidth="1"/>
    <col min="4" max="4" width="2.7109375" style="905" customWidth="1"/>
    <col min="5" max="5" width="22.5703125" style="203" customWidth="1"/>
    <col min="6" max="9" width="11.7109375" style="203" customWidth="1"/>
    <col min="10" max="10" width="11.7109375" style="191" customWidth="1"/>
    <col min="11" max="11" width="9.140625" style="191"/>
    <col min="12" max="12" width="11.5703125" style="191" customWidth="1"/>
    <col min="13" max="16384" width="9.140625" style="191"/>
  </cols>
  <sheetData>
    <row r="1" spans="1:14">
      <c r="A1" s="907" t="s">
        <v>197</v>
      </c>
      <c r="D1" s="908"/>
    </row>
    <row r="2" spans="1:14" ht="18.75">
      <c r="A2" s="907" t="s">
        <v>0</v>
      </c>
      <c r="D2" s="908"/>
      <c r="G2" s="1130"/>
      <c r="H2" s="1131"/>
      <c r="I2" s="1131"/>
      <c r="J2" s="1066"/>
      <c r="K2" s="1066"/>
      <c r="L2" s="1066"/>
      <c r="M2" s="1066"/>
      <c r="N2" s="1066"/>
    </row>
    <row r="3" spans="1:14">
      <c r="A3" s="907" t="s">
        <v>393</v>
      </c>
      <c r="D3" s="908"/>
    </row>
    <row r="4" spans="1:14">
      <c r="A4" s="907" t="str">
        <f>Inputs!D2</f>
        <v>TWELVE MONTHS ENDED SEPTEMBER 30, 2008</v>
      </c>
      <c r="D4" s="908"/>
    </row>
    <row r="5" spans="1:14">
      <c r="A5" s="907" t="s">
        <v>2</v>
      </c>
      <c r="D5" s="908"/>
    </row>
    <row r="6" spans="1:14">
      <c r="A6" s="909"/>
      <c r="B6" s="909"/>
      <c r="C6" s="910"/>
      <c r="D6" s="910"/>
      <c r="E6" s="909"/>
      <c r="F6" s="911" t="s">
        <v>394</v>
      </c>
      <c r="G6" s="912"/>
      <c r="H6" s="913"/>
      <c r="I6" s="913" t="s">
        <v>395</v>
      </c>
      <c r="J6" s="913"/>
    </row>
    <row r="7" spans="1:14">
      <c r="A7" s="914"/>
      <c r="B7" s="915"/>
      <c r="C7" s="916"/>
      <c r="D7" s="917"/>
      <c r="E7" s="918"/>
      <c r="F7" s="212" t="s">
        <v>396</v>
      </c>
      <c r="G7" s="212"/>
      <c r="H7" s="212"/>
      <c r="I7" s="212" t="s">
        <v>397</v>
      </c>
      <c r="J7" s="212" t="s">
        <v>26</v>
      </c>
    </row>
    <row r="8" spans="1:14">
      <c r="A8" s="919" t="s">
        <v>10</v>
      </c>
      <c r="B8" s="920"/>
      <c r="C8" s="921"/>
      <c r="D8" s="922"/>
      <c r="E8" s="923"/>
      <c r="F8" s="217" t="s">
        <v>11</v>
      </c>
      <c r="G8" s="217" t="s">
        <v>44</v>
      </c>
      <c r="H8" s="217" t="s">
        <v>26</v>
      </c>
      <c r="I8" s="217" t="s">
        <v>398</v>
      </c>
      <c r="J8" s="217" t="s">
        <v>397</v>
      </c>
    </row>
    <row r="9" spans="1:14">
      <c r="A9" s="924" t="s">
        <v>27</v>
      </c>
      <c r="B9" s="925"/>
      <c r="C9" s="926"/>
      <c r="D9" s="927"/>
      <c r="E9" s="928" t="s">
        <v>28</v>
      </c>
      <c r="F9" s="222" t="s">
        <v>29</v>
      </c>
      <c r="G9" s="222" t="s">
        <v>259</v>
      </c>
      <c r="H9" s="222" t="s">
        <v>44</v>
      </c>
      <c r="I9" s="222" t="s">
        <v>399</v>
      </c>
      <c r="J9" s="222" t="s">
        <v>44</v>
      </c>
    </row>
    <row r="10" spans="1:14">
      <c r="A10" s="929"/>
      <c r="B10" s="929"/>
      <c r="C10" s="930"/>
      <c r="D10" s="930"/>
      <c r="E10" s="930" t="s">
        <v>45</v>
      </c>
      <c r="F10" s="226" t="s">
        <v>46</v>
      </c>
      <c r="G10" s="226" t="s">
        <v>47</v>
      </c>
      <c r="H10" s="226" t="s">
        <v>48</v>
      </c>
      <c r="I10" s="226" t="s">
        <v>49</v>
      </c>
      <c r="J10" s="226" t="s">
        <v>50</v>
      </c>
    </row>
    <row r="11" spans="1:14">
      <c r="A11" s="18"/>
      <c r="B11" s="2" t="s">
        <v>68</v>
      </c>
      <c r="C11" s="2"/>
      <c r="D11" s="2"/>
      <c r="E11" s="2"/>
      <c r="F11" s="809"/>
      <c r="G11" s="809"/>
      <c r="J11" s="203"/>
    </row>
    <row r="12" spans="1:14">
      <c r="A12" s="18">
        <v>1</v>
      </c>
      <c r="B12" s="19"/>
      <c r="C12" s="19" t="s">
        <v>69</v>
      </c>
      <c r="D12" s="19"/>
      <c r="E12" s="19"/>
      <c r="F12" s="827">
        <f>WAGas09_08!F13</f>
        <v>220020</v>
      </c>
      <c r="G12" s="827">
        <f>H12-F12</f>
        <v>-6144</v>
      </c>
      <c r="H12" s="827">
        <f>WAGas09_08!AP13</f>
        <v>213876</v>
      </c>
      <c r="I12" s="827">
        <f>'ConverFac_Exh-WA'!G12</f>
        <v>3626</v>
      </c>
      <c r="J12" s="827">
        <f>H12+I12</f>
        <v>217502</v>
      </c>
    </row>
    <row r="13" spans="1:14">
      <c r="A13" s="18">
        <v>2</v>
      </c>
      <c r="B13" s="2"/>
      <c r="C13" s="20" t="s">
        <v>70</v>
      </c>
      <c r="D13" s="20"/>
      <c r="E13" s="20"/>
      <c r="F13" s="20">
        <f>WAGas09_08!F14</f>
        <v>3486</v>
      </c>
      <c r="G13" s="20">
        <f>H13-F13</f>
        <v>-1775</v>
      </c>
      <c r="H13" s="946">
        <f>WAGas09_08!AP14</f>
        <v>1711</v>
      </c>
      <c r="I13" s="20"/>
      <c r="J13" s="20">
        <f>H13+I13</f>
        <v>1711</v>
      </c>
    </row>
    <row r="14" spans="1:14">
      <c r="A14" s="18">
        <v>3</v>
      </c>
      <c r="B14" s="2"/>
      <c r="C14" s="20" t="s">
        <v>71</v>
      </c>
      <c r="D14" s="20"/>
      <c r="E14" s="20"/>
      <c r="F14" s="815">
        <f>WAGas09_08!F15</f>
        <v>135812</v>
      </c>
      <c r="G14" s="815">
        <f>H14-F14</f>
        <v>-133960</v>
      </c>
      <c r="H14" s="947">
        <f>WAGas09_08!AP15</f>
        <v>1852</v>
      </c>
      <c r="I14" s="815"/>
      <c r="J14" s="815">
        <f>H14+I14</f>
        <v>1852</v>
      </c>
    </row>
    <row r="15" spans="1:14">
      <c r="A15" s="18">
        <v>4</v>
      </c>
      <c r="B15" s="2" t="s">
        <v>72</v>
      </c>
      <c r="C15" s="20"/>
      <c r="D15" s="20"/>
      <c r="E15" s="20"/>
      <c r="F15" s="20">
        <f>WAGas09_08!F16</f>
        <v>359318</v>
      </c>
      <c r="G15" s="20">
        <f>H15-F15</f>
        <v>-141879</v>
      </c>
      <c r="H15" s="946">
        <f>WAGas09_08!AP16</f>
        <v>217439</v>
      </c>
      <c r="I15" s="20">
        <f>SUM(I12:I14)</f>
        <v>3626</v>
      </c>
      <c r="J15" s="20">
        <f>H15+I15</f>
        <v>221065</v>
      </c>
    </row>
    <row r="16" spans="1:14">
      <c r="A16" s="18"/>
      <c r="B16" s="2"/>
      <c r="C16" s="20"/>
      <c r="D16" s="20"/>
      <c r="E16" s="20"/>
      <c r="F16" s="20"/>
      <c r="G16" s="20"/>
      <c r="H16" s="20"/>
      <c r="I16" s="20"/>
      <c r="J16" s="20"/>
    </row>
    <row r="17" spans="1:10">
      <c r="A17" s="18"/>
      <c r="B17" s="2" t="s">
        <v>73</v>
      </c>
      <c r="C17" s="20"/>
      <c r="D17" s="20"/>
      <c r="E17" s="20"/>
      <c r="F17" s="20"/>
      <c r="G17" s="20"/>
      <c r="H17" s="20"/>
      <c r="I17" s="20"/>
      <c r="J17" s="20"/>
    </row>
    <row r="18" spans="1:10">
      <c r="A18" s="18">
        <v>5</v>
      </c>
      <c r="B18" s="2"/>
      <c r="C18" s="20" t="s">
        <v>74</v>
      </c>
      <c r="D18" s="20"/>
      <c r="E18" s="20"/>
      <c r="F18" s="20"/>
      <c r="G18" s="20"/>
      <c r="H18" s="20"/>
      <c r="I18" s="20"/>
      <c r="J18" s="20"/>
    </row>
    <row r="19" spans="1:10">
      <c r="A19" s="18"/>
      <c r="B19" s="2"/>
      <c r="C19" s="20" t="s">
        <v>75</v>
      </c>
      <c r="D19" s="20"/>
      <c r="E19" s="20"/>
      <c r="F19" s="20"/>
      <c r="G19" s="20"/>
      <c r="H19" s="20"/>
      <c r="I19" s="20"/>
      <c r="J19" s="20"/>
    </row>
    <row r="20" spans="1:10">
      <c r="A20" s="18">
        <v>6</v>
      </c>
      <c r="B20" s="2"/>
      <c r="C20" s="20"/>
      <c r="D20" s="20" t="s">
        <v>76</v>
      </c>
      <c r="E20" s="20"/>
      <c r="F20" s="20">
        <f>WAGas09_08!F21</f>
        <v>309146</v>
      </c>
      <c r="G20" s="20">
        <f>H20-F20</f>
        <v>-151865</v>
      </c>
      <c r="H20" s="946">
        <f>WAGas09_08!AP21</f>
        <v>157281</v>
      </c>
      <c r="I20" s="20"/>
      <c r="J20" s="20">
        <f>H20+I20</f>
        <v>157281</v>
      </c>
    </row>
    <row r="21" spans="1:10">
      <c r="A21" s="18">
        <v>7</v>
      </c>
      <c r="B21" s="2"/>
      <c r="C21" s="20"/>
      <c r="D21" s="20" t="s">
        <v>77</v>
      </c>
      <c r="E21" s="20"/>
      <c r="F21" s="20">
        <f>WAGas09_08!F22</f>
        <v>737</v>
      </c>
      <c r="G21" s="20">
        <f>H21-F21</f>
        <v>89</v>
      </c>
      <c r="H21" s="946">
        <f>WAGas09_08!AP22</f>
        <v>826</v>
      </c>
      <c r="I21" s="20"/>
      <c r="J21" s="20">
        <f>H21+I21</f>
        <v>826</v>
      </c>
    </row>
    <row r="22" spans="1:10">
      <c r="A22" s="18">
        <v>8</v>
      </c>
      <c r="B22" s="2"/>
      <c r="C22" s="20"/>
      <c r="D22" s="20" t="s">
        <v>78</v>
      </c>
      <c r="E22" s="20"/>
      <c r="F22" s="815">
        <f>WAGas09_08!F23</f>
        <v>-18687</v>
      </c>
      <c r="G22" s="815">
        <f>H22-F22</f>
        <v>18687</v>
      </c>
      <c r="H22" s="947">
        <f>WAGas09_08!AP23</f>
        <v>0</v>
      </c>
      <c r="I22" s="815"/>
      <c r="J22" s="815">
        <f>H22+I22</f>
        <v>0</v>
      </c>
    </row>
    <row r="23" spans="1:10">
      <c r="A23" s="18">
        <v>9</v>
      </c>
      <c r="B23" s="2"/>
      <c r="C23" s="20"/>
      <c r="D23" s="20"/>
      <c r="E23" s="20" t="s">
        <v>79</v>
      </c>
      <c r="F23" s="20">
        <f>WAGas09_08!F24</f>
        <v>291196</v>
      </c>
      <c r="G23" s="20">
        <f>H23-F23</f>
        <v>-133089</v>
      </c>
      <c r="H23" s="946">
        <f>WAGas09_08!AP24</f>
        <v>158107</v>
      </c>
      <c r="I23" s="20">
        <f>SUM(I19:I22)</f>
        <v>0</v>
      </c>
      <c r="J23" s="20">
        <f>H23+I23</f>
        <v>158107</v>
      </c>
    </row>
    <row r="24" spans="1:10">
      <c r="A24" s="18"/>
      <c r="B24" s="2"/>
      <c r="C24" s="20" t="s">
        <v>80</v>
      </c>
      <c r="D24" s="20"/>
      <c r="E24" s="20"/>
      <c r="F24" s="20"/>
      <c r="G24" s="20"/>
      <c r="H24" s="20"/>
      <c r="I24" s="20"/>
      <c r="J24" s="20"/>
    </row>
    <row r="25" spans="1:10">
      <c r="A25" s="18">
        <v>10</v>
      </c>
      <c r="B25" s="2"/>
      <c r="C25" s="20"/>
      <c r="D25" s="20" t="s">
        <v>81</v>
      </c>
      <c r="E25" s="20"/>
      <c r="F25" s="20">
        <f>WAGas09_08!F26</f>
        <v>408</v>
      </c>
      <c r="G25" s="20">
        <f>H25-F25</f>
        <v>2</v>
      </c>
      <c r="H25" s="946">
        <f>WAGas09_08!AP26</f>
        <v>410</v>
      </c>
      <c r="I25" s="20"/>
      <c r="J25" s="20">
        <f>H25+I25</f>
        <v>410</v>
      </c>
    </row>
    <row r="26" spans="1:10">
      <c r="A26" s="18">
        <v>11</v>
      </c>
      <c r="B26" s="2"/>
      <c r="C26" s="20"/>
      <c r="D26" s="20" t="s">
        <v>82</v>
      </c>
      <c r="E26" s="20"/>
      <c r="F26" s="20">
        <f>WAGas09_08!F27</f>
        <v>260</v>
      </c>
      <c r="G26" s="20">
        <f>H26-F26</f>
        <v>39</v>
      </c>
      <c r="H26" s="946">
        <f>WAGas09_08!AP27</f>
        <v>299</v>
      </c>
      <c r="I26" s="20"/>
      <c r="J26" s="20">
        <f>H26+I26</f>
        <v>299</v>
      </c>
    </row>
    <row r="27" spans="1:10">
      <c r="A27" s="18">
        <v>12</v>
      </c>
      <c r="B27" s="2"/>
      <c r="C27" s="20"/>
      <c r="D27" s="20" t="s">
        <v>37</v>
      </c>
      <c r="E27" s="20"/>
      <c r="F27" s="815">
        <f>WAGas09_08!F28</f>
        <v>113</v>
      </c>
      <c r="G27" s="815">
        <f>H27-F27</f>
        <v>115</v>
      </c>
      <c r="H27" s="947">
        <f>WAGas09_08!AP28</f>
        <v>228</v>
      </c>
      <c r="I27" s="815"/>
      <c r="J27" s="815">
        <f>H27+I27</f>
        <v>228</v>
      </c>
    </row>
    <row r="28" spans="1:10">
      <c r="A28" s="18">
        <v>13</v>
      </c>
      <c r="B28" s="2"/>
      <c r="C28" s="20"/>
      <c r="D28" s="20"/>
      <c r="E28" s="20" t="s">
        <v>83</v>
      </c>
      <c r="F28" s="20">
        <f>WAGas09_08!F29</f>
        <v>781</v>
      </c>
      <c r="G28" s="20">
        <f>H28-F28</f>
        <v>156</v>
      </c>
      <c r="H28" s="946">
        <f>WAGas09_08!AP29</f>
        <v>937</v>
      </c>
      <c r="I28" s="20">
        <f>SUM(I25:I27)</f>
        <v>0</v>
      </c>
      <c r="J28" s="20">
        <f>H28+I28</f>
        <v>937</v>
      </c>
    </row>
    <row r="29" spans="1:10">
      <c r="A29" s="18"/>
      <c r="B29" s="2"/>
      <c r="C29" s="20" t="s">
        <v>84</v>
      </c>
      <c r="D29" s="20"/>
      <c r="E29" s="20"/>
      <c r="F29" s="20"/>
      <c r="G29" s="20"/>
      <c r="H29" s="20"/>
      <c r="I29" s="20"/>
      <c r="J29" s="20"/>
    </row>
    <row r="30" spans="1:10">
      <c r="A30" s="18">
        <v>14</v>
      </c>
      <c r="B30" s="2"/>
      <c r="C30" s="20"/>
      <c r="D30" s="20" t="s">
        <v>81</v>
      </c>
      <c r="E30" s="20"/>
      <c r="F30" s="20">
        <f>WAGas09_08!F31</f>
        <v>6260</v>
      </c>
      <c r="G30" s="20">
        <f>H30-F30</f>
        <v>721</v>
      </c>
      <c r="H30" s="946">
        <f>WAGas09_08!AP31</f>
        <v>6981</v>
      </c>
      <c r="I30" s="20"/>
      <c r="J30" s="20">
        <f>H30+I30</f>
        <v>6981</v>
      </c>
    </row>
    <row r="31" spans="1:10">
      <c r="A31" s="18">
        <v>15</v>
      </c>
      <c r="B31" s="2"/>
      <c r="C31" s="20"/>
      <c r="D31" s="20" t="s">
        <v>82</v>
      </c>
      <c r="E31" s="20"/>
      <c r="F31" s="20">
        <f>WAGas09_08!F32</f>
        <v>5659</v>
      </c>
      <c r="G31" s="20">
        <f>H31-F31</f>
        <v>-404</v>
      </c>
      <c r="H31" s="946">
        <f>WAGas09_08!AP32</f>
        <v>5255</v>
      </c>
      <c r="I31" s="20"/>
      <c r="J31" s="20">
        <f>H31+I31</f>
        <v>5255</v>
      </c>
    </row>
    <row r="32" spans="1:10">
      <c r="A32" s="18">
        <v>16</v>
      </c>
      <c r="B32" s="2"/>
      <c r="C32" s="20"/>
      <c r="D32" s="20" t="s">
        <v>37</v>
      </c>
      <c r="E32" s="20"/>
      <c r="F32" s="815">
        <f>WAGas09_08!F33</f>
        <v>18282</v>
      </c>
      <c r="G32" s="815">
        <f>H32-F32</f>
        <v>-7987</v>
      </c>
      <c r="H32" s="947">
        <f>WAGas09_08!AP33</f>
        <v>10295</v>
      </c>
      <c r="I32" s="815">
        <f>'ConverFac_Exh-WA'!G19</f>
        <v>139</v>
      </c>
      <c r="J32" s="815">
        <f>H32+I32</f>
        <v>10434</v>
      </c>
    </row>
    <row r="33" spans="1:10">
      <c r="A33" s="18">
        <v>17</v>
      </c>
      <c r="B33" s="2"/>
      <c r="C33" s="20"/>
      <c r="D33" s="20"/>
      <c r="E33" s="20" t="s">
        <v>85</v>
      </c>
      <c r="F33" s="20">
        <f>WAGas09_08!F34</f>
        <v>30201</v>
      </c>
      <c r="G33" s="20">
        <f>H33-F33</f>
        <v>-7670</v>
      </c>
      <c r="H33" s="946">
        <f>WAGas09_08!AP34</f>
        <v>22531</v>
      </c>
      <c r="I33" s="20">
        <f>SUM(I30:I32)</f>
        <v>139</v>
      </c>
      <c r="J33" s="20">
        <f>H33+I33</f>
        <v>22670</v>
      </c>
    </row>
    <row r="34" spans="1:10">
      <c r="A34" s="18"/>
      <c r="B34" s="2"/>
      <c r="C34" s="20"/>
      <c r="D34" s="20"/>
      <c r="E34" s="20"/>
      <c r="F34" s="20"/>
      <c r="G34" s="20"/>
      <c r="H34" s="20"/>
      <c r="I34" s="20"/>
      <c r="J34" s="20"/>
    </row>
    <row r="35" spans="1:10">
      <c r="A35" s="18">
        <v>18</v>
      </c>
      <c r="B35" s="2" t="s">
        <v>86</v>
      </c>
      <c r="C35" s="20"/>
      <c r="D35" s="20"/>
      <c r="E35" s="20"/>
      <c r="F35" s="20">
        <f>WAGas09_08!F36</f>
        <v>4884</v>
      </c>
      <c r="G35" s="20">
        <f>H35-F35</f>
        <v>169</v>
      </c>
      <c r="H35" s="946">
        <f>WAGas09_08!AP36</f>
        <v>5053</v>
      </c>
      <c r="I35" s="20">
        <f>'ConverFac_Exh-WA'!G15</f>
        <v>9</v>
      </c>
      <c r="J35" s="20">
        <f>H35+I35</f>
        <v>5062</v>
      </c>
    </row>
    <row r="36" spans="1:10">
      <c r="A36" s="18">
        <v>19</v>
      </c>
      <c r="B36" s="2" t="s">
        <v>87</v>
      </c>
      <c r="C36" s="20"/>
      <c r="D36" s="20"/>
      <c r="E36" s="20"/>
      <c r="F36" s="20">
        <f>WAGas09_08!F37</f>
        <v>5002</v>
      </c>
      <c r="G36" s="20">
        <f>H36-F36</f>
        <v>-4246</v>
      </c>
      <c r="H36" s="946">
        <f>WAGas09_08!AP37</f>
        <v>756</v>
      </c>
      <c r="I36" s="20"/>
      <c r="J36" s="20">
        <f>H36+I36</f>
        <v>756</v>
      </c>
    </row>
    <row r="37" spans="1:10">
      <c r="A37" s="18">
        <v>20</v>
      </c>
      <c r="B37" s="2" t="s">
        <v>88</v>
      </c>
      <c r="C37" s="20"/>
      <c r="D37" s="20"/>
      <c r="E37" s="20"/>
      <c r="F37" s="20">
        <f>WAGas09_08!F38</f>
        <v>545</v>
      </c>
      <c r="G37" s="20">
        <f>H37-F37</f>
        <v>37</v>
      </c>
      <c r="H37" s="942">
        <f>WAGas09_08!AP38</f>
        <v>582</v>
      </c>
      <c r="I37" s="20"/>
      <c r="J37" s="20">
        <f>H37+I37</f>
        <v>582</v>
      </c>
    </row>
    <row r="38" spans="1:10">
      <c r="A38" s="18"/>
      <c r="B38" s="2" t="s">
        <v>89</v>
      </c>
      <c r="C38" s="20"/>
      <c r="D38" s="20"/>
      <c r="E38" s="20"/>
      <c r="F38" s="20"/>
      <c r="G38" s="20"/>
      <c r="H38" s="20"/>
      <c r="I38" s="20"/>
      <c r="J38" s="20"/>
    </row>
    <row r="39" spans="1:10">
      <c r="A39" s="18">
        <v>21</v>
      </c>
      <c r="B39" s="2"/>
      <c r="C39" s="20" t="s">
        <v>81</v>
      </c>
      <c r="D39" s="20"/>
      <c r="E39" s="20"/>
      <c r="F39" s="20">
        <f>WAGas09_08!F40</f>
        <v>9202</v>
      </c>
      <c r="G39" s="20">
        <f>H39-F39</f>
        <v>1255</v>
      </c>
      <c r="H39" s="946">
        <f>WAGas09_08!AP40</f>
        <v>10457</v>
      </c>
      <c r="I39" s="20">
        <f>'ConverFac_Exh-WA'!G17+'ConverFac_Exh-WA'!G21</f>
        <v>7</v>
      </c>
      <c r="J39" s="20">
        <f>H39+I39</f>
        <v>10464</v>
      </c>
    </row>
    <row r="40" spans="1:10">
      <c r="A40" s="18">
        <v>22</v>
      </c>
      <c r="B40" s="2"/>
      <c r="C40" s="20" t="s">
        <v>82</v>
      </c>
      <c r="D40" s="20"/>
      <c r="E40" s="20"/>
      <c r="F40" s="20">
        <f>WAGas09_08!F41</f>
        <v>1414</v>
      </c>
      <c r="G40" s="20">
        <f>H40-F40</f>
        <v>1025</v>
      </c>
      <c r="H40" s="946">
        <f>WAGas09_08!AP41</f>
        <v>2439</v>
      </c>
      <c r="I40" s="20"/>
      <c r="J40" s="20">
        <f>H40+I40</f>
        <v>2439</v>
      </c>
    </row>
    <row r="41" spans="1:10">
      <c r="A41" s="18">
        <v>23</v>
      </c>
      <c r="B41" s="2"/>
      <c r="C41" s="20" t="s">
        <v>37</v>
      </c>
      <c r="D41" s="20"/>
      <c r="E41" s="20"/>
      <c r="F41" s="815">
        <f>WAGas09_08!F42</f>
        <v>23</v>
      </c>
      <c r="G41" s="815">
        <f>H41-F41</f>
        <v>63</v>
      </c>
      <c r="H41" s="947">
        <f>WAGas09_08!AP42</f>
        <v>86</v>
      </c>
      <c r="I41" s="815"/>
      <c r="J41" s="815">
        <f>H41+I41</f>
        <v>86</v>
      </c>
    </row>
    <row r="42" spans="1:10">
      <c r="A42" s="18">
        <v>24</v>
      </c>
      <c r="B42" s="2"/>
      <c r="C42" s="20"/>
      <c r="D42" s="20"/>
      <c r="E42" s="20" t="s">
        <v>90</v>
      </c>
      <c r="F42" s="944">
        <f>WAGas09_08!F43</f>
        <v>10639</v>
      </c>
      <c r="G42" s="815">
        <f>H42-F42</f>
        <v>2343</v>
      </c>
      <c r="H42" s="948">
        <f>WAGas09_08!AP43</f>
        <v>12982</v>
      </c>
      <c r="I42" s="815">
        <f>SUM(I39:I41)</f>
        <v>7</v>
      </c>
      <c r="J42" s="815">
        <f>H42+I42</f>
        <v>12989</v>
      </c>
    </row>
    <row r="43" spans="1:10">
      <c r="A43" s="18">
        <v>25</v>
      </c>
      <c r="B43" s="2" t="s">
        <v>91</v>
      </c>
      <c r="C43" s="20"/>
      <c r="D43" s="20"/>
      <c r="E43" s="20"/>
      <c r="F43" s="815">
        <f>WAGas09_08!F44</f>
        <v>343248</v>
      </c>
      <c r="G43" s="815">
        <f>H43-F43</f>
        <v>-142300</v>
      </c>
      <c r="H43" s="948">
        <f>WAGas09_08!AP44</f>
        <v>200948</v>
      </c>
      <c r="I43" s="815">
        <f>I23+I28+I33+I35+I36+I37+I42</f>
        <v>155</v>
      </c>
      <c r="J43" s="815">
        <f>H43+I43</f>
        <v>201103</v>
      </c>
    </row>
    <row r="44" spans="1:10">
      <c r="A44" s="18"/>
      <c r="B44" s="2"/>
      <c r="C44" s="20"/>
      <c r="D44" s="20"/>
      <c r="E44" s="20"/>
      <c r="F44" s="20"/>
      <c r="G44" s="20"/>
      <c r="H44" s="20"/>
      <c r="I44" s="20"/>
      <c r="J44" s="20"/>
    </row>
    <row r="45" spans="1:10">
      <c r="A45" s="18">
        <v>26</v>
      </c>
      <c r="B45" s="2" t="s">
        <v>92</v>
      </c>
      <c r="C45" s="20"/>
      <c r="D45" s="20"/>
      <c r="E45" s="20"/>
      <c r="F45" s="20">
        <f>WAGas09_08!F46</f>
        <v>16070</v>
      </c>
      <c r="G45" s="20">
        <f>H45-F45</f>
        <v>421</v>
      </c>
      <c r="H45" s="946">
        <f>WAGas09_08!AP46</f>
        <v>16491</v>
      </c>
      <c r="I45" s="20">
        <f>I15-I43</f>
        <v>3471</v>
      </c>
      <c r="J45" s="20">
        <f>H45+I45</f>
        <v>19962</v>
      </c>
    </row>
    <row r="46" spans="1:10">
      <c r="A46" s="18"/>
      <c r="B46" s="2"/>
      <c r="C46" s="20"/>
      <c r="D46" s="20"/>
      <c r="E46" s="20"/>
      <c r="F46" s="20"/>
      <c r="G46" s="20"/>
      <c r="H46" s="20"/>
      <c r="I46" s="20"/>
      <c r="J46" s="20"/>
    </row>
    <row r="47" spans="1:10">
      <c r="A47" s="18"/>
      <c r="B47" s="2" t="s">
        <v>93</v>
      </c>
      <c r="C47" s="20"/>
      <c r="D47" s="20"/>
      <c r="E47" s="20"/>
      <c r="F47" s="20"/>
      <c r="G47" s="20"/>
      <c r="H47" s="20"/>
      <c r="I47" s="20"/>
      <c r="J47" s="20"/>
    </row>
    <row r="48" spans="1:10">
      <c r="A48" s="18">
        <v>27</v>
      </c>
      <c r="B48" s="2"/>
      <c r="C48" s="20" t="s">
        <v>94</v>
      </c>
      <c r="D48" s="20"/>
      <c r="E48" s="20"/>
      <c r="F48" s="20">
        <f>WAGas09_08!F48</f>
        <v>5138</v>
      </c>
      <c r="G48" s="20">
        <f>H48-F48</f>
        <v>-33.560954999999922</v>
      </c>
      <c r="H48" s="946">
        <f>WAGas09_08!AP48</f>
        <v>5104.4390450000001</v>
      </c>
      <c r="I48" s="20">
        <f>'ConverFac_Exh-WA'!G27</f>
        <v>1215</v>
      </c>
      <c r="J48" s="20">
        <f>H48+I48</f>
        <v>6319.4390450000001</v>
      </c>
    </row>
    <row r="49" spans="1:10">
      <c r="A49" s="18">
        <v>28</v>
      </c>
      <c r="B49" s="2"/>
      <c r="C49" s="20" t="s">
        <v>95</v>
      </c>
      <c r="D49" s="20"/>
      <c r="E49" s="20"/>
      <c r="F49" s="20">
        <f>WAGas09_08!F49</f>
        <v>-1042</v>
      </c>
      <c r="G49" s="20">
        <f>H49-F49</f>
        <v>7</v>
      </c>
      <c r="H49" s="946">
        <f>WAGas09_08!AP49</f>
        <v>-1035</v>
      </c>
      <c r="I49" s="20"/>
      <c r="J49" s="20">
        <f>H49+I49</f>
        <v>-1035</v>
      </c>
    </row>
    <row r="50" spans="1:10">
      <c r="A50" s="18">
        <v>29</v>
      </c>
      <c r="B50" s="2"/>
      <c r="C50" s="20" t="s">
        <v>96</v>
      </c>
      <c r="D50" s="20"/>
      <c r="E50" s="20"/>
      <c r="F50" s="815">
        <f>WAGas09_08!F50</f>
        <v>-30</v>
      </c>
      <c r="G50" s="815">
        <f>H50-F50</f>
        <v>0</v>
      </c>
      <c r="H50" s="947">
        <f>WAGas09_08!AP50</f>
        <v>-30</v>
      </c>
      <c r="I50" s="815"/>
      <c r="J50" s="815">
        <f>H50+I50</f>
        <v>-30</v>
      </c>
    </row>
    <row r="51" spans="1:10">
      <c r="A51" s="18"/>
      <c r="B51" s="2"/>
      <c r="C51" s="2"/>
      <c r="D51" s="2"/>
      <c r="E51" s="2"/>
      <c r="F51" s="809"/>
      <c r="G51" s="809"/>
      <c r="H51" s="809"/>
      <c r="J51" s="809">
        <f>H51+I51</f>
        <v>0</v>
      </c>
    </row>
    <row r="52" spans="1:10" ht="13.5" thickBot="1">
      <c r="A52" s="18">
        <v>30</v>
      </c>
      <c r="B52" s="19" t="s">
        <v>97</v>
      </c>
      <c r="C52" s="19"/>
      <c r="D52" s="19"/>
      <c r="E52" s="19"/>
      <c r="F52" s="945">
        <f>WAGas09_08!F52</f>
        <v>12004</v>
      </c>
      <c r="G52" s="816">
        <f>H52-F52</f>
        <v>447.56095500000083</v>
      </c>
      <c r="H52" s="949">
        <f>WAGas09_08!AP52</f>
        <v>12451.560955000001</v>
      </c>
      <c r="I52" s="816">
        <f>I45-SUM(I47:I49)</f>
        <v>2256</v>
      </c>
      <c r="J52" s="816">
        <f>H52+I52</f>
        <v>14707.560955000001</v>
      </c>
    </row>
    <row r="53" spans="1:10" ht="13.5" thickTop="1">
      <c r="A53" s="18"/>
      <c r="B53" s="2"/>
      <c r="C53" s="2"/>
      <c r="D53" s="2"/>
      <c r="E53" s="2"/>
      <c r="F53" s="809"/>
      <c r="G53" s="809"/>
      <c r="H53" s="809"/>
      <c r="I53" s="809"/>
      <c r="J53" s="809"/>
    </row>
    <row r="54" spans="1:10">
      <c r="A54" s="18"/>
      <c r="B54" s="2"/>
      <c r="C54" s="2"/>
      <c r="D54" s="2"/>
      <c r="E54" s="2"/>
      <c r="F54" s="809"/>
      <c r="G54" s="809"/>
      <c r="H54" s="809"/>
      <c r="I54" s="809"/>
      <c r="J54" s="809"/>
    </row>
    <row r="55" spans="1:10">
      <c r="A55" s="18"/>
      <c r="B55" s="2" t="s">
        <v>98</v>
      </c>
      <c r="C55" s="2"/>
      <c r="D55" s="2"/>
      <c r="E55" s="2"/>
      <c r="F55" s="809"/>
      <c r="G55" s="809"/>
      <c r="H55" s="809"/>
      <c r="I55" s="809"/>
      <c r="J55" s="809"/>
    </row>
    <row r="56" spans="1:10">
      <c r="A56" s="18">
        <v>31</v>
      </c>
      <c r="B56" s="20"/>
      <c r="C56" s="20" t="s">
        <v>80</v>
      </c>
      <c r="D56" s="20"/>
      <c r="E56" s="20"/>
      <c r="F56" s="20">
        <f>WAGas09_08!F56</f>
        <v>13539</v>
      </c>
      <c r="G56" s="20">
        <f>H56-F56</f>
        <v>9287</v>
      </c>
      <c r="H56" s="946">
        <f>WAGas09_08!AP56</f>
        <v>22826</v>
      </c>
      <c r="I56" s="20"/>
      <c r="J56" s="20">
        <f>H56+I56</f>
        <v>22826</v>
      </c>
    </row>
    <row r="57" spans="1:10">
      <c r="A57" s="18">
        <v>32</v>
      </c>
      <c r="B57" s="20"/>
      <c r="C57" s="20" t="s">
        <v>99</v>
      </c>
      <c r="D57" s="20"/>
      <c r="E57" s="20"/>
      <c r="F57" s="20">
        <f>WAGas09_08!F57</f>
        <v>237485</v>
      </c>
      <c r="G57" s="20">
        <f>H57-F57</f>
        <v>15518</v>
      </c>
      <c r="H57" s="946">
        <f>WAGas09_08!AP57</f>
        <v>253003</v>
      </c>
      <c r="I57" s="20"/>
      <c r="J57" s="20">
        <f>H57+I57</f>
        <v>253003</v>
      </c>
    </row>
    <row r="58" spans="1:10">
      <c r="A58" s="18">
        <v>33</v>
      </c>
      <c r="B58" s="20"/>
      <c r="C58" s="20" t="s">
        <v>100</v>
      </c>
      <c r="D58" s="20"/>
      <c r="E58" s="20"/>
      <c r="F58" s="815">
        <f>WAGas09_08!F58</f>
        <v>23944</v>
      </c>
      <c r="G58" s="815">
        <f>H58-F58</f>
        <v>6636</v>
      </c>
      <c r="H58" s="947">
        <f>WAGas09_08!AP58</f>
        <v>30580</v>
      </c>
      <c r="I58" s="815"/>
      <c r="J58" s="815">
        <f>H58+I58</f>
        <v>30580</v>
      </c>
    </row>
    <row r="59" spans="1:10">
      <c r="A59" s="18">
        <v>34</v>
      </c>
      <c r="B59" s="20"/>
      <c r="C59" s="20"/>
      <c r="D59" s="20"/>
      <c r="E59" s="20" t="s">
        <v>101</v>
      </c>
      <c r="F59" s="22">
        <f>WAGas09_08!F59</f>
        <v>274968</v>
      </c>
      <c r="G59" s="20">
        <f>H59-F59</f>
        <v>31441</v>
      </c>
      <c r="H59" s="946">
        <f>WAGas09_08!AP59</f>
        <v>306409</v>
      </c>
      <c r="I59" s="20">
        <v>0</v>
      </c>
      <c r="J59" s="20">
        <f>H59+I59</f>
        <v>306409</v>
      </c>
    </row>
    <row r="60" spans="1:10">
      <c r="A60" s="18"/>
      <c r="B60" s="20" t="s">
        <v>102</v>
      </c>
      <c r="C60" s="20"/>
      <c r="D60" s="20"/>
      <c r="E60" s="20"/>
      <c r="F60" s="20"/>
      <c r="G60" s="20"/>
      <c r="H60" s="20"/>
      <c r="I60" s="20"/>
      <c r="J60" s="20"/>
    </row>
    <row r="61" spans="1:10">
      <c r="A61" s="18">
        <v>35</v>
      </c>
      <c r="B61" s="20"/>
      <c r="C61" s="20" t="s">
        <v>80</v>
      </c>
      <c r="D61" s="20"/>
      <c r="E61" s="20"/>
      <c r="F61" s="20">
        <f>WAGas09_08!F61</f>
        <v>7516</v>
      </c>
      <c r="G61" s="20">
        <f t="shared" ref="G61:G67" si="0">H61-F61</f>
        <v>651</v>
      </c>
      <c r="H61" s="946">
        <f>WAGas09_08!AP61</f>
        <v>8167</v>
      </c>
      <c r="I61" s="20"/>
      <c r="J61" s="20">
        <f t="shared" ref="J61:J67" si="1">H61+I61</f>
        <v>8167</v>
      </c>
    </row>
    <row r="62" spans="1:10">
      <c r="A62" s="18">
        <v>36</v>
      </c>
      <c r="B62" s="20"/>
      <c r="C62" s="20" t="s">
        <v>99</v>
      </c>
      <c r="D62" s="20"/>
      <c r="E62" s="20"/>
      <c r="F62" s="20">
        <f>WAGas09_08!F62</f>
        <v>80580</v>
      </c>
      <c r="G62" s="20">
        <f t="shared" si="0"/>
        <v>9039</v>
      </c>
      <c r="H62" s="946">
        <f>WAGas09_08!AP62</f>
        <v>89619</v>
      </c>
      <c r="I62" s="20"/>
      <c r="J62" s="20">
        <f t="shared" si="1"/>
        <v>89619</v>
      </c>
    </row>
    <row r="63" spans="1:10">
      <c r="A63" s="18">
        <v>37</v>
      </c>
      <c r="B63" s="20"/>
      <c r="C63" s="20" t="s">
        <v>100</v>
      </c>
      <c r="D63" s="20"/>
      <c r="E63" s="20"/>
      <c r="F63" s="815">
        <f>WAGas09_08!F63</f>
        <v>8155</v>
      </c>
      <c r="G63" s="20">
        <f t="shared" si="0"/>
        <v>3442</v>
      </c>
      <c r="H63" s="947">
        <f>WAGas09_08!AP63</f>
        <v>11597</v>
      </c>
      <c r="I63" s="20"/>
      <c r="J63" s="20">
        <f t="shared" si="1"/>
        <v>11597</v>
      </c>
    </row>
    <row r="64" spans="1:10">
      <c r="A64" s="18">
        <v>38</v>
      </c>
      <c r="B64" s="20"/>
      <c r="C64" s="20"/>
      <c r="D64" s="20"/>
      <c r="E64" s="20" t="s">
        <v>103</v>
      </c>
      <c r="F64" s="22">
        <f>WAGas09_08!F64</f>
        <v>96251</v>
      </c>
      <c r="G64" s="817">
        <f t="shared" si="0"/>
        <v>13132</v>
      </c>
      <c r="H64" s="946">
        <f>WAGas09_08!AP64</f>
        <v>109383</v>
      </c>
      <c r="I64" s="817">
        <v>0</v>
      </c>
      <c r="J64" s="817">
        <f t="shared" si="1"/>
        <v>109383</v>
      </c>
    </row>
    <row r="65" spans="1:10">
      <c r="A65" s="21">
        <v>39</v>
      </c>
      <c r="B65" s="22" t="s">
        <v>104</v>
      </c>
      <c r="C65" s="22"/>
      <c r="D65" s="22"/>
      <c r="E65" s="22"/>
      <c r="F65" s="20">
        <f>WAGas09_08!F65</f>
        <v>0</v>
      </c>
      <c r="G65" s="22">
        <f t="shared" si="0"/>
        <v>-30809</v>
      </c>
      <c r="H65" s="946">
        <f>WAGas09_08!AP65</f>
        <v>-30809</v>
      </c>
      <c r="I65" s="22"/>
      <c r="J65" s="22">
        <f t="shared" si="1"/>
        <v>-30809</v>
      </c>
    </row>
    <row r="66" spans="1:10">
      <c r="A66" s="18">
        <v>40</v>
      </c>
      <c r="B66" s="20" t="s">
        <v>105</v>
      </c>
      <c r="C66" s="20"/>
      <c r="D66" s="20"/>
      <c r="E66" s="20"/>
      <c r="F66" s="20">
        <f>WAGas09_08!F66</f>
        <v>0</v>
      </c>
      <c r="G66" s="20">
        <f t="shared" si="0"/>
        <v>12111</v>
      </c>
      <c r="H66" s="946">
        <f>WAGas09_08!AP66</f>
        <v>12111</v>
      </c>
      <c r="I66" s="20"/>
      <c r="J66" s="20">
        <f t="shared" si="1"/>
        <v>12111</v>
      </c>
    </row>
    <row r="67" spans="1:10">
      <c r="A67" s="18">
        <v>41</v>
      </c>
      <c r="B67" s="20" t="s">
        <v>106</v>
      </c>
      <c r="C67" s="20"/>
      <c r="D67" s="20"/>
      <c r="E67" s="20"/>
      <c r="F67" s="815">
        <f>WAGas09_08!F67</f>
        <v>0</v>
      </c>
      <c r="G67" s="815">
        <f t="shared" si="0"/>
        <v>-65</v>
      </c>
      <c r="H67" s="947">
        <f>WAGas09_08!AP67</f>
        <v>-65</v>
      </c>
      <c r="I67" s="815"/>
      <c r="J67" s="815">
        <f t="shared" si="1"/>
        <v>-65</v>
      </c>
    </row>
    <row r="68" spans="1:10">
      <c r="A68" s="18"/>
      <c r="B68" s="2"/>
      <c r="C68" s="2"/>
      <c r="D68" s="2"/>
      <c r="E68" s="2"/>
      <c r="F68" s="809"/>
      <c r="G68" s="809"/>
      <c r="H68" s="946"/>
      <c r="I68" s="809"/>
      <c r="J68" s="809"/>
    </row>
    <row r="69" spans="1:10" ht="13.5" thickBot="1">
      <c r="A69" s="18">
        <v>42</v>
      </c>
      <c r="B69" s="19" t="s">
        <v>107</v>
      </c>
      <c r="C69" s="19"/>
      <c r="D69" s="19"/>
      <c r="E69" s="19"/>
      <c r="F69" s="945">
        <f>WAGas09_08!F69</f>
        <v>178717</v>
      </c>
      <c r="G69" s="816">
        <f>H69-F69</f>
        <v>-454</v>
      </c>
      <c r="H69" s="949">
        <f>WAGas09_08!AP69</f>
        <v>178263</v>
      </c>
      <c r="I69" s="816">
        <v>0</v>
      </c>
      <c r="J69" s="816">
        <f>H69+I69</f>
        <v>178263</v>
      </c>
    </row>
    <row r="70" spans="1:10" ht="13.5" thickTop="1">
      <c r="A70" s="18">
        <v>43</v>
      </c>
      <c r="B70" s="2" t="s">
        <v>108</v>
      </c>
      <c r="C70" s="2"/>
      <c r="D70" s="2"/>
      <c r="E70" s="2"/>
      <c r="F70" s="24">
        <f>ROUND(F52/F69,4)</f>
        <v>6.7199999999999996E-2</v>
      </c>
      <c r="G70" s="931"/>
      <c r="H70" s="24">
        <f>ROUND(H52/H69,4)</f>
        <v>6.9800000000000001E-2</v>
      </c>
      <c r="I70" s="24"/>
      <c r="J70" s="24">
        <f>ROUND(J52/J69,4)</f>
        <v>8.2500000000000004E-2</v>
      </c>
    </row>
    <row r="71" spans="1:10">
      <c r="A71" s="932"/>
      <c r="B71" s="933"/>
      <c r="C71" s="933"/>
      <c r="D71" s="933"/>
      <c r="E71" s="899"/>
      <c r="F71" s="899"/>
      <c r="G71" s="899"/>
      <c r="H71" s="899"/>
      <c r="I71" s="899"/>
      <c r="J71" s="899"/>
    </row>
    <row r="72" spans="1:10">
      <c r="A72" s="932"/>
      <c r="B72" s="933"/>
      <c r="C72" s="933"/>
      <c r="D72" s="933"/>
      <c r="E72" s="899"/>
      <c r="F72" s="899"/>
      <c r="G72" s="899"/>
      <c r="H72" s="899"/>
      <c r="I72" s="899"/>
      <c r="J72" s="899"/>
    </row>
  </sheetData>
  <phoneticPr fontId="0" type="noConversion"/>
  <pageMargins left="0.75" right="0.5" top="0.72" bottom="0.84" header="0.5" footer="0.5"/>
  <pageSetup scale="68" orientation="portrait" r:id="rId1"/>
  <headerFooter alignWithMargins="0">
    <oddHeader>&amp;RExhibit No. ___(EMA-3)</oddHeader>
    <oddFooter>&amp;RPage 1 of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112"/>
  <sheetViews>
    <sheetView workbookViewId="0">
      <selection activeCell="F54" sqref="F54"/>
    </sheetView>
  </sheetViews>
  <sheetFormatPr defaultColWidth="12.42578125" defaultRowHeight="11.1" customHeight="1"/>
  <cols>
    <col min="1" max="1" width="5.5703125" style="296" customWidth="1"/>
    <col min="2" max="2" width="26.140625" style="296" customWidth="1"/>
    <col min="3" max="3" width="12.42578125" style="296" customWidth="1"/>
    <col min="4" max="4" width="6.7109375" style="296" customWidth="1"/>
    <col min="5" max="5" width="12.42578125" style="315" customWidth="1"/>
    <col min="6" max="6" width="12.42578125" style="316" customWidth="1"/>
    <col min="7" max="7" width="12.42578125" style="315" customWidth="1"/>
    <col min="8" max="16384" width="12.42578125" style="296"/>
  </cols>
  <sheetData>
    <row r="1" spans="1:8" ht="12">
      <c r="A1" s="295" t="str">
        <f>Inputs!$D$6</f>
        <v>AVISTA UTILITIES</v>
      </c>
      <c r="B1" s="295"/>
      <c r="C1" s="295"/>
      <c r="E1" s="297"/>
      <c r="F1" s="298"/>
      <c r="G1" s="297"/>
    </row>
    <row r="2" spans="1:8" ht="12">
      <c r="A2" s="295" t="s">
        <v>125</v>
      </c>
      <c r="B2" s="295"/>
      <c r="C2" s="295"/>
      <c r="E2" s="297"/>
      <c r="F2" s="299" t="s">
        <v>175</v>
      </c>
      <c r="G2" s="297"/>
    </row>
    <row r="3" spans="1:8" ht="12">
      <c r="A3" s="295" t="str">
        <f>Inputs!$D$2</f>
        <v>TWELVE MONTHS ENDED SEPTEMBER 30, 2008</v>
      </c>
      <c r="B3" s="295"/>
      <c r="C3" s="295"/>
      <c r="E3" s="297"/>
      <c r="F3" s="299" t="s">
        <v>155</v>
      </c>
      <c r="G3" s="296"/>
    </row>
    <row r="4" spans="1:8" ht="12">
      <c r="A4" s="295" t="s">
        <v>128</v>
      </c>
      <c r="B4" s="295"/>
      <c r="C4" s="295"/>
      <c r="E4" s="300"/>
      <c r="F4" s="301" t="s">
        <v>129</v>
      </c>
      <c r="G4" s="300"/>
    </row>
    <row r="5" spans="1:8" ht="12">
      <c r="A5" s="302" t="s">
        <v>10</v>
      </c>
      <c r="E5" s="297"/>
      <c r="F5" s="299"/>
      <c r="G5" s="297"/>
    </row>
    <row r="6" spans="1:8" ht="12">
      <c r="A6" s="303" t="s">
        <v>27</v>
      </c>
      <c r="B6" s="304" t="s">
        <v>113</v>
      </c>
      <c r="C6" s="304"/>
      <c r="E6" s="305" t="s">
        <v>130</v>
      </c>
      <c r="F6" s="306" t="s">
        <v>131</v>
      </c>
      <c r="G6" s="305" t="s">
        <v>132</v>
      </c>
      <c r="H6" s="307" t="s">
        <v>133</v>
      </c>
    </row>
    <row r="7" spans="1:8" ht="12">
      <c r="A7" s="302"/>
      <c r="B7" s="296" t="s">
        <v>68</v>
      </c>
      <c r="E7" s="308"/>
      <c r="F7" s="299"/>
      <c r="G7" s="308"/>
    </row>
    <row r="8" spans="1:8" ht="12">
      <c r="A8" s="302">
        <v>1</v>
      </c>
      <c r="B8" s="296" t="s">
        <v>134</v>
      </c>
      <c r="E8" s="309"/>
      <c r="F8" s="309"/>
      <c r="G8" s="309"/>
      <c r="H8" s="310" t="str">
        <f>IF(E8=F8+G8," ","ERROR")</f>
        <v xml:space="preserve"> </v>
      </c>
    </row>
    <row r="9" spans="1:8" ht="12">
      <c r="A9" s="302">
        <v>2</v>
      </c>
      <c r="B9" s="296" t="s">
        <v>135</v>
      </c>
      <c r="E9" s="311"/>
      <c r="F9" s="311"/>
      <c r="G9" s="311"/>
      <c r="H9" s="310" t="str">
        <f>IF(E9=F9+G9," ","ERROR")</f>
        <v xml:space="preserve"> </v>
      </c>
    </row>
    <row r="10" spans="1:8" ht="12">
      <c r="A10" s="302">
        <v>3</v>
      </c>
      <c r="B10" s="296" t="s">
        <v>71</v>
      </c>
      <c r="E10" s="312"/>
      <c r="F10" s="312"/>
      <c r="G10" s="312"/>
      <c r="H10" s="310" t="str">
        <f>IF(E10=F10+G10," ","ERROR")</f>
        <v xml:space="preserve"> </v>
      </c>
    </row>
    <row r="11" spans="1:8" ht="12">
      <c r="A11" s="302">
        <v>4</v>
      </c>
      <c r="B11" s="296" t="s">
        <v>136</v>
      </c>
      <c r="E11" s="311">
        <f>SUM(E8:E10)</f>
        <v>0</v>
      </c>
      <c r="F11" s="311">
        <f>SUM(F8:F10)</f>
        <v>0</v>
      </c>
      <c r="G11" s="311">
        <f>SUM(G8:G10)</f>
        <v>0</v>
      </c>
      <c r="H11" s="310" t="str">
        <f>IF(E11=F11+G11," ","ERROR")</f>
        <v xml:space="preserve"> </v>
      </c>
    </row>
    <row r="12" spans="1:8" ht="12">
      <c r="A12" s="302"/>
      <c r="E12" s="311"/>
      <c r="F12" s="311"/>
      <c r="G12" s="311"/>
      <c r="H12" s="310"/>
    </row>
    <row r="13" spans="1:8" ht="12">
      <c r="A13" s="302"/>
      <c r="B13" s="296" t="s">
        <v>73</v>
      </c>
      <c r="E13" s="311"/>
      <c r="F13" s="311"/>
      <c r="G13" s="311"/>
      <c r="H13" s="310"/>
    </row>
    <row r="14" spans="1:8" ht="12">
      <c r="A14" s="302">
        <v>5</v>
      </c>
      <c r="B14" s="296" t="s">
        <v>137</v>
      </c>
      <c r="E14" s="311"/>
      <c r="F14" s="311"/>
      <c r="G14" s="311"/>
      <c r="H14" s="310" t="str">
        <f>IF(E14=F14+G14," ","ERROR")</f>
        <v xml:space="preserve"> </v>
      </c>
    </row>
    <row r="15" spans="1:8" ht="12">
      <c r="A15" s="302"/>
      <c r="B15" s="296" t="s">
        <v>75</v>
      </c>
      <c r="E15" s="311"/>
      <c r="F15" s="311"/>
      <c r="G15" s="311"/>
      <c r="H15" s="310"/>
    </row>
    <row r="16" spans="1:8" ht="12">
      <c r="A16" s="302">
        <v>6</v>
      </c>
      <c r="B16" s="296" t="s">
        <v>138</v>
      </c>
      <c r="E16" s="311"/>
      <c r="F16" s="311"/>
      <c r="G16" s="311"/>
      <c r="H16" s="310" t="str">
        <f>IF(E16=F16+G16," ","ERROR")</f>
        <v xml:space="preserve"> </v>
      </c>
    </row>
    <row r="17" spans="1:8" ht="12">
      <c r="A17" s="302">
        <v>7</v>
      </c>
      <c r="B17" s="296" t="s">
        <v>139</v>
      </c>
      <c r="E17" s="311"/>
      <c r="F17" s="311"/>
      <c r="G17" s="311"/>
      <c r="H17" s="310" t="str">
        <f>IF(E17=F17+G17," ","ERROR")</f>
        <v xml:space="preserve"> </v>
      </c>
    </row>
    <row r="18" spans="1:8" ht="12">
      <c r="A18" s="302">
        <v>8</v>
      </c>
      <c r="B18" s="296" t="s">
        <v>140</v>
      </c>
      <c r="E18" s="312"/>
      <c r="F18" s="312"/>
      <c r="G18" s="312"/>
      <c r="H18" s="310" t="str">
        <f>IF(E18=F18+G18," ","ERROR")</f>
        <v xml:space="preserve"> </v>
      </c>
    </row>
    <row r="19" spans="1:8" ht="12">
      <c r="A19" s="302">
        <v>9</v>
      </c>
      <c r="B19" s="296" t="s">
        <v>141</v>
      </c>
      <c r="E19" s="311">
        <f>SUM(E16:E18)</f>
        <v>0</v>
      </c>
      <c r="F19" s="311">
        <f>SUM(F16:F18)</f>
        <v>0</v>
      </c>
      <c r="G19" s="311">
        <f>SUM(G16:G18)</f>
        <v>0</v>
      </c>
      <c r="H19" s="310" t="str">
        <f>IF(E19=F19+G19," ","ERROR")</f>
        <v xml:space="preserve"> </v>
      </c>
    </row>
    <row r="20" spans="1:8" ht="12">
      <c r="A20" s="302"/>
      <c r="B20" s="296" t="s">
        <v>80</v>
      </c>
      <c r="E20" s="311"/>
      <c r="F20" s="311"/>
      <c r="G20" s="311"/>
      <c r="H20" s="310"/>
    </row>
    <row r="21" spans="1:8" ht="12">
      <c r="A21" s="302">
        <v>10</v>
      </c>
      <c r="B21" s="296" t="s">
        <v>142</v>
      </c>
      <c r="E21" s="311"/>
      <c r="F21" s="311"/>
      <c r="G21" s="311"/>
      <c r="H21" s="310" t="str">
        <f>IF(E21=F21+G21," ","ERROR")</f>
        <v xml:space="preserve"> </v>
      </c>
    </row>
    <row r="22" spans="1:8" ht="12">
      <c r="A22" s="302">
        <v>11</v>
      </c>
      <c r="B22" s="296" t="s">
        <v>143</v>
      </c>
      <c r="E22" s="311"/>
      <c r="F22" s="311"/>
      <c r="G22" s="311"/>
      <c r="H22" s="310" t="str">
        <f>IF(E22=F22+G22," ","ERROR")</f>
        <v xml:space="preserve"> </v>
      </c>
    </row>
    <row r="23" spans="1:8" ht="12">
      <c r="A23" s="302">
        <v>12</v>
      </c>
      <c r="B23" s="296" t="s">
        <v>144</v>
      </c>
      <c r="E23" s="312"/>
      <c r="F23" s="312"/>
      <c r="G23" s="312"/>
      <c r="H23" s="310" t="str">
        <f>IF(E23=F23+G23," ","ERROR")</f>
        <v xml:space="preserve"> </v>
      </c>
    </row>
    <row r="24" spans="1:8" ht="12">
      <c r="A24" s="302">
        <v>13</v>
      </c>
      <c r="B24" s="296" t="s">
        <v>145</v>
      </c>
      <c r="E24" s="311">
        <f>SUM(E21:E23)</f>
        <v>0</v>
      </c>
      <c r="F24" s="311">
        <f>SUM(F21:F23)</f>
        <v>0</v>
      </c>
      <c r="G24" s="311">
        <f>SUM(G21:G23)</f>
        <v>0</v>
      </c>
      <c r="H24" s="310" t="str">
        <f>IF(E24=F24+G24," ","ERROR")</f>
        <v xml:space="preserve"> </v>
      </c>
    </row>
    <row r="25" spans="1:8" ht="12">
      <c r="A25" s="302"/>
      <c r="B25" s="296" t="s">
        <v>84</v>
      </c>
      <c r="E25" s="311"/>
      <c r="F25" s="311"/>
      <c r="G25" s="311"/>
      <c r="H25" s="310"/>
    </row>
    <row r="26" spans="1:8" ht="12">
      <c r="A26" s="302">
        <v>14</v>
      </c>
      <c r="B26" s="296" t="s">
        <v>142</v>
      </c>
      <c r="E26" s="311"/>
      <c r="F26" s="311"/>
      <c r="G26" s="311"/>
      <c r="H26" s="310" t="str">
        <f>IF(E26=F26+G26," ","ERROR")</f>
        <v xml:space="preserve"> </v>
      </c>
    </row>
    <row r="27" spans="1:8" ht="12">
      <c r="A27" s="302">
        <v>15</v>
      </c>
      <c r="B27" s="296" t="s">
        <v>143</v>
      </c>
      <c r="E27" s="311"/>
      <c r="F27" s="311"/>
      <c r="G27" s="311"/>
      <c r="H27" s="310" t="str">
        <f>IF(E27=F27+G27," ","ERROR")</f>
        <v xml:space="preserve"> </v>
      </c>
    </row>
    <row r="28" spans="1:8" ht="12">
      <c r="A28" s="302">
        <v>16</v>
      </c>
      <c r="B28" s="296" t="s">
        <v>144</v>
      </c>
      <c r="E28" s="312">
        <f>F28+G28</f>
        <v>0</v>
      </c>
      <c r="F28" s="312"/>
      <c r="G28" s="312">
        <f>F111</f>
        <v>0</v>
      </c>
      <c r="H28" s="310" t="str">
        <f>IF(E28=F28+G28," ","ERROR")</f>
        <v xml:space="preserve"> </v>
      </c>
    </row>
    <row r="29" spans="1:8" ht="12">
      <c r="A29" s="302">
        <v>17</v>
      </c>
      <c r="B29" s="296" t="s">
        <v>146</v>
      </c>
      <c r="E29" s="311">
        <f>SUM(E26:E28)</f>
        <v>0</v>
      </c>
      <c r="F29" s="311">
        <f>SUM(F26:F28)</f>
        <v>0</v>
      </c>
      <c r="G29" s="311">
        <f>SUM(G26:G28)</f>
        <v>0</v>
      </c>
      <c r="H29" s="310" t="str">
        <f>IF(E29=F29+G29," ","ERROR")</f>
        <v xml:space="preserve"> </v>
      </c>
    </row>
    <row r="30" spans="1:8" ht="12">
      <c r="A30" s="302"/>
      <c r="E30" s="311"/>
      <c r="F30" s="311"/>
      <c r="G30" s="311"/>
      <c r="H30" s="310"/>
    </row>
    <row r="31" spans="1:8" ht="12">
      <c r="A31" s="302">
        <v>18</v>
      </c>
      <c r="B31" s="296" t="s">
        <v>86</v>
      </c>
      <c r="E31" s="311"/>
      <c r="F31" s="311"/>
      <c r="G31" s="311"/>
      <c r="H31" s="310" t="str">
        <f>IF(E31=F31+G31," ","ERROR")</f>
        <v xml:space="preserve"> </v>
      </c>
    </row>
    <row r="32" spans="1:8" ht="12">
      <c r="A32" s="302">
        <v>19</v>
      </c>
      <c r="B32" s="296" t="s">
        <v>87</v>
      </c>
      <c r="E32" s="311">
        <f>F32+G32</f>
        <v>0</v>
      </c>
      <c r="F32" s="311">
        <v>0</v>
      </c>
      <c r="G32" s="311">
        <v>0</v>
      </c>
      <c r="H32" s="310" t="str">
        <f>IF(E32=F32+G32," ","ERROR")</f>
        <v xml:space="preserve"> </v>
      </c>
    </row>
    <row r="33" spans="1:8" ht="12">
      <c r="A33" s="302">
        <v>20</v>
      </c>
      <c r="B33" s="296" t="s">
        <v>147</v>
      </c>
      <c r="E33" s="311"/>
      <c r="F33" s="311"/>
      <c r="G33" s="311"/>
      <c r="H33" s="310" t="str">
        <f>IF(E33=F33+G33," ","ERROR")</f>
        <v xml:space="preserve"> </v>
      </c>
    </row>
    <row r="34" spans="1:8" ht="12">
      <c r="A34" s="302"/>
      <c r="B34" s="296" t="s">
        <v>148</v>
      </c>
      <c r="E34" s="311"/>
      <c r="F34" s="311"/>
      <c r="G34" s="311"/>
      <c r="H34" s="310"/>
    </row>
    <row r="35" spans="1:8" ht="12">
      <c r="A35" s="302">
        <v>21</v>
      </c>
      <c r="B35" s="296" t="s">
        <v>142</v>
      </c>
      <c r="E35" s="311">
        <f>F35+G35</f>
        <v>0</v>
      </c>
      <c r="F35" s="311"/>
      <c r="G35" s="311"/>
      <c r="H35" s="310" t="str">
        <f>IF(E35=F35+G35," ","ERROR")</f>
        <v xml:space="preserve"> </v>
      </c>
    </row>
    <row r="36" spans="1:8" ht="12">
      <c r="A36" s="302">
        <v>22</v>
      </c>
      <c r="B36" s="296" t="s">
        <v>143</v>
      </c>
      <c r="E36" s="311"/>
      <c r="F36" s="311"/>
      <c r="G36" s="311"/>
      <c r="H36" s="310" t="str">
        <f>IF(E36=F36+G36," ","ERROR")</f>
        <v xml:space="preserve"> </v>
      </c>
    </row>
    <row r="37" spans="1:8" ht="12">
      <c r="A37" s="302">
        <v>23</v>
      </c>
      <c r="B37" s="296" t="s">
        <v>144</v>
      </c>
      <c r="E37" s="312"/>
      <c r="F37" s="312"/>
      <c r="G37" s="312"/>
      <c r="H37" s="310" t="str">
        <f>IF(E37=F37+G37," ","ERROR")</f>
        <v xml:space="preserve"> </v>
      </c>
    </row>
    <row r="38" spans="1:8" ht="12">
      <c r="A38" s="302">
        <v>24</v>
      </c>
      <c r="B38" s="296" t="s">
        <v>149</v>
      </c>
      <c r="E38" s="312">
        <f>SUM(E35:E37)</f>
        <v>0</v>
      </c>
      <c r="F38" s="312">
        <f>SUM(F35:F37)</f>
        <v>0</v>
      </c>
      <c r="G38" s="312">
        <f>SUM(G35:G37)</f>
        <v>0</v>
      </c>
      <c r="H38" s="310" t="str">
        <f>IF(E38=F38+G38," ","ERROR")</f>
        <v xml:space="preserve"> </v>
      </c>
    </row>
    <row r="39" spans="1:8" ht="12">
      <c r="A39" s="302">
        <v>25</v>
      </c>
      <c r="B39" s="296" t="s">
        <v>91</v>
      </c>
      <c r="E39" s="312">
        <f>E19+E24+E29+E31+E32+E33+E38+E14</f>
        <v>0</v>
      </c>
      <c r="F39" s="312">
        <f>F19+F24+F29+F31+F32+F33+F38+F14</f>
        <v>0</v>
      </c>
      <c r="G39" s="312">
        <f>G19+G24+G29+G31+G32+G33+G38+G14</f>
        <v>0</v>
      </c>
      <c r="H39" s="310" t="str">
        <f>IF(E39=F39+G39," ","ERROR")</f>
        <v xml:space="preserve"> </v>
      </c>
    </row>
    <row r="40" spans="1:8" ht="12">
      <c r="A40" s="302"/>
      <c r="E40" s="311"/>
      <c r="F40" s="311"/>
      <c r="G40" s="311"/>
      <c r="H40" s="310"/>
    </row>
    <row r="41" spans="1:8" ht="12">
      <c r="A41" s="302">
        <v>26</v>
      </c>
      <c r="B41" s="296" t="s">
        <v>150</v>
      </c>
      <c r="E41" s="311">
        <f>E11-E39</f>
        <v>0</v>
      </c>
      <c r="F41" s="311">
        <f>F11-F39</f>
        <v>0</v>
      </c>
      <c r="G41" s="311">
        <f>G11-G39</f>
        <v>0</v>
      </c>
      <c r="H41" s="310" t="str">
        <f>IF(E41=F41+G41," ","ERROR")</f>
        <v xml:space="preserve"> </v>
      </c>
    </row>
    <row r="42" spans="1:8" ht="12">
      <c r="A42" s="302"/>
      <c r="E42" s="311"/>
      <c r="F42" s="311"/>
      <c r="G42" s="311"/>
      <c r="H42" s="310"/>
    </row>
    <row r="43" spans="1:8" ht="12">
      <c r="A43" s="302"/>
      <c r="B43" s="296" t="s">
        <v>151</v>
      </c>
      <c r="E43" s="311"/>
      <c r="F43" s="311"/>
      <c r="G43" s="311"/>
      <c r="H43" s="310"/>
    </row>
    <row r="44" spans="1:8" ht="12">
      <c r="A44" s="302">
        <v>27</v>
      </c>
      <c r="B44" s="313" t="s">
        <v>152</v>
      </c>
      <c r="D44" s="314">
        <v>0.35</v>
      </c>
      <c r="E44" s="311">
        <f>F44+G44</f>
        <v>0</v>
      </c>
      <c r="F44" s="311">
        <f>ROUND(F41*D44,0)</f>
        <v>0</v>
      </c>
      <c r="G44" s="311">
        <f>ROUND(G41*D44,0)</f>
        <v>0</v>
      </c>
      <c r="H44" s="310" t="str">
        <f>IF(E44=F44+G44," ","ERROR")</f>
        <v xml:space="preserve"> </v>
      </c>
    </row>
    <row r="45" spans="1:8" ht="12">
      <c r="A45" s="302">
        <v>28</v>
      </c>
      <c r="B45" s="296" t="s">
        <v>154</v>
      </c>
      <c r="E45" s="311"/>
      <c r="F45" s="311"/>
      <c r="G45" s="311"/>
      <c r="H45" s="310" t="str">
        <f>IF(E45=F45+G45," ","ERROR")</f>
        <v xml:space="preserve"> </v>
      </c>
    </row>
    <row r="46" spans="1:8" ht="12">
      <c r="A46" s="302">
        <v>29</v>
      </c>
      <c r="B46" s="296" t="s">
        <v>153</v>
      </c>
      <c r="E46" s="312"/>
      <c r="F46" s="312"/>
      <c r="G46" s="312"/>
      <c r="H46" s="310" t="str">
        <f>IF(E46=F46+G46," ","ERROR")</f>
        <v xml:space="preserve"> </v>
      </c>
    </row>
    <row r="47" spans="1:8" ht="12">
      <c r="A47" s="302"/>
      <c r="H47" s="310"/>
    </row>
    <row r="48" spans="1:8" ht="12.75" thickBot="1">
      <c r="A48" s="302">
        <v>30</v>
      </c>
      <c r="B48" s="317" t="s">
        <v>97</v>
      </c>
      <c r="E48" s="318">
        <f>E41-(+E44+E45+E46)</f>
        <v>0</v>
      </c>
      <c r="F48" s="318">
        <f>F41-F44+F45+F46</f>
        <v>0</v>
      </c>
      <c r="G48" s="318">
        <f>G41-SUM(G44:G46)</f>
        <v>0</v>
      </c>
      <c r="H48" s="310" t="str">
        <f>IF(E48=F48+G48," ","ERROR")</f>
        <v xml:space="preserve"> </v>
      </c>
    </row>
    <row r="49" spans="1:8" ht="12.75" thickTop="1">
      <c r="A49" s="302"/>
      <c r="H49" s="310"/>
    </row>
    <row r="50" spans="1:8" ht="12">
      <c r="A50" s="302"/>
      <c r="B50" s="313" t="s">
        <v>155</v>
      </c>
      <c r="H50" s="310"/>
    </row>
    <row r="51" spans="1:8" ht="12">
      <c r="A51" s="302"/>
      <c r="B51" s="313" t="s">
        <v>156</v>
      </c>
      <c r="H51" s="310"/>
    </row>
    <row r="52" spans="1:8" ht="12">
      <c r="A52" s="302">
        <v>31</v>
      </c>
      <c r="B52" s="296" t="s">
        <v>157</v>
      </c>
      <c r="E52" s="309"/>
      <c r="F52" s="309"/>
      <c r="G52" s="309"/>
      <c r="H52" s="310" t="str">
        <f t="shared" ref="H52:H63" si="0">IF(E52=F52+G52," ","ERROR")</f>
        <v xml:space="preserve"> </v>
      </c>
    </row>
    <row r="53" spans="1:8" ht="12">
      <c r="A53" s="302">
        <v>32</v>
      </c>
      <c r="B53" s="296" t="s">
        <v>158</v>
      </c>
      <c r="E53" s="311">
        <f>F53+G53</f>
        <v>0</v>
      </c>
      <c r="F53" s="311">
        <v>0</v>
      </c>
      <c r="G53" s="311">
        <v>0</v>
      </c>
      <c r="H53" s="310" t="str">
        <f t="shared" si="0"/>
        <v xml:space="preserve"> </v>
      </c>
    </row>
    <row r="54" spans="1:8" ht="12">
      <c r="A54" s="302">
        <v>33</v>
      </c>
      <c r="B54" s="296" t="s">
        <v>166</v>
      </c>
      <c r="E54" s="312"/>
      <c r="F54" s="312"/>
      <c r="G54" s="312"/>
      <c r="H54" s="310" t="str">
        <f t="shared" si="0"/>
        <v xml:space="preserve"> </v>
      </c>
    </row>
    <row r="55" spans="1:8" ht="12">
      <c r="A55" s="302">
        <v>34</v>
      </c>
      <c r="B55" s="296" t="s">
        <v>160</v>
      </c>
      <c r="E55" s="311">
        <f>SUM(E52:E54)</f>
        <v>0</v>
      </c>
      <c r="F55" s="311">
        <f>SUM(F52:F54)</f>
        <v>0</v>
      </c>
      <c r="G55" s="311">
        <f>SUM(G52:G54)</f>
        <v>0</v>
      </c>
      <c r="H55" s="310" t="str">
        <f t="shared" si="0"/>
        <v xml:space="preserve"> </v>
      </c>
    </row>
    <row r="56" spans="1:8" ht="12">
      <c r="A56" s="302"/>
      <c r="B56" s="296" t="s">
        <v>102</v>
      </c>
      <c r="E56" s="311"/>
      <c r="F56" s="311"/>
      <c r="G56" s="311"/>
      <c r="H56" s="310" t="str">
        <f t="shared" si="0"/>
        <v xml:space="preserve"> </v>
      </c>
    </row>
    <row r="57" spans="1:8" ht="12">
      <c r="A57" s="302">
        <v>35</v>
      </c>
      <c r="B57" s="296" t="s">
        <v>157</v>
      </c>
      <c r="E57" s="311"/>
      <c r="F57" s="311"/>
      <c r="G57" s="311"/>
      <c r="H57" s="310" t="str">
        <f t="shared" si="0"/>
        <v xml:space="preserve"> </v>
      </c>
    </row>
    <row r="58" spans="1:8" ht="12">
      <c r="A58" s="302">
        <v>36</v>
      </c>
      <c r="B58" s="296" t="s">
        <v>158</v>
      </c>
      <c r="E58" s="311"/>
      <c r="F58" s="311"/>
      <c r="G58" s="311"/>
      <c r="H58" s="310" t="str">
        <f t="shared" si="0"/>
        <v xml:space="preserve"> </v>
      </c>
    </row>
    <row r="59" spans="1:8" ht="12">
      <c r="A59" s="302">
        <v>37</v>
      </c>
      <c r="B59" s="296" t="s">
        <v>166</v>
      </c>
      <c r="E59" s="312">
        <f>F59+G59</f>
        <v>0</v>
      </c>
      <c r="F59" s="312"/>
      <c r="G59" s="312"/>
      <c r="H59" s="310" t="str">
        <f t="shared" si="0"/>
        <v xml:space="preserve"> </v>
      </c>
    </row>
    <row r="60" spans="1:8" ht="12">
      <c r="A60" s="302">
        <v>38</v>
      </c>
      <c r="B60" s="296" t="s">
        <v>161</v>
      </c>
      <c r="E60" s="311">
        <f>SUM(E57:E59)</f>
        <v>0</v>
      </c>
      <c r="F60" s="311">
        <f>SUM(F57:F59)</f>
        <v>0</v>
      </c>
      <c r="G60" s="311">
        <f>SUM(G57:G59)</f>
        <v>0</v>
      </c>
      <c r="H60" s="310" t="str">
        <f t="shared" si="0"/>
        <v xml:space="preserve"> </v>
      </c>
    </row>
    <row r="61" spans="1:8" ht="12">
      <c r="A61" s="302">
        <v>39</v>
      </c>
      <c r="B61" s="313" t="s">
        <v>162</v>
      </c>
      <c r="E61" s="311"/>
      <c r="F61" s="311"/>
      <c r="G61" s="311"/>
      <c r="H61" s="310" t="str">
        <f t="shared" si="0"/>
        <v xml:space="preserve"> </v>
      </c>
    </row>
    <row r="62" spans="1:8" ht="12">
      <c r="A62" s="302">
        <v>40</v>
      </c>
      <c r="B62" s="296" t="s">
        <v>105</v>
      </c>
      <c r="E62" s="311"/>
      <c r="F62" s="311"/>
      <c r="G62" s="311"/>
      <c r="H62" s="310" t="str">
        <f t="shared" si="0"/>
        <v xml:space="preserve"> </v>
      </c>
    </row>
    <row r="63" spans="1:8" ht="12">
      <c r="A63" s="302">
        <v>41</v>
      </c>
      <c r="B63" s="313" t="s">
        <v>106</v>
      </c>
      <c r="E63" s="312"/>
      <c r="F63" s="312"/>
      <c r="G63" s="312"/>
      <c r="H63" s="310" t="str">
        <f t="shared" si="0"/>
        <v xml:space="preserve"> </v>
      </c>
    </row>
    <row r="64" spans="1:8" ht="9" customHeight="1">
      <c r="A64" s="302"/>
      <c r="B64" s="296" t="s">
        <v>163</v>
      </c>
      <c r="H64" s="310"/>
    </row>
    <row r="65" spans="1:8" ht="12.75" thickBot="1">
      <c r="A65" s="302">
        <v>42</v>
      </c>
      <c r="B65" s="317" t="s">
        <v>107</v>
      </c>
      <c r="E65" s="318">
        <f>E55-E60+E61+E62+E63</f>
        <v>0</v>
      </c>
      <c r="F65" s="318">
        <f>F55-F60+F61+F62+F63</f>
        <v>0</v>
      </c>
      <c r="G65" s="318">
        <f>G55-G60+G61+G62+G63</f>
        <v>0</v>
      </c>
      <c r="H65" s="310" t="str">
        <f>IF(E65=F65+G65," ","ERROR")</f>
        <v xml:space="preserve"> </v>
      </c>
    </row>
    <row r="66" spans="1:8" ht="12.75" thickTop="1">
      <c r="A66" s="295" t="str">
        <f>Inputs!$D$6</f>
        <v>AVISTA UTILITIES</v>
      </c>
      <c r="B66" s="295"/>
      <c r="C66" s="295"/>
      <c r="G66" s="296"/>
    </row>
    <row r="67" spans="1:8" ht="12">
      <c r="A67" s="295" t="s">
        <v>169</v>
      </c>
      <c r="B67" s="295"/>
      <c r="C67" s="295"/>
      <c r="G67" s="296"/>
    </row>
    <row r="68" spans="1:8" ht="12">
      <c r="A68" s="295" t="str">
        <f>A3</f>
        <v>TWELVE MONTHS ENDED SEPTEMBER 30, 2008</v>
      </c>
      <c r="B68" s="295"/>
      <c r="C68" s="295"/>
      <c r="F68" s="299" t="str">
        <f>F2</f>
        <v>DSM INVESTMENT</v>
      </c>
      <c r="G68" s="296"/>
    </row>
    <row r="69" spans="1:8" ht="12">
      <c r="A69" s="295" t="s">
        <v>170</v>
      </c>
      <c r="B69" s="295"/>
      <c r="C69" s="295"/>
      <c r="F69" s="299" t="str">
        <f>F3</f>
        <v>RATE BASE</v>
      </c>
      <c r="G69" s="296"/>
    </row>
    <row r="70" spans="1:8" ht="12">
      <c r="E70" s="319"/>
      <c r="F70" s="306" t="str">
        <f>F4</f>
        <v>GAS</v>
      </c>
      <c r="G70" s="320"/>
    </row>
    <row r="71" spans="1:8" ht="12">
      <c r="A71" s="302" t="s">
        <v>10</v>
      </c>
      <c r="F71" s="299"/>
    </row>
    <row r="72" spans="1:8" ht="12">
      <c r="A72" s="321" t="s">
        <v>27</v>
      </c>
      <c r="B72" s="304" t="s">
        <v>113</v>
      </c>
      <c r="C72" s="304"/>
      <c r="F72" s="306" t="s">
        <v>132</v>
      </c>
    </row>
    <row r="73" spans="1:8" ht="12">
      <c r="A73" s="302"/>
      <c r="B73" s="296" t="s">
        <v>68</v>
      </c>
      <c r="E73" s="296"/>
      <c r="G73" s="296"/>
    </row>
    <row r="74" spans="1:8" ht="12">
      <c r="A74" s="302">
        <v>1</v>
      </c>
      <c r="B74" s="296" t="s">
        <v>134</v>
      </c>
      <c r="E74" s="296"/>
      <c r="F74" s="309">
        <f>G8</f>
        <v>0</v>
      </c>
      <c r="G74" s="296"/>
    </row>
    <row r="75" spans="1:8" ht="12">
      <c r="A75" s="302">
        <v>2</v>
      </c>
      <c r="B75" s="296" t="s">
        <v>135</v>
      </c>
      <c r="E75" s="296"/>
      <c r="F75" s="311">
        <f>G9</f>
        <v>0</v>
      </c>
      <c r="G75" s="296"/>
    </row>
    <row r="76" spans="1:8" ht="12">
      <c r="A76" s="302">
        <v>3</v>
      </c>
      <c r="B76" s="296" t="s">
        <v>71</v>
      </c>
      <c r="E76" s="296"/>
      <c r="F76" s="312">
        <f>G10</f>
        <v>0</v>
      </c>
      <c r="G76" s="296"/>
    </row>
    <row r="77" spans="1:8" ht="12">
      <c r="A77" s="302"/>
      <c r="E77" s="296"/>
      <c r="F77" s="311"/>
      <c r="G77" s="296"/>
    </row>
    <row r="78" spans="1:8" ht="12">
      <c r="A78" s="302">
        <v>4</v>
      </c>
      <c r="B78" s="296" t="s">
        <v>136</v>
      </c>
      <c r="E78" s="296"/>
      <c r="F78" s="311">
        <f>F74+F75+F76</f>
        <v>0</v>
      </c>
      <c r="G78" s="296"/>
    </row>
    <row r="79" spans="1:8" ht="12">
      <c r="A79" s="302"/>
      <c r="E79" s="296"/>
      <c r="F79" s="311"/>
      <c r="G79" s="296"/>
    </row>
    <row r="80" spans="1:8" ht="12">
      <c r="A80" s="302"/>
      <c r="B80" s="296" t="s">
        <v>73</v>
      </c>
      <c r="E80" s="296"/>
      <c r="F80" s="311"/>
      <c r="G80" s="296"/>
    </row>
    <row r="81" spans="1:7" ht="12">
      <c r="A81" s="302">
        <v>5</v>
      </c>
      <c r="B81" s="296" t="s">
        <v>137</v>
      </c>
      <c r="E81" s="296"/>
      <c r="F81" s="311">
        <f>G14</f>
        <v>0</v>
      </c>
      <c r="G81" s="296"/>
    </row>
    <row r="82" spans="1:7" ht="12">
      <c r="A82" s="302"/>
      <c r="B82" s="296" t="s">
        <v>75</v>
      </c>
      <c r="E82" s="296"/>
      <c r="F82" s="311"/>
      <c r="G82" s="296"/>
    </row>
    <row r="83" spans="1:7" ht="12">
      <c r="A83" s="302">
        <v>6</v>
      </c>
      <c r="B83" s="296" t="s">
        <v>138</v>
      </c>
      <c r="E83" s="296"/>
      <c r="F83" s="311">
        <f>G16</f>
        <v>0</v>
      </c>
      <c r="G83" s="296"/>
    </row>
    <row r="84" spans="1:7" ht="12">
      <c r="A84" s="302">
        <v>7</v>
      </c>
      <c r="B84" s="296" t="s">
        <v>139</v>
      </c>
      <c r="E84" s="296"/>
      <c r="F84" s="311">
        <f>G17</f>
        <v>0</v>
      </c>
      <c r="G84" s="296"/>
    </row>
    <row r="85" spans="1:7" ht="12">
      <c r="A85" s="302">
        <v>8</v>
      </c>
      <c r="B85" s="296" t="s">
        <v>140</v>
      </c>
      <c r="E85" s="296"/>
      <c r="F85" s="312">
        <f>G18</f>
        <v>0</v>
      </c>
      <c r="G85" s="296"/>
    </row>
    <row r="86" spans="1:7" ht="12">
      <c r="A86" s="302">
        <v>9</v>
      </c>
      <c r="B86" s="296" t="s">
        <v>141</v>
      </c>
      <c r="E86" s="296"/>
      <c r="F86" s="311">
        <f>F83+F84+F85</f>
        <v>0</v>
      </c>
      <c r="G86" s="296"/>
    </row>
    <row r="87" spans="1:7" ht="12">
      <c r="A87" s="302"/>
      <c r="B87" s="296" t="s">
        <v>80</v>
      </c>
      <c r="E87" s="296"/>
      <c r="F87" s="311"/>
      <c r="G87" s="296"/>
    </row>
    <row r="88" spans="1:7" ht="12">
      <c r="A88" s="302">
        <v>10</v>
      </c>
      <c r="B88" s="296" t="s">
        <v>142</v>
      </c>
      <c r="E88" s="296"/>
      <c r="F88" s="311">
        <f>G21</f>
        <v>0</v>
      </c>
      <c r="G88" s="296"/>
    </row>
    <row r="89" spans="1:7" ht="12">
      <c r="A89" s="302">
        <v>11</v>
      </c>
      <c r="B89" s="296" t="s">
        <v>143</v>
      </c>
      <c r="E89" s="296"/>
      <c r="F89" s="311">
        <f>G22</f>
        <v>0</v>
      </c>
      <c r="G89" s="296"/>
    </row>
    <row r="90" spans="1:7" ht="12">
      <c r="A90" s="302">
        <v>12</v>
      </c>
      <c r="B90" s="296" t="s">
        <v>144</v>
      </c>
      <c r="E90" s="296"/>
      <c r="F90" s="312">
        <f>G23</f>
        <v>0</v>
      </c>
      <c r="G90" s="296"/>
    </row>
    <row r="91" spans="1:7" ht="12">
      <c r="A91" s="302">
        <v>13</v>
      </c>
      <c r="B91" s="296" t="s">
        <v>145</v>
      </c>
      <c r="E91" s="296"/>
      <c r="F91" s="311">
        <f>F88+F89+F90</f>
        <v>0</v>
      </c>
      <c r="G91" s="296"/>
    </row>
    <row r="92" spans="1:7" ht="12">
      <c r="A92" s="302"/>
      <c r="B92" s="296" t="s">
        <v>84</v>
      </c>
      <c r="E92" s="296"/>
      <c r="F92" s="311"/>
      <c r="G92" s="296"/>
    </row>
    <row r="93" spans="1:7" ht="12">
      <c r="A93" s="302">
        <v>14</v>
      </c>
      <c r="B93" s="296" t="s">
        <v>142</v>
      </c>
      <c r="E93" s="296"/>
      <c r="F93" s="311">
        <f>G26</f>
        <v>0</v>
      </c>
      <c r="G93" s="296"/>
    </row>
    <row r="94" spans="1:7" ht="12">
      <c r="A94" s="302">
        <v>15</v>
      </c>
      <c r="B94" s="296" t="s">
        <v>143</v>
      </c>
      <c r="E94" s="296"/>
      <c r="F94" s="311">
        <f>G27</f>
        <v>0</v>
      </c>
      <c r="G94" s="296"/>
    </row>
    <row r="95" spans="1:7" ht="12">
      <c r="A95" s="302">
        <v>16</v>
      </c>
      <c r="B95" s="296" t="s">
        <v>144</v>
      </c>
      <c r="E95" s="296"/>
      <c r="F95" s="312"/>
      <c r="G95" s="296"/>
    </row>
    <row r="96" spans="1:7" ht="12">
      <c r="A96" s="302">
        <v>17</v>
      </c>
      <c r="B96" s="296" t="s">
        <v>146</v>
      </c>
      <c r="E96" s="296"/>
      <c r="F96" s="311">
        <f>F93+F94+F95</f>
        <v>0</v>
      </c>
      <c r="G96" s="296"/>
    </row>
    <row r="97" spans="1:7" ht="12">
      <c r="A97" s="302">
        <v>18</v>
      </c>
      <c r="B97" s="296" t="s">
        <v>86</v>
      </c>
      <c r="E97" s="296"/>
      <c r="F97" s="311">
        <f>G31</f>
        <v>0</v>
      </c>
      <c r="G97" s="296"/>
    </row>
    <row r="98" spans="1:7" ht="12">
      <c r="A98" s="302">
        <v>19</v>
      </c>
      <c r="B98" s="296" t="s">
        <v>87</v>
      </c>
      <c r="E98" s="296"/>
      <c r="F98" s="311">
        <f>G32</f>
        <v>0</v>
      </c>
      <c r="G98" s="296"/>
    </row>
    <row r="99" spans="1:7" ht="12">
      <c r="A99" s="302">
        <v>20</v>
      </c>
      <c r="B99" s="296" t="s">
        <v>147</v>
      </c>
      <c r="E99" s="296"/>
      <c r="F99" s="311">
        <f>G33</f>
        <v>0</v>
      </c>
      <c r="G99" s="296"/>
    </row>
    <row r="100" spans="1:7" ht="12">
      <c r="A100" s="302"/>
      <c r="B100" s="296" t="s">
        <v>148</v>
      </c>
      <c r="E100" s="296"/>
      <c r="F100" s="311"/>
      <c r="G100" s="296"/>
    </row>
    <row r="101" spans="1:7" ht="12">
      <c r="A101" s="302">
        <v>21</v>
      </c>
      <c r="B101" s="296" t="s">
        <v>142</v>
      </c>
      <c r="E101" s="296"/>
      <c r="F101" s="311">
        <f>G35</f>
        <v>0</v>
      </c>
      <c r="G101" s="296"/>
    </row>
    <row r="102" spans="1:7" ht="12">
      <c r="A102" s="302">
        <v>22</v>
      </c>
      <c r="B102" s="296" t="s">
        <v>143</v>
      </c>
      <c r="E102" s="296"/>
      <c r="F102" s="311">
        <f>G36</f>
        <v>0</v>
      </c>
      <c r="G102" s="296"/>
    </row>
    <row r="103" spans="1:7" ht="12">
      <c r="A103" s="302">
        <v>23</v>
      </c>
      <c r="B103" s="296" t="s">
        <v>144</v>
      </c>
      <c r="E103" s="296"/>
      <c r="F103" s="312">
        <f>G37</f>
        <v>0</v>
      </c>
      <c r="G103" s="296"/>
    </row>
    <row r="104" spans="1:7" ht="12">
      <c r="A104" s="302">
        <v>24</v>
      </c>
      <c r="B104" s="296" t="s">
        <v>149</v>
      </c>
      <c r="E104" s="296"/>
      <c r="F104" s="312">
        <f>F101+F102+F103</f>
        <v>0</v>
      </c>
      <c r="G104" s="296"/>
    </row>
    <row r="105" spans="1:7" ht="12">
      <c r="A105" s="302"/>
      <c r="E105" s="296"/>
      <c r="F105" s="311"/>
      <c r="G105" s="296"/>
    </row>
    <row r="106" spans="1:7" ht="12">
      <c r="A106" s="302">
        <v>25</v>
      </c>
      <c r="B106" s="296" t="s">
        <v>91</v>
      </c>
      <c r="E106" s="296"/>
      <c r="F106" s="312">
        <f>F104+F99+F98+F97+F96+F91+F86+F81</f>
        <v>0</v>
      </c>
      <c r="G106" s="296"/>
    </row>
    <row r="107" spans="1:7" ht="12">
      <c r="A107" s="302"/>
      <c r="E107" s="296"/>
      <c r="F107" s="311"/>
      <c r="G107" s="296"/>
    </row>
    <row r="108" spans="1:7" ht="12">
      <c r="A108" s="302">
        <v>26</v>
      </c>
      <c r="B108" s="296" t="s">
        <v>171</v>
      </c>
      <c r="E108" s="296"/>
      <c r="F108" s="312">
        <f>F78-F106</f>
        <v>0</v>
      </c>
      <c r="G108" s="296"/>
    </row>
    <row r="109" spans="1:7" ht="12">
      <c r="A109" s="302"/>
      <c r="E109" s="296"/>
      <c r="G109" s="296"/>
    </row>
    <row r="110" spans="1:7" ht="12">
      <c r="A110" s="302">
        <v>27</v>
      </c>
      <c r="B110" s="296" t="s">
        <v>172</v>
      </c>
      <c r="G110" s="296"/>
    </row>
    <row r="111" spans="1:7" ht="12.75" thickBot="1">
      <c r="A111" s="302"/>
      <c r="B111" s="322" t="s">
        <v>173</v>
      </c>
      <c r="C111" s="323">
        <f>Inputs!$D$4</f>
        <v>1.1416000000000001E-2</v>
      </c>
      <c r="F111" s="318">
        <f>ROUND(F108*C111,0)</f>
        <v>0</v>
      </c>
      <c r="G111" s="296"/>
    </row>
    <row r="112" spans="1:7" ht="12.75" thickTop="1">
      <c r="A112" s="302"/>
      <c r="G112" s="296"/>
    </row>
  </sheetData>
  <customSheetViews>
    <customSheetView guid="{5BE913A1-B14F-11D2-B0DC-0000832CDFF0}" showRuler="0" topLeftCell="A51">
      <selection activeCell="A66" sqref="A66:C66"/>
      <rowBreaks count="1" manualBreakCount="1">
        <brk id="65" max="65535" man="1"/>
      </rowBreaks>
      <pageMargins left="1" right="1" top="0.7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Ruler="0" topLeftCell="A51">
      <selection activeCell="A66" sqref="A66:C66"/>
      <rowBreaks count="1" manualBreakCount="1">
        <brk id="65" max="65535" man="1"/>
      </rowBreaks>
      <pageMargins left="1" right="1" top="0.7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74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325" customWidth="1"/>
    <col min="2" max="2" width="26.140625" style="325" customWidth="1"/>
    <col min="3" max="3" width="12.42578125" style="325" customWidth="1"/>
    <col min="4" max="4" width="6.7109375" style="325" customWidth="1"/>
    <col min="5" max="5" width="12.42578125" style="343" customWidth="1"/>
    <col min="6" max="6" width="12.42578125" style="344" customWidth="1"/>
    <col min="7" max="7" width="12.42578125" style="343" customWidth="1"/>
    <col min="8" max="16384" width="12.42578125" style="325"/>
  </cols>
  <sheetData>
    <row r="1" spans="1:8" ht="12">
      <c r="A1" s="324" t="str">
        <f>Inputs!$D$6</f>
        <v>AVISTA UTILITIES</v>
      </c>
      <c r="B1" s="324"/>
      <c r="C1" s="324"/>
      <c r="E1" s="326"/>
      <c r="F1" s="327"/>
      <c r="G1" s="326"/>
    </row>
    <row r="2" spans="1:8" ht="12">
      <c r="A2" s="324" t="s">
        <v>125</v>
      </c>
      <c r="B2" s="324"/>
      <c r="C2" s="324"/>
      <c r="E2" s="326"/>
      <c r="F2" s="328" t="s">
        <v>176</v>
      </c>
      <c r="G2" s="326"/>
    </row>
    <row r="3" spans="1:8" ht="12">
      <c r="A3" s="324" t="str">
        <f>Inputs!$D$2</f>
        <v>TWELVE MONTHS ENDED SEPTEMBER 30, 2008</v>
      </c>
      <c r="B3" s="324"/>
      <c r="C3" s="324"/>
      <c r="E3" s="326"/>
      <c r="F3" s="328" t="s">
        <v>177</v>
      </c>
      <c r="G3" s="325"/>
    </row>
    <row r="4" spans="1:8" ht="12">
      <c r="A4" s="324" t="s">
        <v>128</v>
      </c>
      <c r="B4" s="324"/>
      <c r="C4" s="324"/>
      <c r="E4" s="329"/>
      <c r="F4" s="330" t="s">
        <v>129</v>
      </c>
      <c r="G4" s="329"/>
    </row>
    <row r="5" spans="1:8" ht="12">
      <c r="A5" s="331" t="s">
        <v>10</v>
      </c>
      <c r="E5" s="326"/>
      <c r="F5" s="328"/>
      <c r="G5" s="326"/>
    </row>
    <row r="6" spans="1:8" ht="12">
      <c r="A6" s="332" t="s">
        <v>27</v>
      </c>
      <c r="B6" s="333" t="s">
        <v>113</v>
      </c>
      <c r="C6" s="333"/>
      <c r="E6" s="334" t="s">
        <v>130</v>
      </c>
      <c r="F6" s="335" t="s">
        <v>131</v>
      </c>
      <c r="G6" s="334" t="s">
        <v>132</v>
      </c>
      <c r="H6" s="336" t="s">
        <v>133</v>
      </c>
    </row>
    <row r="7" spans="1:8" ht="12">
      <c r="A7" s="331"/>
      <c r="B7" s="325" t="s">
        <v>68</v>
      </c>
      <c r="E7" s="337"/>
      <c r="F7" s="328"/>
      <c r="G7" s="337"/>
    </row>
    <row r="8" spans="1:8" ht="12">
      <c r="A8" s="331">
        <v>1</v>
      </c>
      <c r="B8" s="325" t="s">
        <v>134</v>
      </c>
      <c r="E8" s="338">
        <f>F8+G8</f>
        <v>0</v>
      </c>
      <c r="F8" s="338"/>
      <c r="G8" s="338"/>
      <c r="H8" s="339" t="str">
        <f>IF(E8=F8+G8," ","ERROR")</f>
        <v xml:space="preserve"> </v>
      </c>
    </row>
    <row r="9" spans="1:8" ht="12">
      <c r="A9" s="331">
        <v>2</v>
      </c>
      <c r="B9" s="325" t="s">
        <v>135</v>
      </c>
      <c r="E9" s="340"/>
      <c r="F9" s="340"/>
      <c r="G9" s="340"/>
      <c r="H9" s="339" t="str">
        <f>IF(E9=F9+G9," ","ERROR")</f>
        <v xml:space="preserve"> </v>
      </c>
    </row>
    <row r="10" spans="1:8" ht="12">
      <c r="A10" s="331">
        <v>3</v>
      </c>
      <c r="B10" s="325" t="s">
        <v>71</v>
      </c>
      <c r="E10" s="341"/>
      <c r="F10" s="341"/>
      <c r="G10" s="341"/>
      <c r="H10" s="339" t="str">
        <f>IF(E10=F10+G10," ","ERROR")</f>
        <v xml:space="preserve"> </v>
      </c>
    </row>
    <row r="11" spans="1:8" ht="12">
      <c r="A11" s="331">
        <v>4</v>
      </c>
      <c r="B11" s="325" t="s">
        <v>136</v>
      </c>
      <c r="E11" s="340">
        <f>SUM(E8:E10)</f>
        <v>0</v>
      </c>
      <c r="F11" s="340">
        <f>SUM(F8:F10)</f>
        <v>0</v>
      </c>
      <c r="G11" s="340">
        <f>SUM(G8:G10)</f>
        <v>0</v>
      </c>
      <c r="H11" s="339" t="str">
        <f>IF(E11=F11+G11," ","ERROR")</f>
        <v xml:space="preserve"> </v>
      </c>
    </row>
    <row r="12" spans="1:8" ht="12">
      <c r="A12" s="331"/>
      <c r="E12" s="340"/>
      <c r="F12" s="340"/>
      <c r="G12" s="340"/>
      <c r="H12" s="339"/>
    </row>
    <row r="13" spans="1:8" ht="12">
      <c r="A13" s="331"/>
      <c r="B13" s="325" t="s">
        <v>73</v>
      </c>
      <c r="E13" s="340"/>
      <c r="F13" s="340"/>
      <c r="G13" s="340"/>
      <c r="H13" s="339"/>
    </row>
    <row r="14" spans="1:8" ht="12">
      <c r="A14" s="331">
        <v>5</v>
      </c>
      <c r="B14" s="325" t="s">
        <v>137</v>
      </c>
      <c r="E14" s="340"/>
      <c r="F14" s="340"/>
      <c r="G14" s="340"/>
      <c r="H14" s="339" t="str">
        <f>IF(E14=F14+G14," ","ERROR")</f>
        <v xml:space="preserve"> </v>
      </c>
    </row>
    <row r="15" spans="1:8" ht="12">
      <c r="A15" s="331"/>
      <c r="B15" s="325" t="s">
        <v>75</v>
      </c>
      <c r="E15" s="340"/>
      <c r="F15" s="340"/>
      <c r="G15" s="340"/>
      <c r="H15" s="339"/>
    </row>
    <row r="16" spans="1:8" ht="12">
      <c r="A16" s="331">
        <v>6</v>
      </c>
      <c r="B16" s="325" t="s">
        <v>138</v>
      </c>
      <c r="E16" s="340"/>
      <c r="F16" s="340"/>
      <c r="G16" s="340"/>
      <c r="H16" s="339" t="str">
        <f>IF(E16=F16+G16," ","ERROR")</f>
        <v xml:space="preserve"> </v>
      </c>
    </row>
    <row r="17" spans="1:8" ht="12">
      <c r="A17" s="331">
        <v>7</v>
      </c>
      <c r="B17" s="325" t="s">
        <v>139</v>
      </c>
      <c r="E17" s="340"/>
      <c r="F17" s="340"/>
      <c r="G17" s="340"/>
      <c r="H17" s="339" t="str">
        <f>IF(E17=F17+G17," ","ERROR")</f>
        <v xml:space="preserve"> </v>
      </c>
    </row>
    <row r="18" spans="1:8" ht="12">
      <c r="A18" s="331">
        <v>8</v>
      </c>
      <c r="B18" s="325" t="s">
        <v>140</v>
      </c>
      <c r="E18" s="341"/>
      <c r="F18" s="341"/>
      <c r="G18" s="341"/>
      <c r="H18" s="339" t="str">
        <f>IF(E18=F18+G18," ","ERROR")</f>
        <v xml:space="preserve"> </v>
      </c>
    </row>
    <row r="19" spans="1:8" ht="12">
      <c r="A19" s="331">
        <v>9</v>
      </c>
      <c r="B19" s="325" t="s">
        <v>141</v>
      </c>
      <c r="E19" s="340">
        <f>SUM(E16:E18)</f>
        <v>0</v>
      </c>
      <c r="F19" s="340">
        <f>SUM(F16:F18)</f>
        <v>0</v>
      </c>
      <c r="G19" s="340">
        <f>SUM(G16:G18)</f>
        <v>0</v>
      </c>
      <c r="H19" s="339" t="str">
        <f>IF(E19=F19+G19," ","ERROR")</f>
        <v xml:space="preserve"> </v>
      </c>
    </row>
    <row r="20" spans="1:8" ht="12">
      <c r="A20" s="331"/>
      <c r="B20" s="325" t="s">
        <v>80</v>
      </c>
      <c r="E20" s="340"/>
      <c r="F20" s="340"/>
      <c r="G20" s="340"/>
      <c r="H20" s="339"/>
    </row>
    <row r="21" spans="1:8" ht="12">
      <c r="A21" s="331">
        <v>10</v>
      </c>
      <c r="B21" s="325" t="s">
        <v>142</v>
      </c>
      <c r="E21" s="340"/>
      <c r="F21" s="340"/>
      <c r="G21" s="340"/>
      <c r="H21" s="339" t="str">
        <f>IF(E21=F21+G21," ","ERROR")</f>
        <v xml:space="preserve"> </v>
      </c>
    </row>
    <row r="22" spans="1:8" ht="12">
      <c r="A22" s="331">
        <v>11</v>
      </c>
      <c r="B22" s="325" t="s">
        <v>143</v>
      </c>
      <c r="E22" s="340"/>
      <c r="F22" s="340"/>
      <c r="G22" s="340"/>
      <c r="H22" s="339" t="str">
        <f>IF(E22=F22+G22," ","ERROR")</f>
        <v xml:space="preserve"> </v>
      </c>
    </row>
    <row r="23" spans="1:8" ht="12">
      <c r="A23" s="331">
        <v>12</v>
      </c>
      <c r="B23" s="325" t="s">
        <v>144</v>
      </c>
      <c r="E23" s="341"/>
      <c r="F23" s="341"/>
      <c r="G23" s="341"/>
      <c r="H23" s="339" t="str">
        <f>IF(E23=F23+G23," ","ERROR")</f>
        <v xml:space="preserve"> </v>
      </c>
    </row>
    <row r="24" spans="1:8" ht="12">
      <c r="A24" s="331">
        <v>13</v>
      </c>
      <c r="B24" s="325" t="s">
        <v>145</v>
      </c>
      <c r="E24" s="340">
        <f>SUM(E21:E23)</f>
        <v>0</v>
      </c>
      <c r="F24" s="340">
        <f>SUM(F21:F23)</f>
        <v>0</v>
      </c>
      <c r="G24" s="340">
        <f>SUM(G21:G23)</f>
        <v>0</v>
      </c>
      <c r="H24" s="339" t="str">
        <f>IF(E24=F24+G24," ","ERROR")</f>
        <v xml:space="preserve"> </v>
      </c>
    </row>
    <row r="25" spans="1:8" ht="12">
      <c r="A25" s="331"/>
      <c r="B25" s="325" t="s">
        <v>84</v>
      </c>
      <c r="E25" s="340"/>
      <c r="F25" s="340"/>
      <c r="G25" s="340"/>
      <c r="H25" s="339"/>
    </row>
    <row r="26" spans="1:8" ht="12">
      <c r="A26" s="331">
        <v>14</v>
      </c>
      <c r="B26" s="325" t="s">
        <v>142</v>
      </c>
      <c r="E26" s="340"/>
      <c r="F26" s="340"/>
      <c r="G26" s="340"/>
      <c r="H26" s="339" t="str">
        <f>IF(E26=F26+G26," ","ERROR")</f>
        <v xml:space="preserve"> </v>
      </c>
    </row>
    <row r="27" spans="1:8" ht="12">
      <c r="A27" s="331">
        <v>15</v>
      </c>
      <c r="B27" s="325" t="s">
        <v>143</v>
      </c>
      <c r="E27" s="340"/>
      <c r="F27" s="340"/>
      <c r="G27" s="340"/>
      <c r="H27" s="339" t="str">
        <f>IF(E27=F27+G27," ","ERROR")</f>
        <v xml:space="preserve"> </v>
      </c>
    </row>
    <row r="28" spans="1:8" ht="12">
      <c r="A28" s="331">
        <v>16</v>
      </c>
      <c r="B28" s="325" t="s">
        <v>144</v>
      </c>
      <c r="E28" s="341"/>
      <c r="F28" s="341"/>
      <c r="G28" s="341"/>
      <c r="H28" s="339" t="str">
        <f>IF(E28=F28+G28," ","ERROR")</f>
        <v xml:space="preserve"> </v>
      </c>
    </row>
    <row r="29" spans="1:8" ht="12">
      <c r="A29" s="331">
        <v>17</v>
      </c>
      <c r="B29" s="325" t="s">
        <v>146</v>
      </c>
      <c r="E29" s="340">
        <f>SUM(E26:E28)</f>
        <v>0</v>
      </c>
      <c r="F29" s="340">
        <f>SUM(F26:F28)</f>
        <v>0</v>
      </c>
      <c r="G29" s="340">
        <f>SUM(G26:G28)</f>
        <v>0</v>
      </c>
      <c r="H29" s="339" t="str">
        <f>IF(E29=F29+G29," ","ERROR")</f>
        <v xml:space="preserve"> </v>
      </c>
    </row>
    <row r="30" spans="1:8" ht="12">
      <c r="A30" s="331"/>
      <c r="E30" s="340"/>
      <c r="F30" s="340"/>
      <c r="G30" s="340"/>
      <c r="H30" s="339"/>
    </row>
    <row r="31" spans="1:8" ht="12">
      <c r="A31" s="331">
        <v>18</v>
      </c>
      <c r="B31" s="325" t="s">
        <v>86</v>
      </c>
      <c r="E31" s="340"/>
      <c r="F31" s="340"/>
      <c r="G31" s="340"/>
      <c r="H31" s="339" t="str">
        <f>IF(E31=F31+G31," ","ERROR")</f>
        <v xml:space="preserve"> </v>
      </c>
    </row>
    <row r="32" spans="1:8" ht="12">
      <c r="A32" s="331">
        <v>19</v>
      </c>
      <c r="B32" s="325" t="s">
        <v>87</v>
      </c>
      <c r="E32" s="340"/>
      <c r="F32" s="340"/>
      <c r="G32" s="340"/>
      <c r="H32" s="339" t="str">
        <f>IF(E32=F32+G32," ","ERROR")</f>
        <v xml:space="preserve"> </v>
      </c>
    </row>
    <row r="33" spans="1:8" ht="12">
      <c r="A33" s="331">
        <v>20</v>
      </c>
      <c r="B33" s="325" t="s">
        <v>147</v>
      </c>
      <c r="E33" s="340"/>
      <c r="F33" s="340"/>
      <c r="G33" s="340"/>
      <c r="H33" s="339" t="str">
        <f>IF(E33=F33+G33," ","ERROR")</f>
        <v xml:space="preserve"> </v>
      </c>
    </row>
    <row r="34" spans="1:8" ht="12">
      <c r="A34" s="331"/>
      <c r="B34" s="325" t="s">
        <v>148</v>
      </c>
      <c r="E34" s="340"/>
      <c r="F34" s="340"/>
      <c r="G34" s="340"/>
      <c r="H34" s="339"/>
    </row>
    <row r="35" spans="1:8" ht="12">
      <c r="A35" s="331">
        <v>21</v>
      </c>
      <c r="B35" s="325" t="s">
        <v>142</v>
      </c>
      <c r="E35" s="340"/>
      <c r="F35" s="340"/>
      <c r="G35" s="340"/>
      <c r="H35" s="339" t="str">
        <f>IF(E35=F35+G35," ","ERROR")</f>
        <v xml:space="preserve"> </v>
      </c>
    </row>
    <row r="36" spans="1:8" ht="12">
      <c r="A36" s="331">
        <v>22</v>
      </c>
      <c r="B36" s="325" t="s">
        <v>143</v>
      </c>
      <c r="E36" s="340"/>
      <c r="F36" s="340"/>
      <c r="G36" s="340"/>
      <c r="H36" s="339" t="str">
        <f>IF(E36=F36+G36," ","ERROR")</f>
        <v xml:space="preserve"> </v>
      </c>
    </row>
    <row r="37" spans="1:8" ht="12">
      <c r="A37" s="331">
        <v>23</v>
      </c>
      <c r="B37" s="325" t="s">
        <v>144</v>
      </c>
      <c r="E37" s="341"/>
      <c r="F37" s="341"/>
      <c r="G37" s="341"/>
      <c r="H37" s="339" t="str">
        <f>IF(E37=F37+G37," ","ERROR")</f>
        <v xml:space="preserve"> </v>
      </c>
    </row>
    <row r="38" spans="1:8" ht="12">
      <c r="A38" s="331">
        <v>24</v>
      </c>
      <c r="B38" s="325" t="s">
        <v>149</v>
      </c>
      <c r="E38" s="341">
        <f>SUM(E35:E37)</f>
        <v>0</v>
      </c>
      <c r="F38" s="341">
        <f>SUM(F35:F37)</f>
        <v>0</v>
      </c>
      <c r="G38" s="341">
        <f>SUM(G35:G37)</f>
        <v>0</v>
      </c>
      <c r="H38" s="339" t="str">
        <f>IF(E38=F38+G38," ","ERROR")</f>
        <v xml:space="preserve"> </v>
      </c>
    </row>
    <row r="39" spans="1:8" ht="12">
      <c r="A39" s="331">
        <v>25</v>
      </c>
      <c r="B39" s="325" t="s">
        <v>91</v>
      </c>
      <c r="E39" s="341">
        <f>E19+E24+E29+E31+E32+E33+E38+E14</f>
        <v>0</v>
      </c>
      <c r="F39" s="341">
        <f>F19+F24+F29+F31+F32+F33+F38+F14</f>
        <v>0</v>
      </c>
      <c r="G39" s="341">
        <f>G19+G24+G29+G31+G32+G33+G38+G14</f>
        <v>0</v>
      </c>
      <c r="H39" s="339" t="str">
        <f>IF(E39=F39+G39," ","ERROR")</f>
        <v xml:space="preserve"> </v>
      </c>
    </row>
    <row r="40" spans="1:8" ht="12">
      <c r="A40" s="331"/>
      <c r="E40" s="340"/>
      <c r="F40" s="340"/>
      <c r="G40" s="340"/>
      <c r="H40" s="339"/>
    </row>
    <row r="41" spans="1:8" ht="12">
      <c r="A41" s="331">
        <v>26</v>
      </c>
      <c r="B41" s="325" t="s">
        <v>150</v>
      </c>
      <c r="E41" s="340">
        <f>E11-E39</f>
        <v>0</v>
      </c>
      <c r="F41" s="340">
        <f>F11-F39</f>
        <v>0</v>
      </c>
      <c r="G41" s="340">
        <f>G11-G39</f>
        <v>0</v>
      </c>
      <c r="H41" s="339" t="str">
        <f>IF(E41=F41+G41," ","ERROR")</f>
        <v xml:space="preserve"> </v>
      </c>
    </row>
    <row r="42" spans="1:8" ht="12">
      <c r="A42" s="331"/>
      <c r="E42" s="340"/>
      <c r="F42" s="340"/>
      <c r="G42" s="340"/>
      <c r="H42" s="339"/>
    </row>
    <row r="43" spans="1:8" ht="12">
      <c r="A43" s="331"/>
      <c r="B43" s="325" t="s">
        <v>151</v>
      </c>
      <c r="E43" s="340"/>
      <c r="F43" s="340"/>
      <c r="G43" s="340"/>
      <c r="H43" s="339"/>
    </row>
    <row r="44" spans="1:8" ht="12">
      <c r="A44" s="331">
        <v>27</v>
      </c>
      <c r="B44" s="342" t="s">
        <v>165</v>
      </c>
      <c r="E44" s="340">
        <f>F44+G44</f>
        <v>0</v>
      </c>
      <c r="F44" s="340">
        <f>ROUND(F41*0.35,0)</f>
        <v>0</v>
      </c>
      <c r="G44" s="340">
        <f>ROUND(G41*0.35,0)</f>
        <v>0</v>
      </c>
      <c r="H44" s="339" t="str">
        <f>IF(E44=F44+G44," ","ERROR")</f>
        <v xml:space="preserve"> </v>
      </c>
    </row>
    <row r="45" spans="1:8" ht="12">
      <c r="A45" s="331">
        <v>28</v>
      </c>
      <c r="B45" s="325" t="s">
        <v>154</v>
      </c>
      <c r="E45" s="340"/>
      <c r="F45" s="340"/>
      <c r="G45" s="340"/>
      <c r="H45" s="339" t="str">
        <f>IF(E45=F45+G45," ","ERROR")</f>
        <v xml:space="preserve"> </v>
      </c>
    </row>
    <row r="46" spans="1:8" ht="12">
      <c r="A46" s="331">
        <v>29</v>
      </c>
      <c r="B46" s="325" t="s">
        <v>153</v>
      </c>
      <c r="E46" s="341"/>
      <c r="F46" s="341"/>
      <c r="G46" s="341"/>
      <c r="H46" s="339" t="str">
        <f>IF(E46=F46+G46," ","ERROR")</f>
        <v xml:space="preserve"> </v>
      </c>
    </row>
    <row r="47" spans="1:8" ht="12">
      <c r="A47" s="331"/>
      <c r="H47" s="339"/>
    </row>
    <row r="48" spans="1:8" ht="12">
      <c r="A48" s="331">
        <v>30</v>
      </c>
      <c r="B48" s="345" t="s">
        <v>97</v>
      </c>
      <c r="E48" s="338">
        <f>E41-(+E44+E45+E46)</f>
        <v>0</v>
      </c>
      <c r="F48" s="338">
        <f>F41-F44+F45+F46</f>
        <v>0</v>
      </c>
      <c r="G48" s="338">
        <f>G41-SUM(G44:G46)</f>
        <v>0</v>
      </c>
      <c r="H48" s="339" t="str">
        <f>IF(E48=F48+G48," ","ERROR")</f>
        <v xml:space="preserve"> </v>
      </c>
    </row>
    <row r="49" spans="1:8" ht="12">
      <c r="A49" s="331"/>
      <c r="H49" s="339"/>
    </row>
    <row r="50" spans="1:8" ht="12">
      <c r="A50" s="331"/>
      <c r="B50" s="342" t="s">
        <v>155</v>
      </c>
      <c r="H50" s="339"/>
    </row>
    <row r="51" spans="1:8" ht="12">
      <c r="A51" s="331"/>
      <c r="B51" s="342" t="s">
        <v>156</v>
      </c>
      <c r="H51" s="339"/>
    </row>
    <row r="52" spans="1:8" ht="12">
      <c r="A52" s="331">
        <v>31</v>
      </c>
      <c r="B52" s="325" t="s">
        <v>157</v>
      </c>
      <c r="E52" s="338"/>
      <c r="F52" s="338"/>
      <c r="G52" s="338"/>
      <c r="H52" s="339" t="str">
        <f t="shared" ref="H52:H63" si="0">IF(E52=F52+G52," ","ERROR")</f>
        <v xml:space="preserve"> </v>
      </c>
    </row>
    <row r="53" spans="1:8" ht="12">
      <c r="A53" s="331">
        <v>32</v>
      </c>
      <c r="B53" s="325" t="s">
        <v>158</v>
      </c>
      <c r="E53" s="340">
        <f>F53+G53</f>
        <v>-52</v>
      </c>
      <c r="F53" s="340">
        <v>-52</v>
      </c>
      <c r="G53" s="340">
        <v>0</v>
      </c>
      <c r="H53" s="339" t="str">
        <f t="shared" si="0"/>
        <v xml:space="preserve"> </v>
      </c>
    </row>
    <row r="54" spans="1:8" ht="12">
      <c r="A54" s="331">
        <v>33</v>
      </c>
      <c r="B54" s="325" t="s">
        <v>166</v>
      </c>
      <c r="E54" s="341"/>
      <c r="F54" s="341"/>
      <c r="G54" s="341"/>
      <c r="H54" s="339" t="str">
        <f t="shared" si="0"/>
        <v xml:space="preserve"> </v>
      </c>
    </row>
    <row r="55" spans="1:8" ht="12">
      <c r="A55" s="331">
        <v>34</v>
      </c>
      <c r="B55" s="325" t="s">
        <v>160</v>
      </c>
      <c r="E55" s="340">
        <f>SUM(E52:E54)</f>
        <v>-52</v>
      </c>
      <c r="F55" s="340">
        <f>SUM(F52:F54)</f>
        <v>-52</v>
      </c>
      <c r="G55" s="340">
        <f>SUM(G52:G54)</f>
        <v>0</v>
      </c>
      <c r="H55" s="339" t="str">
        <f t="shared" si="0"/>
        <v xml:space="preserve"> </v>
      </c>
    </row>
    <row r="56" spans="1:8" ht="12">
      <c r="A56" s="331"/>
      <c r="B56" s="325" t="s">
        <v>102</v>
      </c>
      <c r="E56" s="340"/>
      <c r="F56" s="340"/>
      <c r="G56" s="340"/>
      <c r="H56" s="339" t="str">
        <f t="shared" si="0"/>
        <v xml:space="preserve"> </v>
      </c>
    </row>
    <row r="57" spans="1:8" ht="12">
      <c r="A57" s="331">
        <v>35</v>
      </c>
      <c r="B57" s="325" t="s">
        <v>157</v>
      </c>
      <c r="E57" s="340"/>
      <c r="F57" s="340"/>
      <c r="G57" s="340"/>
      <c r="H57" s="339" t="str">
        <f t="shared" si="0"/>
        <v xml:space="preserve"> </v>
      </c>
    </row>
    <row r="58" spans="1:8" ht="12">
      <c r="A58" s="331">
        <v>36</v>
      </c>
      <c r="B58" s="325" t="s">
        <v>158</v>
      </c>
      <c r="E58" s="340"/>
      <c r="F58" s="340"/>
      <c r="G58" s="340"/>
      <c r="H58" s="339" t="str">
        <f t="shared" si="0"/>
        <v xml:space="preserve"> </v>
      </c>
    </row>
    <row r="59" spans="1:8" ht="12">
      <c r="A59" s="331">
        <v>37</v>
      </c>
      <c r="B59" s="325" t="s">
        <v>166</v>
      </c>
      <c r="E59" s="341"/>
      <c r="F59" s="341"/>
      <c r="G59" s="341"/>
      <c r="H59" s="339" t="str">
        <f t="shared" si="0"/>
        <v xml:space="preserve"> </v>
      </c>
    </row>
    <row r="60" spans="1:8" ht="12">
      <c r="A60" s="331">
        <v>38</v>
      </c>
      <c r="B60" s="325" t="s">
        <v>161</v>
      </c>
      <c r="E60" s="340">
        <f>SUM(E57:E59)</f>
        <v>0</v>
      </c>
      <c r="F60" s="340">
        <f>SUM(F57:F59)</f>
        <v>0</v>
      </c>
      <c r="G60" s="340">
        <f>SUM(G57:G59)</f>
        <v>0</v>
      </c>
      <c r="H60" s="339" t="str">
        <f t="shared" si="0"/>
        <v xml:space="preserve"> </v>
      </c>
    </row>
    <row r="61" spans="1:8" ht="12">
      <c r="A61" s="331">
        <v>39</v>
      </c>
      <c r="B61" s="342" t="s">
        <v>162</v>
      </c>
      <c r="E61" s="340"/>
      <c r="F61" s="340"/>
      <c r="G61" s="340"/>
      <c r="H61" s="339" t="str">
        <f t="shared" si="0"/>
        <v xml:space="preserve"> </v>
      </c>
    </row>
    <row r="62" spans="1:8" ht="12">
      <c r="A62" s="331">
        <v>40</v>
      </c>
      <c r="B62" s="325" t="s">
        <v>105</v>
      </c>
      <c r="E62" s="340"/>
      <c r="F62" s="340"/>
      <c r="G62" s="340"/>
      <c r="H62" s="339" t="str">
        <f t="shared" si="0"/>
        <v xml:space="preserve"> </v>
      </c>
    </row>
    <row r="63" spans="1:8" ht="12">
      <c r="A63" s="331">
        <v>41</v>
      </c>
      <c r="B63" s="342" t="s">
        <v>106</v>
      </c>
      <c r="E63" s="341"/>
      <c r="F63" s="341"/>
      <c r="G63" s="341"/>
      <c r="H63" s="339" t="str">
        <f t="shared" si="0"/>
        <v xml:space="preserve"> </v>
      </c>
    </row>
    <row r="64" spans="1:8" ht="12">
      <c r="A64" s="331"/>
      <c r="B64" s="325" t="s">
        <v>163</v>
      </c>
      <c r="H64" s="339"/>
    </row>
    <row r="65" spans="1:8" ht="12.75" thickBot="1">
      <c r="A65" s="331">
        <v>42</v>
      </c>
      <c r="B65" s="345" t="s">
        <v>107</v>
      </c>
      <c r="E65" s="346">
        <f>E55-E60+E61+E62+E63</f>
        <v>-52</v>
      </c>
      <c r="F65" s="346">
        <f>F55-F60+F61+F62+F63</f>
        <v>-52</v>
      </c>
      <c r="G65" s="346">
        <f>G55-G60+G61+G62+G63</f>
        <v>0</v>
      </c>
      <c r="H65" s="339" t="str">
        <f>IF(E65=F65+G65," ","ERROR")</f>
        <v xml:space="preserve"> </v>
      </c>
    </row>
    <row r="66" spans="1:8" ht="12.75" thickTop="1"/>
    <row r="67" spans="1:8" ht="12"/>
    <row r="68" spans="1:8" ht="12"/>
    <row r="69" spans="1:8" ht="12"/>
    <row r="70" spans="1:8" ht="12"/>
    <row r="71" spans="1:8" ht="12"/>
    <row r="72" spans="1:8" ht="12"/>
    <row r="73" spans="1:8" ht="12"/>
    <row r="74" spans="1:8" ht="12"/>
    <row r="75" spans="1:8" ht="12"/>
    <row r="76" spans="1:8" ht="12"/>
    <row r="77" spans="1:8" ht="12"/>
    <row r="78" spans="1:8" ht="12"/>
    <row r="79" spans="1:8" ht="12"/>
    <row r="80" spans="1:8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</sheetData>
  <customSheetViews>
    <customSheetView guid="{5BE913A1-B14F-11D2-B0DC-0000832CDFF0}" showPageBreaks="1" fitToPage="1" printArea="1" showRuler="0" topLeftCell="A54">
      <rowBreaks count="1" manualBreakCount="1">
        <brk id="65" max="65535" man="1"/>
      </rowBreaks>
      <pageMargins left="0.5" right="0.5" top="0.6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4">
      <rowBreaks count="1" manualBreakCount="1">
        <brk id="65" max="65535" man="1"/>
      </rowBreaks>
      <pageMargins left="0.5" right="0.5" top="0.6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7"/>
  <dimension ref="A1:H130"/>
  <sheetViews>
    <sheetView workbookViewId="0">
      <selection activeCell="F2" sqref="F2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352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7" t="s">
        <v>454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-15</v>
      </c>
      <c r="F22" s="391">
        <v>-15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-15</v>
      </c>
      <c r="F24" s="391">
        <f>SUM(F21:F23)</f>
        <v>-15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-53</v>
      </c>
      <c r="F27" s="391">
        <v>-53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-53</v>
      </c>
      <c r="F29" s="391">
        <f>SUM(F26:F28)</f>
        <v>-53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-15</v>
      </c>
      <c r="F36" s="391">
        <v>-15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-15</v>
      </c>
      <c r="F38" s="392">
        <f>SUM(F35:F37)</f>
        <v>-15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-83</v>
      </c>
      <c r="F39" s="392">
        <f>F19+F24+F29+F31+F32+F33+F38+F14</f>
        <v>-83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83</v>
      </c>
      <c r="F41" s="391">
        <f>F11-F39</f>
        <v>83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29</v>
      </c>
      <c r="F44" s="391">
        <f>ROUND(F41*D44,0)</f>
        <v>29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54</v>
      </c>
      <c r="F48" s="398">
        <f>F41-F44+F45+F46</f>
        <v>54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0</v>
      </c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>
        <f>F59+G59</f>
        <v>0</v>
      </c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DEPRECIATION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TRUE-UP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H112"/>
  <sheetViews>
    <sheetView zoomScale="75" workbookViewId="0">
      <selection activeCell="F8" sqref="F8"/>
    </sheetView>
  </sheetViews>
  <sheetFormatPr defaultColWidth="12.42578125" defaultRowHeight="11.1" customHeight="1"/>
  <cols>
    <col min="1" max="1" width="5.5703125" style="347" customWidth="1"/>
    <col min="2" max="2" width="26.140625" style="347" customWidth="1"/>
    <col min="3" max="3" width="12.42578125" style="347" customWidth="1"/>
    <col min="4" max="4" width="6.7109375" style="347" customWidth="1"/>
    <col min="5" max="5" width="12.42578125" style="366" customWidth="1"/>
    <col min="6" max="6" width="12.42578125" style="367" customWidth="1"/>
    <col min="7" max="7" width="12.42578125" style="366" customWidth="1"/>
    <col min="8" max="16384" width="12.42578125" style="347"/>
  </cols>
  <sheetData>
    <row r="1" spans="1:8" ht="12">
      <c r="A1" s="1162" t="str">
        <f>Inputs!$D$6</f>
        <v>AVISTA UTILITIES</v>
      </c>
      <c r="B1" s="1162"/>
      <c r="C1" s="1162"/>
      <c r="E1" s="348"/>
      <c r="F1" s="349"/>
      <c r="G1" s="348"/>
    </row>
    <row r="2" spans="1:8" ht="12">
      <c r="A2" s="350" t="s">
        <v>125</v>
      </c>
      <c r="B2" s="350"/>
      <c r="C2" s="350"/>
      <c r="E2" s="348"/>
      <c r="F2" s="351" t="s">
        <v>445</v>
      </c>
      <c r="G2" s="348"/>
    </row>
    <row r="3" spans="1:8" ht="12">
      <c r="A3" s="350" t="str">
        <f>Inputs!$D$2</f>
        <v>TWELVE MONTHS ENDED SEPTEMBER 30, 2008</v>
      </c>
      <c r="B3" s="350"/>
      <c r="C3" s="350"/>
      <c r="E3" s="348"/>
      <c r="F3" s="351" t="s">
        <v>206</v>
      </c>
      <c r="G3" s="347"/>
    </row>
    <row r="4" spans="1:8" ht="12">
      <c r="A4" s="350" t="s">
        <v>128</v>
      </c>
      <c r="B4" s="350"/>
      <c r="C4" s="350"/>
      <c r="E4" s="352"/>
      <c r="F4" s="353" t="s">
        <v>129</v>
      </c>
      <c r="G4" s="352"/>
    </row>
    <row r="5" spans="1:8" ht="12">
      <c r="A5" s="354" t="s">
        <v>10</v>
      </c>
      <c r="E5" s="348"/>
      <c r="F5" s="351"/>
      <c r="G5" s="348"/>
    </row>
    <row r="6" spans="1:8" ht="12">
      <c r="A6" s="355" t="s">
        <v>27</v>
      </c>
      <c r="B6" s="356" t="s">
        <v>113</v>
      </c>
      <c r="C6" s="356"/>
      <c r="E6" s="357" t="s">
        <v>130</v>
      </c>
      <c r="F6" s="358" t="s">
        <v>131</v>
      </c>
      <c r="G6" s="357" t="s">
        <v>132</v>
      </c>
      <c r="H6" s="359" t="s">
        <v>133</v>
      </c>
    </row>
    <row r="7" spans="1:8" ht="12">
      <c r="A7" s="354"/>
      <c r="B7" s="347" t="s">
        <v>68</v>
      </c>
      <c r="E7" s="360"/>
      <c r="F7" s="351"/>
      <c r="G7" s="360"/>
    </row>
    <row r="8" spans="1:8" ht="12">
      <c r="A8" s="354">
        <v>1</v>
      </c>
      <c r="B8" s="347" t="s">
        <v>134</v>
      </c>
      <c r="E8" s="361">
        <f>F8+G8</f>
        <v>1695</v>
      </c>
      <c r="F8" s="982">
        <v>1695</v>
      </c>
      <c r="G8" s="982"/>
      <c r="H8" s="362" t="str">
        <f>IF(E8=F8+G8," ","ERROR")</f>
        <v xml:space="preserve"> </v>
      </c>
    </row>
    <row r="9" spans="1:8" ht="12">
      <c r="A9" s="354">
        <v>2</v>
      </c>
      <c r="B9" s="347" t="s">
        <v>135</v>
      </c>
      <c r="E9" s="361">
        <f>F9+G9</f>
        <v>-1700</v>
      </c>
      <c r="F9" s="983">
        <v>-1700</v>
      </c>
      <c r="G9" s="983"/>
      <c r="H9" s="362" t="str">
        <f>IF(E9=F9+G9," ","ERROR")</f>
        <v xml:space="preserve"> </v>
      </c>
    </row>
    <row r="10" spans="1:8" ht="12">
      <c r="A10" s="354">
        <v>3</v>
      </c>
      <c r="B10" s="347" t="s">
        <v>71</v>
      </c>
      <c r="E10" s="980">
        <f>F10+G10</f>
        <v>-131399</v>
      </c>
      <c r="F10" s="984">
        <v>-131399</v>
      </c>
      <c r="G10" s="984"/>
      <c r="H10" s="362" t="str">
        <f>IF(E10=F10+G10," ","ERROR")</f>
        <v xml:space="preserve"> </v>
      </c>
    </row>
    <row r="11" spans="1:8" ht="12">
      <c r="A11" s="354">
        <v>4</v>
      </c>
      <c r="B11" s="347" t="s">
        <v>136</v>
      </c>
      <c r="E11" s="981">
        <f>SUM(E8:E10)</f>
        <v>-131404</v>
      </c>
      <c r="F11" s="981">
        <f>SUM(F8:F10)</f>
        <v>-131404</v>
      </c>
      <c r="G11" s="981">
        <f>SUM(G8:G10)</f>
        <v>0</v>
      </c>
      <c r="H11" s="362" t="str">
        <f>IF(E11=F11+G11," ","ERROR")</f>
        <v xml:space="preserve"> </v>
      </c>
    </row>
    <row r="12" spans="1:8" ht="12">
      <c r="A12" s="354"/>
      <c r="E12" s="363"/>
      <c r="F12" s="363"/>
      <c r="G12" s="363"/>
      <c r="H12" s="362"/>
    </row>
    <row r="13" spans="1:8" ht="12">
      <c r="A13" s="354"/>
      <c r="B13" s="347" t="s">
        <v>73</v>
      </c>
      <c r="E13" s="363"/>
      <c r="F13" s="363"/>
      <c r="G13" s="363"/>
      <c r="H13" s="362"/>
    </row>
    <row r="14" spans="1:8" ht="12">
      <c r="A14" s="354">
        <v>5</v>
      </c>
      <c r="B14" s="347" t="s">
        <v>137</v>
      </c>
      <c r="E14" s="363"/>
      <c r="F14" s="363"/>
      <c r="G14" s="363"/>
      <c r="H14" s="362" t="str">
        <f>IF(E14=F14+G14," ","ERROR")</f>
        <v xml:space="preserve"> </v>
      </c>
    </row>
    <row r="15" spans="1:8" ht="12">
      <c r="A15" s="354"/>
      <c r="B15" s="347" t="s">
        <v>75</v>
      </c>
      <c r="E15" s="363"/>
      <c r="F15" s="363"/>
      <c r="G15" s="363"/>
      <c r="H15" s="362"/>
    </row>
    <row r="16" spans="1:8" ht="12">
      <c r="A16" s="354">
        <v>6</v>
      </c>
      <c r="B16" s="347" t="s">
        <v>138</v>
      </c>
      <c r="E16" s="363">
        <f>F16+G16</f>
        <v>-151865</v>
      </c>
      <c r="F16" s="983">
        <v>-151865</v>
      </c>
      <c r="G16" s="983"/>
      <c r="H16" s="362" t="str">
        <f>IF(E16=F16+G16," ","ERROR")</f>
        <v xml:space="preserve"> </v>
      </c>
    </row>
    <row r="17" spans="1:8" ht="12">
      <c r="A17" s="354">
        <v>7</v>
      </c>
      <c r="B17" s="347" t="s">
        <v>139</v>
      </c>
      <c r="E17" s="363"/>
      <c r="F17" s="363"/>
      <c r="G17" s="983"/>
      <c r="H17" s="362" t="str">
        <f>IF(E17=F17+G17," ","ERROR")</f>
        <v xml:space="preserve"> </v>
      </c>
    </row>
    <row r="18" spans="1:8" ht="12">
      <c r="A18" s="354">
        <v>8</v>
      </c>
      <c r="B18" s="347" t="s">
        <v>140</v>
      </c>
      <c r="E18" s="364">
        <f>F18+G18</f>
        <v>18687</v>
      </c>
      <c r="F18" s="985">
        <v>18687</v>
      </c>
      <c r="G18" s="985"/>
      <c r="H18" s="362" t="str">
        <f>IF(E18=F18+G18," ","ERROR")</f>
        <v xml:space="preserve"> </v>
      </c>
    </row>
    <row r="19" spans="1:8" ht="12">
      <c r="A19" s="354">
        <v>9</v>
      </c>
      <c r="B19" s="347" t="s">
        <v>141</v>
      </c>
      <c r="E19" s="363">
        <f>SUM(E16:E18)</f>
        <v>-133178</v>
      </c>
      <c r="F19" s="363">
        <f>SUM(F16:F18)</f>
        <v>-133178</v>
      </c>
      <c r="G19" s="363">
        <f>SUM(G16:G18)</f>
        <v>0</v>
      </c>
      <c r="H19" s="362" t="str">
        <f>IF(E19=F19+G19," ","ERROR")</f>
        <v xml:space="preserve"> </v>
      </c>
    </row>
    <row r="20" spans="1:8" ht="12">
      <c r="A20" s="354"/>
      <c r="B20" s="347" t="s">
        <v>80</v>
      </c>
      <c r="E20" s="363"/>
      <c r="F20" s="363"/>
      <c r="G20" s="363"/>
      <c r="H20" s="362"/>
    </row>
    <row r="21" spans="1:8" ht="12">
      <c r="A21" s="354">
        <v>10</v>
      </c>
      <c r="B21" s="347" t="s">
        <v>142</v>
      </c>
      <c r="E21" s="363"/>
      <c r="F21" s="363"/>
      <c r="G21" s="363"/>
      <c r="H21" s="362" t="str">
        <f>IF(E21=F21+G21," ","ERROR")</f>
        <v xml:space="preserve"> </v>
      </c>
    </row>
    <row r="22" spans="1:8" ht="12">
      <c r="A22" s="354">
        <v>11</v>
      </c>
      <c r="B22" s="347" t="s">
        <v>143</v>
      </c>
      <c r="E22" s="363"/>
      <c r="F22" s="363"/>
      <c r="G22" s="363"/>
      <c r="H22" s="362" t="str">
        <f>IF(E22=F22+G22," ","ERROR")</f>
        <v xml:space="preserve"> </v>
      </c>
    </row>
    <row r="23" spans="1:8" ht="12">
      <c r="A23" s="354">
        <v>12</v>
      </c>
      <c r="B23" s="347" t="s">
        <v>144</v>
      </c>
      <c r="E23" s="364"/>
      <c r="F23" s="364"/>
      <c r="G23" s="364"/>
      <c r="H23" s="362" t="str">
        <f>IF(E23=F23+G23," ","ERROR")</f>
        <v xml:space="preserve"> </v>
      </c>
    </row>
    <row r="24" spans="1:8" ht="12">
      <c r="A24" s="354">
        <v>13</v>
      </c>
      <c r="B24" s="347" t="s">
        <v>145</v>
      </c>
      <c r="E24" s="363">
        <f>SUM(E21:E23)</f>
        <v>0</v>
      </c>
      <c r="F24" s="363">
        <f>SUM(F21:F23)</f>
        <v>0</v>
      </c>
      <c r="G24" s="363">
        <f>SUM(G21:G23)</f>
        <v>0</v>
      </c>
      <c r="H24" s="362" t="str">
        <f>IF(E24=F24+G24," ","ERROR")</f>
        <v xml:space="preserve"> </v>
      </c>
    </row>
    <row r="25" spans="1:8" ht="12">
      <c r="A25" s="354"/>
      <c r="B25" s="347" t="s">
        <v>84</v>
      </c>
      <c r="E25" s="363"/>
      <c r="F25" s="363"/>
      <c r="G25" s="363"/>
      <c r="H25" s="362"/>
    </row>
    <row r="26" spans="1:8" ht="12">
      <c r="A26" s="354">
        <v>14</v>
      </c>
      <c r="B26" s="347" t="s">
        <v>142</v>
      </c>
      <c r="E26" s="363"/>
      <c r="F26" s="363"/>
      <c r="G26" s="363"/>
      <c r="H26" s="362" t="str">
        <f>IF(E26=F26+G26," ","ERROR")</f>
        <v xml:space="preserve"> </v>
      </c>
    </row>
    <row r="27" spans="1:8" ht="12">
      <c r="A27" s="354">
        <v>15</v>
      </c>
      <c r="B27" s="347" t="s">
        <v>143</v>
      </c>
      <c r="E27" s="363"/>
      <c r="F27" s="363"/>
      <c r="G27" s="363"/>
      <c r="H27" s="362" t="str">
        <f>IF(E27=F27+G27," ","ERROR")</f>
        <v xml:space="preserve"> </v>
      </c>
    </row>
    <row r="28" spans="1:8" ht="12">
      <c r="A28" s="354">
        <v>16</v>
      </c>
      <c r="B28" s="347" t="s">
        <v>144</v>
      </c>
      <c r="E28" s="364">
        <f>F28+G28</f>
        <v>67</v>
      </c>
      <c r="F28" s="985">
        <v>67</v>
      </c>
      <c r="G28" s="801">
        <f>F111</f>
        <v>0</v>
      </c>
      <c r="H28" s="362" t="str">
        <f>IF(E28=F28+G28," ","ERROR")</f>
        <v xml:space="preserve"> </v>
      </c>
    </row>
    <row r="29" spans="1:8" ht="12">
      <c r="A29" s="354">
        <v>17</v>
      </c>
      <c r="B29" s="347" t="s">
        <v>146</v>
      </c>
      <c r="E29" s="363">
        <f>SUM(E26:E28)</f>
        <v>67</v>
      </c>
      <c r="F29" s="363">
        <f>SUM(F26:F28)</f>
        <v>67</v>
      </c>
      <c r="G29" s="363">
        <f>SUM(G26:G28)</f>
        <v>0</v>
      </c>
      <c r="H29" s="362" t="str">
        <f>IF(E29=F29+G29," ","ERROR")</f>
        <v xml:space="preserve"> </v>
      </c>
    </row>
    <row r="30" spans="1:8" ht="12">
      <c r="A30" s="354"/>
      <c r="E30" s="363"/>
      <c r="F30" s="363"/>
      <c r="G30" s="363"/>
      <c r="H30" s="362"/>
    </row>
    <row r="31" spans="1:8" ht="12">
      <c r="A31" s="354">
        <v>18</v>
      </c>
      <c r="B31" s="347" t="s">
        <v>86</v>
      </c>
      <c r="E31" s="363">
        <f>F31+G31</f>
        <v>5</v>
      </c>
      <c r="F31" s="983">
        <v>5</v>
      </c>
      <c r="G31" s="983"/>
      <c r="H31" s="362" t="str">
        <f>IF(E31=F31+G31," ","ERROR")</f>
        <v xml:space="preserve"> </v>
      </c>
    </row>
    <row r="32" spans="1:8" ht="12">
      <c r="A32" s="354">
        <v>19</v>
      </c>
      <c r="B32" s="347" t="s">
        <v>87</v>
      </c>
      <c r="E32" s="363">
        <f>F32+G32</f>
        <v>-4270</v>
      </c>
      <c r="F32" s="983">
        <v>-4270</v>
      </c>
      <c r="G32" s="983"/>
      <c r="H32" s="362" t="str">
        <f>IF(E32=F32+G32," ","ERROR")</f>
        <v xml:space="preserve"> </v>
      </c>
    </row>
    <row r="33" spans="1:8" ht="12">
      <c r="A33" s="354">
        <v>20</v>
      </c>
      <c r="B33" s="347" t="s">
        <v>147</v>
      </c>
      <c r="E33" s="363"/>
      <c r="F33" s="363"/>
      <c r="G33" s="363"/>
      <c r="H33" s="362" t="str">
        <f>IF(E33=F33+G33," ","ERROR")</f>
        <v xml:space="preserve"> </v>
      </c>
    </row>
    <row r="34" spans="1:8" ht="12">
      <c r="A34" s="354"/>
      <c r="B34" s="347" t="s">
        <v>148</v>
      </c>
      <c r="E34" s="363"/>
      <c r="F34" s="363"/>
      <c r="G34" s="363"/>
      <c r="H34" s="362"/>
    </row>
    <row r="35" spans="1:8" ht="12">
      <c r="A35" s="354">
        <v>21</v>
      </c>
      <c r="B35" s="347" t="s">
        <v>142</v>
      </c>
      <c r="E35" s="363">
        <f>F35+G35</f>
        <v>3</v>
      </c>
      <c r="F35" s="983">
        <v>3</v>
      </c>
      <c r="G35" s="983"/>
      <c r="H35" s="362" t="str">
        <f>IF(E35=F35+G35," ","ERROR")</f>
        <v xml:space="preserve"> </v>
      </c>
    </row>
    <row r="36" spans="1:8" ht="12">
      <c r="A36" s="354">
        <v>22</v>
      </c>
      <c r="B36" s="347" t="s">
        <v>143</v>
      </c>
      <c r="E36" s="363">
        <f>F36+G36</f>
        <v>356</v>
      </c>
      <c r="F36" s="983">
        <v>356</v>
      </c>
      <c r="G36" s="363"/>
      <c r="H36" s="362" t="str">
        <f>IF(E36=F36+G36," ","ERROR")</f>
        <v xml:space="preserve"> </v>
      </c>
    </row>
    <row r="37" spans="1:8" ht="12">
      <c r="A37" s="354">
        <v>23</v>
      </c>
      <c r="B37" s="347" t="s">
        <v>144</v>
      </c>
      <c r="E37" s="364"/>
      <c r="F37" s="364"/>
      <c r="G37" s="364"/>
      <c r="H37" s="362" t="str">
        <f>IF(E37=F37+G37," ","ERROR")</f>
        <v xml:space="preserve"> </v>
      </c>
    </row>
    <row r="38" spans="1:8" ht="12">
      <c r="A38" s="354">
        <v>24</v>
      </c>
      <c r="B38" s="347" t="s">
        <v>149</v>
      </c>
      <c r="E38" s="364">
        <f>SUM(E35:E37)</f>
        <v>359</v>
      </c>
      <c r="F38" s="364">
        <f>SUM(F35:F37)</f>
        <v>359</v>
      </c>
      <c r="G38" s="364">
        <f>SUM(G35:G37)</f>
        <v>0</v>
      </c>
      <c r="H38" s="362" t="str">
        <f>IF(E38=F38+G38," ","ERROR")</f>
        <v xml:space="preserve"> </v>
      </c>
    </row>
    <row r="39" spans="1:8" ht="12">
      <c r="A39" s="354">
        <v>25</v>
      </c>
      <c r="B39" s="347" t="s">
        <v>91</v>
      </c>
      <c r="E39" s="364">
        <f>E19+E24+E29+E31+E32+E33+E38+E14</f>
        <v>-137017</v>
      </c>
      <c r="F39" s="364">
        <f>F19+F24+F29+F31+F32+F33+F38+F14</f>
        <v>-137017</v>
      </c>
      <c r="G39" s="364">
        <f>G19+G24+G29+G31+G32+G33+G38+G14</f>
        <v>0</v>
      </c>
      <c r="H39" s="362" t="str">
        <f>IF(E39=F39+G39," ","ERROR")</f>
        <v xml:space="preserve"> </v>
      </c>
    </row>
    <row r="40" spans="1:8" ht="12">
      <c r="A40" s="354"/>
      <c r="E40" s="363"/>
      <c r="F40" s="363"/>
      <c r="G40" s="363"/>
      <c r="H40" s="362"/>
    </row>
    <row r="41" spans="1:8" ht="12">
      <c r="A41" s="354">
        <v>26</v>
      </c>
      <c r="B41" s="347" t="s">
        <v>150</v>
      </c>
      <c r="E41" s="363">
        <f>E11-E39</f>
        <v>5613</v>
      </c>
      <c r="F41" s="363">
        <f>F11-F39</f>
        <v>5613</v>
      </c>
      <c r="G41" s="363">
        <f>G11-G39</f>
        <v>0</v>
      </c>
      <c r="H41" s="362" t="str">
        <f>IF(E41=F41+G41," ","ERROR")</f>
        <v xml:space="preserve"> </v>
      </c>
    </row>
    <row r="42" spans="1:8" ht="12">
      <c r="A42" s="354"/>
      <c r="E42" s="363"/>
      <c r="F42" s="363"/>
      <c r="G42" s="363"/>
      <c r="H42" s="362"/>
    </row>
    <row r="43" spans="1:8" ht="12">
      <c r="A43" s="354"/>
      <c r="B43" s="347" t="s">
        <v>151</v>
      </c>
      <c r="E43" s="363"/>
      <c r="F43" s="363"/>
      <c r="G43" s="363"/>
      <c r="H43" s="362"/>
    </row>
    <row r="44" spans="1:8" ht="12">
      <c r="A44" s="354">
        <v>27</v>
      </c>
      <c r="B44" s="365" t="s">
        <v>165</v>
      </c>
      <c r="E44" s="363">
        <f>F44+G44</f>
        <v>1965</v>
      </c>
      <c r="F44" s="363">
        <f>ROUND(F41*0.35,0)</f>
        <v>1965</v>
      </c>
      <c r="G44" s="363">
        <f>ROUND(G41*0.35,0)</f>
        <v>0</v>
      </c>
      <c r="H44" s="362" t="str">
        <f>IF(E44=F44+G44," ","ERROR")</f>
        <v xml:space="preserve"> </v>
      </c>
    </row>
    <row r="45" spans="1:8" ht="12">
      <c r="A45" s="354">
        <v>28</v>
      </c>
      <c r="B45" s="347" t="s">
        <v>154</v>
      </c>
      <c r="E45" s="363"/>
      <c r="F45" s="363"/>
      <c r="G45" s="363"/>
      <c r="H45" s="362" t="str">
        <f>IF(E45=F45+G45," ","ERROR")</f>
        <v xml:space="preserve"> </v>
      </c>
    </row>
    <row r="46" spans="1:8" ht="12">
      <c r="A46" s="354">
        <v>29</v>
      </c>
      <c r="B46" s="347" t="s">
        <v>153</v>
      </c>
      <c r="E46" s="364"/>
      <c r="F46" s="364"/>
      <c r="G46" s="364"/>
      <c r="H46" s="362" t="str">
        <f>IF(E46=F46+G46," ","ERROR")</f>
        <v xml:space="preserve"> </v>
      </c>
    </row>
    <row r="47" spans="1:8" ht="12">
      <c r="A47" s="354"/>
      <c r="H47" s="362"/>
    </row>
    <row r="48" spans="1:8" ht="12">
      <c r="A48" s="354">
        <v>30</v>
      </c>
      <c r="B48" s="368" t="s">
        <v>97</v>
      </c>
      <c r="E48" s="361">
        <f>E41-(+E44+E45+E46)</f>
        <v>3648</v>
      </c>
      <c r="F48" s="361">
        <f>F41-F44+F45+F46</f>
        <v>3648</v>
      </c>
      <c r="G48" s="361">
        <f>G41-SUM(G44:G46)</f>
        <v>0</v>
      </c>
      <c r="H48" s="362" t="str">
        <f>IF(E48=F48+G48," ","ERROR")</f>
        <v xml:space="preserve"> </v>
      </c>
    </row>
    <row r="49" spans="1:8" ht="12">
      <c r="A49" s="354"/>
      <c r="H49" s="362"/>
    </row>
    <row r="50" spans="1:8" ht="12">
      <c r="A50" s="354"/>
      <c r="B50" s="365" t="s">
        <v>155</v>
      </c>
      <c r="H50" s="362"/>
    </row>
    <row r="51" spans="1:8" ht="12">
      <c r="A51" s="354"/>
      <c r="B51" s="365" t="s">
        <v>156</v>
      </c>
      <c r="H51" s="362"/>
    </row>
    <row r="52" spans="1:8" ht="12">
      <c r="A52" s="354">
        <v>31</v>
      </c>
      <c r="B52" s="347" t="s">
        <v>157</v>
      </c>
      <c r="E52" s="361"/>
      <c r="F52" s="361"/>
      <c r="G52" s="361"/>
      <c r="H52" s="362" t="str">
        <f t="shared" ref="H52:H63" si="0">IF(E52=F52+G52," ","ERROR")</f>
        <v xml:space="preserve"> </v>
      </c>
    </row>
    <row r="53" spans="1:8" ht="12">
      <c r="A53" s="354">
        <v>32</v>
      </c>
      <c r="B53" s="347" t="s">
        <v>158</v>
      </c>
      <c r="E53" s="363"/>
      <c r="F53" s="363"/>
      <c r="G53" s="363"/>
      <c r="H53" s="362" t="str">
        <f t="shared" si="0"/>
        <v xml:space="preserve"> </v>
      </c>
    </row>
    <row r="54" spans="1:8" ht="12">
      <c r="A54" s="354">
        <v>33</v>
      </c>
      <c r="B54" s="347" t="s">
        <v>166</v>
      </c>
      <c r="E54" s="364"/>
      <c r="F54" s="364"/>
      <c r="G54" s="364"/>
      <c r="H54" s="362" t="str">
        <f t="shared" si="0"/>
        <v xml:space="preserve"> </v>
      </c>
    </row>
    <row r="55" spans="1:8" ht="12">
      <c r="A55" s="354">
        <v>34</v>
      </c>
      <c r="B55" s="347" t="s">
        <v>160</v>
      </c>
      <c r="E55" s="363">
        <f>SUM(E52:E54)</f>
        <v>0</v>
      </c>
      <c r="F55" s="363">
        <f>SUM(F52:F54)</f>
        <v>0</v>
      </c>
      <c r="G55" s="363">
        <f>SUM(G52:G54)</f>
        <v>0</v>
      </c>
      <c r="H55" s="362" t="str">
        <f t="shared" si="0"/>
        <v xml:space="preserve"> </v>
      </c>
    </row>
    <row r="56" spans="1:8" ht="12">
      <c r="A56" s="354"/>
      <c r="B56" s="347" t="s">
        <v>102</v>
      </c>
      <c r="E56" s="363"/>
      <c r="F56" s="363"/>
      <c r="G56" s="363"/>
      <c r="H56" s="362" t="str">
        <f t="shared" si="0"/>
        <v xml:space="preserve"> </v>
      </c>
    </row>
    <row r="57" spans="1:8" ht="12">
      <c r="A57" s="354">
        <v>35</v>
      </c>
      <c r="B57" s="347" t="s">
        <v>157</v>
      </c>
      <c r="E57" s="363"/>
      <c r="F57" s="363"/>
      <c r="G57" s="363"/>
      <c r="H57" s="362" t="str">
        <f t="shared" si="0"/>
        <v xml:space="preserve"> </v>
      </c>
    </row>
    <row r="58" spans="1:8" ht="12">
      <c r="A58" s="354">
        <v>36</v>
      </c>
      <c r="B58" s="347" t="s">
        <v>158</v>
      </c>
      <c r="E58" s="363"/>
      <c r="F58" s="363"/>
      <c r="G58" s="363"/>
      <c r="H58" s="362" t="str">
        <f t="shared" si="0"/>
        <v xml:space="preserve"> </v>
      </c>
    </row>
    <row r="59" spans="1:8" ht="12">
      <c r="A59" s="354">
        <v>37</v>
      </c>
      <c r="B59" s="347" t="s">
        <v>166</v>
      </c>
      <c r="E59" s="364"/>
      <c r="F59" s="364"/>
      <c r="G59" s="364"/>
      <c r="H59" s="362" t="str">
        <f t="shared" si="0"/>
        <v xml:space="preserve"> </v>
      </c>
    </row>
    <row r="60" spans="1:8" ht="12">
      <c r="A60" s="354">
        <v>38</v>
      </c>
      <c r="B60" s="347" t="s">
        <v>161</v>
      </c>
      <c r="E60" s="363">
        <f>SUM(E57:E59)</f>
        <v>0</v>
      </c>
      <c r="F60" s="363">
        <f>SUM(F57:F59)</f>
        <v>0</v>
      </c>
      <c r="G60" s="363">
        <f>SUM(G57:G59)</f>
        <v>0</v>
      </c>
      <c r="H60" s="362" t="str">
        <f t="shared" si="0"/>
        <v xml:space="preserve"> </v>
      </c>
    </row>
    <row r="61" spans="1:8" ht="12">
      <c r="A61" s="354">
        <v>39</v>
      </c>
      <c r="B61" s="365" t="s">
        <v>162</v>
      </c>
      <c r="E61" s="363"/>
      <c r="F61" s="363"/>
      <c r="G61" s="363"/>
      <c r="H61" s="362" t="str">
        <f t="shared" si="0"/>
        <v xml:space="preserve"> </v>
      </c>
    </row>
    <row r="62" spans="1:8" ht="12">
      <c r="A62" s="354">
        <v>40</v>
      </c>
      <c r="B62" s="347" t="s">
        <v>105</v>
      </c>
      <c r="E62" s="363"/>
      <c r="F62" s="363"/>
      <c r="G62" s="363"/>
      <c r="H62" s="362" t="str">
        <f t="shared" si="0"/>
        <v xml:space="preserve"> </v>
      </c>
    </row>
    <row r="63" spans="1:8" ht="12">
      <c r="A63" s="354">
        <v>41</v>
      </c>
      <c r="B63" s="365" t="s">
        <v>106</v>
      </c>
      <c r="E63" s="364"/>
      <c r="F63" s="364"/>
      <c r="G63" s="364"/>
      <c r="H63" s="362" t="str">
        <f t="shared" si="0"/>
        <v xml:space="preserve"> </v>
      </c>
    </row>
    <row r="64" spans="1:8" ht="12">
      <c r="A64" s="354"/>
      <c r="B64" s="347" t="s">
        <v>163</v>
      </c>
      <c r="H64" s="362"/>
    </row>
    <row r="65" spans="1:8" ht="12.75" thickBot="1">
      <c r="A65" s="354">
        <v>42</v>
      </c>
      <c r="B65" s="368" t="s">
        <v>107</v>
      </c>
      <c r="E65" s="369">
        <f>E55-E60+E61+E62+E63</f>
        <v>0</v>
      </c>
      <c r="F65" s="369">
        <f>F55-F60+F61+F62+F63</f>
        <v>0</v>
      </c>
      <c r="G65" s="369">
        <f>G55-G60+G61+G62+G63</f>
        <v>0</v>
      </c>
      <c r="H65" s="362" t="str">
        <f>IF(E65=F65+G65," ","ERROR")</f>
        <v xml:space="preserve"> </v>
      </c>
    </row>
    <row r="66" spans="1:8" ht="12.75" thickTop="1">
      <c r="A66" s="350" t="str">
        <f>Inputs!$D$6</f>
        <v>AVISTA UTILITIES</v>
      </c>
      <c r="B66" s="350"/>
      <c r="C66" s="350"/>
      <c r="G66" s="347"/>
    </row>
    <row r="67" spans="1:8" ht="12">
      <c r="A67" s="350" t="s">
        <v>169</v>
      </c>
      <c r="B67" s="350"/>
      <c r="C67" s="350"/>
      <c r="G67" s="347"/>
    </row>
    <row r="68" spans="1:8" ht="12">
      <c r="A68" s="350" t="str">
        <f>A3</f>
        <v>TWELVE MONTHS ENDED SEPTEMBER 30, 2008</v>
      </c>
      <c r="B68" s="350"/>
      <c r="C68" s="350"/>
      <c r="F68" s="351" t="str">
        <f>F2</f>
        <v>REVENUE  NORMALIZATION</v>
      </c>
      <c r="G68" s="347"/>
    </row>
    <row r="69" spans="1:8" ht="12">
      <c r="A69" s="350" t="s">
        <v>170</v>
      </c>
      <c r="B69" s="350"/>
      <c r="C69" s="350"/>
      <c r="F69" s="351" t="str">
        <f>F3</f>
        <v>AND GAS COST ADJUSTMENT</v>
      </c>
      <c r="G69" s="347"/>
    </row>
    <row r="70" spans="1:8" ht="12">
      <c r="E70" s="370"/>
      <c r="F70" s="358" t="str">
        <f>F4</f>
        <v>GAS</v>
      </c>
      <c r="G70" s="371"/>
    </row>
    <row r="71" spans="1:8" ht="12">
      <c r="A71" s="354" t="s">
        <v>10</v>
      </c>
      <c r="F71" s="351"/>
    </row>
    <row r="72" spans="1:8" ht="12">
      <c r="A72" s="372" t="s">
        <v>27</v>
      </c>
      <c r="B72" s="356" t="s">
        <v>113</v>
      </c>
      <c r="C72" s="356"/>
      <c r="F72" s="358" t="s">
        <v>132</v>
      </c>
    </row>
    <row r="73" spans="1:8" ht="12">
      <c r="A73" s="354"/>
      <c r="B73" s="347" t="s">
        <v>68</v>
      </c>
      <c r="E73" s="347"/>
      <c r="G73" s="347"/>
    </row>
    <row r="74" spans="1:8" ht="12">
      <c r="A74" s="354">
        <v>1</v>
      </c>
      <c r="B74" s="347" t="s">
        <v>134</v>
      </c>
      <c r="E74" s="347"/>
      <c r="F74" s="361">
        <f>G8</f>
        <v>0</v>
      </c>
      <c r="G74" s="347"/>
    </row>
    <row r="75" spans="1:8" ht="12">
      <c r="A75" s="354">
        <v>2</v>
      </c>
      <c r="B75" s="347" t="s">
        <v>135</v>
      </c>
      <c r="E75" s="347"/>
      <c r="F75" s="363">
        <f>G9</f>
        <v>0</v>
      </c>
      <c r="G75" s="347"/>
    </row>
    <row r="76" spans="1:8" ht="12">
      <c r="A76" s="354">
        <v>3</v>
      </c>
      <c r="B76" s="347" t="s">
        <v>71</v>
      </c>
      <c r="E76" s="347"/>
      <c r="F76" s="364">
        <f>G10</f>
        <v>0</v>
      </c>
      <c r="G76" s="347"/>
    </row>
    <row r="77" spans="1:8" ht="12">
      <c r="A77" s="354"/>
      <c r="E77" s="347"/>
      <c r="F77" s="363"/>
      <c r="G77" s="347"/>
    </row>
    <row r="78" spans="1:8" ht="12">
      <c r="A78" s="354">
        <v>4</v>
      </c>
      <c r="B78" s="347" t="s">
        <v>136</v>
      </c>
      <c r="E78" s="347"/>
      <c r="F78" s="363">
        <f>F74+F75+F76</f>
        <v>0</v>
      </c>
      <c r="G78" s="347"/>
    </row>
    <row r="79" spans="1:8" ht="12">
      <c r="A79" s="354"/>
      <c r="E79" s="347"/>
      <c r="F79" s="363"/>
      <c r="G79" s="347"/>
    </row>
    <row r="80" spans="1:8" ht="12">
      <c r="A80" s="354"/>
      <c r="B80" s="347" t="s">
        <v>73</v>
      </c>
      <c r="E80" s="347"/>
      <c r="F80" s="363"/>
      <c r="G80" s="347"/>
    </row>
    <row r="81" spans="1:7" ht="12">
      <c r="A81" s="354">
        <v>5</v>
      </c>
      <c r="B81" s="347" t="s">
        <v>137</v>
      </c>
      <c r="E81" s="347"/>
      <c r="F81" s="363">
        <f>G14</f>
        <v>0</v>
      </c>
      <c r="G81" s="347"/>
    </row>
    <row r="82" spans="1:7" ht="12">
      <c r="A82" s="354"/>
      <c r="B82" s="347" t="s">
        <v>75</v>
      </c>
      <c r="E82" s="347"/>
      <c r="F82" s="363"/>
      <c r="G82" s="347"/>
    </row>
    <row r="83" spans="1:7" ht="12">
      <c r="A83" s="354">
        <v>6</v>
      </c>
      <c r="B83" s="347" t="s">
        <v>138</v>
      </c>
      <c r="E83" s="347"/>
      <c r="F83" s="363">
        <f>G16</f>
        <v>0</v>
      </c>
      <c r="G83" s="347"/>
    </row>
    <row r="84" spans="1:7" ht="12">
      <c r="A84" s="354">
        <v>7</v>
      </c>
      <c r="B84" s="347" t="s">
        <v>139</v>
      </c>
      <c r="E84" s="347"/>
      <c r="F84" s="363">
        <f>G17</f>
        <v>0</v>
      </c>
      <c r="G84" s="347"/>
    </row>
    <row r="85" spans="1:7" ht="12">
      <c r="A85" s="354">
        <v>8</v>
      </c>
      <c r="B85" s="347" t="s">
        <v>140</v>
      </c>
      <c r="E85" s="347"/>
      <c r="F85" s="364">
        <f>G18</f>
        <v>0</v>
      </c>
      <c r="G85" s="347"/>
    </row>
    <row r="86" spans="1:7" ht="12">
      <c r="A86" s="354">
        <v>9</v>
      </c>
      <c r="B86" s="347" t="s">
        <v>141</v>
      </c>
      <c r="E86" s="347"/>
      <c r="F86" s="363">
        <f>F83+F84+F85</f>
        <v>0</v>
      </c>
      <c r="G86" s="347"/>
    </row>
    <row r="87" spans="1:7" ht="12">
      <c r="A87" s="354"/>
      <c r="B87" s="347" t="s">
        <v>80</v>
      </c>
      <c r="E87" s="347"/>
      <c r="F87" s="363"/>
      <c r="G87" s="347"/>
    </row>
    <row r="88" spans="1:7" ht="12">
      <c r="A88" s="354">
        <v>10</v>
      </c>
      <c r="B88" s="347" t="s">
        <v>142</v>
      </c>
      <c r="E88" s="347"/>
      <c r="F88" s="363">
        <f>G21</f>
        <v>0</v>
      </c>
      <c r="G88" s="347"/>
    </row>
    <row r="89" spans="1:7" ht="12">
      <c r="A89" s="354">
        <v>11</v>
      </c>
      <c r="B89" s="347" t="s">
        <v>143</v>
      </c>
      <c r="E89" s="347"/>
      <c r="F89" s="363">
        <f>G22</f>
        <v>0</v>
      </c>
      <c r="G89" s="347"/>
    </row>
    <row r="90" spans="1:7" ht="12">
      <c r="A90" s="354">
        <v>12</v>
      </c>
      <c r="B90" s="347" t="s">
        <v>144</v>
      </c>
      <c r="E90" s="347"/>
      <c r="F90" s="364">
        <f>G23</f>
        <v>0</v>
      </c>
      <c r="G90" s="347"/>
    </row>
    <row r="91" spans="1:7" ht="12">
      <c r="A91" s="354">
        <v>13</v>
      </c>
      <c r="B91" s="347" t="s">
        <v>145</v>
      </c>
      <c r="E91" s="347"/>
      <c r="F91" s="363">
        <f>F88+F89+F90</f>
        <v>0</v>
      </c>
      <c r="G91" s="347"/>
    </row>
    <row r="92" spans="1:7" ht="12">
      <c r="A92" s="354"/>
      <c r="B92" s="347" t="s">
        <v>84</v>
      </c>
      <c r="E92" s="347"/>
      <c r="F92" s="363"/>
      <c r="G92" s="347"/>
    </row>
    <row r="93" spans="1:7" ht="12">
      <c r="A93" s="354">
        <v>14</v>
      </c>
      <c r="B93" s="347" t="s">
        <v>142</v>
      </c>
      <c r="E93" s="347"/>
      <c r="F93" s="363">
        <f>G26</f>
        <v>0</v>
      </c>
      <c r="G93" s="347"/>
    </row>
    <row r="94" spans="1:7" ht="12">
      <c r="A94" s="354">
        <v>15</v>
      </c>
      <c r="B94" s="347" t="s">
        <v>143</v>
      </c>
      <c r="E94" s="347"/>
      <c r="F94" s="363">
        <f>G27</f>
        <v>0</v>
      </c>
      <c r="G94" s="347"/>
    </row>
    <row r="95" spans="1:7" ht="12">
      <c r="A95" s="354">
        <v>16</v>
      </c>
      <c r="B95" s="347" t="s">
        <v>144</v>
      </c>
      <c r="E95" s="347"/>
      <c r="F95" s="364"/>
      <c r="G95" s="347"/>
    </row>
    <row r="96" spans="1:7" ht="12">
      <c r="A96" s="354">
        <v>17</v>
      </c>
      <c r="B96" s="347" t="s">
        <v>146</v>
      </c>
      <c r="E96" s="347"/>
      <c r="F96" s="363">
        <f>F93+F94+F95</f>
        <v>0</v>
      </c>
      <c r="G96" s="347"/>
    </row>
    <row r="97" spans="1:7" ht="12">
      <c r="A97" s="354">
        <v>18</v>
      </c>
      <c r="B97" s="347" t="s">
        <v>86</v>
      </c>
      <c r="E97" s="347"/>
      <c r="F97" s="363">
        <f>G31</f>
        <v>0</v>
      </c>
      <c r="G97" s="347"/>
    </row>
    <row r="98" spans="1:7" ht="12">
      <c r="A98" s="354">
        <v>19</v>
      </c>
      <c r="B98" s="347" t="s">
        <v>87</v>
      </c>
      <c r="E98" s="347"/>
      <c r="F98" s="363">
        <f>G32</f>
        <v>0</v>
      </c>
      <c r="G98" s="347"/>
    </row>
    <row r="99" spans="1:7" ht="12">
      <c r="A99" s="354">
        <v>20</v>
      </c>
      <c r="B99" s="347" t="s">
        <v>147</v>
      </c>
      <c r="E99" s="347"/>
      <c r="F99" s="363">
        <f>G33</f>
        <v>0</v>
      </c>
      <c r="G99" s="347"/>
    </row>
    <row r="100" spans="1:7" ht="12">
      <c r="A100" s="354"/>
      <c r="B100" s="347" t="s">
        <v>148</v>
      </c>
      <c r="E100" s="347"/>
      <c r="F100" s="363"/>
      <c r="G100" s="347"/>
    </row>
    <row r="101" spans="1:7" ht="12">
      <c r="A101" s="354">
        <v>21</v>
      </c>
      <c r="B101" s="347" t="s">
        <v>142</v>
      </c>
      <c r="E101" s="347"/>
      <c r="F101" s="363">
        <f>G35</f>
        <v>0</v>
      </c>
      <c r="G101" s="347"/>
    </row>
    <row r="102" spans="1:7" ht="12">
      <c r="A102" s="354">
        <v>22</v>
      </c>
      <c r="B102" s="347" t="s">
        <v>143</v>
      </c>
      <c r="E102" s="347"/>
      <c r="F102" s="363">
        <f>G36</f>
        <v>0</v>
      </c>
      <c r="G102" s="347"/>
    </row>
    <row r="103" spans="1:7" ht="12">
      <c r="A103" s="354">
        <v>23</v>
      </c>
      <c r="B103" s="347" t="s">
        <v>144</v>
      </c>
      <c r="E103" s="347"/>
      <c r="F103" s="364">
        <f>G37</f>
        <v>0</v>
      </c>
      <c r="G103" s="347"/>
    </row>
    <row r="104" spans="1:7" ht="12">
      <c r="A104" s="354">
        <v>24</v>
      </c>
      <c r="B104" s="347" t="s">
        <v>149</v>
      </c>
      <c r="E104" s="347"/>
      <c r="F104" s="364">
        <f>F101+F102+F103</f>
        <v>0</v>
      </c>
      <c r="G104" s="347"/>
    </row>
    <row r="105" spans="1:7" ht="12">
      <c r="A105" s="354"/>
      <c r="E105" s="347"/>
      <c r="F105" s="363"/>
      <c r="G105" s="347"/>
    </row>
    <row r="106" spans="1:7" ht="12">
      <c r="A106" s="354">
        <v>25</v>
      </c>
      <c r="B106" s="347" t="s">
        <v>91</v>
      </c>
      <c r="E106" s="347"/>
      <c r="F106" s="364">
        <f>F104+F99+F98+F97+F96+F91+F86+F81</f>
        <v>0</v>
      </c>
      <c r="G106" s="347"/>
    </row>
    <row r="107" spans="1:7" ht="12">
      <c r="A107" s="354"/>
      <c r="E107" s="347"/>
      <c r="F107" s="363"/>
      <c r="G107" s="347"/>
    </row>
    <row r="108" spans="1:7" ht="12">
      <c r="A108" s="354">
        <v>26</v>
      </c>
      <c r="B108" s="347" t="s">
        <v>171</v>
      </c>
      <c r="E108" s="347"/>
      <c r="F108" s="364">
        <f>F78-F106</f>
        <v>0</v>
      </c>
      <c r="G108" s="347"/>
    </row>
    <row r="109" spans="1:7" ht="12">
      <c r="A109" s="354"/>
      <c r="E109" s="347"/>
      <c r="G109" s="347"/>
    </row>
    <row r="110" spans="1:7" ht="12">
      <c r="A110" s="354">
        <v>27</v>
      </c>
      <c r="B110" s="347" t="s">
        <v>172</v>
      </c>
      <c r="G110" s="347"/>
    </row>
    <row r="111" spans="1:7" ht="12.75" thickBot="1">
      <c r="A111" s="354"/>
      <c r="B111" s="373" t="s">
        <v>173</v>
      </c>
      <c r="C111" s="374">
        <f>Inputs!$D$4</f>
        <v>1.1416000000000001E-2</v>
      </c>
      <c r="F111" s="369">
        <f>ROUND(F108*C111,0)</f>
        <v>0</v>
      </c>
      <c r="G111" s="347"/>
    </row>
    <row r="112" spans="1:7" ht="12.75" thickTop="1">
      <c r="A112" s="354"/>
      <c r="G112" s="347"/>
    </row>
  </sheetData>
  <customSheetViews>
    <customSheetView guid="{5BE913A1-B14F-11D2-B0DC-0000832CDFF0}" showRuler="0" topLeftCell="A52">
      <selection activeCell="A66" sqref="A66:C66"/>
      <rowBreaks count="1" manualBreakCount="1">
        <brk id="65" max="65535" man="1"/>
      </rowBreaks>
      <pageMargins left="0.5" right="0.5" top="0.75" bottom="0.5" header="0.5" footer="0.5"/>
      <printOptions horizontalCentered="1"/>
      <pageSetup scale="85" orientation="portrait" horizontalDpi="300" verticalDpi="300" r:id="rId1"/>
      <headerFooter alignWithMargins="0"/>
    </customSheetView>
    <customSheetView guid="{A15D1964-B049-11D2-8670-0000832CEEE8}" showRuler="0" topLeftCell="A52">
      <selection activeCell="A66" sqref="A66:C66"/>
      <rowBreaks count="1" manualBreakCount="1">
        <brk id="65" max="65535" man="1"/>
      </rowBreaks>
      <pageMargins left="0.5" right="0.5" top="0.75" bottom="0.5" header="0.5" footer="0.5"/>
      <printOptions horizontalCentered="1"/>
      <pageSetup scale="85" orientation="portrait" horizontalDpi="300" verticalDpi="300" r:id="rId2"/>
      <headerFooter alignWithMargins="0"/>
    </customSheetView>
  </customSheetViews>
  <mergeCells count="1">
    <mergeCell ref="A1:C1"/>
  </mergeCells>
  <phoneticPr fontId="0" type="noConversion"/>
  <printOptions horizontalCentered="1"/>
  <pageMargins left="0.5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112"/>
  <sheetViews>
    <sheetView zoomScale="75" workbookViewId="0">
      <selection activeCell="F96" sqref="F96"/>
    </sheetView>
  </sheetViews>
  <sheetFormatPr defaultColWidth="12.42578125" defaultRowHeight="11.1" customHeight="1"/>
  <cols>
    <col min="1" max="1" width="5.5703125" style="406" customWidth="1"/>
    <col min="2" max="2" width="26.140625" style="406" customWidth="1"/>
    <col min="3" max="3" width="12.42578125" style="406" customWidth="1"/>
    <col min="4" max="4" width="6.7109375" style="406" customWidth="1"/>
    <col min="5" max="5" width="12.42578125" style="426" customWidth="1"/>
    <col min="6" max="6" width="12.42578125" style="427" customWidth="1"/>
    <col min="7" max="7" width="12.42578125" style="426" customWidth="1"/>
    <col min="8" max="16384" width="12.42578125" style="406"/>
  </cols>
  <sheetData>
    <row r="1" spans="1:8" ht="12">
      <c r="A1" s="405" t="str">
        <f>Inputs!$D$6</f>
        <v>AVISTA UTILITIES</v>
      </c>
      <c r="B1" s="405"/>
      <c r="C1" s="405"/>
      <c r="E1" s="407"/>
      <c r="F1" s="408"/>
      <c r="G1" s="407"/>
    </row>
    <row r="2" spans="1:8" ht="12">
      <c r="A2" s="405" t="s">
        <v>125</v>
      </c>
      <c r="B2" s="405"/>
      <c r="C2" s="405"/>
      <c r="E2" s="407"/>
      <c r="F2" s="409" t="s">
        <v>178</v>
      </c>
      <c r="G2" s="407"/>
    </row>
    <row r="3" spans="1:8" ht="12">
      <c r="A3" s="405" t="str">
        <f>Inputs!$D$2</f>
        <v>TWELVE MONTHS ENDED SEPTEMBER 30, 2008</v>
      </c>
      <c r="B3" s="405"/>
      <c r="C3" s="405"/>
      <c r="E3" s="407"/>
      <c r="F3" s="409" t="s">
        <v>179</v>
      </c>
      <c r="G3" s="406"/>
    </row>
    <row r="4" spans="1:8" ht="12">
      <c r="A4" s="405" t="s">
        <v>128</v>
      </c>
      <c r="B4" s="405"/>
      <c r="C4" s="405"/>
      <c r="E4" s="410"/>
      <c r="F4" s="411" t="s">
        <v>129</v>
      </c>
      <c r="G4" s="410"/>
    </row>
    <row r="5" spans="1:8" ht="12">
      <c r="A5" s="412" t="s">
        <v>10</v>
      </c>
      <c r="E5" s="407"/>
      <c r="F5" s="409"/>
      <c r="G5" s="407"/>
    </row>
    <row r="6" spans="1:8" ht="12">
      <c r="A6" s="413" t="s">
        <v>27</v>
      </c>
      <c r="B6" s="414" t="s">
        <v>113</v>
      </c>
      <c r="C6" s="414"/>
      <c r="E6" s="415" t="s">
        <v>130</v>
      </c>
      <c r="F6" s="416" t="s">
        <v>131</v>
      </c>
      <c r="G6" s="415" t="s">
        <v>132</v>
      </c>
      <c r="H6" s="417" t="s">
        <v>133</v>
      </c>
    </row>
    <row r="7" spans="1:8" ht="12">
      <c r="A7" s="412"/>
      <c r="B7" s="406" t="s">
        <v>68</v>
      </c>
      <c r="E7" s="418"/>
      <c r="F7" s="409"/>
      <c r="G7" s="418"/>
    </row>
    <row r="8" spans="1:8" ht="12">
      <c r="A8" s="412">
        <v>1</v>
      </c>
      <c r="B8" s="406" t="s">
        <v>134</v>
      </c>
      <c r="E8" s="419">
        <f>SUM(F8:G8)</f>
        <v>-7839</v>
      </c>
      <c r="F8" s="419">
        <v>-7839</v>
      </c>
      <c r="G8" s="419"/>
      <c r="H8" s="420" t="str">
        <f>IF(E8=F8+G8," ","ERROR")</f>
        <v xml:space="preserve"> </v>
      </c>
    </row>
    <row r="9" spans="1:8" ht="12">
      <c r="A9" s="412">
        <v>2</v>
      </c>
      <c r="B9" s="406" t="s">
        <v>135</v>
      </c>
      <c r="E9" s="421">
        <f>SUM(F9:G9)</f>
        <v>-75</v>
      </c>
      <c r="F9" s="421">
        <v>-75</v>
      </c>
      <c r="G9" s="421"/>
      <c r="H9" s="420" t="str">
        <f>IF(E9=F9+G9," ","ERROR")</f>
        <v xml:space="preserve"> </v>
      </c>
    </row>
    <row r="10" spans="1:8" ht="12">
      <c r="A10" s="412">
        <v>3</v>
      </c>
      <c r="B10" s="406" t="s">
        <v>71</v>
      </c>
      <c r="E10" s="422"/>
      <c r="F10" s="422"/>
      <c r="G10" s="422"/>
      <c r="H10" s="420" t="str">
        <f>IF(E10=F10+G10," ","ERROR")</f>
        <v xml:space="preserve"> </v>
      </c>
    </row>
    <row r="11" spans="1:8" ht="12">
      <c r="A11" s="412">
        <v>4</v>
      </c>
      <c r="B11" s="406" t="s">
        <v>136</v>
      </c>
      <c r="E11" s="421">
        <f>SUM(E8:E10)</f>
        <v>-7914</v>
      </c>
      <c r="F11" s="421">
        <f>SUM(F8:F10)</f>
        <v>-7914</v>
      </c>
      <c r="G11" s="421">
        <f>SUM(G8:G10)</f>
        <v>0</v>
      </c>
      <c r="H11" s="420" t="str">
        <f>IF(E11=F11+G11," ","ERROR")</f>
        <v xml:space="preserve"> </v>
      </c>
    </row>
    <row r="12" spans="1:8" ht="12">
      <c r="A12" s="412"/>
      <c r="E12" s="421"/>
      <c r="F12" s="421"/>
      <c r="G12" s="421"/>
      <c r="H12" s="420"/>
    </row>
    <row r="13" spans="1:8" ht="12">
      <c r="A13" s="412"/>
      <c r="B13" s="406" t="s">
        <v>73</v>
      </c>
      <c r="E13" s="421"/>
      <c r="F13" s="421"/>
      <c r="G13" s="421"/>
      <c r="H13" s="420"/>
    </row>
    <row r="14" spans="1:8" ht="12">
      <c r="A14" s="412">
        <v>5</v>
      </c>
      <c r="B14" s="406" t="s">
        <v>137</v>
      </c>
      <c r="E14" s="421"/>
      <c r="F14" s="421"/>
      <c r="G14" s="421"/>
      <c r="H14" s="420" t="str">
        <f>IF(E14=F14+G14," ","ERROR")</f>
        <v xml:space="preserve"> </v>
      </c>
    </row>
    <row r="15" spans="1:8" ht="12">
      <c r="A15" s="412"/>
      <c r="B15" s="406" t="s">
        <v>75</v>
      </c>
      <c r="E15" s="421"/>
      <c r="F15" s="421"/>
      <c r="G15" s="421"/>
      <c r="H15" s="420"/>
    </row>
    <row r="16" spans="1:8" ht="12">
      <c r="A16" s="412">
        <v>6</v>
      </c>
      <c r="B16" s="406" t="s">
        <v>138</v>
      </c>
      <c r="E16" s="421"/>
      <c r="F16" s="421"/>
      <c r="G16" s="421"/>
      <c r="H16" s="420" t="str">
        <f>IF(E16=F16+G16," ","ERROR")</f>
        <v xml:space="preserve"> </v>
      </c>
    </row>
    <row r="17" spans="1:8" ht="12">
      <c r="A17" s="412">
        <v>7</v>
      </c>
      <c r="B17" s="406" t="s">
        <v>139</v>
      </c>
      <c r="E17" s="421"/>
      <c r="F17" s="421"/>
      <c r="G17" s="421"/>
      <c r="H17" s="420" t="str">
        <f>IF(E17=F17+G17," ","ERROR")</f>
        <v xml:space="preserve"> </v>
      </c>
    </row>
    <row r="18" spans="1:8" ht="12">
      <c r="A18" s="412">
        <v>8</v>
      </c>
      <c r="B18" s="406" t="s">
        <v>140</v>
      </c>
      <c r="E18" s="422"/>
      <c r="F18" s="422"/>
      <c r="G18" s="422"/>
      <c r="H18" s="420" t="str">
        <f>IF(E18=F18+G18," ","ERROR")</f>
        <v xml:space="preserve"> </v>
      </c>
    </row>
    <row r="19" spans="1:8" ht="12">
      <c r="A19" s="412">
        <v>9</v>
      </c>
      <c r="B19" s="406" t="s">
        <v>141</v>
      </c>
      <c r="E19" s="421">
        <f>SUM(E16:E18)</f>
        <v>0</v>
      </c>
      <c r="F19" s="421">
        <f>SUM(F16:F18)</f>
        <v>0</v>
      </c>
      <c r="G19" s="421">
        <f>SUM(G16:G18)</f>
        <v>0</v>
      </c>
      <c r="H19" s="420" t="str">
        <f>IF(E19=F19+G19," ","ERROR")</f>
        <v xml:space="preserve"> </v>
      </c>
    </row>
    <row r="20" spans="1:8" ht="12">
      <c r="A20" s="412"/>
      <c r="B20" s="406" t="s">
        <v>80</v>
      </c>
      <c r="E20" s="421"/>
      <c r="F20" s="421"/>
      <c r="G20" s="421"/>
      <c r="H20" s="420"/>
    </row>
    <row r="21" spans="1:8" ht="12">
      <c r="A21" s="412">
        <v>10</v>
      </c>
      <c r="B21" s="406" t="s">
        <v>142</v>
      </c>
      <c r="E21" s="421"/>
      <c r="F21" s="421"/>
      <c r="G21" s="421"/>
      <c r="H21" s="420" t="str">
        <f>IF(E21=F21+G21," ","ERROR")</f>
        <v xml:space="preserve"> </v>
      </c>
    </row>
    <row r="22" spans="1:8" ht="12">
      <c r="A22" s="412">
        <v>11</v>
      </c>
      <c r="B22" s="406" t="s">
        <v>143</v>
      </c>
      <c r="E22" s="421"/>
      <c r="F22" s="421"/>
      <c r="G22" s="421"/>
      <c r="H22" s="420" t="str">
        <f>IF(E22=F22+G22," ","ERROR")</f>
        <v xml:space="preserve"> </v>
      </c>
    </row>
    <row r="23" spans="1:8" ht="12">
      <c r="A23" s="412">
        <v>12</v>
      </c>
      <c r="B23" s="406" t="s">
        <v>144</v>
      </c>
      <c r="E23" s="422"/>
      <c r="F23" s="422"/>
      <c r="G23" s="422"/>
      <c r="H23" s="420" t="str">
        <f>IF(E23=F23+G23," ","ERROR")</f>
        <v xml:space="preserve"> </v>
      </c>
    </row>
    <row r="24" spans="1:8" ht="12">
      <c r="A24" s="412">
        <v>13</v>
      </c>
      <c r="B24" s="406" t="s">
        <v>145</v>
      </c>
      <c r="E24" s="421">
        <f>SUM(E21:E23)</f>
        <v>0</v>
      </c>
      <c r="F24" s="421">
        <f>SUM(F21:F23)</f>
        <v>0</v>
      </c>
      <c r="G24" s="421">
        <f>SUM(G21:G23)</f>
        <v>0</v>
      </c>
      <c r="H24" s="420" t="str">
        <f>IF(E24=F24+G24," ","ERROR")</f>
        <v xml:space="preserve"> </v>
      </c>
    </row>
    <row r="25" spans="1:8" ht="12">
      <c r="A25" s="412"/>
      <c r="B25" s="406" t="s">
        <v>84</v>
      </c>
      <c r="E25" s="421"/>
      <c r="F25" s="421"/>
      <c r="G25" s="421"/>
      <c r="H25" s="420"/>
    </row>
    <row r="26" spans="1:8" ht="12">
      <c r="A26" s="412">
        <v>14</v>
      </c>
      <c r="B26" s="406" t="s">
        <v>142</v>
      </c>
      <c r="E26" s="421"/>
      <c r="F26" s="421"/>
      <c r="G26" s="421"/>
      <c r="H26" s="420" t="str">
        <f>IF(E26=F26+G26," ","ERROR")</f>
        <v xml:space="preserve"> </v>
      </c>
    </row>
    <row r="27" spans="1:8" ht="12">
      <c r="A27" s="412">
        <v>15</v>
      </c>
      <c r="B27" s="406" t="s">
        <v>143</v>
      </c>
      <c r="E27" s="421"/>
      <c r="F27" s="421"/>
      <c r="G27" s="421"/>
      <c r="H27" s="420" t="str">
        <f>IF(E27=F27+G27," ","ERROR")</f>
        <v xml:space="preserve"> </v>
      </c>
    </row>
    <row r="28" spans="1:8" ht="12">
      <c r="A28" s="412">
        <v>16</v>
      </c>
      <c r="B28" s="406" t="s">
        <v>144</v>
      </c>
      <c r="E28" s="422">
        <f>F28+G28</f>
        <v>-7908</v>
      </c>
      <c r="F28" s="422">
        <f>-7909+1</f>
        <v>-7908</v>
      </c>
      <c r="G28" s="423">
        <f>0+F111</f>
        <v>0</v>
      </c>
      <c r="H28" s="420" t="str">
        <f>IF(E28=F28+G28," ","ERROR")</f>
        <v xml:space="preserve"> </v>
      </c>
    </row>
    <row r="29" spans="1:8" ht="12">
      <c r="A29" s="412">
        <v>17</v>
      </c>
      <c r="B29" s="406" t="s">
        <v>146</v>
      </c>
      <c r="E29" s="421">
        <f>SUM(E26:E28)</f>
        <v>-7908</v>
      </c>
      <c r="F29" s="421">
        <f>SUM(F26:F28)</f>
        <v>-7908</v>
      </c>
      <c r="G29" s="421">
        <f>SUM(G26:G28)</f>
        <v>0</v>
      </c>
      <c r="H29" s="420" t="str">
        <f>IF(E29=F29+G29," ","ERROR")</f>
        <v xml:space="preserve"> </v>
      </c>
    </row>
    <row r="30" spans="1:8" ht="12">
      <c r="A30" s="412"/>
      <c r="E30" s="421"/>
      <c r="F30" s="421"/>
      <c r="G30" s="421"/>
      <c r="H30" s="420"/>
    </row>
    <row r="31" spans="1:8" ht="12">
      <c r="A31" s="412">
        <v>18</v>
      </c>
      <c r="B31" s="406" t="s">
        <v>86</v>
      </c>
      <c r="E31" s="421"/>
      <c r="F31" s="421"/>
      <c r="G31" s="421"/>
      <c r="H31" s="420" t="str">
        <f>IF(E31=F31+G31," ","ERROR")</f>
        <v xml:space="preserve"> </v>
      </c>
    </row>
    <row r="32" spans="1:8" ht="12">
      <c r="A32" s="412">
        <v>19</v>
      </c>
      <c r="B32" s="406" t="s">
        <v>87</v>
      </c>
      <c r="E32" s="421"/>
      <c r="F32" s="421"/>
      <c r="G32" s="421"/>
      <c r="H32" s="420" t="str">
        <f>IF(E32=F32+G32," ","ERROR")</f>
        <v xml:space="preserve"> </v>
      </c>
    </row>
    <row r="33" spans="1:8" ht="12">
      <c r="A33" s="412">
        <v>20</v>
      </c>
      <c r="B33" s="406" t="s">
        <v>147</v>
      </c>
      <c r="E33" s="421"/>
      <c r="F33" s="421"/>
      <c r="G33" s="421"/>
      <c r="H33" s="420" t="str">
        <f>IF(E33=F33+G33," ","ERROR")</f>
        <v xml:space="preserve"> </v>
      </c>
    </row>
    <row r="34" spans="1:8" ht="12">
      <c r="A34" s="412"/>
      <c r="B34" s="406" t="s">
        <v>148</v>
      </c>
      <c r="E34" s="421"/>
      <c r="F34" s="421"/>
      <c r="G34" s="421"/>
      <c r="H34" s="420"/>
    </row>
    <row r="35" spans="1:8" ht="12">
      <c r="A35" s="412">
        <v>21</v>
      </c>
      <c r="B35" s="406" t="s">
        <v>142</v>
      </c>
      <c r="E35" s="753">
        <f>F35+G35</f>
        <v>0</v>
      </c>
      <c r="F35" s="421"/>
      <c r="G35" s="421"/>
      <c r="H35" s="420" t="str">
        <f>IF(E35=F35+G35," ","ERROR")</f>
        <v xml:space="preserve"> </v>
      </c>
    </row>
    <row r="36" spans="1:8" ht="12">
      <c r="A36" s="412">
        <v>22</v>
      </c>
      <c r="B36" s="406" t="s">
        <v>143</v>
      </c>
      <c r="E36" s="421"/>
      <c r="F36" s="421"/>
      <c r="G36" s="421"/>
      <c r="H36" s="420" t="str">
        <f>IF(E36=F36+G36," ","ERROR")</f>
        <v xml:space="preserve"> </v>
      </c>
    </row>
    <row r="37" spans="1:8" ht="12">
      <c r="A37" s="412">
        <v>23</v>
      </c>
      <c r="B37" s="406" t="s">
        <v>144</v>
      </c>
      <c r="E37" s="422"/>
      <c r="F37" s="422"/>
      <c r="G37" s="422"/>
      <c r="H37" s="420" t="str">
        <f>IF(E37=F37+G37," ","ERROR")</f>
        <v xml:space="preserve"> </v>
      </c>
    </row>
    <row r="38" spans="1:8" ht="12">
      <c r="A38" s="412">
        <v>24</v>
      </c>
      <c r="B38" s="406" t="s">
        <v>149</v>
      </c>
      <c r="E38" s="422">
        <f>SUM(E35:E37)</f>
        <v>0</v>
      </c>
      <c r="F38" s="422">
        <f>SUM(F35:F37)</f>
        <v>0</v>
      </c>
      <c r="G38" s="422">
        <f>SUM(G35:G37)</f>
        <v>0</v>
      </c>
      <c r="H38" s="420" t="str">
        <f>IF(E38=F38+G38," ","ERROR")</f>
        <v xml:space="preserve"> </v>
      </c>
    </row>
    <row r="39" spans="1:8" ht="12">
      <c r="A39" s="412">
        <v>25</v>
      </c>
      <c r="B39" s="406" t="s">
        <v>91</v>
      </c>
      <c r="E39" s="422">
        <f>E19+E24+E29+E31+E32+E33+E38+E14</f>
        <v>-7908</v>
      </c>
      <c r="F39" s="422">
        <f>F19+F24+F29+F31+F32+F33+F38+F14</f>
        <v>-7908</v>
      </c>
      <c r="G39" s="422">
        <f>G19+G24+G29+G31+G32+G33+G38+G14</f>
        <v>0</v>
      </c>
      <c r="H39" s="420" t="str">
        <f>IF(E39=F39+G39," ","ERROR")</f>
        <v xml:space="preserve"> </v>
      </c>
    </row>
    <row r="40" spans="1:8" ht="12">
      <c r="A40" s="412"/>
      <c r="E40" s="421"/>
      <c r="F40" s="421"/>
      <c r="G40" s="421"/>
      <c r="H40" s="420"/>
    </row>
    <row r="41" spans="1:8" ht="12">
      <c r="A41" s="412">
        <v>26</v>
      </c>
      <c r="B41" s="406" t="s">
        <v>150</v>
      </c>
      <c r="E41" s="421">
        <f>E11-E39</f>
        <v>-6</v>
      </c>
      <c r="F41" s="421">
        <f>F11-F39</f>
        <v>-6</v>
      </c>
      <c r="G41" s="421">
        <f>G11-G39</f>
        <v>0</v>
      </c>
      <c r="H41" s="420" t="str">
        <f>IF(E41=F41+G41," ","ERROR")</f>
        <v xml:space="preserve"> </v>
      </c>
    </row>
    <row r="42" spans="1:8" ht="12">
      <c r="A42" s="412"/>
      <c r="E42" s="421"/>
      <c r="F42" s="421"/>
      <c r="G42" s="421"/>
      <c r="H42" s="420"/>
    </row>
    <row r="43" spans="1:8" ht="12">
      <c r="A43" s="412"/>
      <c r="B43" s="406" t="s">
        <v>151</v>
      </c>
      <c r="E43" s="421"/>
      <c r="F43" s="421"/>
      <c r="G43" s="421"/>
      <c r="H43" s="420"/>
    </row>
    <row r="44" spans="1:8" ht="12">
      <c r="A44" s="412">
        <v>27</v>
      </c>
      <c r="B44" s="424" t="s">
        <v>152</v>
      </c>
      <c r="D44" s="425">
        <v>0.35</v>
      </c>
      <c r="E44" s="421">
        <f>F44+G44</f>
        <v>-2</v>
      </c>
      <c r="F44" s="421">
        <f>ROUND(F41*D44,0)</f>
        <v>-2</v>
      </c>
      <c r="G44" s="421">
        <f>ROUND(G41*D44,0)</f>
        <v>0</v>
      </c>
      <c r="H44" s="420" t="str">
        <f>IF(E44=F44+G44," ","ERROR")</f>
        <v xml:space="preserve"> </v>
      </c>
    </row>
    <row r="45" spans="1:8" ht="12">
      <c r="A45" s="412">
        <v>28</v>
      </c>
      <c r="B45" s="406" t="s">
        <v>154</v>
      </c>
      <c r="E45" s="421"/>
      <c r="F45" s="421"/>
      <c r="G45" s="421"/>
      <c r="H45" s="420" t="str">
        <f>IF(E45=F45+G45," ","ERROR")</f>
        <v xml:space="preserve"> </v>
      </c>
    </row>
    <row r="46" spans="1:8" ht="12">
      <c r="A46" s="412">
        <v>29</v>
      </c>
      <c r="B46" s="406" t="s">
        <v>153</v>
      </c>
      <c r="E46" s="422"/>
      <c r="F46" s="422"/>
      <c r="G46" s="422"/>
      <c r="H46" s="420" t="str">
        <f>IF(E46=F46+G46," ","ERROR")</f>
        <v xml:space="preserve"> </v>
      </c>
    </row>
    <row r="47" spans="1:8" ht="12">
      <c r="A47" s="412"/>
      <c r="H47" s="420"/>
    </row>
    <row r="48" spans="1:8" ht="12">
      <c r="A48" s="412">
        <v>30</v>
      </c>
      <c r="B48" s="428" t="s">
        <v>97</v>
      </c>
      <c r="E48" s="419">
        <f>E41-(+E44+E45+E46)</f>
        <v>-4</v>
      </c>
      <c r="F48" s="419">
        <f>F41-F44+F45+F46</f>
        <v>-4</v>
      </c>
      <c r="G48" s="419">
        <f>G41-SUM(G44:G46)</f>
        <v>0</v>
      </c>
      <c r="H48" s="420" t="str">
        <f>IF(E48=F48+G48," ","ERROR")</f>
        <v xml:space="preserve"> </v>
      </c>
    </row>
    <row r="49" spans="1:8" ht="12">
      <c r="A49" s="412"/>
      <c r="H49" s="420"/>
    </row>
    <row r="50" spans="1:8" ht="12">
      <c r="A50" s="412"/>
      <c r="B50" s="424" t="s">
        <v>155</v>
      </c>
      <c r="H50" s="420"/>
    </row>
    <row r="51" spans="1:8" ht="12">
      <c r="A51" s="412"/>
      <c r="B51" s="424" t="s">
        <v>156</v>
      </c>
      <c r="H51" s="420"/>
    </row>
    <row r="52" spans="1:8" ht="12">
      <c r="A52" s="412">
        <v>31</v>
      </c>
      <c r="B52" s="406" t="s">
        <v>157</v>
      </c>
      <c r="E52" s="419"/>
      <c r="F52" s="419"/>
      <c r="G52" s="419"/>
      <c r="H52" s="420" t="str">
        <f t="shared" ref="H52:H63" si="0">IF(E52=F52+G52," ","ERROR")</f>
        <v xml:space="preserve"> </v>
      </c>
    </row>
    <row r="53" spans="1:8" ht="12">
      <c r="A53" s="412">
        <v>32</v>
      </c>
      <c r="B53" s="406" t="s">
        <v>158</v>
      </c>
      <c r="E53" s="421"/>
      <c r="F53" s="421"/>
      <c r="G53" s="421"/>
      <c r="H53" s="420" t="str">
        <f t="shared" si="0"/>
        <v xml:space="preserve"> </v>
      </c>
    </row>
    <row r="54" spans="1:8" ht="12">
      <c r="A54" s="412">
        <v>33</v>
      </c>
      <c r="B54" s="406" t="s">
        <v>166</v>
      </c>
      <c r="E54" s="422"/>
      <c r="F54" s="422"/>
      <c r="G54" s="422"/>
      <c r="H54" s="420" t="str">
        <f t="shared" si="0"/>
        <v xml:space="preserve"> </v>
      </c>
    </row>
    <row r="55" spans="1:8" ht="12">
      <c r="A55" s="412">
        <v>34</v>
      </c>
      <c r="B55" s="406" t="s">
        <v>160</v>
      </c>
      <c r="E55" s="421">
        <f>SUM(E52:E54)</f>
        <v>0</v>
      </c>
      <c r="F55" s="421">
        <f>SUM(F52:F54)</f>
        <v>0</v>
      </c>
      <c r="G55" s="421">
        <f>SUM(G52:G54)</f>
        <v>0</v>
      </c>
      <c r="H55" s="420" t="str">
        <f t="shared" si="0"/>
        <v xml:space="preserve"> </v>
      </c>
    </row>
    <row r="56" spans="1:8" ht="12">
      <c r="A56" s="412"/>
      <c r="B56" s="406" t="s">
        <v>102</v>
      </c>
      <c r="E56" s="421"/>
      <c r="F56" s="421"/>
      <c r="G56" s="421"/>
      <c r="H56" s="420" t="str">
        <f t="shared" si="0"/>
        <v xml:space="preserve"> </v>
      </c>
    </row>
    <row r="57" spans="1:8" ht="12">
      <c r="A57" s="412">
        <v>35</v>
      </c>
      <c r="B57" s="406" t="s">
        <v>157</v>
      </c>
      <c r="E57" s="421"/>
      <c r="F57" s="421"/>
      <c r="G57" s="421"/>
      <c r="H57" s="420" t="str">
        <f t="shared" si="0"/>
        <v xml:space="preserve"> </v>
      </c>
    </row>
    <row r="58" spans="1:8" ht="12">
      <c r="A58" s="412">
        <v>36</v>
      </c>
      <c r="B58" s="406" t="s">
        <v>158</v>
      </c>
      <c r="E58" s="421"/>
      <c r="F58" s="421"/>
      <c r="G58" s="421"/>
      <c r="H58" s="420" t="str">
        <f t="shared" si="0"/>
        <v xml:space="preserve"> </v>
      </c>
    </row>
    <row r="59" spans="1:8" ht="12">
      <c r="A59" s="412">
        <v>37</v>
      </c>
      <c r="B59" s="406" t="s">
        <v>166</v>
      </c>
      <c r="E59" s="422"/>
      <c r="F59" s="422"/>
      <c r="G59" s="422"/>
      <c r="H59" s="420" t="str">
        <f t="shared" si="0"/>
        <v xml:space="preserve"> </v>
      </c>
    </row>
    <row r="60" spans="1:8" ht="12">
      <c r="A60" s="412">
        <v>38</v>
      </c>
      <c r="B60" s="406" t="s">
        <v>161</v>
      </c>
      <c r="E60" s="421">
        <f>SUM(E57:E59)</f>
        <v>0</v>
      </c>
      <c r="F60" s="421">
        <f>SUM(F57:F59)</f>
        <v>0</v>
      </c>
      <c r="G60" s="421">
        <f>SUM(G57:G59)</f>
        <v>0</v>
      </c>
      <c r="H60" s="420" t="str">
        <f t="shared" si="0"/>
        <v xml:space="preserve"> </v>
      </c>
    </row>
    <row r="61" spans="1:8" ht="12">
      <c r="A61" s="412">
        <v>39</v>
      </c>
      <c r="B61" s="424" t="s">
        <v>162</v>
      </c>
      <c r="E61" s="421"/>
      <c r="F61" s="421"/>
      <c r="G61" s="421"/>
      <c r="H61" s="420" t="str">
        <f t="shared" si="0"/>
        <v xml:space="preserve"> </v>
      </c>
    </row>
    <row r="62" spans="1:8" ht="12">
      <c r="A62" s="412">
        <v>40</v>
      </c>
      <c r="B62" s="406" t="s">
        <v>105</v>
      </c>
      <c r="E62" s="421"/>
      <c r="F62" s="421"/>
      <c r="G62" s="421"/>
      <c r="H62" s="420" t="str">
        <f t="shared" si="0"/>
        <v xml:space="preserve"> </v>
      </c>
    </row>
    <row r="63" spans="1:8" ht="12">
      <c r="A63" s="412">
        <v>41</v>
      </c>
      <c r="B63" s="424" t="s">
        <v>106</v>
      </c>
      <c r="E63" s="422"/>
      <c r="F63" s="422"/>
      <c r="G63" s="422"/>
      <c r="H63" s="420" t="str">
        <f t="shared" si="0"/>
        <v xml:space="preserve"> </v>
      </c>
    </row>
    <row r="64" spans="1:8" ht="12">
      <c r="A64" s="412"/>
      <c r="B64" s="406" t="s">
        <v>163</v>
      </c>
      <c r="H64" s="420"/>
    </row>
    <row r="65" spans="1:8" ht="12.75" thickBot="1">
      <c r="A65" s="412">
        <v>42</v>
      </c>
      <c r="B65" s="428" t="s">
        <v>107</v>
      </c>
      <c r="E65" s="429">
        <f>E55-E60+E61+E62+E63</f>
        <v>0</v>
      </c>
      <c r="F65" s="429">
        <f>F55-F60+F61+F62+F63</f>
        <v>0</v>
      </c>
      <c r="G65" s="429">
        <f>G55-G60+G61+G62+G63</f>
        <v>0</v>
      </c>
      <c r="H65" s="420" t="str">
        <f>IF(E65=F65+G65," ","ERROR")</f>
        <v xml:space="preserve"> </v>
      </c>
    </row>
    <row r="66" spans="1:8" ht="12.75" thickTop="1">
      <c r="A66" s="405" t="str">
        <f>Inputs!$D$6</f>
        <v>AVISTA UTILITIES</v>
      </c>
      <c r="B66" s="405"/>
      <c r="C66" s="405"/>
      <c r="G66" s="406"/>
    </row>
    <row r="67" spans="1:8" ht="12">
      <c r="A67" s="405" t="s">
        <v>169</v>
      </c>
      <c r="B67" s="405"/>
      <c r="C67" s="405"/>
      <c r="G67" s="406"/>
    </row>
    <row r="68" spans="1:8" ht="12">
      <c r="A68" s="405" t="str">
        <f>A3</f>
        <v>TWELVE MONTHS ENDED SEPTEMBER 30, 2008</v>
      </c>
      <c r="B68" s="405"/>
      <c r="C68" s="405"/>
      <c r="F68" s="409" t="str">
        <f>F2</f>
        <v>ELIMINATE</v>
      </c>
      <c r="G68" s="406"/>
    </row>
    <row r="69" spans="1:8" ht="12">
      <c r="A69" s="405" t="s">
        <v>170</v>
      </c>
      <c r="B69" s="405"/>
      <c r="C69" s="405"/>
      <c r="F69" s="409" t="str">
        <f>F3</f>
        <v>B &amp; O TAXES</v>
      </c>
      <c r="G69" s="406"/>
    </row>
    <row r="70" spans="1:8" ht="12">
      <c r="E70" s="430"/>
      <c r="F70" s="416" t="str">
        <f>F4</f>
        <v>GAS</v>
      </c>
      <c r="G70" s="431"/>
    </row>
    <row r="71" spans="1:8" ht="12">
      <c r="A71" s="412" t="s">
        <v>10</v>
      </c>
      <c r="F71" s="409"/>
    </row>
    <row r="72" spans="1:8" ht="12">
      <c r="A72" s="432" t="s">
        <v>27</v>
      </c>
      <c r="B72" s="414" t="s">
        <v>113</v>
      </c>
      <c r="C72" s="414"/>
      <c r="F72" s="416" t="s">
        <v>132</v>
      </c>
    </row>
    <row r="73" spans="1:8" ht="12">
      <c r="A73" s="412"/>
      <c r="B73" s="406" t="s">
        <v>68</v>
      </c>
      <c r="E73" s="406"/>
      <c r="G73" s="406"/>
    </row>
    <row r="74" spans="1:8" ht="12">
      <c r="A74" s="412">
        <v>1</v>
      </c>
      <c r="B74" s="406" t="s">
        <v>134</v>
      </c>
      <c r="E74" s="406"/>
      <c r="F74" s="419">
        <f>G8</f>
        <v>0</v>
      </c>
      <c r="G74" s="406"/>
    </row>
    <row r="75" spans="1:8" ht="12">
      <c r="A75" s="412">
        <v>2</v>
      </c>
      <c r="B75" s="406" t="s">
        <v>135</v>
      </c>
      <c r="E75" s="406"/>
      <c r="F75" s="421">
        <f>G9</f>
        <v>0</v>
      </c>
      <c r="G75" s="406"/>
    </row>
    <row r="76" spans="1:8" ht="12">
      <c r="A76" s="412">
        <v>3</v>
      </c>
      <c r="B76" s="406" t="s">
        <v>71</v>
      </c>
      <c r="E76" s="406"/>
      <c r="F76" s="422">
        <f>G10</f>
        <v>0</v>
      </c>
      <c r="G76" s="406"/>
    </row>
    <row r="77" spans="1:8" ht="12">
      <c r="A77" s="412"/>
      <c r="E77" s="406"/>
      <c r="F77" s="421"/>
      <c r="G77" s="406"/>
    </row>
    <row r="78" spans="1:8" ht="12">
      <c r="A78" s="412">
        <v>4</v>
      </c>
      <c r="B78" s="406" t="s">
        <v>136</v>
      </c>
      <c r="E78" s="406"/>
      <c r="F78" s="421">
        <f>F74+F75+F76</f>
        <v>0</v>
      </c>
      <c r="G78" s="406"/>
    </row>
    <row r="79" spans="1:8" ht="12">
      <c r="A79" s="412"/>
      <c r="E79" s="406"/>
      <c r="F79" s="421"/>
      <c r="G79" s="406"/>
    </row>
    <row r="80" spans="1:8" ht="12">
      <c r="A80" s="412"/>
      <c r="B80" s="406" t="s">
        <v>73</v>
      </c>
      <c r="E80" s="406"/>
      <c r="F80" s="421"/>
      <c r="G80" s="406"/>
    </row>
    <row r="81" spans="1:7" ht="12">
      <c r="A81" s="412">
        <v>5</v>
      </c>
      <c r="B81" s="406" t="s">
        <v>137</v>
      </c>
      <c r="E81" s="406"/>
      <c r="F81" s="421">
        <f>G14</f>
        <v>0</v>
      </c>
      <c r="G81" s="406"/>
    </row>
    <row r="82" spans="1:7" ht="12">
      <c r="A82" s="412"/>
      <c r="B82" s="406" t="s">
        <v>75</v>
      </c>
      <c r="E82" s="406"/>
      <c r="F82" s="421"/>
      <c r="G82" s="406"/>
    </row>
    <row r="83" spans="1:7" ht="12">
      <c r="A83" s="412">
        <v>6</v>
      </c>
      <c r="B83" s="406" t="s">
        <v>138</v>
      </c>
      <c r="E83" s="406"/>
      <c r="F83" s="421">
        <f>G16</f>
        <v>0</v>
      </c>
      <c r="G83" s="406"/>
    </row>
    <row r="84" spans="1:7" ht="12">
      <c r="A84" s="412">
        <v>7</v>
      </c>
      <c r="B84" s="406" t="s">
        <v>139</v>
      </c>
      <c r="E84" s="406"/>
      <c r="F84" s="421">
        <f>G17</f>
        <v>0</v>
      </c>
      <c r="G84" s="406"/>
    </row>
    <row r="85" spans="1:7" ht="12">
      <c r="A85" s="412">
        <v>8</v>
      </c>
      <c r="B85" s="406" t="s">
        <v>140</v>
      </c>
      <c r="E85" s="406"/>
      <c r="F85" s="422">
        <f>G18</f>
        <v>0</v>
      </c>
      <c r="G85" s="406"/>
    </row>
    <row r="86" spans="1:7" ht="12">
      <c r="A86" s="412">
        <v>9</v>
      </c>
      <c r="B86" s="406" t="s">
        <v>141</v>
      </c>
      <c r="E86" s="406"/>
      <c r="F86" s="421">
        <f>F83+F84+F85</f>
        <v>0</v>
      </c>
      <c r="G86" s="406"/>
    </row>
    <row r="87" spans="1:7" ht="12">
      <c r="A87" s="412"/>
      <c r="B87" s="406" t="s">
        <v>80</v>
      </c>
      <c r="E87" s="406"/>
      <c r="F87" s="421"/>
      <c r="G87" s="406"/>
    </row>
    <row r="88" spans="1:7" ht="12">
      <c r="A88" s="412">
        <v>10</v>
      </c>
      <c r="B88" s="406" t="s">
        <v>142</v>
      </c>
      <c r="E88" s="406"/>
      <c r="F88" s="421">
        <f>G21</f>
        <v>0</v>
      </c>
      <c r="G88" s="406"/>
    </row>
    <row r="89" spans="1:7" ht="12">
      <c r="A89" s="412">
        <v>11</v>
      </c>
      <c r="B89" s="406" t="s">
        <v>143</v>
      </c>
      <c r="E89" s="406"/>
      <c r="F89" s="421">
        <f>G22</f>
        <v>0</v>
      </c>
      <c r="G89" s="406"/>
    </row>
    <row r="90" spans="1:7" ht="12">
      <c r="A90" s="412">
        <v>12</v>
      </c>
      <c r="B90" s="406" t="s">
        <v>144</v>
      </c>
      <c r="E90" s="406"/>
      <c r="F90" s="422">
        <f>G23</f>
        <v>0</v>
      </c>
      <c r="G90" s="406"/>
    </row>
    <row r="91" spans="1:7" ht="12">
      <c r="A91" s="412">
        <v>13</v>
      </c>
      <c r="B91" s="406" t="s">
        <v>145</v>
      </c>
      <c r="E91" s="406"/>
      <c r="F91" s="421">
        <f>F88+F89+F90</f>
        <v>0</v>
      </c>
      <c r="G91" s="406"/>
    </row>
    <row r="92" spans="1:7" ht="12">
      <c r="A92" s="412"/>
      <c r="B92" s="406" t="s">
        <v>84</v>
      </c>
      <c r="E92" s="406"/>
      <c r="F92" s="421"/>
      <c r="G92" s="406"/>
    </row>
    <row r="93" spans="1:7" ht="12">
      <c r="A93" s="412">
        <v>14</v>
      </c>
      <c r="B93" s="406" t="s">
        <v>142</v>
      </c>
      <c r="E93" s="406"/>
      <c r="F93" s="421">
        <f>G26</f>
        <v>0</v>
      </c>
      <c r="G93" s="406"/>
    </row>
    <row r="94" spans="1:7" ht="12">
      <c r="A94" s="412">
        <v>15</v>
      </c>
      <c r="B94" s="406" t="s">
        <v>143</v>
      </c>
      <c r="E94" s="406"/>
      <c r="F94" s="421">
        <f>G27</f>
        <v>0</v>
      </c>
      <c r="G94" s="406"/>
    </row>
    <row r="95" spans="1:7" ht="12">
      <c r="A95" s="412">
        <v>16</v>
      </c>
      <c r="B95" s="406" t="s">
        <v>144</v>
      </c>
      <c r="E95" s="406"/>
      <c r="F95" s="423">
        <v>0</v>
      </c>
      <c r="G95" s="406"/>
    </row>
    <row r="96" spans="1:7" ht="12">
      <c r="A96" s="412">
        <v>17</v>
      </c>
      <c r="B96" s="406" t="s">
        <v>146</v>
      </c>
      <c r="E96" s="406"/>
      <c r="F96" s="421">
        <f>F93+F94+F95</f>
        <v>0</v>
      </c>
      <c r="G96" s="406"/>
    </row>
    <row r="97" spans="1:7" ht="12">
      <c r="A97" s="412">
        <v>18</v>
      </c>
      <c r="B97" s="406" t="s">
        <v>86</v>
      </c>
      <c r="E97" s="406"/>
      <c r="F97" s="421">
        <f>G31</f>
        <v>0</v>
      </c>
      <c r="G97" s="406"/>
    </row>
    <row r="98" spans="1:7" ht="12">
      <c r="A98" s="412">
        <v>19</v>
      </c>
      <c r="B98" s="406" t="s">
        <v>87</v>
      </c>
      <c r="E98" s="406"/>
      <c r="F98" s="421">
        <f>G32</f>
        <v>0</v>
      </c>
      <c r="G98" s="406"/>
    </row>
    <row r="99" spans="1:7" ht="12">
      <c r="A99" s="412">
        <v>20</v>
      </c>
      <c r="B99" s="406" t="s">
        <v>147</v>
      </c>
      <c r="E99" s="406"/>
      <c r="F99" s="421">
        <f>G33</f>
        <v>0</v>
      </c>
      <c r="G99" s="406"/>
    </row>
    <row r="100" spans="1:7" ht="12">
      <c r="A100" s="412"/>
      <c r="B100" s="406" t="s">
        <v>148</v>
      </c>
      <c r="E100" s="406"/>
      <c r="F100" s="421"/>
      <c r="G100" s="406"/>
    </row>
    <row r="101" spans="1:7" ht="12">
      <c r="A101" s="412">
        <v>21</v>
      </c>
      <c r="B101" s="406" t="s">
        <v>142</v>
      </c>
      <c r="E101" s="406"/>
      <c r="F101" s="421">
        <f>G35</f>
        <v>0</v>
      </c>
      <c r="G101" s="406"/>
    </row>
    <row r="102" spans="1:7" ht="12">
      <c r="A102" s="412">
        <v>22</v>
      </c>
      <c r="B102" s="406" t="s">
        <v>143</v>
      </c>
      <c r="E102" s="406"/>
      <c r="F102" s="421">
        <f>G36</f>
        <v>0</v>
      </c>
      <c r="G102" s="406"/>
    </row>
    <row r="103" spans="1:7" ht="12">
      <c r="A103" s="412">
        <v>23</v>
      </c>
      <c r="B103" s="406" t="s">
        <v>144</v>
      </c>
      <c r="E103" s="406"/>
      <c r="F103" s="422">
        <f>G37</f>
        <v>0</v>
      </c>
      <c r="G103" s="406"/>
    </row>
    <row r="104" spans="1:7" ht="12">
      <c r="A104" s="412">
        <v>24</v>
      </c>
      <c r="B104" s="406" t="s">
        <v>149</v>
      </c>
      <c r="E104" s="406"/>
      <c r="F104" s="422">
        <f>F101+F102+F103</f>
        <v>0</v>
      </c>
      <c r="G104" s="406"/>
    </row>
    <row r="105" spans="1:7" ht="12">
      <c r="A105" s="412"/>
      <c r="E105" s="406"/>
      <c r="F105" s="421"/>
      <c r="G105" s="406"/>
    </row>
    <row r="106" spans="1:7" ht="12">
      <c r="A106" s="412">
        <v>25</v>
      </c>
      <c r="B106" s="406" t="s">
        <v>91</v>
      </c>
      <c r="E106" s="406"/>
      <c r="F106" s="422">
        <f>F104+F99+F98+F97+F96+F91+F86+F81</f>
        <v>0</v>
      </c>
      <c r="G106" s="406"/>
    </row>
    <row r="107" spans="1:7" ht="12">
      <c r="A107" s="412"/>
      <c r="E107" s="406"/>
      <c r="F107" s="421"/>
      <c r="G107" s="406"/>
    </row>
    <row r="108" spans="1:7" ht="12">
      <c r="A108" s="412">
        <v>26</v>
      </c>
      <c r="B108" s="406" t="s">
        <v>171</v>
      </c>
      <c r="E108" s="406"/>
      <c r="F108" s="422">
        <f>F78-F106</f>
        <v>0</v>
      </c>
      <c r="G108" s="406"/>
    </row>
    <row r="109" spans="1:7" ht="12">
      <c r="A109" s="412"/>
      <c r="E109" s="406"/>
      <c r="G109" s="406"/>
    </row>
    <row r="110" spans="1:7" ht="12">
      <c r="A110" s="412">
        <v>27</v>
      </c>
      <c r="B110" s="406" t="s">
        <v>172</v>
      </c>
      <c r="G110" s="406"/>
    </row>
    <row r="111" spans="1:7" ht="12.75" thickBot="1">
      <c r="A111" s="412"/>
      <c r="B111" s="433" t="s">
        <v>173</v>
      </c>
      <c r="C111" s="434">
        <f>Inputs!$D$4</f>
        <v>1.1416000000000001E-2</v>
      </c>
      <c r="F111" s="429">
        <f>ROUND(F108*C111,0)</f>
        <v>0</v>
      </c>
      <c r="G111" s="406"/>
    </row>
    <row r="112" spans="1:7" ht="12.75" thickTop="1">
      <c r="A112" s="412"/>
      <c r="G112" s="406"/>
    </row>
  </sheetData>
  <customSheetViews>
    <customSheetView guid="{5BE913A1-B14F-11D2-B0DC-0000832CDFF0}" scale="75" showPageBreaks="1" printArea="1" showRuler="0" topLeftCell="A42">
      <selection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42">
      <selection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7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112"/>
  <sheetViews>
    <sheetView topLeftCell="B1" workbookViewId="0">
      <selection activeCell="I31" sqref="I31:I32"/>
    </sheetView>
  </sheetViews>
  <sheetFormatPr defaultColWidth="12.42578125" defaultRowHeight="11.1" customHeight="1"/>
  <cols>
    <col min="1" max="1" width="5.5703125" style="436" customWidth="1"/>
    <col min="2" max="2" width="26.140625" style="436" customWidth="1"/>
    <col min="3" max="3" width="12.42578125" style="436" customWidth="1"/>
    <col min="4" max="4" width="6.7109375" style="436" customWidth="1"/>
    <col min="5" max="5" width="12.42578125" style="455" customWidth="1"/>
    <col min="6" max="6" width="12.42578125" style="456" customWidth="1"/>
    <col min="7" max="7" width="12.42578125" style="455" customWidth="1"/>
    <col min="8" max="16384" width="12.42578125" style="436"/>
  </cols>
  <sheetData>
    <row r="1" spans="1:8" ht="12">
      <c r="A1" s="435" t="str">
        <f>Inputs!$D$6</f>
        <v>AVISTA UTILITIES</v>
      </c>
      <c r="B1" s="435"/>
      <c r="C1" s="435"/>
      <c r="E1" s="437"/>
      <c r="F1" s="438"/>
      <c r="G1" s="437"/>
    </row>
    <row r="2" spans="1:8" ht="12">
      <c r="A2" s="435" t="s">
        <v>125</v>
      </c>
      <c r="B2" s="435"/>
      <c r="C2" s="435"/>
      <c r="E2" s="437"/>
      <c r="F2" s="439" t="s">
        <v>180</v>
      </c>
      <c r="G2" s="437"/>
    </row>
    <row r="3" spans="1:8" ht="12">
      <c r="A3" s="435" t="str">
        <f>Inputs!$D$2</f>
        <v>TWELVE MONTHS ENDED SEPTEMBER 30, 2008</v>
      </c>
      <c r="B3" s="435"/>
      <c r="C3" s="435"/>
      <c r="E3" s="437"/>
      <c r="F3" s="439" t="s">
        <v>174</v>
      </c>
      <c r="G3" s="436"/>
    </row>
    <row r="4" spans="1:8" ht="12">
      <c r="A4" s="435" t="s">
        <v>128</v>
      </c>
      <c r="B4" s="435"/>
      <c r="C4" s="435"/>
      <c r="E4" s="440"/>
      <c r="F4" s="441" t="s">
        <v>129</v>
      </c>
      <c r="G4" s="440"/>
    </row>
    <row r="5" spans="1:8" ht="12">
      <c r="A5" s="442" t="s">
        <v>10</v>
      </c>
      <c r="E5" s="437"/>
      <c r="F5" s="439"/>
      <c r="G5" s="437"/>
    </row>
    <row r="6" spans="1:8" ht="12">
      <c r="A6" s="443" t="s">
        <v>27</v>
      </c>
      <c r="B6" s="444" t="s">
        <v>113</v>
      </c>
      <c r="C6" s="444"/>
      <c r="E6" s="445" t="s">
        <v>130</v>
      </c>
      <c r="F6" s="446" t="s">
        <v>131</v>
      </c>
      <c r="G6" s="445" t="s">
        <v>132</v>
      </c>
      <c r="H6" s="447" t="s">
        <v>133</v>
      </c>
    </row>
    <row r="7" spans="1:8" ht="12">
      <c r="A7" s="442"/>
      <c r="B7" s="436" t="s">
        <v>68</v>
      </c>
      <c r="E7" s="448"/>
      <c r="F7" s="439"/>
      <c r="G7" s="448"/>
    </row>
    <row r="8" spans="1:8" ht="12">
      <c r="A8" s="442">
        <v>1</v>
      </c>
      <c r="B8" s="436" t="s">
        <v>134</v>
      </c>
      <c r="E8" s="449"/>
      <c r="F8" s="449"/>
      <c r="G8" s="449"/>
      <c r="H8" s="450" t="str">
        <f>IF(E8=F8+G8," ","ERROR")</f>
        <v xml:space="preserve"> </v>
      </c>
    </row>
    <row r="9" spans="1:8" ht="12">
      <c r="A9" s="442">
        <v>2</v>
      </c>
      <c r="B9" s="436" t="s">
        <v>135</v>
      </c>
      <c r="E9" s="451"/>
      <c r="F9" s="451"/>
      <c r="G9" s="451"/>
      <c r="H9" s="450" t="str">
        <f>IF(E9=F9+G9," ","ERROR")</f>
        <v xml:space="preserve"> </v>
      </c>
    </row>
    <row r="10" spans="1:8" ht="12">
      <c r="A10" s="442">
        <v>3</v>
      </c>
      <c r="B10" s="436" t="s">
        <v>71</v>
      </c>
      <c r="E10" s="452"/>
      <c r="F10" s="452"/>
      <c r="G10" s="452"/>
      <c r="H10" s="450" t="str">
        <f>IF(E10=F10+G10," ","ERROR")</f>
        <v xml:space="preserve"> </v>
      </c>
    </row>
    <row r="11" spans="1:8" ht="12">
      <c r="A11" s="442">
        <v>4</v>
      </c>
      <c r="B11" s="436" t="s">
        <v>136</v>
      </c>
      <c r="E11" s="451">
        <f>SUM(E8:E10)</f>
        <v>0</v>
      </c>
      <c r="F11" s="451">
        <f>SUM(F8:F10)</f>
        <v>0</v>
      </c>
      <c r="G11" s="451">
        <f>SUM(G8:G10)</f>
        <v>0</v>
      </c>
      <c r="H11" s="450" t="str">
        <f>IF(E11=F11+G11," ","ERROR")</f>
        <v xml:space="preserve"> </v>
      </c>
    </row>
    <row r="12" spans="1:8" ht="12">
      <c r="A12" s="442"/>
      <c r="E12" s="451"/>
      <c r="F12" s="451"/>
      <c r="G12" s="451"/>
      <c r="H12" s="450"/>
    </row>
    <row r="13" spans="1:8" ht="12">
      <c r="A13" s="442"/>
      <c r="B13" s="436" t="s">
        <v>73</v>
      </c>
      <c r="E13" s="451"/>
      <c r="F13" s="451"/>
      <c r="G13" s="451"/>
      <c r="H13" s="450"/>
    </row>
    <row r="14" spans="1:8" ht="12">
      <c r="A14" s="442">
        <v>5</v>
      </c>
      <c r="B14" s="436" t="s">
        <v>137</v>
      </c>
      <c r="E14" s="451"/>
      <c r="F14" s="451"/>
      <c r="G14" s="451"/>
      <c r="H14" s="450" t="str">
        <f>IF(E14=F14+G14," ","ERROR")</f>
        <v xml:space="preserve"> </v>
      </c>
    </row>
    <row r="15" spans="1:8" ht="12">
      <c r="A15" s="442"/>
      <c r="B15" s="436" t="s">
        <v>75</v>
      </c>
      <c r="E15" s="451"/>
      <c r="F15" s="451"/>
      <c r="G15" s="451"/>
      <c r="H15" s="450"/>
    </row>
    <row r="16" spans="1:8" ht="12">
      <c r="A16" s="442">
        <v>6</v>
      </c>
      <c r="B16" s="436" t="s">
        <v>138</v>
      </c>
      <c r="E16" s="451"/>
      <c r="F16" s="451"/>
      <c r="G16" s="451"/>
      <c r="H16" s="450" t="str">
        <f>IF(E16=F16+G16," ","ERROR")</f>
        <v xml:space="preserve"> </v>
      </c>
    </row>
    <row r="17" spans="1:8" ht="12">
      <c r="A17" s="442">
        <v>7</v>
      </c>
      <c r="B17" s="436" t="s">
        <v>139</v>
      </c>
      <c r="E17" s="451"/>
      <c r="F17" s="451"/>
      <c r="G17" s="451"/>
      <c r="H17" s="450" t="str">
        <f>IF(E17=F17+G17," ","ERROR")</f>
        <v xml:space="preserve"> </v>
      </c>
    </row>
    <row r="18" spans="1:8" ht="12">
      <c r="A18" s="442">
        <v>8</v>
      </c>
      <c r="B18" s="436" t="s">
        <v>140</v>
      </c>
      <c r="E18" s="452"/>
      <c r="F18" s="452"/>
      <c r="G18" s="452"/>
      <c r="H18" s="450" t="str">
        <f>IF(E18=F18+G18," ","ERROR")</f>
        <v xml:space="preserve"> </v>
      </c>
    </row>
    <row r="19" spans="1:8" ht="12">
      <c r="A19" s="442">
        <v>9</v>
      </c>
      <c r="B19" s="436" t="s">
        <v>141</v>
      </c>
      <c r="E19" s="451">
        <f>SUM(E16:E18)</f>
        <v>0</v>
      </c>
      <c r="F19" s="451">
        <f>SUM(F16:F18)</f>
        <v>0</v>
      </c>
      <c r="G19" s="451">
        <f>SUM(G16:G18)</f>
        <v>0</v>
      </c>
      <c r="H19" s="450" t="str">
        <f>IF(E19=F19+G19," ","ERROR")</f>
        <v xml:space="preserve"> </v>
      </c>
    </row>
    <row r="20" spans="1:8" ht="12">
      <c r="A20" s="442"/>
      <c r="B20" s="436" t="s">
        <v>80</v>
      </c>
      <c r="E20" s="451"/>
      <c r="F20" s="451"/>
      <c r="G20" s="451"/>
      <c r="H20" s="450"/>
    </row>
    <row r="21" spans="1:8" ht="12">
      <c r="A21" s="442">
        <v>10</v>
      </c>
      <c r="B21" s="436" t="s">
        <v>142</v>
      </c>
      <c r="E21" s="451"/>
      <c r="F21" s="451"/>
      <c r="G21" s="451"/>
      <c r="H21" s="450" t="str">
        <f>IF(E21=F21+G21," ","ERROR")</f>
        <v xml:space="preserve"> </v>
      </c>
    </row>
    <row r="22" spans="1:8" ht="12">
      <c r="A22" s="442">
        <v>11</v>
      </c>
      <c r="B22" s="436" t="s">
        <v>143</v>
      </c>
      <c r="E22" s="451"/>
      <c r="F22" s="451"/>
      <c r="G22" s="451"/>
      <c r="H22" s="450" t="str">
        <f>IF(E22=F22+G22," ","ERROR")</f>
        <v xml:space="preserve"> </v>
      </c>
    </row>
    <row r="23" spans="1:8" ht="12">
      <c r="A23" s="442">
        <v>12</v>
      </c>
      <c r="B23" s="436" t="s">
        <v>144</v>
      </c>
      <c r="E23" s="452">
        <f>F23+G23</f>
        <v>-16</v>
      </c>
      <c r="F23" s="452">
        <v>-16</v>
      </c>
      <c r="G23" s="452">
        <v>0</v>
      </c>
      <c r="H23" s="450" t="str">
        <f>IF(E23=F23+G23," ","ERROR")</f>
        <v xml:space="preserve"> </v>
      </c>
    </row>
    <row r="24" spans="1:8" ht="12">
      <c r="A24" s="442">
        <v>13</v>
      </c>
      <c r="B24" s="436" t="s">
        <v>145</v>
      </c>
      <c r="E24" s="451">
        <f>SUM(E21:E23)</f>
        <v>-16</v>
      </c>
      <c r="F24" s="451">
        <f>SUM(F21:F23)</f>
        <v>-16</v>
      </c>
      <c r="G24" s="451">
        <f>SUM(G21:G23)</f>
        <v>0</v>
      </c>
      <c r="H24" s="450" t="str">
        <f>IF(E24=F24+G24," ","ERROR")</f>
        <v xml:space="preserve"> </v>
      </c>
    </row>
    <row r="25" spans="1:8" ht="12">
      <c r="A25" s="442"/>
      <c r="B25" s="436" t="s">
        <v>84</v>
      </c>
      <c r="E25" s="451"/>
      <c r="F25" s="451"/>
      <c r="G25" s="451"/>
      <c r="H25" s="450"/>
    </row>
    <row r="26" spans="1:8" ht="12">
      <c r="A26" s="442">
        <v>14</v>
      </c>
      <c r="B26" s="436" t="s">
        <v>142</v>
      </c>
      <c r="E26" s="451"/>
      <c r="F26" s="451"/>
      <c r="G26" s="451"/>
      <c r="H26" s="450" t="str">
        <f>IF(E26=F26+G26," ","ERROR")</f>
        <v xml:space="preserve"> </v>
      </c>
    </row>
    <row r="27" spans="1:8" ht="12">
      <c r="A27" s="442">
        <v>15</v>
      </c>
      <c r="B27" s="436" t="s">
        <v>143</v>
      </c>
      <c r="E27" s="451"/>
      <c r="F27" s="451"/>
      <c r="G27" s="451"/>
      <c r="H27" s="450" t="str">
        <f>IF(E27=F27+G27," ","ERROR")</f>
        <v xml:space="preserve"> </v>
      </c>
    </row>
    <row r="28" spans="1:8" ht="12">
      <c r="A28" s="442">
        <v>16</v>
      </c>
      <c r="B28" s="436" t="s">
        <v>144</v>
      </c>
      <c r="E28" s="452">
        <f>F28+G28</f>
        <v>-280</v>
      </c>
      <c r="F28" s="452">
        <v>-280</v>
      </c>
      <c r="G28" s="452">
        <v>0</v>
      </c>
      <c r="H28" s="450" t="str">
        <f>IF(E28=F28+G28," ","ERROR")</f>
        <v xml:space="preserve"> </v>
      </c>
    </row>
    <row r="29" spans="1:8" ht="12">
      <c r="A29" s="442">
        <v>17</v>
      </c>
      <c r="B29" s="436" t="s">
        <v>146</v>
      </c>
      <c r="E29" s="451">
        <f>SUM(E26:E28)</f>
        <v>-280</v>
      </c>
      <c r="F29" s="451">
        <f>SUM(F26:F28)</f>
        <v>-280</v>
      </c>
      <c r="G29" s="451">
        <f>SUM(G26:G28)</f>
        <v>0</v>
      </c>
      <c r="H29" s="450" t="str">
        <f>IF(E29=F29+G29," ","ERROR")</f>
        <v xml:space="preserve"> </v>
      </c>
    </row>
    <row r="30" spans="1:8" ht="12">
      <c r="A30" s="442"/>
      <c r="E30" s="451"/>
      <c r="F30" s="451"/>
      <c r="G30" s="451"/>
      <c r="H30" s="450"/>
    </row>
    <row r="31" spans="1:8" ht="12">
      <c r="A31" s="442">
        <v>18</v>
      </c>
      <c r="B31" s="436" t="s">
        <v>86</v>
      </c>
      <c r="E31" s="451"/>
      <c r="F31" s="451"/>
      <c r="G31" s="451"/>
      <c r="H31" s="450" t="str">
        <f>IF(E31=F31+G31," ","ERROR")</f>
        <v xml:space="preserve"> </v>
      </c>
    </row>
    <row r="32" spans="1:8" ht="12">
      <c r="A32" s="442">
        <v>19</v>
      </c>
      <c r="B32" s="436" t="s">
        <v>87</v>
      </c>
      <c r="E32" s="451"/>
      <c r="F32" s="451"/>
      <c r="G32" s="451"/>
      <c r="H32" s="450" t="str">
        <f>IF(E32=F32+G32," ","ERROR")</f>
        <v xml:space="preserve"> </v>
      </c>
    </row>
    <row r="33" spans="1:8" ht="12">
      <c r="A33" s="442">
        <v>20</v>
      </c>
      <c r="B33" s="436" t="s">
        <v>147</v>
      </c>
      <c r="E33" s="451"/>
      <c r="F33" s="451"/>
      <c r="G33" s="451"/>
      <c r="H33" s="450" t="str">
        <f>IF(E33=F33+G33," ","ERROR")</f>
        <v xml:space="preserve"> </v>
      </c>
    </row>
    <row r="34" spans="1:8" ht="12">
      <c r="A34" s="442"/>
      <c r="B34" s="436" t="s">
        <v>148</v>
      </c>
      <c r="E34" s="451"/>
      <c r="F34" s="451"/>
      <c r="G34" s="451"/>
      <c r="H34" s="450"/>
    </row>
    <row r="35" spans="1:8" ht="12">
      <c r="A35" s="442">
        <v>21</v>
      </c>
      <c r="B35" s="436" t="s">
        <v>142</v>
      </c>
      <c r="E35" s="451"/>
      <c r="F35" s="451"/>
      <c r="G35" s="451"/>
      <c r="H35" s="450" t="str">
        <f>IF(E35=F35+G35," ","ERROR")</f>
        <v xml:space="preserve"> </v>
      </c>
    </row>
    <row r="36" spans="1:8" ht="12">
      <c r="A36" s="442">
        <v>22</v>
      </c>
      <c r="B36" s="436" t="s">
        <v>143</v>
      </c>
      <c r="E36" s="451"/>
      <c r="F36" s="451"/>
      <c r="G36" s="451"/>
      <c r="H36" s="450" t="str">
        <f>IF(E36=F36+G36," ","ERROR")</f>
        <v xml:space="preserve"> </v>
      </c>
    </row>
    <row r="37" spans="1:8" ht="12">
      <c r="A37" s="442">
        <v>23</v>
      </c>
      <c r="B37" s="436" t="s">
        <v>144</v>
      </c>
      <c r="E37" s="452">
        <f>F37+G37</f>
        <v>-1</v>
      </c>
      <c r="F37" s="452">
        <v>-1</v>
      </c>
      <c r="G37" s="452">
        <v>0</v>
      </c>
      <c r="H37" s="450" t="str">
        <f>IF(E37=F37+G37," ","ERROR")</f>
        <v xml:space="preserve"> </v>
      </c>
    </row>
    <row r="38" spans="1:8" ht="12">
      <c r="A38" s="442">
        <v>24</v>
      </c>
      <c r="B38" s="436" t="s">
        <v>149</v>
      </c>
      <c r="E38" s="452">
        <f>SUM(E35:E37)</f>
        <v>-1</v>
      </c>
      <c r="F38" s="452">
        <f>SUM(F35:F37)</f>
        <v>-1</v>
      </c>
      <c r="G38" s="452">
        <f>SUM(G35:G37)</f>
        <v>0</v>
      </c>
      <c r="H38" s="450" t="str">
        <f>IF(E38=F38+G38," ","ERROR")</f>
        <v xml:space="preserve"> </v>
      </c>
    </row>
    <row r="39" spans="1:8" ht="12">
      <c r="A39" s="442">
        <v>25</v>
      </c>
      <c r="B39" s="436" t="s">
        <v>91</v>
      </c>
      <c r="E39" s="452">
        <f>E19+E24+E29+E31+E32+E33+E38+E14</f>
        <v>-297</v>
      </c>
      <c r="F39" s="452">
        <f>F19+F24+F29+F31+F32+F33+F38+F14</f>
        <v>-297</v>
      </c>
      <c r="G39" s="452">
        <f>G19+G24+G29+G31+G32+G33+G38+G14</f>
        <v>0</v>
      </c>
      <c r="H39" s="450" t="str">
        <f>IF(E39=F39+G39," ","ERROR")</f>
        <v xml:space="preserve"> </v>
      </c>
    </row>
    <row r="40" spans="1:8" ht="12">
      <c r="A40" s="442"/>
      <c r="E40" s="451"/>
      <c r="F40" s="451"/>
      <c r="G40" s="451"/>
      <c r="H40" s="450"/>
    </row>
    <row r="41" spans="1:8" ht="12">
      <c r="A41" s="442">
        <v>26</v>
      </c>
      <c r="B41" s="436" t="s">
        <v>150</v>
      </c>
      <c r="E41" s="451">
        <f>E11-E39</f>
        <v>297</v>
      </c>
      <c r="F41" s="451">
        <f>F11-F39</f>
        <v>297</v>
      </c>
      <c r="G41" s="451">
        <f>G11-G39</f>
        <v>0</v>
      </c>
      <c r="H41" s="450" t="str">
        <f>IF(E41=F41+G41," ","ERROR")</f>
        <v xml:space="preserve"> </v>
      </c>
    </row>
    <row r="42" spans="1:8" ht="12">
      <c r="A42" s="442"/>
      <c r="E42" s="451"/>
      <c r="F42" s="451"/>
      <c r="G42" s="451"/>
      <c r="H42" s="450"/>
    </row>
    <row r="43" spans="1:8" ht="12">
      <c r="A43" s="442"/>
      <c r="B43" s="436" t="s">
        <v>151</v>
      </c>
      <c r="E43" s="451"/>
      <c r="F43" s="451"/>
      <c r="G43" s="451"/>
      <c r="H43" s="450"/>
    </row>
    <row r="44" spans="1:8" ht="12">
      <c r="A44" s="442">
        <v>27</v>
      </c>
      <c r="B44" s="453" t="s">
        <v>165</v>
      </c>
      <c r="E44" s="451">
        <f>F44+G44</f>
        <v>104</v>
      </c>
      <c r="F44" s="454">
        <f>ROUND(F41*0.35,0)</f>
        <v>104</v>
      </c>
      <c r="G44" s="451">
        <f>ROUND(G41*0.35,0)</f>
        <v>0</v>
      </c>
      <c r="H44" s="450" t="str">
        <f>IF(E44=F44+G44," ","ERROR")</f>
        <v xml:space="preserve"> </v>
      </c>
    </row>
    <row r="45" spans="1:8" ht="12">
      <c r="A45" s="442">
        <v>28</v>
      </c>
      <c r="B45" s="436" t="s">
        <v>154</v>
      </c>
      <c r="E45" s="451"/>
      <c r="F45" s="451"/>
      <c r="G45" s="451"/>
      <c r="H45" s="450" t="str">
        <f>IF(E45=F45+G45," ","ERROR")</f>
        <v xml:space="preserve"> </v>
      </c>
    </row>
    <row r="46" spans="1:8" ht="12">
      <c r="A46" s="442">
        <v>29</v>
      </c>
      <c r="B46" s="436" t="s">
        <v>153</v>
      </c>
      <c r="E46" s="452"/>
      <c r="F46" s="452"/>
      <c r="G46" s="452"/>
      <c r="H46" s="450" t="str">
        <f>IF(E46=F46+G46," ","ERROR")</f>
        <v xml:space="preserve"> </v>
      </c>
    </row>
    <row r="47" spans="1:8" ht="12">
      <c r="A47" s="442"/>
      <c r="H47" s="450"/>
    </row>
    <row r="48" spans="1:8" ht="12">
      <c r="A48" s="442">
        <v>30</v>
      </c>
      <c r="B48" s="457" t="s">
        <v>97</v>
      </c>
      <c r="E48" s="449">
        <f>E41-(+E44+E45+E46)</f>
        <v>193</v>
      </c>
      <c r="F48" s="449">
        <f>F41-F44+F45+F46</f>
        <v>193</v>
      </c>
      <c r="G48" s="449">
        <f>G41-SUM(G44:G46)</f>
        <v>0</v>
      </c>
      <c r="H48" s="450" t="str">
        <f>IF(E48=F48+G48," ","ERROR")</f>
        <v xml:space="preserve"> </v>
      </c>
    </row>
    <row r="49" spans="1:8" ht="12">
      <c r="A49" s="442"/>
      <c r="H49" s="450"/>
    </row>
    <row r="50" spans="1:8" ht="12">
      <c r="A50" s="442"/>
      <c r="B50" s="453" t="s">
        <v>155</v>
      </c>
      <c r="H50" s="450"/>
    </row>
    <row r="51" spans="1:8" ht="12">
      <c r="A51" s="442"/>
      <c r="B51" s="453" t="s">
        <v>156</v>
      </c>
      <c r="H51" s="450"/>
    </row>
    <row r="52" spans="1:8" ht="12">
      <c r="A52" s="442">
        <v>31</v>
      </c>
      <c r="B52" s="436" t="s">
        <v>157</v>
      </c>
      <c r="E52" s="449"/>
      <c r="F52" s="449"/>
      <c r="G52" s="449"/>
      <c r="H52" s="450" t="str">
        <f t="shared" ref="H52:H63" si="0">IF(E52=F52+G52," ","ERROR")</f>
        <v xml:space="preserve"> </v>
      </c>
    </row>
    <row r="53" spans="1:8" ht="12">
      <c r="A53" s="442">
        <v>32</v>
      </c>
      <c r="B53" s="436" t="s">
        <v>158</v>
      </c>
      <c r="E53" s="451"/>
      <c r="F53" s="451"/>
      <c r="G53" s="451"/>
      <c r="H53" s="450" t="str">
        <f t="shared" si="0"/>
        <v xml:space="preserve"> </v>
      </c>
    </row>
    <row r="54" spans="1:8" ht="12">
      <c r="A54" s="442">
        <v>33</v>
      </c>
      <c r="B54" s="436" t="s">
        <v>166</v>
      </c>
      <c r="E54" s="452"/>
      <c r="F54" s="452"/>
      <c r="G54" s="452"/>
      <c r="H54" s="450" t="str">
        <f t="shared" si="0"/>
        <v xml:space="preserve"> </v>
      </c>
    </row>
    <row r="55" spans="1:8" ht="12">
      <c r="A55" s="442">
        <v>34</v>
      </c>
      <c r="B55" s="436" t="s">
        <v>160</v>
      </c>
      <c r="E55" s="451">
        <f>SUM(E52:E54)</f>
        <v>0</v>
      </c>
      <c r="F55" s="451">
        <f>SUM(F52:F54)</f>
        <v>0</v>
      </c>
      <c r="G55" s="451">
        <f>SUM(G52:G54)</f>
        <v>0</v>
      </c>
      <c r="H55" s="450" t="str">
        <f t="shared" si="0"/>
        <v xml:space="preserve"> </v>
      </c>
    </row>
    <row r="56" spans="1:8" ht="12">
      <c r="A56" s="442"/>
      <c r="B56" s="436" t="s">
        <v>102</v>
      </c>
      <c r="E56" s="451"/>
      <c r="F56" s="451"/>
      <c r="G56" s="451"/>
      <c r="H56" s="450" t="str">
        <f t="shared" si="0"/>
        <v xml:space="preserve"> </v>
      </c>
    </row>
    <row r="57" spans="1:8" ht="12">
      <c r="A57" s="442">
        <v>35</v>
      </c>
      <c r="B57" s="436" t="s">
        <v>157</v>
      </c>
      <c r="E57" s="451"/>
      <c r="F57" s="451"/>
      <c r="G57" s="451"/>
      <c r="H57" s="450" t="str">
        <f t="shared" si="0"/>
        <v xml:space="preserve"> </v>
      </c>
    </row>
    <row r="58" spans="1:8" ht="12">
      <c r="A58" s="442">
        <v>36</v>
      </c>
      <c r="B58" s="436" t="s">
        <v>158</v>
      </c>
      <c r="E58" s="451"/>
      <c r="F58" s="451"/>
      <c r="G58" s="451"/>
      <c r="H58" s="450" t="str">
        <f t="shared" si="0"/>
        <v xml:space="preserve"> </v>
      </c>
    </row>
    <row r="59" spans="1:8" ht="12">
      <c r="A59" s="442">
        <v>37</v>
      </c>
      <c r="B59" s="436" t="s">
        <v>166</v>
      </c>
      <c r="E59" s="452"/>
      <c r="F59" s="452"/>
      <c r="G59" s="452"/>
      <c r="H59" s="450" t="str">
        <f t="shared" si="0"/>
        <v xml:space="preserve"> </v>
      </c>
    </row>
    <row r="60" spans="1:8" ht="12">
      <c r="A60" s="442">
        <v>38</v>
      </c>
      <c r="B60" s="436" t="s">
        <v>161</v>
      </c>
      <c r="E60" s="451">
        <f>SUM(E57:E59)</f>
        <v>0</v>
      </c>
      <c r="F60" s="451">
        <f>SUM(F57:F59)</f>
        <v>0</v>
      </c>
      <c r="G60" s="451">
        <f>SUM(G57:G59)</f>
        <v>0</v>
      </c>
      <c r="H60" s="450" t="str">
        <f t="shared" si="0"/>
        <v xml:space="preserve"> </v>
      </c>
    </row>
    <row r="61" spans="1:8" ht="12">
      <c r="A61" s="442">
        <v>39</v>
      </c>
      <c r="B61" s="453" t="s">
        <v>162</v>
      </c>
      <c r="E61" s="451"/>
      <c r="F61" s="451"/>
      <c r="G61" s="451"/>
      <c r="H61" s="450" t="str">
        <f t="shared" si="0"/>
        <v xml:space="preserve"> </v>
      </c>
    </row>
    <row r="62" spans="1:8" ht="12">
      <c r="A62" s="442">
        <v>40</v>
      </c>
      <c r="B62" s="436" t="s">
        <v>105</v>
      </c>
      <c r="E62" s="451"/>
      <c r="F62" s="451"/>
      <c r="G62" s="451"/>
      <c r="H62" s="450" t="str">
        <f t="shared" si="0"/>
        <v xml:space="preserve"> </v>
      </c>
    </row>
    <row r="63" spans="1:8" ht="12">
      <c r="A63" s="442">
        <v>41</v>
      </c>
      <c r="B63" s="453" t="s">
        <v>106</v>
      </c>
      <c r="E63" s="452"/>
      <c r="F63" s="452"/>
      <c r="G63" s="452"/>
      <c r="H63" s="450" t="str">
        <f t="shared" si="0"/>
        <v xml:space="preserve"> </v>
      </c>
    </row>
    <row r="64" spans="1:8" ht="12">
      <c r="A64" s="442"/>
      <c r="B64" s="436" t="s">
        <v>163</v>
      </c>
      <c r="H64" s="450"/>
    </row>
    <row r="65" spans="1:8" ht="12.75" thickBot="1">
      <c r="A65" s="442">
        <v>42</v>
      </c>
      <c r="B65" s="457" t="s">
        <v>107</v>
      </c>
      <c r="E65" s="458">
        <f>E55-E60+E61+E62+E63</f>
        <v>0</v>
      </c>
      <c r="F65" s="458">
        <f>F55-F60+F61+F62+F63</f>
        <v>0</v>
      </c>
      <c r="G65" s="458">
        <f>G55-G60+G61+G62+G63</f>
        <v>0</v>
      </c>
      <c r="H65" s="450" t="str">
        <f>IF(E65=F65+G65," ","ERROR")</f>
        <v xml:space="preserve"> </v>
      </c>
    </row>
    <row r="66" spans="1:8" ht="12.75" thickTop="1">
      <c r="A66" s="435" t="str">
        <f>Inputs!$D$6</f>
        <v>AVISTA UTILITIES</v>
      </c>
      <c r="B66" s="435"/>
      <c r="C66" s="435"/>
      <c r="G66" s="436"/>
    </row>
    <row r="67" spans="1:8" ht="12">
      <c r="A67" s="435" t="s">
        <v>169</v>
      </c>
      <c r="B67" s="435"/>
      <c r="C67" s="435"/>
      <c r="G67" s="436"/>
    </row>
    <row r="68" spans="1:8" ht="12">
      <c r="A68" s="435" t="str">
        <f>A3</f>
        <v>TWELVE MONTHS ENDED SEPTEMBER 30, 2008</v>
      </c>
      <c r="B68" s="435"/>
      <c r="C68" s="435"/>
      <c r="F68" s="439" t="str">
        <f>F2</f>
        <v>PROPERTY TAX</v>
      </c>
      <c r="G68" s="436"/>
    </row>
    <row r="69" spans="1:8" ht="12">
      <c r="A69" s="435" t="s">
        <v>170</v>
      </c>
      <c r="B69" s="435"/>
      <c r="C69" s="435"/>
      <c r="F69" s="439" t="str">
        <f>F3</f>
        <v>ADJUSTMENT</v>
      </c>
      <c r="G69" s="436"/>
    </row>
    <row r="70" spans="1:8" ht="12">
      <c r="E70" s="971"/>
      <c r="F70" s="446" t="str">
        <f>F4</f>
        <v>GAS</v>
      </c>
      <c r="G70" s="972"/>
    </row>
    <row r="71" spans="1:8" ht="12">
      <c r="A71" s="442" t="s">
        <v>10</v>
      </c>
      <c r="F71" s="439"/>
    </row>
    <row r="72" spans="1:8" ht="12">
      <c r="A72" s="459" t="s">
        <v>27</v>
      </c>
      <c r="B72" s="444" t="s">
        <v>113</v>
      </c>
      <c r="C72" s="444"/>
      <c r="F72" s="446" t="s">
        <v>132</v>
      </c>
    </row>
    <row r="73" spans="1:8" ht="12">
      <c r="A73" s="442"/>
      <c r="B73" s="436" t="s">
        <v>68</v>
      </c>
      <c r="E73" s="436"/>
      <c r="G73" s="436"/>
    </row>
    <row r="74" spans="1:8" ht="12">
      <c r="A74" s="442">
        <v>1</v>
      </c>
      <c r="B74" s="436" t="s">
        <v>134</v>
      </c>
      <c r="E74" s="436"/>
      <c r="F74" s="449">
        <f>G8</f>
        <v>0</v>
      </c>
      <c r="G74" s="436"/>
    </row>
    <row r="75" spans="1:8" ht="12">
      <c r="A75" s="442">
        <v>2</v>
      </c>
      <c r="B75" s="436" t="s">
        <v>135</v>
      </c>
      <c r="E75" s="436"/>
      <c r="F75" s="451">
        <f>G9</f>
        <v>0</v>
      </c>
      <c r="G75" s="436"/>
    </row>
    <row r="76" spans="1:8" ht="12">
      <c r="A76" s="442">
        <v>3</v>
      </c>
      <c r="B76" s="436" t="s">
        <v>71</v>
      </c>
      <c r="E76" s="436"/>
      <c r="F76" s="452">
        <f>G10</f>
        <v>0</v>
      </c>
      <c r="G76" s="436"/>
    </row>
    <row r="77" spans="1:8" ht="12">
      <c r="A77" s="442"/>
      <c r="E77" s="436"/>
      <c r="F77" s="451"/>
      <c r="G77" s="436"/>
    </row>
    <row r="78" spans="1:8" ht="12">
      <c r="A78" s="442">
        <v>4</v>
      </c>
      <c r="B78" s="436" t="s">
        <v>136</v>
      </c>
      <c r="E78" s="436"/>
      <c r="F78" s="451">
        <f>F74+F75+F76</f>
        <v>0</v>
      </c>
      <c r="G78" s="436"/>
    </row>
    <row r="79" spans="1:8" ht="12">
      <c r="A79" s="442"/>
      <c r="E79" s="436"/>
      <c r="F79" s="451"/>
      <c r="G79" s="436"/>
    </row>
    <row r="80" spans="1:8" ht="12">
      <c r="A80" s="442"/>
      <c r="B80" s="436" t="s">
        <v>73</v>
      </c>
      <c r="E80" s="436"/>
      <c r="F80" s="451"/>
      <c r="G80" s="436"/>
    </row>
    <row r="81" spans="1:7" ht="12">
      <c r="A81" s="442">
        <v>5</v>
      </c>
      <c r="B81" s="436" t="s">
        <v>137</v>
      </c>
      <c r="E81" s="436"/>
      <c r="F81" s="451">
        <f>G14</f>
        <v>0</v>
      </c>
      <c r="G81" s="436"/>
    </row>
    <row r="82" spans="1:7" ht="12">
      <c r="A82" s="442"/>
      <c r="B82" s="436" t="s">
        <v>75</v>
      </c>
      <c r="E82" s="436"/>
      <c r="F82" s="451"/>
      <c r="G82" s="436"/>
    </row>
    <row r="83" spans="1:7" ht="12">
      <c r="A83" s="442">
        <v>6</v>
      </c>
      <c r="B83" s="436" t="s">
        <v>138</v>
      </c>
      <c r="E83" s="436"/>
      <c r="F83" s="451">
        <f>G16</f>
        <v>0</v>
      </c>
      <c r="G83" s="436"/>
    </row>
    <row r="84" spans="1:7" ht="12">
      <c r="A84" s="442">
        <v>7</v>
      </c>
      <c r="B84" s="436" t="s">
        <v>139</v>
      </c>
      <c r="E84" s="436"/>
      <c r="F84" s="451">
        <f>G17</f>
        <v>0</v>
      </c>
      <c r="G84" s="436"/>
    </row>
    <row r="85" spans="1:7" ht="12">
      <c r="A85" s="442">
        <v>8</v>
      </c>
      <c r="B85" s="436" t="s">
        <v>140</v>
      </c>
      <c r="E85" s="436"/>
      <c r="F85" s="452">
        <f>G18</f>
        <v>0</v>
      </c>
      <c r="G85" s="436"/>
    </row>
    <row r="86" spans="1:7" ht="12">
      <c r="A86" s="442">
        <v>9</v>
      </c>
      <c r="B86" s="436" t="s">
        <v>141</v>
      </c>
      <c r="E86" s="436"/>
      <c r="F86" s="451">
        <f>F83+F84+F85</f>
        <v>0</v>
      </c>
      <c r="G86" s="436"/>
    </row>
    <row r="87" spans="1:7" ht="12">
      <c r="A87" s="442"/>
      <c r="B87" s="436" t="s">
        <v>80</v>
      </c>
      <c r="E87" s="436"/>
      <c r="F87" s="451"/>
      <c r="G87" s="436"/>
    </row>
    <row r="88" spans="1:7" ht="12">
      <c r="A88" s="442">
        <v>10</v>
      </c>
      <c r="B88" s="436" t="s">
        <v>142</v>
      </c>
      <c r="E88" s="436"/>
      <c r="F88" s="451">
        <f>G21</f>
        <v>0</v>
      </c>
      <c r="G88" s="436"/>
    </row>
    <row r="89" spans="1:7" ht="12">
      <c r="A89" s="442">
        <v>11</v>
      </c>
      <c r="B89" s="436" t="s">
        <v>143</v>
      </c>
      <c r="E89" s="436"/>
      <c r="F89" s="451">
        <f>G22</f>
        <v>0</v>
      </c>
      <c r="G89" s="436"/>
    </row>
    <row r="90" spans="1:7" ht="12">
      <c r="A90" s="442">
        <v>12</v>
      </c>
      <c r="B90" s="436" t="s">
        <v>144</v>
      </c>
      <c r="E90" s="436"/>
      <c r="F90" s="452">
        <f>G23</f>
        <v>0</v>
      </c>
      <c r="G90" s="436"/>
    </row>
    <row r="91" spans="1:7" ht="12">
      <c r="A91" s="442">
        <v>13</v>
      </c>
      <c r="B91" s="436" t="s">
        <v>145</v>
      </c>
      <c r="E91" s="436"/>
      <c r="F91" s="451">
        <f>F88+F89+F90</f>
        <v>0</v>
      </c>
      <c r="G91" s="436"/>
    </row>
    <row r="92" spans="1:7" ht="12">
      <c r="A92" s="442"/>
      <c r="B92" s="436" t="s">
        <v>84</v>
      </c>
      <c r="E92" s="436"/>
      <c r="F92" s="451"/>
      <c r="G92" s="436"/>
    </row>
    <row r="93" spans="1:7" ht="12">
      <c r="A93" s="442">
        <v>14</v>
      </c>
      <c r="B93" s="436" t="s">
        <v>142</v>
      </c>
      <c r="E93" s="436"/>
      <c r="F93" s="451">
        <f>G26</f>
        <v>0</v>
      </c>
      <c r="G93" s="436"/>
    </row>
    <row r="94" spans="1:7" ht="12">
      <c r="A94" s="442">
        <v>15</v>
      </c>
      <c r="B94" s="436" t="s">
        <v>143</v>
      </c>
      <c r="E94" s="436"/>
      <c r="F94" s="451">
        <f>G27</f>
        <v>0</v>
      </c>
      <c r="G94" s="436"/>
    </row>
    <row r="95" spans="1:7" ht="12">
      <c r="A95" s="442">
        <v>16</v>
      </c>
      <c r="B95" s="436" t="s">
        <v>144</v>
      </c>
      <c r="E95" s="436"/>
      <c r="F95" s="452">
        <f>G28</f>
        <v>0</v>
      </c>
      <c r="G95" s="436"/>
    </row>
    <row r="96" spans="1:7" ht="12">
      <c r="A96" s="442">
        <v>17</v>
      </c>
      <c r="B96" s="436" t="s">
        <v>146</v>
      </c>
      <c r="E96" s="436"/>
      <c r="F96" s="451">
        <f>F93+F94+F95</f>
        <v>0</v>
      </c>
      <c r="G96" s="436"/>
    </row>
    <row r="97" spans="1:7" ht="12">
      <c r="A97" s="442">
        <v>18</v>
      </c>
      <c r="B97" s="436" t="s">
        <v>86</v>
      </c>
      <c r="E97" s="436"/>
      <c r="F97" s="451">
        <f>G31</f>
        <v>0</v>
      </c>
      <c r="G97" s="436"/>
    </row>
    <row r="98" spans="1:7" ht="12">
      <c r="A98" s="442">
        <v>19</v>
      </c>
      <c r="B98" s="436" t="s">
        <v>87</v>
      </c>
      <c r="E98" s="436"/>
      <c r="F98" s="451">
        <f>G32</f>
        <v>0</v>
      </c>
      <c r="G98" s="436"/>
    </row>
    <row r="99" spans="1:7" ht="12">
      <c r="A99" s="442">
        <v>20</v>
      </c>
      <c r="B99" s="436" t="s">
        <v>147</v>
      </c>
      <c r="E99" s="436"/>
      <c r="F99" s="451">
        <f>G33</f>
        <v>0</v>
      </c>
      <c r="G99" s="436"/>
    </row>
    <row r="100" spans="1:7" ht="12">
      <c r="A100" s="442"/>
      <c r="B100" s="436" t="s">
        <v>148</v>
      </c>
      <c r="E100" s="436"/>
      <c r="F100" s="451"/>
      <c r="G100" s="436"/>
    </row>
    <row r="101" spans="1:7" ht="12">
      <c r="A101" s="442">
        <v>21</v>
      </c>
      <c r="B101" s="436" t="s">
        <v>142</v>
      </c>
      <c r="E101" s="436"/>
      <c r="F101" s="451">
        <f>G35</f>
        <v>0</v>
      </c>
      <c r="G101" s="436"/>
    </row>
    <row r="102" spans="1:7" ht="12">
      <c r="A102" s="442">
        <v>22</v>
      </c>
      <c r="B102" s="436" t="s">
        <v>143</v>
      </c>
      <c r="E102" s="436"/>
      <c r="F102" s="451">
        <f>G36</f>
        <v>0</v>
      </c>
      <c r="G102" s="436"/>
    </row>
    <row r="103" spans="1:7" ht="12">
      <c r="A103" s="442">
        <v>23</v>
      </c>
      <c r="B103" s="436" t="s">
        <v>144</v>
      </c>
      <c r="E103" s="436"/>
      <c r="F103" s="452">
        <f>G37</f>
        <v>0</v>
      </c>
      <c r="G103" s="436"/>
    </row>
    <row r="104" spans="1:7" ht="12">
      <c r="A104" s="442">
        <v>24</v>
      </c>
      <c r="B104" s="436" t="s">
        <v>149</v>
      </c>
      <c r="E104" s="436"/>
      <c r="F104" s="452">
        <f>F101+F102+F103</f>
        <v>0</v>
      </c>
      <c r="G104" s="436"/>
    </row>
    <row r="105" spans="1:7" ht="12">
      <c r="A105" s="442"/>
      <c r="E105" s="436"/>
      <c r="F105" s="451"/>
      <c r="G105" s="436"/>
    </row>
    <row r="106" spans="1:7" ht="12">
      <c r="A106" s="442">
        <v>25</v>
      </c>
      <c r="B106" s="436" t="s">
        <v>91</v>
      </c>
      <c r="E106" s="436"/>
      <c r="F106" s="452">
        <f>F104+F99+F98+F97+F96+F91+F86+F81</f>
        <v>0</v>
      </c>
      <c r="G106" s="436"/>
    </row>
    <row r="107" spans="1:7" ht="12">
      <c r="A107" s="442"/>
      <c r="E107" s="436"/>
      <c r="F107" s="451"/>
      <c r="G107" s="436"/>
    </row>
    <row r="108" spans="1:7" ht="12">
      <c r="A108" s="442">
        <v>26</v>
      </c>
      <c r="B108" s="436" t="s">
        <v>171</v>
      </c>
      <c r="E108" s="436"/>
      <c r="F108" s="452">
        <f>F78-F106</f>
        <v>0</v>
      </c>
      <c r="G108" s="436"/>
    </row>
    <row r="109" spans="1:7" ht="12">
      <c r="A109" s="442"/>
      <c r="E109" s="436"/>
      <c r="G109" s="436"/>
    </row>
    <row r="110" spans="1:7" ht="12">
      <c r="A110" s="442">
        <v>27</v>
      </c>
      <c r="B110" s="436" t="s">
        <v>172</v>
      </c>
      <c r="G110" s="436"/>
    </row>
    <row r="111" spans="1:7" ht="12.75" thickBot="1">
      <c r="A111" s="442"/>
      <c r="B111" s="460" t="s">
        <v>173</v>
      </c>
      <c r="C111" s="461">
        <f>Inputs!$D$4</f>
        <v>1.1416000000000001E-2</v>
      </c>
      <c r="F111" s="458">
        <f>ROUND(F108*C111,0)</f>
        <v>0</v>
      </c>
      <c r="G111" s="436"/>
    </row>
    <row r="112" spans="1:7" ht="12.75" thickTop="1">
      <c r="A112" s="442"/>
      <c r="G112" s="436"/>
    </row>
  </sheetData>
  <customSheetViews>
    <customSheetView guid="{5BE913A1-B14F-11D2-B0DC-0000832CDFF0}" scale="75" showPageBreaks="1" printArea="1" showRuler="0">
      <pane ySplit="6.25" topLeftCell="A47" activePane="bottomLeft"/>
      <selection pane="bottomLeft"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>
      <pane ySplit="6.25" topLeftCell="A47" activePane="bottomLeft"/>
      <selection pane="bottomLeft" activeCell="A66" sqref="A66:C66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112"/>
  <sheetViews>
    <sheetView zoomScale="75" workbookViewId="0">
      <selection activeCell="F2" sqref="F2"/>
    </sheetView>
  </sheetViews>
  <sheetFormatPr defaultColWidth="12.42578125" defaultRowHeight="11.1" customHeight="1"/>
  <cols>
    <col min="1" max="1" width="5.5703125" style="463" customWidth="1"/>
    <col min="2" max="2" width="26.140625" style="463" customWidth="1"/>
    <col min="3" max="3" width="12.42578125" style="463" customWidth="1"/>
    <col min="4" max="4" width="6.7109375" style="463" customWidth="1"/>
    <col min="5" max="5" width="12.42578125" style="483" customWidth="1"/>
    <col min="6" max="6" width="12.42578125" style="484" customWidth="1"/>
    <col min="7" max="7" width="12.42578125" style="483" customWidth="1"/>
    <col min="8" max="16384" width="12.42578125" style="463"/>
  </cols>
  <sheetData>
    <row r="1" spans="1:8" ht="12">
      <c r="A1" s="462" t="str">
        <f>Inputs!$D$6</f>
        <v>AVISTA UTILITIES</v>
      </c>
      <c r="B1" s="462"/>
      <c r="C1" s="462"/>
      <c r="E1" s="464"/>
      <c r="F1" s="465"/>
      <c r="G1" s="464"/>
    </row>
    <row r="2" spans="1:8" ht="12">
      <c r="A2" s="462" t="s">
        <v>125</v>
      </c>
      <c r="B2" s="462"/>
      <c r="C2" s="462"/>
      <c r="E2" s="464"/>
      <c r="F2" s="466" t="s">
        <v>181</v>
      </c>
      <c r="G2" s="464"/>
    </row>
    <row r="3" spans="1:8" ht="12">
      <c r="A3" s="462" t="str">
        <f>Inputs!$D$2</f>
        <v>TWELVE MONTHS ENDED SEPTEMBER 30, 2008</v>
      </c>
      <c r="B3" s="462"/>
      <c r="C3" s="462"/>
      <c r="E3" s="464"/>
      <c r="F3" s="466" t="s">
        <v>182</v>
      </c>
      <c r="G3" s="463"/>
    </row>
    <row r="4" spans="1:8" ht="12">
      <c r="A4" s="462" t="s">
        <v>128</v>
      </c>
      <c r="B4" s="462"/>
      <c r="C4" s="462"/>
      <c r="E4" s="467"/>
      <c r="F4" s="468" t="s">
        <v>129</v>
      </c>
      <c r="G4" s="467"/>
    </row>
    <row r="5" spans="1:8" ht="12">
      <c r="A5" s="469" t="s">
        <v>10</v>
      </c>
      <c r="E5" s="464"/>
      <c r="F5" s="466"/>
      <c r="G5" s="464"/>
    </row>
    <row r="6" spans="1:8" ht="12">
      <c r="A6" s="470" t="s">
        <v>27</v>
      </c>
      <c r="B6" s="471" t="s">
        <v>113</v>
      </c>
      <c r="C6" s="471"/>
      <c r="E6" s="472" t="s">
        <v>130</v>
      </c>
      <c r="F6" s="473" t="s">
        <v>131</v>
      </c>
      <c r="G6" s="472" t="s">
        <v>132</v>
      </c>
      <c r="H6" s="474" t="s">
        <v>133</v>
      </c>
    </row>
    <row r="7" spans="1:8" ht="12">
      <c r="A7" s="469"/>
      <c r="B7" s="463" t="s">
        <v>68</v>
      </c>
      <c r="E7" s="475"/>
      <c r="F7" s="466"/>
      <c r="G7" s="475"/>
    </row>
    <row r="8" spans="1:8" ht="12">
      <c r="A8" s="469">
        <v>1</v>
      </c>
      <c r="B8" s="463" t="s">
        <v>134</v>
      </c>
      <c r="E8" s="476"/>
      <c r="F8" s="476"/>
      <c r="G8" s="476"/>
      <c r="H8" s="477" t="str">
        <f>IF(E8=F8+G8," ","ERROR")</f>
        <v xml:space="preserve"> </v>
      </c>
    </row>
    <row r="9" spans="1:8" ht="12">
      <c r="A9" s="469">
        <v>2</v>
      </c>
      <c r="B9" s="463" t="s">
        <v>135</v>
      </c>
      <c r="E9" s="478"/>
      <c r="F9" s="478"/>
      <c r="G9" s="478"/>
      <c r="H9" s="477" t="str">
        <f>IF(E9=F9+G9," ","ERROR")</f>
        <v xml:space="preserve"> </v>
      </c>
    </row>
    <row r="10" spans="1:8" ht="12">
      <c r="A10" s="469">
        <v>3</v>
      </c>
      <c r="B10" s="463" t="s">
        <v>71</v>
      </c>
      <c r="E10" s="479"/>
      <c r="F10" s="479"/>
      <c r="G10" s="479"/>
      <c r="H10" s="477" t="str">
        <f>IF(E10=F10+G10," ","ERROR")</f>
        <v xml:space="preserve"> </v>
      </c>
    </row>
    <row r="11" spans="1:8" ht="12">
      <c r="A11" s="469">
        <v>4</v>
      </c>
      <c r="B11" s="463" t="s">
        <v>136</v>
      </c>
      <c r="E11" s="478">
        <f>SUM(E8:E10)</f>
        <v>0</v>
      </c>
      <c r="F11" s="478">
        <f>SUM(F8:F10)</f>
        <v>0</v>
      </c>
      <c r="G11" s="478">
        <f>SUM(G8:G10)</f>
        <v>0</v>
      </c>
      <c r="H11" s="477" t="str">
        <f>IF(E11=F11+G11," ","ERROR")</f>
        <v xml:space="preserve"> </v>
      </c>
    </row>
    <row r="12" spans="1:8" ht="12">
      <c r="A12" s="469"/>
      <c r="E12" s="478"/>
      <c r="F12" s="478"/>
      <c r="G12" s="478"/>
      <c r="H12" s="477"/>
    </row>
    <row r="13" spans="1:8" ht="12">
      <c r="A13" s="469"/>
      <c r="B13" s="463" t="s">
        <v>73</v>
      </c>
      <c r="E13" s="478"/>
      <c r="F13" s="478"/>
      <c r="G13" s="478"/>
      <c r="H13" s="477"/>
    </row>
    <row r="14" spans="1:8" ht="12">
      <c r="A14" s="469">
        <v>5</v>
      </c>
      <c r="B14" s="463" t="s">
        <v>137</v>
      </c>
      <c r="E14" s="478"/>
      <c r="F14" s="478"/>
      <c r="G14" s="478"/>
      <c r="H14" s="477" t="str">
        <f>IF(E14=F14+G14," ","ERROR")</f>
        <v xml:space="preserve"> </v>
      </c>
    </row>
    <row r="15" spans="1:8" ht="12">
      <c r="A15" s="469"/>
      <c r="B15" s="463" t="s">
        <v>75</v>
      </c>
      <c r="E15" s="478"/>
      <c r="F15" s="478"/>
      <c r="G15" s="478"/>
      <c r="H15" s="477"/>
    </row>
    <row r="16" spans="1:8" ht="12">
      <c r="A16" s="469">
        <v>6</v>
      </c>
      <c r="B16" s="463" t="s">
        <v>138</v>
      </c>
      <c r="E16" s="478"/>
      <c r="F16" s="478"/>
      <c r="G16" s="478"/>
      <c r="H16" s="477" t="str">
        <f>IF(E16=F16+G16," ","ERROR")</f>
        <v xml:space="preserve"> </v>
      </c>
    </row>
    <row r="17" spans="1:8" ht="12">
      <c r="A17" s="469">
        <v>7</v>
      </c>
      <c r="B17" s="463" t="s">
        <v>139</v>
      </c>
      <c r="E17" s="478"/>
      <c r="F17" s="478"/>
      <c r="G17" s="478"/>
      <c r="H17" s="477" t="str">
        <f>IF(E17=F17+G17," ","ERROR")</f>
        <v xml:space="preserve"> </v>
      </c>
    </row>
    <row r="18" spans="1:8" ht="12">
      <c r="A18" s="469">
        <v>8</v>
      </c>
      <c r="B18" s="463" t="s">
        <v>140</v>
      </c>
      <c r="E18" s="479"/>
      <c r="F18" s="479"/>
      <c r="G18" s="479"/>
      <c r="H18" s="477" t="str">
        <f>IF(E18=F18+G18," ","ERROR")</f>
        <v xml:space="preserve"> </v>
      </c>
    </row>
    <row r="19" spans="1:8" ht="12">
      <c r="A19" s="469">
        <v>9</v>
      </c>
      <c r="B19" s="463" t="s">
        <v>141</v>
      </c>
      <c r="E19" s="478">
        <f>SUM(E16:E18)</f>
        <v>0</v>
      </c>
      <c r="F19" s="478">
        <f>SUM(F16:F18)</f>
        <v>0</v>
      </c>
      <c r="G19" s="478">
        <f>SUM(G16:G18)</f>
        <v>0</v>
      </c>
      <c r="H19" s="477" t="str">
        <f>IF(E19=F19+G19," ","ERROR")</f>
        <v xml:space="preserve"> </v>
      </c>
    </row>
    <row r="20" spans="1:8" ht="12">
      <c r="A20" s="469"/>
      <c r="B20" s="463" t="s">
        <v>80</v>
      </c>
      <c r="E20" s="478"/>
      <c r="F20" s="478"/>
      <c r="G20" s="478"/>
      <c r="H20" s="477"/>
    </row>
    <row r="21" spans="1:8" ht="12">
      <c r="A21" s="469">
        <v>10</v>
      </c>
      <c r="B21" s="463" t="s">
        <v>142</v>
      </c>
      <c r="E21" s="478"/>
      <c r="F21" s="478"/>
      <c r="G21" s="478"/>
      <c r="H21" s="477" t="str">
        <f>IF(E21=F21+G21," ","ERROR")</f>
        <v xml:space="preserve"> </v>
      </c>
    </row>
    <row r="22" spans="1:8" ht="12">
      <c r="A22" s="469">
        <v>11</v>
      </c>
      <c r="B22" s="463" t="s">
        <v>143</v>
      </c>
      <c r="E22" s="478"/>
      <c r="F22" s="478"/>
      <c r="G22" s="478"/>
      <c r="H22" s="477" t="str">
        <f>IF(E22=F22+G22," ","ERROR")</f>
        <v xml:space="preserve"> </v>
      </c>
    </row>
    <row r="23" spans="1:8" ht="12">
      <c r="A23" s="469">
        <v>12</v>
      </c>
      <c r="B23" s="463" t="s">
        <v>144</v>
      </c>
      <c r="E23" s="479"/>
      <c r="F23" s="479"/>
      <c r="G23" s="479"/>
      <c r="H23" s="477" t="str">
        <f>IF(E23=F23+G23," ","ERROR")</f>
        <v xml:space="preserve"> </v>
      </c>
    </row>
    <row r="24" spans="1:8" ht="12">
      <c r="A24" s="469">
        <v>13</v>
      </c>
      <c r="B24" s="463" t="s">
        <v>145</v>
      </c>
      <c r="E24" s="478">
        <f>SUM(E21:E23)</f>
        <v>0</v>
      </c>
      <c r="F24" s="478">
        <f>SUM(F21:F23)</f>
        <v>0</v>
      </c>
      <c r="G24" s="478">
        <f>SUM(G21:G23)</f>
        <v>0</v>
      </c>
      <c r="H24" s="477" t="str">
        <f>IF(E24=F24+G24," ","ERROR")</f>
        <v xml:space="preserve"> </v>
      </c>
    </row>
    <row r="25" spans="1:8" ht="12">
      <c r="A25" s="469"/>
      <c r="B25" s="463" t="s">
        <v>84</v>
      </c>
      <c r="E25" s="478"/>
      <c r="F25" s="478"/>
      <c r="G25" s="478"/>
      <c r="H25" s="477"/>
    </row>
    <row r="26" spans="1:8" ht="12">
      <c r="A26" s="469">
        <v>14</v>
      </c>
      <c r="B26" s="463" t="s">
        <v>142</v>
      </c>
      <c r="E26" s="478"/>
      <c r="F26" s="478"/>
      <c r="G26" s="478"/>
      <c r="H26" s="477" t="str">
        <f>IF(E26=F26+G26," ","ERROR")</f>
        <v xml:space="preserve"> </v>
      </c>
    </row>
    <row r="27" spans="1:8" ht="12">
      <c r="A27" s="469">
        <v>15</v>
      </c>
      <c r="B27" s="463" t="s">
        <v>143</v>
      </c>
      <c r="E27" s="478"/>
      <c r="F27" s="478"/>
      <c r="G27" s="478"/>
      <c r="H27" s="477" t="str">
        <f>IF(E27=F27+G27," ","ERROR")</f>
        <v xml:space="preserve"> </v>
      </c>
    </row>
    <row r="28" spans="1:8" ht="12">
      <c r="A28" s="469">
        <v>16</v>
      </c>
      <c r="B28" s="463" t="s">
        <v>144</v>
      </c>
      <c r="E28" s="479">
        <f>F28+G28</f>
        <v>0</v>
      </c>
      <c r="F28" s="479"/>
      <c r="G28" s="480">
        <f>F111</f>
        <v>0</v>
      </c>
      <c r="H28" s="477" t="str">
        <f>IF(E28=F28+G28," ","ERROR")</f>
        <v xml:space="preserve"> </v>
      </c>
    </row>
    <row r="29" spans="1:8" ht="12">
      <c r="A29" s="469">
        <v>17</v>
      </c>
      <c r="B29" s="463" t="s">
        <v>146</v>
      </c>
      <c r="E29" s="478">
        <f>SUM(E26:E28)</f>
        <v>0</v>
      </c>
      <c r="F29" s="478">
        <f>SUM(F26:F28)</f>
        <v>0</v>
      </c>
      <c r="G29" s="478">
        <f>SUM(G26:G28)</f>
        <v>0</v>
      </c>
      <c r="H29" s="477" t="str">
        <f>IF(E29=F29+G29," ","ERROR")</f>
        <v xml:space="preserve"> </v>
      </c>
    </row>
    <row r="30" spans="1:8" ht="12">
      <c r="A30" s="469"/>
      <c r="E30" s="478"/>
      <c r="F30" s="478"/>
      <c r="G30" s="478"/>
      <c r="H30" s="477"/>
    </row>
    <row r="31" spans="1:8" ht="12">
      <c r="A31" s="469">
        <v>18</v>
      </c>
      <c r="B31" s="463" t="s">
        <v>86</v>
      </c>
      <c r="E31" s="478">
        <f>F31+G31</f>
        <v>-143</v>
      </c>
      <c r="F31" s="478">
        <v>-143</v>
      </c>
      <c r="G31" s="478">
        <v>0</v>
      </c>
      <c r="H31" s="477" t="str">
        <f>IF(E31=F31+G31," ","ERROR")</f>
        <v xml:space="preserve"> </v>
      </c>
    </row>
    <row r="32" spans="1:8" ht="12">
      <c r="A32" s="469">
        <v>19</v>
      </c>
      <c r="B32" s="463" t="s">
        <v>87</v>
      </c>
      <c r="E32" s="478"/>
      <c r="F32" s="478"/>
      <c r="G32" s="478"/>
      <c r="H32" s="477" t="str">
        <f>IF(E32=F32+G32," ","ERROR")</f>
        <v xml:space="preserve"> </v>
      </c>
    </row>
    <row r="33" spans="1:8" ht="12">
      <c r="A33" s="469">
        <v>20</v>
      </c>
      <c r="B33" s="463" t="s">
        <v>147</v>
      </c>
      <c r="E33" s="478"/>
      <c r="F33" s="478"/>
      <c r="G33" s="478"/>
      <c r="H33" s="477" t="str">
        <f>IF(E33=F33+G33," ","ERROR")</f>
        <v xml:space="preserve"> </v>
      </c>
    </row>
    <row r="34" spans="1:8" ht="12">
      <c r="A34" s="469"/>
      <c r="B34" s="463" t="s">
        <v>148</v>
      </c>
      <c r="E34" s="478"/>
      <c r="F34" s="478"/>
      <c r="G34" s="478"/>
      <c r="H34" s="477"/>
    </row>
    <row r="35" spans="1:8" ht="12">
      <c r="A35" s="469">
        <v>21</v>
      </c>
      <c r="B35" s="463" t="s">
        <v>142</v>
      </c>
      <c r="E35" s="478"/>
      <c r="F35" s="478"/>
      <c r="G35" s="478"/>
      <c r="H35" s="477" t="str">
        <f>IF(E35=F35+G35," ","ERROR")</f>
        <v xml:space="preserve"> </v>
      </c>
    </row>
    <row r="36" spans="1:8" ht="12">
      <c r="A36" s="469">
        <v>22</v>
      </c>
      <c r="B36" s="463" t="s">
        <v>143</v>
      </c>
      <c r="E36" s="478"/>
      <c r="F36" s="478"/>
      <c r="G36" s="478"/>
      <c r="H36" s="477" t="str">
        <f>IF(E36=F36+G36," ","ERROR")</f>
        <v xml:space="preserve"> </v>
      </c>
    </row>
    <row r="37" spans="1:8" ht="12">
      <c r="A37" s="469">
        <v>23</v>
      </c>
      <c r="B37" s="463" t="s">
        <v>144</v>
      </c>
      <c r="E37" s="479"/>
      <c r="F37" s="479"/>
      <c r="G37" s="479"/>
      <c r="H37" s="477" t="str">
        <f>IF(E37=F37+G37," ","ERROR")</f>
        <v xml:space="preserve"> </v>
      </c>
    </row>
    <row r="38" spans="1:8" ht="12">
      <c r="A38" s="469">
        <v>24</v>
      </c>
      <c r="B38" s="463" t="s">
        <v>149</v>
      </c>
      <c r="E38" s="479">
        <f>SUM(E35:E37)</f>
        <v>0</v>
      </c>
      <c r="F38" s="479">
        <f>SUM(F35:F37)</f>
        <v>0</v>
      </c>
      <c r="G38" s="479">
        <f>SUM(G35:G37)</f>
        <v>0</v>
      </c>
      <c r="H38" s="477" t="str">
        <f>IF(E38=F38+G38," ","ERROR")</f>
        <v xml:space="preserve"> </v>
      </c>
    </row>
    <row r="39" spans="1:8" ht="12">
      <c r="A39" s="469">
        <v>25</v>
      </c>
      <c r="B39" s="463" t="s">
        <v>91</v>
      </c>
      <c r="E39" s="479">
        <f>E19+E24+E29+E31+E32+E33+E38+E14</f>
        <v>-143</v>
      </c>
      <c r="F39" s="479">
        <f>F19+F24+F29+F31+F32+F33+F38+F14</f>
        <v>-143</v>
      </c>
      <c r="G39" s="479">
        <f>G19+G24+G29+G31+G32+G33+G38+G14</f>
        <v>0</v>
      </c>
      <c r="H39" s="477" t="str">
        <f>IF(E39=F39+G39," ","ERROR")</f>
        <v xml:space="preserve"> </v>
      </c>
    </row>
    <row r="40" spans="1:8" ht="12">
      <c r="A40" s="469"/>
      <c r="E40" s="478"/>
      <c r="F40" s="478"/>
      <c r="G40" s="478"/>
      <c r="H40" s="477"/>
    </row>
    <row r="41" spans="1:8" ht="12">
      <c r="A41" s="469">
        <v>26</v>
      </c>
      <c r="B41" s="463" t="s">
        <v>150</v>
      </c>
      <c r="E41" s="478">
        <f>E11-E39</f>
        <v>143</v>
      </c>
      <c r="F41" s="478">
        <f>F11-F39</f>
        <v>143</v>
      </c>
      <c r="G41" s="478">
        <f>G11-G39</f>
        <v>0</v>
      </c>
      <c r="H41" s="477" t="str">
        <f>IF(E41=F41+G41," ","ERROR")</f>
        <v xml:space="preserve"> </v>
      </c>
    </row>
    <row r="42" spans="1:8" ht="12">
      <c r="A42" s="469"/>
      <c r="E42" s="478"/>
      <c r="F42" s="478"/>
      <c r="G42" s="478"/>
      <c r="H42" s="477"/>
    </row>
    <row r="43" spans="1:8" ht="12">
      <c r="A43" s="469"/>
      <c r="B43" s="463" t="s">
        <v>151</v>
      </c>
      <c r="E43" s="478"/>
      <c r="F43" s="478"/>
      <c r="G43" s="478"/>
      <c r="H43" s="477"/>
    </row>
    <row r="44" spans="1:8" ht="12">
      <c r="A44" s="469">
        <v>27</v>
      </c>
      <c r="B44" s="481" t="s">
        <v>152</v>
      </c>
      <c r="D44" s="482">
        <v>0.35</v>
      </c>
      <c r="E44" s="478">
        <f>F44+G44</f>
        <v>50</v>
      </c>
      <c r="F44" s="478">
        <f>ROUND(F41*D44,0)</f>
        <v>50</v>
      </c>
      <c r="G44" s="478">
        <f>ROUND(G41*D44,0)</f>
        <v>0</v>
      </c>
      <c r="H44" s="477" t="str">
        <f>IF(E44=F44+G44," ","ERROR")</f>
        <v xml:space="preserve"> </v>
      </c>
    </row>
    <row r="45" spans="1:8" ht="12">
      <c r="A45" s="469">
        <v>28</v>
      </c>
      <c r="B45" s="463" t="s">
        <v>154</v>
      </c>
      <c r="E45" s="478"/>
      <c r="F45" s="478"/>
      <c r="G45" s="478"/>
      <c r="H45" s="477" t="str">
        <f>IF(E45=F45+G45," ","ERROR")</f>
        <v xml:space="preserve"> </v>
      </c>
    </row>
    <row r="46" spans="1:8" ht="12">
      <c r="A46" s="469">
        <v>29</v>
      </c>
      <c r="B46" s="463" t="s">
        <v>153</v>
      </c>
      <c r="E46" s="479"/>
      <c r="F46" s="479"/>
      <c r="G46" s="479"/>
      <c r="H46" s="477" t="str">
        <f>IF(E46=F46+G46," ","ERROR")</f>
        <v xml:space="preserve"> </v>
      </c>
    </row>
    <row r="47" spans="1:8" ht="12">
      <c r="A47" s="469"/>
      <c r="H47" s="477"/>
    </row>
    <row r="48" spans="1:8" ht="12.75" thickBot="1">
      <c r="A48" s="469">
        <v>30</v>
      </c>
      <c r="B48" s="485" t="s">
        <v>97</v>
      </c>
      <c r="E48" s="486">
        <f>E41-(+E44+E45+E46)</f>
        <v>93</v>
      </c>
      <c r="F48" s="486">
        <f>F41-F44+F45+F46</f>
        <v>93</v>
      </c>
      <c r="G48" s="486">
        <f>G41-SUM(G44:G46)</f>
        <v>0</v>
      </c>
      <c r="H48" s="477" t="str">
        <f>IF(E48=F48+G48," ","ERROR")</f>
        <v xml:space="preserve"> </v>
      </c>
    </row>
    <row r="49" spans="1:8" ht="12.75" thickTop="1">
      <c r="A49" s="469"/>
      <c r="H49" s="477"/>
    </row>
    <row r="50" spans="1:8" ht="12">
      <c r="A50" s="469"/>
      <c r="B50" s="481" t="s">
        <v>155</v>
      </c>
      <c r="H50" s="477"/>
    </row>
    <row r="51" spans="1:8" ht="12">
      <c r="A51" s="469"/>
      <c r="B51" s="481" t="s">
        <v>156</v>
      </c>
      <c r="H51" s="477"/>
    </row>
    <row r="52" spans="1:8" ht="12">
      <c r="A52" s="469">
        <v>31</v>
      </c>
      <c r="B52" s="463" t="s">
        <v>157</v>
      </c>
      <c r="E52" s="476"/>
      <c r="F52" s="476"/>
      <c r="G52" s="476"/>
      <c r="H52" s="477" t="str">
        <f t="shared" ref="H52:H63" si="0">IF(E52=F52+G52," ","ERROR")</f>
        <v xml:space="preserve"> </v>
      </c>
    </row>
    <row r="53" spans="1:8" ht="12">
      <c r="A53" s="469">
        <v>32</v>
      </c>
      <c r="B53" s="463" t="s">
        <v>158</v>
      </c>
      <c r="E53" s="478"/>
      <c r="F53" s="478"/>
      <c r="G53" s="478"/>
      <c r="H53" s="477" t="str">
        <f t="shared" si="0"/>
        <v xml:space="preserve"> </v>
      </c>
    </row>
    <row r="54" spans="1:8" ht="12">
      <c r="A54" s="469">
        <v>33</v>
      </c>
      <c r="B54" s="463" t="s">
        <v>166</v>
      </c>
      <c r="E54" s="479"/>
      <c r="F54" s="479"/>
      <c r="G54" s="479"/>
      <c r="H54" s="477" t="str">
        <f t="shared" si="0"/>
        <v xml:space="preserve"> </v>
      </c>
    </row>
    <row r="55" spans="1:8" ht="12">
      <c r="A55" s="469">
        <v>34</v>
      </c>
      <c r="B55" s="463" t="s">
        <v>160</v>
      </c>
      <c r="E55" s="478">
        <f>SUM(E52:E54)</f>
        <v>0</v>
      </c>
      <c r="F55" s="478">
        <f>SUM(F52:F54)</f>
        <v>0</v>
      </c>
      <c r="G55" s="478">
        <f>SUM(G52:G54)</f>
        <v>0</v>
      </c>
      <c r="H55" s="477" t="str">
        <f t="shared" si="0"/>
        <v xml:space="preserve"> </v>
      </c>
    </row>
    <row r="56" spans="1:8" ht="12">
      <c r="A56" s="469"/>
      <c r="B56" s="463" t="s">
        <v>102</v>
      </c>
      <c r="E56" s="478"/>
      <c r="F56" s="478"/>
      <c r="G56" s="478"/>
      <c r="H56" s="477" t="str">
        <f t="shared" si="0"/>
        <v xml:space="preserve"> </v>
      </c>
    </row>
    <row r="57" spans="1:8" ht="12">
      <c r="A57" s="469">
        <v>35</v>
      </c>
      <c r="B57" s="463" t="s">
        <v>157</v>
      </c>
      <c r="E57" s="478"/>
      <c r="F57" s="478"/>
      <c r="G57" s="478"/>
      <c r="H57" s="477" t="str">
        <f t="shared" si="0"/>
        <v xml:space="preserve"> </v>
      </c>
    </row>
    <row r="58" spans="1:8" ht="12">
      <c r="A58" s="469">
        <v>36</v>
      </c>
      <c r="B58" s="463" t="s">
        <v>158</v>
      </c>
      <c r="E58" s="478"/>
      <c r="F58" s="478"/>
      <c r="G58" s="478"/>
      <c r="H58" s="477" t="str">
        <f t="shared" si="0"/>
        <v xml:space="preserve"> </v>
      </c>
    </row>
    <row r="59" spans="1:8" ht="12">
      <c r="A59" s="469">
        <v>37</v>
      </c>
      <c r="B59" s="463" t="s">
        <v>166</v>
      </c>
      <c r="E59" s="479"/>
      <c r="F59" s="479"/>
      <c r="G59" s="479"/>
      <c r="H59" s="477" t="str">
        <f t="shared" si="0"/>
        <v xml:space="preserve"> </v>
      </c>
    </row>
    <row r="60" spans="1:8" ht="12">
      <c r="A60" s="469">
        <v>38</v>
      </c>
      <c r="B60" s="463" t="s">
        <v>161</v>
      </c>
      <c r="E60" s="478">
        <f>SUM(E57:E59)</f>
        <v>0</v>
      </c>
      <c r="F60" s="478">
        <f>SUM(F57:F59)</f>
        <v>0</v>
      </c>
      <c r="G60" s="478">
        <f>SUM(G57:G59)</f>
        <v>0</v>
      </c>
      <c r="H60" s="477" t="str">
        <f t="shared" si="0"/>
        <v xml:space="preserve"> </v>
      </c>
    </row>
    <row r="61" spans="1:8" ht="12">
      <c r="A61" s="469">
        <v>39</v>
      </c>
      <c r="B61" s="481" t="s">
        <v>162</v>
      </c>
      <c r="E61" s="478"/>
      <c r="F61" s="478"/>
      <c r="G61" s="478"/>
      <c r="H61" s="477" t="str">
        <f t="shared" si="0"/>
        <v xml:space="preserve"> </v>
      </c>
    </row>
    <row r="62" spans="1:8" ht="12">
      <c r="A62" s="469">
        <v>40</v>
      </c>
      <c r="B62" s="463" t="s">
        <v>105</v>
      </c>
      <c r="E62" s="478"/>
      <c r="F62" s="478"/>
      <c r="G62" s="478"/>
      <c r="H62" s="477" t="str">
        <f t="shared" si="0"/>
        <v xml:space="preserve"> </v>
      </c>
    </row>
    <row r="63" spans="1:8" ht="12">
      <c r="A63" s="469">
        <v>41</v>
      </c>
      <c r="B63" s="481" t="s">
        <v>106</v>
      </c>
      <c r="E63" s="479"/>
      <c r="F63" s="479"/>
      <c r="G63" s="479"/>
      <c r="H63" s="477" t="str">
        <f t="shared" si="0"/>
        <v xml:space="preserve"> </v>
      </c>
    </row>
    <row r="64" spans="1:8" ht="9" customHeight="1">
      <c r="A64" s="469"/>
      <c r="B64" s="463" t="s">
        <v>163</v>
      </c>
      <c r="H64" s="477"/>
    </row>
    <row r="65" spans="1:8" ht="12.75" thickBot="1">
      <c r="A65" s="469">
        <v>42</v>
      </c>
      <c r="B65" s="485" t="s">
        <v>107</v>
      </c>
      <c r="E65" s="486">
        <f>E55-E60+E61+E62+E63</f>
        <v>0</v>
      </c>
      <c r="F65" s="486">
        <f>F55-F60+F61+F62+F63</f>
        <v>0</v>
      </c>
      <c r="G65" s="486">
        <f>G55-G60+G61+G62+G63</f>
        <v>0</v>
      </c>
      <c r="H65" s="477" t="str">
        <f>IF(E65=F65+G65," ","ERROR")</f>
        <v xml:space="preserve"> </v>
      </c>
    </row>
    <row r="66" spans="1:8" ht="12.75" thickTop="1">
      <c r="A66" s="462" t="str">
        <f>Inputs!$D$6</f>
        <v>AVISTA UTILITIES</v>
      </c>
      <c r="B66" s="462"/>
      <c r="C66" s="462"/>
      <c r="G66" s="463"/>
    </row>
    <row r="67" spans="1:8" ht="12">
      <c r="A67" s="462" t="s">
        <v>169</v>
      </c>
      <c r="B67" s="462"/>
      <c r="C67" s="462"/>
      <c r="G67" s="463"/>
    </row>
    <row r="68" spans="1:8" ht="12">
      <c r="A68" s="462" t="str">
        <f>A3</f>
        <v>TWELVE MONTHS ENDED SEPTEMBER 30, 2008</v>
      </c>
      <c r="B68" s="462"/>
      <c r="C68" s="462"/>
      <c r="F68" s="466" t="str">
        <f>F2</f>
        <v>UNCOLLECTIBLE</v>
      </c>
      <c r="G68" s="463"/>
    </row>
    <row r="69" spans="1:8" ht="12">
      <c r="A69" s="462" t="s">
        <v>170</v>
      </c>
      <c r="B69" s="462"/>
      <c r="C69" s="462"/>
      <c r="F69" s="466" t="str">
        <f>F3</f>
        <v>EXPENSE</v>
      </c>
      <c r="G69" s="463"/>
    </row>
    <row r="70" spans="1:8" ht="12">
      <c r="E70" s="487"/>
      <c r="F70" s="473" t="str">
        <f>F4</f>
        <v>GAS</v>
      </c>
      <c r="G70" s="488"/>
    </row>
    <row r="71" spans="1:8" ht="12">
      <c r="A71" s="469" t="s">
        <v>10</v>
      </c>
      <c r="F71" s="466"/>
    </row>
    <row r="72" spans="1:8" ht="12">
      <c r="A72" s="489" t="s">
        <v>27</v>
      </c>
      <c r="B72" s="471" t="s">
        <v>113</v>
      </c>
      <c r="C72" s="471"/>
      <c r="F72" s="473" t="s">
        <v>132</v>
      </c>
    </row>
    <row r="73" spans="1:8" ht="12">
      <c r="A73" s="469"/>
      <c r="B73" s="463" t="s">
        <v>68</v>
      </c>
      <c r="E73" s="463"/>
      <c r="G73" s="463"/>
    </row>
    <row r="74" spans="1:8" ht="12">
      <c r="A74" s="469">
        <v>1</v>
      </c>
      <c r="B74" s="463" t="s">
        <v>134</v>
      </c>
      <c r="E74" s="463"/>
      <c r="F74" s="476">
        <f>G8</f>
        <v>0</v>
      </c>
      <c r="G74" s="463"/>
    </row>
    <row r="75" spans="1:8" ht="12">
      <c r="A75" s="469">
        <v>2</v>
      </c>
      <c r="B75" s="463" t="s">
        <v>135</v>
      </c>
      <c r="E75" s="463"/>
      <c r="F75" s="478">
        <f>G9</f>
        <v>0</v>
      </c>
      <c r="G75" s="463"/>
    </row>
    <row r="76" spans="1:8" ht="12">
      <c r="A76" s="469">
        <v>3</v>
      </c>
      <c r="B76" s="463" t="s">
        <v>71</v>
      </c>
      <c r="E76" s="463"/>
      <c r="F76" s="479">
        <f>G10</f>
        <v>0</v>
      </c>
      <c r="G76" s="463"/>
    </row>
    <row r="77" spans="1:8" ht="12">
      <c r="A77" s="469"/>
      <c r="E77" s="463"/>
      <c r="F77" s="478"/>
      <c r="G77" s="463"/>
    </row>
    <row r="78" spans="1:8" ht="12">
      <c r="A78" s="469">
        <v>4</v>
      </c>
      <c r="B78" s="463" t="s">
        <v>136</v>
      </c>
      <c r="E78" s="463"/>
      <c r="F78" s="478">
        <f>F74+F75+F76</f>
        <v>0</v>
      </c>
      <c r="G78" s="463"/>
    </row>
    <row r="79" spans="1:8" ht="12">
      <c r="A79" s="469"/>
      <c r="E79" s="463"/>
      <c r="F79" s="478"/>
      <c r="G79" s="463"/>
    </row>
    <row r="80" spans="1:8" ht="12">
      <c r="A80" s="469"/>
      <c r="B80" s="463" t="s">
        <v>73</v>
      </c>
      <c r="E80" s="463"/>
      <c r="F80" s="478"/>
      <c r="G80" s="463"/>
    </row>
    <row r="81" spans="1:7" ht="12">
      <c r="A81" s="469">
        <v>5</v>
      </c>
      <c r="B81" s="463" t="s">
        <v>137</v>
      </c>
      <c r="E81" s="463"/>
      <c r="F81" s="478">
        <f>G14</f>
        <v>0</v>
      </c>
      <c r="G81" s="463"/>
    </row>
    <row r="82" spans="1:7" ht="12">
      <c r="A82" s="469"/>
      <c r="B82" s="463" t="s">
        <v>75</v>
      </c>
      <c r="E82" s="463"/>
      <c r="F82" s="478"/>
      <c r="G82" s="463"/>
    </row>
    <row r="83" spans="1:7" ht="12">
      <c r="A83" s="469">
        <v>6</v>
      </c>
      <c r="B83" s="463" t="s">
        <v>138</v>
      </c>
      <c r="E83" s="463"/>
      <c r="F83" s="478">
        <f>G16</f>
        <v>0</v>
      </c>
      <c r="G83" s="463"/>
    </row>
    <row r="84" spans="1:7" ht="12">
      <c r="A84" s="469">
        <v>7</v>
      </c>
      <c r="B84" s="463" t="s">
        <v>139</v>
      </c>
      <c r="E84" s="463"/>
      <c r="F84" s="478">
        <f>G17</f>
        <v>0</v>
      </c>
      <c r="G84" s="463"/>
    </row>
    <row r="85" spans="1:7" ht="12">
      <c r="A85" s="469">
        <v>8</v>
      </c>
      <c r="B85" s="463" t="s">
        <v>140</v>
      </c>
      <c r="E85" s="463"/>
      <c r="F85" s="479">
        <f>G18</f>
        <v>0</v>
      </c>
      <c r="G85" s="463"/>
    </row>
    <row r="86" spans="1:7" ht="12">
      <c r="A86" s="469">
        <v>9</v>
      </c>
      <c r="B86" s="463" t="s">
        <v>141</v>
      </c>
      <c r="E86" s="463"/>
      <c r="F86" s="478">
        <f>F83+F84+F85</f>
        <v>0</v>
      </c>
      <c r="G86" s="463"/>
    </row>
    <row r="87" spans="1:7" ht="12">
      <c r="A87" s="469"/>
      <c r="B87" s="463" t="s">
        <v>80</v>
      </c>
      <c r="E87" s="463"/>
      <c r="F87" s="478"/>
      <c r="G87" s="463"/>
    </row>
    <row r="88" spans="1:7" ht="12">
      <c r="A88" s="469">
        <v>10</v>
      </c>
      <c r="B88" s="463" t="s">
        <v>142</v>
      </c>
      <c r="E88" s="463"/>
      <c r="F88" s="478">
        <f>G21</f>
        <v>0</v>
      </c>
      <c r="G88" s="463"/>
    </row>
    <row r="89" spans="1:7" ht="12">
      <c r="A89" s="469">
        <v>11</v>
      </c>
      <c r="B89" s="463" t="s">
        <v>143</v>
      </c>
      <c r="E89" s="463"/>
      <c r="F89" s="478">
        <f>G22</f>
        <v>0</v>
      </c>
      <c r="G89" s="463"/>
    </row>
    <row r="90" spans="1:7" ht="12">
      <c r="A90" s="469">
        <v>12</v>
      </c>
      <c r="B90" s="463" t="s">
        <v>144</v>
      </c>
      <c r="E90" s="463"/>
      <c r="F90" s="479">
        <f>G23</f>
        <v>0</v>
      </c>
      <c r="G90" s="463"/>
    </row>
    <row r="91" spans="1:7" ht="12">
      <c r="A91" s="469">
        <v>13</v>
      </c>
      <c r="B91" s="463" t="s">
        <v>145</v>
      </c>
      <c r="E91" s="463"/>
      <c r="F91" s="478">
        <f>F88+F89+F90</f>
        <v>0</v>
      </c>
      <c r="G91" s="463"/>
    </row>
    <row r="92" spans="1:7" ht="12">
      <c r="A92" s="469"/>
      <c r="B92" s="463" t="s">
        <v>84</v>
      </c>
      <c r="E92" s="463"/>
      <c r="F92" s="478"/>
      <c r="G92" s="463"/>
    </row>
    <row r="93" spans="1:7" ht="12">
      <c r="A93" s="469">
        <v>14</v>
      </c>
      <c r="B93" s="463" t="s">
        <v>142</v>
      </c>
      <c r="E93" s="463"/>
      <c r="F93" s="478">
        <f>G26</f>
        <v>0</v>
      </c>
      <c r="G93" s="463"/>
    </row>
    <row r="94" spans="1:7" ht="12">
      <c r="A94" s="469">
        <v>15</v>
      </c>
      <c r="B94" s="463" t="s">
        <v>143</v>
      </c>
      <c r="E94" s="463"/>
      <c r="F94" s="478">
        <f>G27</f>
        <v>0</v>
      </c>
      <c r="G94" s="463"/>
    </row>
    <row r="95" spans="1:7" ht="12">
      <c r="A95" s="469">
        <v>16</v>
      </c>
      <c r="B95" s="463" t="s">
        <v>144</v>
      </c>
      <c r="E95" s="463"/>
      <c r="F95" s="479"/>
      <c r="G95" s="463"/>
    </row>
    <row r="96" spans="1:7" ht="12">
      <c r="A96" s="469">
        <v>17</v>
      </c>
      <c r="B96" s="463" t="s">
        <v>146</v>
      </c>
      <c r="E96" s="463"/>
      <c r="F96" s="478">
        <f>F93+F94+F95</f>
        <v>0</v>
      </c>
      <c r="G96" s="463"/>
    </row>
    <row r="97" spans="1:7" ht="12">
      <c r="A97" s="469">
        <v>18</v>
      </c>
      <c r="B97" s="463" t="s">
        <v>86</v>
      </c>
      <c r="E97" s="463"/>
      <c r="F97" s="478">
        <f>G31</f>
        <v>0</v>
      </c>
      <c r="G97" s="463"/>
    </row>
    <row r="98" spans="1:7" ht="12">
      <c r="A98" s="469">
        <v>19</v>
      </c>
      <c r="B98" s="463" t="s">
        <v>87</v>
      </c>
      <c r="E98" s="463"/>
      <c r="F98" s="478">
        <f>G32</f>
        <v>0</v>
      </c>
      <c r="G98" s="463"/>
    </row>
    <row r="99" spans="1:7" ht="12">
      <c r="A99" s="469">
        <v>20</v>
      </c>
      <c r="B99" s="463" t="s">
        <v>147</v>
      </c>
      <c r="E99" s="463"/>
      <c r="F99" s="478">
        <f>G33</f>
        <v>0</v>
      </c>
      <c r="G99" s="463"/>
    </row>
    <row r="100" spans="1:7" ht="12">
      <c r="A100" s="469"/>
      <c r="B100" s="463" t="s">
        <v>148</v>
      </c>
      <c r="E100" s="463"/>
      <c r="F100" s="478"/>
      <c r="G100" s="463"/>
    </row>
    <row r="101" spans="1:7" ht="12">
      <c r="A101" s="469">
        <v>21</v>
      </c>
      <c r="B101" s="463" t="s">
        <v>142</v>
      </c>
      <c r="E101" s="463"/>
      <c r="F101" s="478">
        <f>G35</f>
        <v>0</v>
      </c>
      <c r="G101" s="463"/>
    </row>
    <row r="102" spans="1:7" ht="12">
      <c r="A102" s="469">
        <v>22</v>
      </c>
      <c r="B102" s="463" t="s">
        <v>143</v>
      </c>
      <c r="E102" s="463"/>
      <c r="F102" s="478">
        <f>G36</f>
        <v>0</v>
      </c>
      <c r="G102" s="463"/>
    </row>
    <row r="103" spans="1:7" ht="12">
      <c r="A103" s="469">
        <v>23</v>
      </c>
      <c r="B103" s="463" t="s">
        <v>144</v>
      </c>
      <c r="E103" s="463"/>
      <c r="F103" s="479">
        <f>G37</f>
        <v>0</v>
      </c>
      <c r="G103" s="463"/>
    </row>
    <row r="104" spans="1:7" ht="12">
      <c r="A104" s="469">
        <v>24</v>
      </c>
      <c r="B104" s="463" t="s">
        <v>149</v>
      </c>
      <c r="E104" s="463"/>
      <c r="F104" s="479">
        <f>F101+F102+F103</f>
        <v>0</v>
      </c>
      <c r="G104" s="463"/>
    </row>
    <row r="105" spans="1:7" ht="12">
      <c r="A105" s="469"/>
      <c r="E105" s="463"/>
      <c r="F105" s="478"/>
      <c r="G105" s="463"/>
    </row>
    <row r="106" spans="1:7" ht="12">
      <c r="A106" s="469">
        <v>25</v>
      </c>
      <c r="B106" s="463" t="s">
        <v>91</v>
      </c>
      <c r="E106" s="463"/>
      <c r="F106" s="479">
        <f>F104+F99+F98+F97+F96+F91+F86+F81</f>
        <v>0</v>
      </c>
      <c r="G106" s="463"/>
    </row>
    <row r="107" spans="1:7" ht="12">
      <c r="A107" s="469"/>
      <c r="E107" s="463"/>
      <c r="F107" s="478"/>
      <c r="G107" s="463"/>
    </row>
    <row r="108" spans="1:7" ht="12">
      <c r="A108" s="469">
        <v>26</v>
      </c>
      <c r="B108" s="463" t="s">
        <v>171</v>
      </c>
      <c r="E108" s="463"/>
      <c r="F108" s="479">
        <f>F78-F106</f>
        <v>0</v>
      </c>
      <c r="G108" s="463"/>
    </row>
    <row r="109" spans="1:7" ht="12">
      <c r="A109" s="469"/>
      <c r="E109" s="463"/>
      <c r="G109" s="463"/>
    </row>
    <row r="110" spans="1:7" ht="12">
      <c r="A110" s="469">
        <v>27</v>
      </c>
      <c r="B110" s="463" t="s">
        <v>172</v>
      </c>
      <c r="G110" s="463"/>
    </row>
    <row r="111" spans="1:7" ht="12.75" thickBot="1">
      <c r="A111" s="469"/>
      <c r="B111" s="490" t="s">
        <v>173</v>
      </c>
      <c r="C111" s="491">
        <f>Inputs!$D$4</f>
        <v>1.1416000000000001E-2</v>
      </c>
      <c r="F111" s="486">
        <f>ROUND(F108*C111,0)</f>
        <v>0</v>
      </c>
      <c r="G111" s="463"/>
    </row>
    <row r="112" spans="1:7" ht="12.75" thickTop="1">
      <c r="A112" s="469"/>
      <c r="G112" s="463"/>
    </row>
  </sheetData>
  <customSheetViews>
    <customSheetView guid="{5BE913A1-B14F-11D2-B0DC-0000832CDFF0}" scale="75" showRuler="0" topLeftCell="A44">
      <selection sqref="A1:C1"/>
      <rowBreaks count="1" manualBreakCount="1">
        <brk id="65" max="65535" man="1"/>
      </rowBreaks>
      <pageMargins left="0.5" right="0.5" top="0.8" bottom="0.5" header="0.42" footer="0.5"/>
      <printOptions horizontalCentered="1"/>
      <pageSetup scale="80" orientation="portrait" horizontalDpi="300" verticalDpi="300" r:id="rId1"/>
      <headerFooter alignWithMargins="0"/>
    </customSheetView>
    <customSheetView guid="{A15D1964-B049-11D2-8670-0000832CEEE8}" scale="75" showRuler="0" topLeftCell="A44">
      <selection sqref="A1:C1"/>
      <rowBreaks count="1" manualBreakCount="1">
        <brk id="65" max="65535" man="1"/>
      </rowBreaks>
      <pageMargins left="0.5" right="0.5" top="0.8" bottom="0.5" header="0.42" footer="0.5"/>
      <printOptions horizontalCentered="1"/>
      <pageSetup scale="80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5" top="0.5" bottom="0.5" header="0.42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112"/>
  <sheetViews>
    <sheetView workbookViewId="0">
      <selection activeCell="F36" sqref="F36"/>
    </sheetView>
  </sheetViews>
  <sheetFormatPr defaultColWidth="12.42578125" defaultRowHeight="11.1" customHeight="1"/>
  <cols>
    <col min="1" max="1" width="6.42578125" style="493" customWidth="1"/>
    <col min="2" max="2" width="26.140625" style="493" customWidth="1"/>
    <col min="3" max="3" width="12.42578125" style="493" customWidth="1"/>
    <col min="4" max="4" width="6.7109375" style="493" customWidth="1"/>
    <col min="5" max="5" width="12.42578125" style="513" customWidth="1"/>
    <col min="6" max="6" width="12.42578125" style="514" customWidth="1"/>
    <col min="7" max="7" width="12.42578125" style="513" customWidth="1"/>
    <col min="8" max="16384" width="12.42578125" style="493"/>
  </cols>
  <sheetData>
    <row r="1" spans="1:8" ht="12">
      <c r="A1" s="492" t="str">
        <f>Inputs!$D$6</f>
        <v>AVISTA UTILITIES</v>
      </c>
      <c r="B1" s="492"/>
      <c r="C1" s="492"/>
      <c r="E1" s="494"/>
      <c r="F1" s="495"/>
      <c r="G1" s="494"/>
    </row>
    <row r="2" spans="1:8" ht="12">
      <c r="A2" s="492" t="s">
        <v>125</v>
      </c>
      <c r="B2" s="492"/>
      <c r="C2" s="492"/>
      <c r="E2" s="494"/>
      <c r="F2" s="496" t="s">
        <v>183</v>
      </c>
      <c r="G2" s="494"/>
    </row>
    <row r="3" spans="1:8" ht="12">
      <c r="A3" s="492" t="str">
        <f>Inputs!$D$2</f>
        <v>TWELVE MONTHS ENDED SEPTEMBER 30, 2008</v>
      </c>
      <c r="B3" s="492"/>
      <c r="C3" s="492"/>
      <c r="E3" s="494"/>
      <c r="F3" s="496" t="s">
        <v>174</v>
      </c>
      <c r="G3" s="493"/>
    </row>
    <row r="4" spans="1:8" ht="12">
      <c r="A4" s="492" t="s">
        <v>128</v>
      </c>
      <c r="B4" s="492"/>
      <c r="C4" s="492"/>
      <c r="E4" s="497"/>
      <c r="F4" s="498" t="s">
        <v>129</v>
      </c>
      <c r="G4" s="497"/>
    </row>
    <row r="5" spans="1:8" ht="12">
      <c r="A5" s="499" t="s">
        <v>10</v>
      </c>
      <c r="E5" s="494"/>
      <c r="F5" s="496"/>
      <c r="G5" s="494"/>
    </row>
    <row r="6" spans="1:8" ht="12">
      <c r="A6" s="500" t="s">
        <v>27</v>
      </c>
      <c r="B6" s="501" t="s">
        <v>113</v>
      </c>
      <c r="C6" s="501"/>
      <c r="E6" s="502" t="s">
        <v>130</v>
      </c>
      <c r="F6" s="503" t="s">
        <v>131</v>
      </c>
      <c r="G6" s="502" t="s">
        <v>132</v>
      </c>
      <c r="H6" s="504" t="s">
        <v>133</v>
      </c>
    </row>
    <row r="7" spans="1:8" ht="12">
      <c r="A7" s="499"/>
      <c r="B7" s="493" t="s">
        <v>68</v>
      </c>
      <c r="E7" s="505"/>
      <c r="F7" s="496"/>
      <c r="G7" s="505"/>
    </row>
    <row r="8" spans="1:8" ht="12">
      <c r="A8" s="499">
        <v>1</v>
      </c>
      <c r="B8" s="493" t="s">
        <v>134</v>
      </c>
      <c r="E8" s="506"/>
      <c r="F8" s="506"/>
      <c r="G8" s="506"/>
      <c r="H8" s="507" t="str">
        <f>IF(E8=F8+G8," ","ERROR")</f>
        <v xml:space="preserve"> </v>
      </c>
    </row>
    <row r="9" spans="1:8" ht="12">
      <c r="A9" s="499">
        <v>2</v>
      </c>
      <c r="B9" s="493" t="s">
        <v>135</v>
      </c>
      <c r="E9" s="508"/>
      <c r="F9" s="508"/>
      <c r="G9" s="508"/>
      <c r="H9" s="507" t="str">
        <f>IF(E9=F9+G9," ","ERROR")</f>
        <v xml:space="preserve"> </v>
      </c>
    </row>
    <row r="10" spans="1:8" ht="12">
      <c r="A10" s="499">
        <v>3</v>
      </c>
      <c r="B10" s="493" t="s">
        <v>71</v>
      </c>
      <c r="E10" s="509"/>
      <c r="F10" s="509"/>
      <c r="G10" s="509"/>
      <c r="H10" s="507" t="str">
        <f>IF(E10=F10+G10," ","ERROR")</f>
        <v xml:space="preserve"> </v>
      </c>
    </row>
    <row r="11" spans="1:8" ht="12">
      <c r="A11" s="499">
        <v>4</v>
      </c>
      <c r="B11" s="493" t="s">
        <v>136</v>
      </c>
      <c r="E11" s="508">
        <f>SUM(E8:E10)</f>
        <v>0</v>
      </c>
      <c r="F11" s="508">
        <f>SUM(F8:F10)</f>
        <v>0</v>
      </c>
      <c r="G11" s="508">
        <f>SUM(G8:G10)</f>
        <v>0</v>
      </c>
      <c r="H11" s="507" t="str">
        <f>IF(E11=F11+G11," ","ERROR")</f>
        <v xml:space="preserve"> </v>
      </c>
    </row>
    <row r="12" spans="1:8" ht="12">
      <c r="A12" s="499"/>
      <c r="E12" s="508"/>
      <c r="F12" s="508"/>
      <c r="G12" s="508"/>
      <c r="H12" s="507"/>
    </row>
    <row r="13" spans="1:8" ht="12">
      <c r="A13" s="499"/>
      <c r="B13" s="493" t="s">
        <v>73</v>
      </c>
      <c r="E13" s="508"/>
      <c r="F13" s="508"/>
      <c r="G13" s="508"/>
      <c r="H13" s="507"/>
    </row>
    <row r="14" spans="1:8" ht="12">
      <c r="A14" s="499">
        <v>5</v>
      </c>
      <c r="B14" s="493" t="s">
        <v>137</v>
      </c>
      <c r="E14" s="508"/>
      <c r="F14" s="508"/>
      <c r="G14" s="508"/>
      <c r="H14" s="507" t="str">
        <f>IF(E14=F14+G14," ","ERROR")</f>
        <v xml:space="preserve"> </v>
      </c>
    </row>
    <row r="15" spans="1:8" ht="12">
      <c r="A15" s="499"/>
      <c r="B15" s="493" t="s">
        <v>75</v>
      </c>
      <c r="E15" s="508"/>
      <c r="F15" s="508"/>
      <c r="G15" s="508"/>
      <c r="H15" s="507"/>
    </row>
    <row r="16" spans="1:8" ht="12">
      <c r="A16" s="499">
        <v>6</v>
      </c>
      <c r="B16" s="493" t="s">
        <v>138</v>
      </c>
      <c r="E16" s="508"/>
      <c r="F16" s="508"/>
      <c r="G16" s="508"/>
      <c r="H16" s="507" t="str">
        <f>IF(E16=F16+G16," ","ERROR")</f>
        <v xml:space="preserve"> </v>
      </c>
    </row>
    <row r="17" spans="1:8" ht="12">
      <c r="A17" s="499">
        <v>7</v>
      </c>
      <c r="B17" s="493" t="s">
        <v>139</v>
      </c>
      <c r="E17" s="508"/>
      <c r="F17" s="508"/>
      <c r="G17" s="508"/>
      <c r="H17" s="507" t="str">
        <f>IF(E17=F17+G17," ","ERROR")</f>
        <v xml:space="preserve"> </v>
      </c>
    </row>
    <row r="18" spans="1:8" ht="12">
      <c r="A18" s="499">
        <v>8</v>
      </c>
      <c r="B18" s="493" t="s">
        <v>140</v>
      </c>
      <c r="E18" s="509"/>
      <c r="F18" s="509"/>
      <c r="G18" s="509"/>
      <c r="H18" s="507" t="str">
        <f>IF(E18=F18+G18," ","ERROR")</f>
        <v xml:space="preserve"> </v>
      </c>
    </row>
    <row r="19" spans="1:8" ht="12">
      <c r="A19" s="499">
        <v>9</v>
      </c>
      <c r="B19" s="493" t="s">
        <v>141</v>
      </c>
      <c r="E19" s="508">
        <f>SUM(E16:E18)</f>
        <v>0</v>
      </c>
      <c r="F19" s="508">
        <f>SUM(F16:F18)</f>
        <v>0</v>
      </c>
      <c r="G19" s="508">
        <f>SUM(G16:G18)</f>
        <v>0</v>
      </c>
      <c r="H19" s="507" t="str">
        <f>IF(E19=F19+G19," ","ERROR")</f>
        <v xml:space="preserve"> </v>
      </c>
    </row>
    <row r="20" spans="1:8" ht="12">
      <c r="A20" s="499"/>
      <c r="B20" s="493" t="s">
        <v>80</v>
      </c>
      <c r="E20" s="508"/>
      <c r="F20" s="508"/>
      <c r="G20" s="508"/>
      <c r="H20" s="507"/>
    </row>
    <row r="21" spans="1:8" ht="12">
      <c r="A21" s="499">
        <v>10</v>
      </c>
      <c r="B21" s="493" t="s">
        <v>142</v>
      </c>
      <c r="E21" s="508"/>
      <c r="F21" s="508"/>
      <c r="G21" s="508"/>
      <c r="H21" s="507" t="str">
        <f>IF(E21=F21+G21," ","ERROR")</f>
        <v xml:space="preserve"> </v>
      </c>
    </row>
    <row r="22" spans="1:8" ht="12">
      <c r="A22" s="499">
        <v>11</v>
      </c>
      <c r="B22" s="493" t="s">
        <v>143</v>
      </c>
      <c r="E22" s="508"/>
      <c r="F22" s="508"/>
      <c r="G22" s="508"/>
      <c r="H22" s="507" t="str">
        <f>IF(E22=F22+G22," ","ERROR")</f>
        <v xml:space="preserve"> </v>
      </c>
    </row>
    <row r="23" spans="1:8" ht="12">
      <c r="A23" s="499">
        <v>12</v>
      </c>
      <c r="B23" s="493" t="s">
        <v>144</v>
      </c>
      <c r="E23" s="509"/>
      <c r="F23" s="509"/>
      <c r="G23" s="509"/>
      <c r="H23" s="507" t="str">
        <f>IF(E23=F23+G23," ","ERROR")</f>
        <v xml:space="preserve"> </v>
      </c>
    </row>
    <row r="24" spans="1:8" ht="12">
      <c r="A24" s="499">
        <v>13</v>
      </c>
      <c r="B24" s="493" t="s">
        <v>145</v>
      </c>
      <c r="E24" s="508">
        <f>SUM(E21:E23)</f>
        <v>0</v>
      </c>
      <c r="F24" s="508">
        <f>SUM(F21:F23)</f>
        <v>0</v>
      </c>
      <c r="G24" s="508">
        <f>SUM(G21:G23)</f>
        <v>0</v>
      </c>
      <c r="H24" s="507" t="str">
        <f>IF(E24=F24+G24," ","ERROR")</f>
        <v xml:space="preserve"> </v>
      </c>
    </row>
    <row r="25" spans="1:8" ht="12">
      <c r="A25" s="499"/>
      <c r="B25" s="493" t="s">
        <v>84</v>
      </c>
      <c r="E25" s="508"/>
      <c r="F25" s="508"/>
      <c r="G25" s="508"/>
      <c r="H25" s="507"/>
    </row>
    <row r="26" spans="1:8" ht="12">
      <c r="A26" s="499">
        <v>14</v>
      </c>
      <c r="B26" s="493" t="s">
        <v>142</v>
      </c>
      <c r="E26" s="508"/>
      <c r="F26" s="508"/>
      <c r="G26" s="508"/>
      <c r="H26" s="507" t="str">
        <f>IF(E26=F26+G26," ","ERROR")</f>
        <v xml:space="preserve"> </v>
      </c>
    </row>
    <row r="27" spans="1:8" ht="12">
      <c r="A27" s="499">
        <v>15</v>
      </c>
      <c r="B27" s="493" t="s">
        <v>143</v>
      </c>
      <c r="E27" s="508"/>
      <c r="F27" s="508"/>
      <c r="G27" s="508"/>
      <c r="H27" s="507" t="str">
        <f>IF(E27=F27+G27," ","ERROR")</f>
        <v xml:space="preserve"> </v>
      </c>
    </row>
    <row r="28" spans="1:8" ht="12">
      <c r="A28" s="499">
        <v>16</v>
      </c>
      <c r="B28" s="493" t="s">
        <v>144</v>
      </c>
      <c r="E28" s="509">
        <f>F28+G28</f>
        <v>0</v>
      </c>
      <c r="F28" s="509"/>
      <c r="G28" s="510">
        <v>0</v>
      </c>
      <c r="H28" s="507" t="str">
        <f>IF(E28=F28+G28," ","ERROR")</f>
        <v xml:space="preserve"> </v>
      </c>
    </row>
    <row r="29" spans="1:8" ht="12">
      <c r="A29" s="499">
        <v>17</v>
      </c>
      <c r="B29" s="493" t="s">
        <v>146</v>
      </c>
      <c r="E29" s="508">
        <f>SUM(E26:E28)</f>
        <v>0</v>
      </c>
      <c r="F29" s="508">
        <f>SUM(F26:F28)</f>
        <v>0</v>
      </c>
      <c r="G29" s="508">
        <f>SUM(G26:G28)</f>
        <v>0</v>
      </c>
      <c r="H29" s="507" t="str">
        <f>IF(E29=F29+G29," ","ERROR")</f>
        <v xml:space="preserve"> </v>
      </c>
    </row>
    <row r="30" spans="1:8" ht="12">
      <c r="A30" s="499"/>
      <c r="E30" s="508"/>
      <c r="F30" s="508"/>
      <c r="G30" s="508"/>
      <c r="H30" s="507"/>
    </row>
    <row r="31" spans="1:8" ht="12">
      <c r="A31" s="499">
        <v>18</v>
      </c>
      <c r="B31" s="493" t="s">
        <v>86</v>
      </c>
      <c r="E31" s="508"/>
      <c r="F31" s="508"/>
      <c r="G31" s="508"/>
      <c r="H31" s="507" t="str">
        <f>IF(E31=F31+G31," ","ERROR")</f>
        <v xml:space="preserve"> </v>
      </c>
    </row>
    <row r="32" spans="1:8" ht="12">
      <c r="A32" s="499">
        <v>19</v>
      </c>
      <c r="B32" s="493" t="s">
        <v>87</v>
      </c>
      <c r="E32" s="508"/>
      <c r="F32" s="508"/>
      <c r="G32" s="508"/>
      <c r="H32" s="507" t="str">
        <f>IF(E32=F32+G32," ","ERROR")</f>
        <v xml:space="preserve"> </v>
      </c>
    </row>
    <row r="33" spans="1:8" ht="12">
      <c r="A33" s="499">
        <v>20</v>
      </c>
      <c r="B33" s="493" t="s">
        <v>147</v>
      </c>
      <c r="E33" s="508"/>
      <c r="F33" s="508"/>
      <c r="G33" s="508"/>
      <c r="H33" s="507" t="str">
        <f>IF(E33=F33+G33," ","ERROR")</f>
        <v xml:space="preserve"> </v>
      </c>
    </row>
    <row r="34" spans="1:8" ht="12">
      <c r="A34" s="499"/>
      <c r="B34" s="493" t="s">
        <v>148</v>
      </c>
      <c r="E34" s="508"/>
      <c r="F34" s="508"/>
      <c r="G34" s="508"/>
      <c r="H34" s="507"/>
    </row>
    <row r="35" spans="1:8" ht="12">
      <c r="A35" s="499">
        <v>21</v>
      </c>
      <c r="B35" s="493" t="s">
        <v>142</v>
      </c>
      <c r="E35" s="508">
        <f>SUM(F35:G35)</f>
        <v>14</v>
      </c>
      <c r="F35" s="508">
        <v>14</v>
      </c>
      <c r="G35" s="508">
        <v>0</v>
      </c>
      <c r="H35" s="507" t="str">
        <f>IF(E35=F35+G35," ","ERROR")</f>
        <v xml:space="preserve"> </v>
      </c>
    </row>
    <row r="36" spans="1:8" ht="12">
      <c r="A36" s="499">
        <v>22</v>
      </c>
      <c r="B36" s="493" t="s">
        <v>143</v>
      </c>
      <c r="E36" s="508"/>
      <c r="F36" s="508"/>
      <c r="G36" s="508"/>
      <c r="H36" s="507" t="str">
        <f>IF(E36=F36+G36," ","ERROR")</f>
        <v xml:space="preserve"> </v>
      </c>
    </row>
    <row r="37" spans="1:8" ht="12">
      <c r="A37" s="499">
        <v>23</v>
      </c>
      <c r="B37" s="493" t="s">
        <v>144</v>
      </c>
      <c r="E37" s="509"/>
      <c r="F37" s="509"/>
      <c r="G37" s="509"/>
      <c r="H37" s="507" t="str">
        <f>IF(E37=F37+G37," ","ERROR")</f>
        <v xml:space="preserve"> </v>
      </c>
    </row>
    <row r="38" spans="1:8" ht="12">
      <c r="A38" s="499">
        <v>24</v>
      </c>
      <c r="B38" s="493" t="s">
        <v>149</v>
      </c>
      <c r="E38" s="509">
        <f>SUM(E35:E37)</f>
        <v>14</v>
      </c>
      <c r="F38" s="509">
        <f>SUM(F35:F37)</f>
        <v>14</v>
      </c>
      <c r="G38" s="509">
        <f>SUM(G35:G37)</f>
        <v>0</v>
      </c>
      <c r="H38" s="507" t="str">
        <f>IF(E38=F38+G38," ","ERROR")</f>
        <v xml:space="preserve"> </v>
      </c>
    </row>
    <row r="39" spans="1:8" ht="12">
      <c r="A39" s="499">
        <v>25</v>
      </c>
      <c r="B39" s="493" t="s">
        <v>91</v>
      </c>
      <c r="E39" s="509">
        <f>E19+E24+E29+E31+E32+E33+E38+E14</f>
        <v>14</v>
      </c>
      <c r="F39" s="509">
        <f>F19+F24+F29+F31+F32+F33+F38+F14</f>
        <v>14</v>
      </c>
      <c r="G39" s="509">
        <f>G19+G24+G29+G31+G32+G33+G38+G14</f>
        <v>0</v>
      </c>
      <c r="H39" s="507" t="str">
        <f>IF(E39=F39+G39," ","ERROR")</f>
        <v xml:space="preserve"> </v>
      </c>
    </row>
    <row r="40" spans="1:8" ht="12">
      <c r="A40" s="499"/>
      <c r="E40" s="508"/>
      <c r="F40" s="508"/>
      <c r="G40" s="508"/>
      <c r="H40" s="507"/>
    </row>
    <row r="41" spans="1:8" ht="12">
      <c r="A41" s="499">
        <v>26</v>
      </c>
      <c r="B41" s="493" t="s">
        <v>150</v>
      </c>
      <c r="E41" s="508">
        <f>E11-E39</f>
        <v>-14</v>
      </c>
      <c r="F41" s="508">
        <f>F11-F39</f>
        <v>-14</v>
      </c>
      <c r="G41" s="508">
        <f>G11-G39</f>
        <v>0</v>
      </c>
      <c r="H41" s="507" t="str">
        <f>IF(E41=F41+G41," ","ERROR")</f>
        <v xml:space="preserve"> </v>
      </c>
    </row>
    <row r="42" spans="1:8" ht="12">
      <c r="A42" s="499"/>
      <c r="E42" s="508"/>
      <c r="F42" s="508"/>
      <c r="G42" s="508"/>
      <c r="H42" s="507"/>
    </row>
    <row r="43" spans="1:8" ht="12">
      <c r="A43" s="499"/>
      <c r="B43" s="493" t="s">
        <v>151</v>
      </c>
      <c r="E43" s="508"/>
      <c r="F43" s="508"/>
      <c r="G43" s="508"/>
      <c r="H43" s="507"/>
    </row>
    <row r="44" spans="1:8" ht="12">
      <c r="A44" s="499">
        <v>27</v>
      </c>
      <c r="B44" s="511" t="s">
        <v>152</v>
      </c>
      <c r="D44" s="512">
        <v>0.35</v>
      </c>
      <c r="E44" s="508">
        <f>F44+G44</f>
        <v>-5</v>
      </c>
      <c r="F44" s="508">
        <f>ROUND(F41*D44,0)</f>
        <v>-5</v>
      </c>
      <c r="G44" s="508">
        <f>ROUND(G41*D44,0)</f>
        <v>0</v>
      </c>
      <c r="H44" s="507" t="str">
        <f>IF(E44=F44+G44," ","ERROR")</f>
        <v xml:space="preserve"> </v>
      </c>
    </row>
    <row r="45" spans="1:8" ht="12">
      <c r="A45" s="499">
        <v>28</v>
      </c>
      <c r="B45" s="493" t="s">
        <v>154</v>
      </c>
      <c r="E45" s="508"/>
      <c r="F45" s="508"/>
      <c r="G45" s="508"/>
      <c r="H45" s="507" t="str">
        <f>IF(E45=F45+G45," ","ERROR")</f>
        <v xml:space="preserve"> </v>
      </c>
    </row>
    <row r="46" spans="1:8" ht="12">
      <c r="A46" s="499">
        <v>29</v>
      </c>
      <c r="B46" s="493" t="s">
        <v>153</v>
      </c>
      <c r="E46" s="509"/>
      <c r="F46" s="509"/>
      <c r="G46" s="509"/>
      <c r="H46" s="507" t="str">
        <f>IF(E46=F46+G46," ","ERROR")</f>
        <v xml:space="preserve"> </v>
      </c>
    </row>
    <row r="47" spans="1:8" ht="12">
      <c r="A47" s="499"/>
      <c r="H47" s="507"/>
    </row>
    <row r="48" spans="1:8" ht="12.75" thickBot="1">
      <c r="A48" s="499">
        <v>30</v>
      </c>
      <c r="B48" s="515" t="s">
        <v>97</v>
      </c>
      <c r="E48" s="516">
        <f>E41-(+E44+E45+E46)</f>
        <v>-9</v>
      </c>
      <c r="F48" s="516">
        <f>F41-F44+F45+F46</f>
        <v>-9</v>
      </c>
      <c r="G48" s="516">
        <f>G41-SUM(G44:G46)</f>
        <v>0</v>
      </c>
      <c r="H48" s="507" t="str">
        <f>IF(E48=F48+G48," ","ERROR")</f>
        <v xml:space="preserve"> </v>
      </c>
    </row>
    <row r="49" spans="1:8" ht="12.75" thickTop="1">
      <c r="A49" s="499"/>
      <c r="H49" s="507"/>
    </row>
    <row r="50" spans="1:8" ht="12">
      <c r="A50" s="499"/>
      <c r="B50" s="511" t="s">
        <v>155</v>
      </c>
      <c r="H50" s="507"/>
    </row>
    <row r="51" spans="1:8" ht="12">
      <c r="A51" s="499"/>
      <c r="B51" s="511" t="s">
        <v>156</v>
      </c>
      <c r="H51" s="507"/>
    </row>
    <row r="52" spans="1:8" ht="12">
      <c r="A52" s="499">
        <v>31</v>
      </c>
      <c r="B52" s="493" t="s">
        <v>157</v>
      </c>
      <c r="E52" s="506"/>
      <c r="F52" s="506"/>
      <c r="G52" s="506"/>
      <c r="H52" s="507" t="str">
        <f t="shared" ref="H52:H63" si="0">IF(E52=F52+G52," ","ERROR")</f>
        <v xml:space="preserve"> </v>
      </c>
    </row>
    <row r="53" spans="1:8" ht="12">
      <c r="A53" s="499">
        <v>32</v>
      </c>
      <c r="B53" s="493" t="s">
        <v>158</v>
      </c>
      <c r="E53" s="508"/>
      <c r="F53" s="508"/>
      <c r="G53" s="508"/>
      <c r="H53" s="507" t="str">
        <f t="shared" si="0"/>
        <v xml:space="preserve"> </v>
      </c>
    </row>
    <row r="54" spans="1:8" ht="12">
      <c r="A54" s="499">
        <v>33</v>
      </c>
      <c r="B54" s="493" t="s">
        <v>166</v>
      </c>
      <c r="E54" s="509"/>
      <c r="F54" s="509"/>
      <c r="G54" s="509"/>
      <c r="H54" s="507" t="str">
        <f t="shared" si="0"/>
        <v xml:space="preserve"> </v>
      </c>
    </row>
    <row r="55" spans="1:8" ht="12">
      <c r="A55" s="499">
        <v>34</v>
      </c>
      <c r="B55" s="493" t="s">
        <v>160</v>
      </c>
      <c r="E55" s="508">
        <f>SUM(E52:E54)</f>
        <v>0</v>
      </c>
      <c r="F55" s="508">
        <f>SUM(F52:F54)</f>
        <v>0</v>
      </c>
      <c r="G55" s="508">
        <f>SUM(G52:G54)</f>
        <v>0</v>
      </c>
      <c r="H55" s="507" t="str">
        <f t="shared" si="0"/>
        <v xml:space="preserve"> </v>
      </c>
    </row>
    <row r="56" spans="1:8" ht="12">
      <c r="A56" s="499"/>
      <c r="B56" s="493" t="s">
        <v>102</v>
      </c>
      <c r="E56" s="508"/>
      <c r="F56" s="508"/>
      <c r="G56" s="508"/>
      <c r="H56" s="507" t="str">
        <f t="shared" si="0"/>
        <v xml:space="preserve"> </v>
      </c>
    </row>
    <row r="57" spans="1:8" ht="12">
      <c r="A57" s="499">
        <v>35</v>
      </c>
      <c r="B57" s="493" t="s">
        <v>157</v>
      </c>
      <c r="E57" s="508"/>
      <c r="F57" s="508"/>
      <c r="G57" s="508"/>
      <c r="H57" s="507" t="str">
        <f t="shared" si="0"/>
        <v xml:space="preserve"> </v>
      </c>
    </row>
    <row r="58" spans="1:8" ht="12">
      <c r="A58" s="499">
        <v>36</v>
      </c>
      <c r="B58" s="493" t="s">
        <v>158</v>
      </c>
      <c r="E58" s="508"/>
      <c r="F58" s="508"/>
      <c r="G58" s="508"/>
      <c r="H58" s="507" t="str">
        <f t="shared" si="0"/>
        <v xml:space="preserve"> </v>
      </c>
    </row>
    <row r="59" spans="1:8" ht="12">
      <c r="A59" s="499">
        <v>37</v>
      </c>
      <c r="B59" s="493" t="s">
        <v>166</v>
      </c>
      <c r="E59" s="509"/>
      <c r="F59" s="509"/>
      <c r="G59" s="509"/>
      <c r="H59" s="507" t="str">
        <f t="shared" si="0"/>
        <v xml:space="preserve"> </v>
      </c>
    </row>
    <row r="60" spans="1:8" ht="12">
      <c r="A60" s="499">
        <v>38</v>
      </c>
      <c r="B60" s="493" t="s">
        <v>161</v>
      </c>
      <c r="E60" s="508">
        <f>SUM(E57:E59)</f>
        <v>0</v>
      </c>
      <c r="F60" s="508">
        <f>SUM(F57:F59)</f>
        <v>0</v>
      </c>
      <c r="G60" s="508">
        <f>SUM(G57:G59)</f>
        <v>0</v>
      </c>
      <c r="H60" s="507" t="str">
        <f t="shared" si="0"/>
        <v xml:space="preserve"> </v>
      </c>
    </row>
    <row r="61" spans="1:8" ht="12">
      <c r="A61" s="499">
        <v>39</v>
      </c>
      <c r="B61" s="511" t="s">
        <v>162</v>
      </c>
      <c r="E61" s="508"/>
      <c r="F61" s="508"/>
      <c r="G61" s="508"/>
      <c r="H61" s="507" t="str">
        <f t="shared" si="0"/>
        <v xml:space="preserve"> </v>
      </c>
    </row>
    <row r="62" spans="1:8" ht="12">
      <c r="A62" s="499">
        <v>40</v>
      </c>
      <c r="B62" s="493" t="s">
        <v>105</v>
      </c>
      <c r="E62" s="508"/>
      <c r="F62" s="508"/>
      <c r="G62" s="508"/>
      <c r="H62" s="507" t="str">
        <f t="shared" si="0"/>
        <v xml:space="preserve"> </v>
      </c>
    </row>
    <row r="63" spans="1:8" ht="12">
      <c r="A63" s="499">
        <v>41</v>
      </c>
      <c r="B63" s="511" t="s">
        <v>106</v>
      </c>
      <c r="E63" s="509"/>
      <c r="F63" s="509"/>
      <c r="G63" s="509"/>
      <c r="H63" s="507" t="str">
        <f t="shared" si="0"/>
        <v xml:space="preserve"> </v>
      </c>
    </row>
    <row r="64" spans="1:8" ht="9" customHeight="1">
      <c r="A64" s="499"/>
      <c r="B64" s="493" t="s">
        <v>163</v>
      </c>
      <c r="H64" s="507"/>
    </row>
    <row r="65" spans="1:8" ht="12.75" thickBot="1">
      <c r="A65" s="499">
        <v>42</v>
      </c>
      <c r="B65" s="515" t="s">
        <v>107</v>
      </c>
      <c r="E65" s="516">
        <f>E55-E60+E61+E62+E63</f>
        <v>0</v>
      </c>
      <c r="F65" s="516">
        <f>F55-F60+F61+F62+F63</f>
        <v>0</v>
      </c>
      <c r="G65" s="516">
        <f>G55-G60+G61+G62+G63</f>
        <v>0</v>
      </c>
      <c r="H65" s="507" t="str">
        <f>IF(E65=F65+G65," ","ERROR")</f>
        <v xml:space="preserve"> </v>
      </c>
    </row>
    <row r="66" spans="1:8" ht="12.75" thickTop="1">
      <c r="A66" s="492" t="str">
        <f>Inputs!$D$6</f>
        <v>AVISTA UTILITIES</v>
      </c>
      <c r="B66" s="492"/>
      <c r="C66" s="492"/>
      <c r="G66" s="493"/>
    </row>
    <row r="67" spans="1:8" ht="12">
      <c r="A67" s="492" t="s">
        <v>169</v>
      </c>
      <c r="B67" s="492"/>
      <c r="C67" s="492"/>
      <c r="G67" s="493"/>
    </row>
    <row r="68" spans="1:8" ht="12">
      <c r="A68" s="492" t="str">
        <f>A3</f>
        <v>TWELVE MONTHS ENDED SEPTEMBER 30, 2008</v>
      </c>
      <c r="B68" s="492"/>
      <c r="C68" s="492"/>
      <c r="F68" s="496" t="str">
        <f>F2</f>
        <v>REGULATORY EXPENSE</v>
      </c>
      <c r="G68" s="493"/>
    </row>
    <row r="69" spans="1:8" ht="12">
      <c r="A69" s="492" t="s">
        <v>170</v>
      </c>
      <c r="B69" s="492"/>
      <c r="C69" s="492"/>
      <c r="F69" s="496" t="str">
        <f>F3</f>
        <v>ADJUSTMENT</v>
      </c>
      <c r="G69" s="493"/>
    </row>
    <row r="70" spans="1:8" ht="12">
      <c r="E70" s="517"/>
      <c r="F70" s="503" t="str">
        <f>F4</f>
        <v>GAS</v>
      </c>
      <c r="G70" s="518"/>
    </row>
    <row r="71" spans="1:8" ht="12">
      <c r="A71" s="499" t="s">
        <v>10</v>
      </c>
      <c r="F71" s="496"/>
    </row>
    <row r="72" spans="1:8" ht="12">
      <c r="A72" s="519" t="s">
        <v>27</v>
      </c>
      <c r="B72" s="501" t="s">
        <v>113</v>
      </c>
      <c r="C72" s="501"/>
      <c r="F72" s="503" t="s">
        <v>132</v>
      </c>
    </row>
    <row r="73" spans="1:8" ht="12">
      <c r="A73" s="499"/>
      <c r="B73" s="493" t="s">
        <v>68</v>
      </c>
      <c r="E73" s="493"/>
      <c r="G73" s="493"/>
    </row>
    <row r="74" spans="1:8" ht="12">
      <c r="A74" s="499">
        <v>1</v>
      </c>
      <c r="B74" s="493" t="s">
        <v>134</v>
      </c>
      <c r="E74" s="493"/>
      <c r="F74" s="506">
        <f>G8</f>
        <v>0</v>
      </c>
      <c r="G74" s="493"/>
    </row>
    <row r="75" spans="1:8" ht="12">
      <c r="A75" s="499">
        <v>2</v>
      </c>
      <c r="B75" s="493" t="s">
        <v>135</v>
      </c>
      <c r="E75" s="493"/>
      <c r="F75" s="508">
        <f>G9</f>
        <v>0</v>
      </c>
      <c r="G75" s="493"/>
    </row>
    <row r="76" spans="1:8" ht="12">
      <c r="A76" s="499">
        <v>3</v>
      </c>
      <c r="B76" s="493" t="s">
        <v>71</v>
      </c>
      <c r="E76" s="493"/>
      <c r="F76" s="509">
        <f>G10</f>
        <v>0</v>
      </c>
      <c r="G76" s="493"/>
    </row>
    <row r="77" spans="1:8" ht="12">
      <c r="A77" s="499"/>
      <c r="E77" s="493"/>
      <c r="F77" s="508"/>
      <c r="G77" s="493"/>
    </row>
    <row r="78" spans="1:8" ht="12">
      <c r="A78" s="499">
        <v>4</v>
      </c>
      <c r="B78" s="493" t="s">
        <v>136</v>
      </c>
      <c r="E78" s="493"/>
      <c r="F78" s="508">
        <f>F74+F75+F76</f>
        <v>0</v>
      </c>
      <c r="G78" s="493"/>
    </row>
    <row r="79" spans="1:8" ht="12">
      <c r="A79" s="499"/>
      <c r="E79" s="493"/>
      <c r="F79" s="508"/>
      <c r="G79" s="493"/>
    </row>
    <row r="80" spans="1:8" ht="12">
      <c r="A80" s="499"/>
      <c r="B80" s="493" t="s">
        <v>73</v>
      </c>
      <c r="E80" s="493"/>
      <c r="F80" s="508"/>
      <c r="G80" s="493"/>
    </row>
    <row r="81" spans="1:7" ht="12">
      <c r="A81" s="499">
        <v>5</v>
      </c>
      <c r="B81" s="493" t="s">
        <v>137</v>
      </c>
      <c r="E81" s="493"/>
      <c r="F81" s="508">
        <f>G14</f>
        <v>0</v>
      </c>
      <c r="G81" s="493"/>
    </row>
    <row r="82" spans="1:7" ht="12">
      <c r="A82" s="499"/>
      <c r="B82" s="493" t="s">
        <v>75</v>
      </c>
      <c r="E82" s="493"/>
      <c r="F82" s="508"/>
      <c r="G82" s="493"/>
    </row>
    <row r="83" spans="1:7" ht="12">
      <c r="A83" s="499">
        <v>6</v>
      </c>
      <c r="B83" s="493" t="s">
        <v>138</v>
      </c>
      <c r="E83" s="493"/>
      <c r="F83" s="508">
        <f>G16</f>
        <v>0</v>
      </c>
      <c r="G83" s="493"/>
    </row>
    <row r="84" spans="1:7" ht="12">
      <c r="A84" s="499">
        <v>7</v>
      </c>
      <c r="B84" s="493" t="s">
        <v>139</v>
      </c>
      <c r="E84" s="493"/>
      <c r="F84" s="508">
        <f>G17</f>
        <v>0</v>
      </c>
      <c r="G84" s="493"/>
    </row>
    <row r="85" spans="1:7" ht="12">
      <c r="A85" s="499">
        <v>8</v>
      </c>
      <c r="B85" s="493" t="s">
        <v>140</v>
      </c>
      <c r="E85" s="493"/>
      <c r="F85" s="509">
        <f>G18</f>
        <v>0</v>
      </c>
      <c r="G85" s="493"/>
    </row>
    <row r="86" spans="1:7" ht="12">
      <c r="A86" s="499">
        <v>9</v>
      </c>
      <c r="B86" s="493" t="s">
        <v>141</v>
      </c>
      <c r="E86" s="493"/>
      <c r="F86" s="508">
        <f>F83+F84+F85</f>
        <v>0</v>
      </c>
      <c r="G86" s="493"/>
    </row>
    <row r="87" spans="1:7" ht="12">
      <c r="A87" s="499"/>
      <c r="B87" s="493" t="s">
        <v>80</v>
      </c>
      <c r="E87" s="493"/>
      <c r="F87" s="508"/>
      <c r="G87" s="493"/>
    </row>
    <row r="88" spans="1:7" ht="12">
      <c r="A88" s="499">
        <v>10</v>
      </c>
      <c r="B88" s="493" t="s">
        <v>142</v>
      </c>
      <c r="E88" s="493"/>
      <c r="F88" s="508">
        <f>G21</f>
        <v>0</v>
      </c>
      <c r="G88" s="493"/>
    </row>
    <row r="89" spans="1:7" ht="12">
      <c r="A89" s="499">
        <v>11</v>
      </c>
      <c r="B89" s="493" t="s">
        <v>143</v>
      </c>
      <c r="E89" s="493"/>
      <c r="F89" s="508">
        <f>G22</f>
        <v>0</v>
      </c>
      <c r="G89" s="493"/>
    </row>
    <row r="90" spans="1:7" ht="12">
      <c r="A90" s="499">
        <v>12</v>
      </c>
      <c r="B90" s="493" t="s">
        <v>144</v>
      </c>
      <c r="E90" s="493"/>
      <c r="F90" s="509">
        <f>G23</f>
        <v>0</v>
      </c>
      <c r="G90" s="493"/>
    </row>
    <row r="91" spans="1:7" ht="12">
      <c r="A91" s="499">
        <v>13</v>
      </c>
      <c r="B91" s="493" t="s">
        <v>145</v>
      </c>
      <c r="E91" s="493"/>
      <c r="F91" s="508">
        <f>F88+F89+F90</f>
        <v>0</v>
      </c>
      <c r="G91" s="493"/>
    </row>
    <row r="92" spans="1:7" ht="12">
      <c r="A92" s="499"/>
      <c r="B92" s="493" t="s">
        <v>84</v>
      </c>
      <c r="E92" s="493"/>
      <c r="F92" s="508"/>
      <c r="G92" s="493"/>
    </row>
    <row r="93" spans="1:7" ht="12">
      <c r="A93" s="499">
        <v>14</v>
      </c>
      <c r="B93" s="493" t="s">
        <v>142</v>
      </c>
      <c r="E93" s="493"/>
      <c r="F93" s="508">
        <f>G26</f>
        <v>0</v>
      </c>
      <c r="G93" s="493"/>
    </row>
    <row r="94" spans="1:7" ht="12">
      <c r="A94" s="499">
        <v>15</v>
      </c>
      <c r="B94" s="493" t="s">
        <v>143</v>
      </c>
      <c r="E94" s="493"/>
      <c r="F94" s="508">
        <f>G27</f>
        <v>0</v>
      </c>
      <c r="G94" s="493"/>
    </row>
    <row r="95" spans="1:7" ht="12">
      <c r="A95" s="499">
        <v>16</v>
      </c>
      <c r="B95" s="493" t="s">
        <v>144</v>
      </c>
      <c r="E95" s="493"/>
      <c r="F95" s="509"/>
      <c r="G95" s="493"/>
    </row>
    <row r="96" spans="1:7" ht="12">
      <c r="A96" s="499">
        <v>17</v>
      </c>
      <c r="B96" s="493" t="s">
        <v>146</v>
      </c>
      <c r="E96" s="493"/>
      <c r="F96" s="508">
        <f>F93+F94+F95</f>
        <v>0</v>
      </c>
      <c r="G96" s="493"/>
    </row>
    <row r="97" spans="1:7" ht="12">
      <c r="A97" s="499">
        <v>18</v>
      </c>
      <c r="B97" s="493" t="s">
        <v>86</v>
      </c>
      <c r="E97" s="493"/>
      <c r="F97" s="508">
        <f>G31</f>
        <v>0</v>
      </c>
      <c r="G97" s="493"/>
    </row>
    <row r="98" spans="1:7" ht="12">
      <c r="A98" s="499">
        <v>19</v>
      </c>
      <c r="B98" s="493" t="s">
        <v>87</v>
      </c>
      <c r="E98" s="493"/>
      <c r="F98" s="508">
        <f>G32</f>
        <v>0</v>
      </c>
      <c r="G98" s="493"/>
    </row>
    <row r="99" spans="1:7" ht="12">
      <c r="A99" s="499">
        <v>20</v>
      </c>
      <c r="B99" s="493" t="s">
        <v>147</v>
      </c>
      <c r="E99" s="493"/>
      <c r="F99" s="508">
        <f>G33</f>
        <v>0</v>
      </c>
      <c r="G99" s="493"/>
    </row>
    <row r="100" spans="1:7" ht="12">
      <c r="A100" s="499"/>
      <c r="B100" s="493" t="s">
        <v>148</v>
      </c>
      <c r="E100" s="493"/>
      <c r="F100" s="508"/>
      <c r="G100" s="493"/>
    </row>
    <row r="101" spans="1:7" ht="12">
      <c r="A101" s="499">
        <v>21</v>
      </c>
      <c r="B101" s="493" t="s">
        <v>142</v>
      </c>
      <c r="E101" s="493"/>
      <c r="F101" s="508">
        <f>G35</f>
        <v>0</v>
      </c>
      <c r="G101" s="493"/>
    </row>
    <row r="102" spans="1:7" ht="12">
      <c r="A102" s="499">
        <v>22</v>
      </c>
      <c r="B102" s="493" t="s">
        <v>143</v>
      </c>
      <c r="E102" s="493"/>
      <c r="F102" s="508">
        <f>G36</f>
        <v>0</v>
      </c>
      <c r="G102" s="493"/>
    </row>
    <row r="103" spans="1:7" ht="12">
      <c r="A103" s="499">
        <v>23</v>
      </c>
      <c r="B103" s="493" t="s">
        <v>144</v>
      </c>
      <c r="E103" s="493"/>
      <c r="F103" s="509">
        <f>G37</f>
        <v>0</v>
      </c>
      <c r="G103" s="493"/>
    </row>
    <row r="104" spans="1:7" ht="12">
      <c r="A104" s="499">
        <v>24</v>
      </c>
      <c r="B104" s="493" t="s">
        <v>149</v>
      </c>
      <c r="E104" s="493"/>
      <c r="F104" s="509">
        <f>F101+F102+F103</f>
        <v>0</v>
      </c>
      <c r="G104" s="493"/>
    </row>
    <row r="105" spans="1:7" ht="12">
      <c r="A105" s="499"/>
      <c r="E105" s="493"/>
      <c r="F105" s="508"/>
      <c r="G105" s="493"/>
    </row>
    <row r="106" spans="1:7" ht="12">
      <c r="A106" s="499">
        <v>25</v>
      </c>
      <c r="B106" s="493" t="s">
        <v>91</v>
      </c>
      <c r="E106" s="493"/>
      <c r="F106" s="509">
        <f>F104+F99+F98+F97+F96+F91+F86+F81</f>
        <v>0</v>
      </c>
      <c r="G106" s="493"/>
    </row>
    <row r="107" spans="1:7" ht="12">
      <c r="A107" s="499"/>
      <c r="E107" s="493"/>
      <c r="F107" s="508"/>
      <c r="G107" s="493"/>
    </row>
    <row r="108" spans="1:7" ht="12">
      <c r="A108" s="499">
        <v>26</v>
      </c>
      <c r="B108" s="493" t="s">
        <v>171</v>
      </c>
      <c r="E108" s="493"/>
      <c r="F108" s="509">
        <f>F78-F106</f>
        <v>0</v>
      </c>
      <c r="G108" s="493"/>
    </row>
    <row r="109" spans="1:7" ht="12">
      <c r="A109" s="499"/>
      <c r="E109" s="493"/>
      <c r="G109" s="493"/>
    </row>
    <row r="110" spans="1:7" ht="12">
      <c r="A110" s="499">
        <v>27</v>
      </c>
      <c r="B110" s="493" t="s">
        <v>172</v>
      </c>
      <c r="G110" s="493"/>
    </row>
    <row r="111" spans="1:7" ht="12.75" thickBot="1">
      <c r="A111" s="499"/>
      <c r="B111" s="520" t="s">
        <v>173</v>
      </c>
      <c r="C111" s="521">
        <f>Inputs!$D$4</f>
        <v>1.1416000000000001E-2</v>
      </c>
      <c r="F111" s="522">
        <f>ROUND(F108*C111,0)</f>
        <v>0</v>
      </c>
      <c r="G111" s="493"/>
    </row>
    <row r="112" spans="1:7" ht="12.75" thickTop="1">
      <c r="A112" s="499"/>
      <c r="G112" s="493"/>
    </row>
  </sheetData>
  <customSheetViews>
    <customSheetView guid="{5BE913A1-B14F-11D2-B0DC-0000832CDFF0}" showPageBreaks="1" printArea="1" showRuler="0" topLeftCell="A53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53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114"/>
  <sheetViews>
    <sheetView topLeftCell="A4" workbookViewId="0">
      <selection activeCell="G25" sqref="G25"/>
    </sheetView>
  </sheetViews>
  <sheetFormatPr defaultRowHeight="12" customHeight="1"/>
  <cols>
    <col min="1" max="1" width="5.5703125" style="524" customWidth="1"/>
    <col min="2" max="2" width="26.140625" style="524" customWidth="1"/>
    <col min="3" max="3" width="12.42578125" style="524" customWidth="1"/>
    <col min="4" max="4" width="6.7109375" style="524" customWidth="1"/>
    <col min="5" max="5" width="12.42578125" style="543" customWidth="1"/>
    <col min="6" max="6" width="12.42578125" style="544" customWidth="1"/>
    <col min="7" max="7" width="12.42578125" style="543" customWidth="1"/>
    <col min="8" max="8" width="12.42578125" style="524" customWidth="1"/>
    <col min="9" max="16384" width="9.140625" style="527"/>
  </cols>
  <sheetData>
    <row r="1" spans="1:8" ht="12" customHeight="1">
      <c r="A1" s="523" t="str">
        <f>Inputs!$D$6</f>
        <v>AVISTA UTILITIES</v>
      </c>
      <c r="B1" s="523"/>
      <c r="C1" s="523"/>
      <c r="E1" s="525"/>
      <c r="F1" s="526"/>
      <c r="G1" s="525"/>
    </row>
    <row r="2" spans="1:8" ht="12" customHeight="1">
      <c r="A2" s="523" t="s">
        <v>125</v>
      </c>
      <c r="B2" s="523"/>
      <c r="C2" s="523"/>
      <c r="E2" s="525"/>
      <c r="F2" s="528" t="s">
        <v>184</v>
      </c>
      <c r="G2" s="525"/>
    </row>
    <row r="3" spans="1:8" ht="12" customHeight="1">
      <c r="A3" s="523" t="str">
        <f>Inputs!$D$2</f>
        <v>TWELVE MONTHS ENDED SEPTEMBER 30, 2008</v>
      </c>
      <c r="B3" s="523"/>
      <c r="C3" s="523"/>
      <c r="E3" s="525"/>
      <c r="F3" s="528" t="s">
        <v>185</v>
      </c>
      <c r="G3" s="524"/>
    </row>
    <row r="4" spans="1:8" ht="12" customHeight="1">
      <c r="A4" s="523" t="s">
        <v>128</v>
      </c>
      <c r="B4" s="523"/>
      <c r="C4" s="523"/>
      <c r="E4" s="529"/>
      <c r="F4" s="530" t="s">
        <v>129</v>
      </c>
      <c r="G4" s="529"/>
    </row>
    <row r="5" spans="1:8" ht="12" customHeight="1">
      <c r="A5" s="531" t="s">
        <v>10</v>
      </c>
      <c r="E5" s="525"/>
      <c r="F5" s="528"/>
      <c r="G5" s="525"/>
    </row>
    <row r="6" spans="1:8" ht="12" customHeight="1">
      <c r="A6" s="532" t="s">
        <v>27</v>
      </c>
      <c r="B6" s="533" t="s">
        <v>113</v>
      </c>
      <c r="C6" s="533"/>
      <c r="E6" s="534" t="s">
        <v>130</v>
      </c>
      <c r="F6" s="535" t="s">
        <v>131</v>
      </c>
      <c r="G6" s="534" t="s">
        <v>132</v>
      </c>
      <c r="H6" s="536" t="s">
        <v>133</v>
      </c>
    </row>
    <row r="7" spans="1:8" ht="12" customHeight="1">
      <c r="A7" s="531"/>
      <c r="B7" s="524" t="s">
        <v>68</v>
      </c>
      <c r="E7" s="537"/>
      <c r="F7" s="528"/>
      <c r="G7" s="537"/>
    </row>
    <row r="8" spans="1:8" ht="12" customHeight="1">
      <c r="A8" s="531">
        <v>1</v>
      </c>
      <c r="B8" s="524" t="s">
        <v>134</v>
      </c>
      <c r="E8" s="538"/>
      <c r="F8" s="538"/>
      <c r="G8" s="538"/>
      <c r="H8" s="539" t="str">
        <f>IF(E8=F8+G8," ","ERROR")</f>
        <v xml:space="preserve"> </v>
      </c>
    </row>
    <row r="9" spans="1:8" ht="12" customHeight="1">
      <c r="A9" s="531">
        <v>2</v>
      </c>
      <c r="B9" s="524" t="s">
        <v>135</v>
      </c>
      <c r="E9" s="540"/>
      <c r="F9" s="540"/>
      <c r="G9" s="540"/>
      <c r="H9" s="539" t="str">
        <f>IF(E9=F9+G9," ","ERROR")</f>
        <v xml:space="preserve"> </v>
      </c>
    </row>
    <row r="10" spans="1:8" ht="12" customHeight="1">
      <c r="A10" s="531">
        <v>3</v>
      </c>
      <c r="B10" s="524" t="s">
        <v>71</v>
      </c>
      <c r="E10" s="541"/>
      <c r="F10" s="541"/>
      <c r="G10" s="541"/>
      <c r="H10" s="539" t="str">
        <f>IF(E10=F10+G10," ","ERROR")</f>
        <v xml:space="preserve"> </v>
      </c>
    </row>
    <row r="11" spans="1:8" ht="12" customHeight="1">
      <c r="A11" s="531">
        <v>4</v>
      </c>
      <c r="B11" s="524" t="s">
        <v>136</v>
      </c>
      <c r="E11" s="540">
        <f>SUM(E8:E10)</f>
        <v>0</v>
      </c>
      <c r="F11" s="540">
        <f>SUM(F8:F10)</f>
        <v>0</v>
      </c>
      <c r="G11" s="540">
        <f>SUM(G8:G10)</f>
        <v>0</v>
      </c>
      <c r="H11" s="539" t="str">
        <f>IF(E11=F11+G11," ","ERROR")</f>
        <v xml:space="preserve"> </v>
      </c>
    </row>
    <row r="12" spans="1:8" ht="12" customHeight="1">
      <c r="A12" s="531"/>
      <c r="E12" s="540"/>
      <c r="F12" s="540"/>
      <c r="G12" s="540"/>
      <c r="H12" s="539"/>
    </row>
    <row r="13" spans="1:8" ht="12" customHeight="1">
      <c r="A13" s="531"/>
      <c r="B13" s="524" t="s">
        <v>73</v>
      </c>
      <c r="E13" s="540"/>
      <c r="F13" s="540"/>
      <c r="G13" s="540"/>
      <c r="H13" s="539"/>
    </row>
    <row r="14" spans="1:8" ht="12" customHeight="1">
      <c r="A14" s="531">
        <v>5</v>
      </c>
      <c r="B14" s="524" t="s">
        <v>137</v>
      </c>
      <c r="E14" s="540"/>
      <c r="F14" s="540"/>
      <c r="G14" s="540"/>
      <c r="H14" s="539" t="str">
        <f>IF(E14=F14+G14," ","ERROR")</f>
        <v xml:space="preserve"> </v>
      </c>
    </row>
    <row r="15" spans="1:8" ht="12" customHeight="1">
      <c r="A15" s="531"/>
      <c r="B15" s="524" t="s">
        <v>75</v>
      </c>
      <c r="E15" s="540"/>
      <c r="F15" s="540"/>
      <c r="G15" s="540"/>
      <c r="H15" s="539"/>
    </row>
    <row r="16" spans="1:8" ht="12" customHeight="1">
      <c r="A16" s="531">
        <v>6</v>
      </c>
      <c r="B16" s="524" t="s">
        <v>138</v>
      </c>
      <c r="E16" s="540"/>
      <c r="F16" s="540"/>
      <c r="G16" s="540"/>
      <c r="H16" s="539" t="str">
        <f>IF(E16=F16+G16," ","ERROR")</f>
        <v xml:space="preserve"> </v>
      </c>
    </row>
    <row r="17" spans="1:8" ht="12" customHeight="1">
      <c r="A17" s="531">
        <v>7</v>
      </c>
      <c r="B17" s="524" t="s">
        <v>139</v>
      </c>
      <c r="E17" s="540"/>
      <c r="F17" s="540"/>
      <c r="G17" s="540"/>
      <c r="H17" s="539" t="str">
        <f>IF(E17=F17+G17," ","ERROR")</f>
        <v xml:space="preserve"> </v>
      </c>
    </row>
    <row r="18" spans="1:8" ht="12" customHeight="1">
      <c r="A18" s="531">
        <v>8</v>
      </c>
      <c r="B18" s="524" t="s">
        <v>140</v>
      </c>
      <c r="E18" s="541"/>
      <c r="F18" s="541"/>
      <c r="G18" s="541"/>
      <c r="H18" s="539" t="str">
        <f>IF(E18=F18+G18," ","ERROR")</f>
        <v xml:space="preserve"> </v>
      </c>
    </row>
    <row r="19" spans="1:8" ht="12" customHeight="1">
      <c r="A19" s="531">
        <v>9</v>
      </c>
      <c r="B19" s="524" t="s">
        <v>141</v>
      </c>
      <c r="E19" s="540">
        <f>SUM(E16:E18)</f>
        <v>0</v>
      </c>
      <c r="F19" s="540">
        <f>SUM(F16:F18)</f>
        <v>0</v>
      </c>
      <c r="G19" s="540">
        <f>SUM(G16:G18)</f>
        <v>0</v>
      </c>
      <c r="H19" s="539" t="str">
        <f>IF(E19=F19+G19," ","ERROR")</f>
        <v xml:space="preserve"> </v>
      </c>
    </row>
    <row r="20" spans="1:8" ht="12" customHeight="1">
      <c r="A20" s="531"/>
      <c r="B20" s="524" t="s">
        <v>80</v>
      </c>
      <c r="E20" s="540"/>
      <c r="F20" s="540"/>
      <c r="G20" s="540"/>
      <c r="H20" s="539"/>
    </row>
    <row r="21" spans="1:8" ht="12" customHeight="1">
      <c r="A21" s="531">
        <v>10</v>
      </c>
      <c r="B21" s="524" t="s">
        <v>142</v>
      </c>
      <c r="E21" s="540"/>
      <c r="F21" s="540"/>
      <c r="G21" s="540"/>
      <c r="H21" s="539" t="str">
        <f>IF(E21=F21+G21," ","ERROR")</f>
        <v xml:space="preserve"> </v>
      </c>
    </row>
    <row r="22" spans="1:8" ht="12" customHeight="1">
      <c r="A22" s="531">
        <v>11</v>
      </c>
      <c r="B22" s="524" t="s">
        <v>143</v>
      </c>
      <c r="E22" s="540"/>
      <c r="F22" s="540"/>
      <c r="G22" s="540"/>
      <c r="H22" s="539" t="str">
        <f>IF(E22=F22+G22," ","ERROR")</f>
        <v xml:space="preserve"> </v>
      </c>
    </row>
    <row r="23" spans="1:8" ht="12" customHeight="1">
      <c r="A23" s="531">
        <v>12</v>
      </c>
      <c r="B23" s="524" t="s">
        <v>144</v>
      </c>
      <c r="E23" s="541"/>
      <c r="F23" s="541"/>
      <c r="G23" s="541"/>
      <c r="H23" s="539" t="str">
        <f>IF(E23=F23+G23," ","ERROR")</f>
        <v xml:space="preserve"> </v>
      </c>
    </row>
    <row r="24" spans="1:8" ht="12" customHeight="1">
      <c r="A24" s="531">
        <v>13</v>
      </c>
      <c r="B24" s="524" t="s">
        <v>145</v>
      </c>
      <c r="E24" s="540">
        <f>SUM(E21:E23)</f>
        <v>0</v>
      </c>
      <c r="F24" s="540">
        <f>SUM(F21:F23)</f>
        <v>0</v>
      </c>
      <c r="G24" s="540">
        <f>SUM(G21:G23)</f>
        <v>0</v>
      </c>
      <c r="H24" s="539" t="str">
        <f>IF(E24=F24+G24," ","ERROR")</f>
        <v xml:space="preserve"> </v>
      </c>
    </row>
    <row r="25" spans="1:8" ht="12" customHeight="1">
      <c r="A25" s="531"/>
      <c r="B25" s="524" t="s">
        <v>84</v>
      </c>
      <c r="E25" s="540"/>
      <c r="F25" s="540"/>
      <c r="G25" s="540"/>
      <c r="H25" s="539"/>
    </row>
    <row r="26" spans="1:8" ht="12" customHeight="1">
      <c r="A26" s="531">
        <v>14</v>
      </c>
      <c r="B26" s="524" t="s">
        <v>142</v>
      </c>
      <c r="E26" s="540"/>
      <c r="F26" s="540"/>
      <c r="G26" s="540"/>
      <c r="H26" s="539" t="str">
        <f>IF(E26=F26+G26," ","ERROR")</f>
        <v xml:space="preserve"> </v>
      </c>
    </row>
    <row r="27" spans="1:8" ht="12" customHeight="1">
      <c r="A27" s="531">
        <v>15</v>
      </c>
      <c r="B27" s="524" t="s">
        <v>143</v>
      </c>
      <c r="E27" s="540"/>
      <c r="F27" s="540"/>
      <c r="G27" s="540"/>
      <c r="H27" s="539" t="str">
        <f>IF(E27=F27+G27," ","ERROR")</f>
        <v xml:space="preserve"> </v>
      </c>
    </row>
    <row r="28" spans="1:8" ht="12" customHeight="1">
      <c r="A28" s="531">
        <v>16</v>
      </c>
      <c r="B28" s="524" t="s">
        <v>144</v>
      </c>
      <c r="E28" s="541">
        <f>F28+G28</f>
        <v>0</v>
      </c>
      <c r="F28" s="541"/>
      <c r="G28" s="541">
        <f>F113</f>
        <v>0</v>
      </c>
      <c r="H28" s="539" t="str">
        <f>IF(E28=F28+G28," ","ERROR")</f>
        <v xml:space="preserve"> </v>
      </c>
    </row>
    <row r="29" spans="1:8" ht="12" customHeight="1">
      <c r="A29" s="531">
        <v>17</v>
      </c>
      <c r="B29" s="524" t="s">
        <v>146</v>
      </c>
      <c r="E29" s="540">
        <f>SUM(E26:E28)</f>
        <v>0</v>
      </c>
      <c r="F29" s="540">
        <f>SUM(F26:F28)</f>
        <v>0</v>
      </c>
      <c r="G29" s="540">
        <f>SUM(G26:G28)</f>
        <v>0</v>
      </c>
      <c r="H29" s="539" t="str">
        <f>IF(E29=F29+G29," ","ERROR")</f>
        <v xml:space="preserve"> </v>
      </c>
    </row>
    <row r="30" spans="1:8" ht="12" customHeight="1">
      <c r="A30" s="531"/>
      <c r="E30" s="540"/>
      <c r="F30" s="540"/>
      <c r="G30" s="540"/>
      <c r="H30" s="539"/>
    </row>
    <row r="31" spans="1:8" ht="12" customHeight="1">
      <c r="A31" s="531">
        <v>18</v>
      </c>
      <c r="B31" s="524" t="s">
        <v>86</v>
      </c>
      <c r="E31" s="540"/>
      <c r="F31" s="540"/>
      <c r="G31" s="540"/>
      <c r="H31" s="539" t="str">
        <f>IF(E31=F31+G31," ","ERROR")</f>
        <v xml:space="preserve"> </v>
      </c>
    </row>
    <row r="32" spans="1:8" ht="12" customHeight="1">
      <c r="A32" s="531">
        <v>19</v>
      </c>
      <c r="B32" s="524" t="s">
        <v>87</v>
      </c>
      <c r="E32" s="540"/>
      <c r="F32" s="540"/>
      <c r="G32" s="540"/>
      <c r="H32" s="539" t="str">
        <f>IF(E32=F32+G32," ","ERROR")</f>
        <v xml:space="preserve"> </v>
      </c>
    </row>
    <row r="33" spans="1:8" ht="12" customHeight="1">
      <c r="A33" s="531">
        <v>20</v>
      </c>
      <c r="B33" s="524" t="s">
        <v>147</v>
      </c>
      <c r="E33" s="540"/>
      <c r="F33" s="540"/>
      <c r="G33" s="540"/>
      <c r="H33" s="539" t="str">
        <f>IF(E33=F33+G33," ","ERROR")</f>
        <v xml:space="preserve"> </v>
      </c>
    </row>
    <row r="34" spans="1:8" ht="12" customHeight="1">
      <c r="A34" s="531"/>
      <c r="B34" s="524" t="s">
        <v>148</v>
      </c>
      <c r="E34" s="540"/>
      <c r="F34" s="540"/>
      <c r="G34" s="540"/>
      <c r="H34" s="539"/>
    </row>
    <row r="35" spans="1:8" ht="12" customHeight="1">
      <c r="A35" s="531">
        <v>21</v>
      </c>
      <c r="B35" s="524" t="s">
        <v>142</v>
      </c>
      <c r="E35" s="540">
        <f>F35+G35</f>
        <v>-65</v>
      </c>
      <c r="F35" s="540">
        <v>-65</v>
      </c>
      <c r="G35" s="540">
        <v>0</v>
      </c>
      <c r="H35" s="539" t="str">
        <f>IF(E35=F35+G35," ","ERROR")</f>
        <v xml:space="preserve"> </v>
      </c>
    </row>
    <row r="36" spans="1:8" ht="12" customHeight="1">
      <c r="A36" s="531">
        <v>22</v>
      </c>
      <c r="B36" s="524" t="s">
        <v>143</v>
      </c>
      <c r="E36" s="540"/>
      <c r="F36" s="540"/>
      <c r="G36" s="540"/>
      <c r="H36" s="539" t="str">
        <f>IF(E36=F36+G36," ","ERROR")</f>
        <v xml:space="preserve"> </v>
      </c>
    </row>
    <row r="37" spans="1:8" ht="12" customHeight="1">
      <c r="A37" s="531">
        <v>23</v>
      </c>
      <c r="B37" s="524" t="s">
        <v>144</v>
      </c>
      <c r="E37" s="541"/>
      <c r="F37" s="541"/>
      <c r="G37" s="541"/>
      <c r="H37" s="539" t="str">
        <f>IF(E37=F37+G37," ","ERROR")</f>
        <v xml:space="preserve"> </v>
      </c>
    </row>
    <row r="38" spans="1:8" ht="12" customHeight="1">
      <c r="A38" s="531">
        <v>24</v>
      </c>
      <c r="B38" s="524" t="s">
        <v>149</v>
      </c>
      <c r="E38" s="541">
        <f>SUM(E35:E37)</f>
        <v>-65</v>
      </c>
      <c r="F38" s="541">
        <f>SUM(F35:F37)</f>
        <v>-65</v>
      </c>
      <c r="G38" s="541">
        <f>SUM(G35:G37)</f>
        <v>0</v>
      </c>
      <c r="H38" s="539" t="str">
        <f>IF(E38=F38+G38," ","ERROR")</f>
        <v xml:space="preserve"> </v>
      </c>
    </row>
    <row r="39" spans="1:8" ht="12" customHeight="1">
      <c r="A39" s="531">
        <v>25</v>
      </c>
      <c r="B39" s="524" t="s">
        <v>91</v>
      </c>
      <c r="E39" s="541">
        <f>E19+E24+E29+E31+E32+E33+E38+E14</f>
        <v>-65</v>
      </c>
      <c r="F39" s="541">
        <f>F19+F24+F29+F31+F32+F33+F38+F14</f>
        <v>-65</v>
      </c>
      <c r="G39" s="541">
        <f>G19+G24+G29+G31+G32+G33+G38+G14</f>
        <v>0</v>
      </c>
      <c r="H39" s="539" t="str">
        <f>IF(E39=F39+G39," ","ERROR")</f>
        <v xml:space="preserve"> </v>
      </c>
    </row>
    <row r="40" spans="1:8" ht="12" customHeight="1">
      <c r="A40" s="531"/>
      <c r="E40" s="540"/>
      <c r="F40" s="540"/>
      <c r="G40" s="540"/>
      <c r="H40" s="539"/>
    </row>
    <row r="41" spans="1:8" ht="12" customHeight="1">
      <c r="A41" s="531">
        <v>26</v>
      </c>
      <c r="B41" s="524" t="s">
        <v>150</v>
      </c>
      <c r="E41" s="540">
        <f>E11-E39</f>
        <v>65</v>
      </c>
      <c r="F41" s="540">
        <f>F11-F39</f>
        <v>65</v>
      </c>
      <c r="G41" s="540">
        <f>G11-G39</f>
        <v>0</v>
      </c>
      <c r="H41" s="539" t="str">
        <f>IF(E41=F41+G41," ","ERROR")</f>
        <v xml:space="preserve"> </v>
      </c>
    </row>
    <row r="42" spans="1:8" ht="12" customHeight="1">
      <c r="A42" s="531"/>
      <c r="E42" s="540"/>
      <c r="F42" s="540"/>
      <c r="G42" s="540"/>
      <c r="H42" s="539"/>
    </row>
    <row r="43" spans="1:8" ht="12" customHeight="1">
      <c r="A43" s="531"/>
      <c r="B43" s="524" t="s">
        <v>151</v>
      </c>
      <c r="E43" s="540"/>
      <c r="F43" s="540"/>
      <c r="G43" s="540"/>
      <c r="H43" s="539"/>
    </row>
    <row r="44" spans="1:8" ht="12" customHeight="1">
      <c r="A44" s="531">
        <v>27</v>
      </c>
      <c r="B44" s="542" t="s">
        <v>165</v>
      </c>
      <c r="E44" s="540">
        <f>F44+G44</f>
        <v>23</v>
      </c>
      <c r="F44" s="540">
        <f>ROUND(F41*0.35,0)</f>
        <v>23</v>
      </c>
      <c r="G44" s="540">
        <f>ROUND(G41*0.35,0)</f>
        <v>0</v>
      </c>
      <c r="H44" s="539" t="str">
        <f>IF(E44=F44+G44," ","ERROR")</f>
        <v xml:space="preserve"> </v>
      </c>
    </row>
    <row r="45" spans="1:8" ht="12" customHeight="1">
      <c r="A45" s="531">
        <v>28</v>
      </c>
      <c r="B45" s="524" t="s">
        <v>154</v>
      </c>
      <c r="E45" s="540"/>
      <c r="F45" s="540"/>
      <c r="G45" s="540"/>
      <c r="H45" s="539" t="str">
        <f>IF(E45=F45+G45," ","ERROR")</f>
        <v xml:space="preserve"> </v>
      </c>
    </row>
    <row r="46" spans="1:8" ht="12" customHeight="1">
      <c r="A46" s="531">
        <v>29</v>
      </c>
      <c r="B46" s="524" t="s">
        <v>153</v>
      </c>
      <c r="E46" s="541"/>
      <c r="F46" s="541"/>
      <c r="G46" s="541"/>
      <c r="H46" s="539" t="str">
        <f>IF(E46=F46+G46," ","ERROR")</f>
        <v xml:space="preserve"> </v>
      </c>
    </row>
    <row r="47" spans="1:8" ht="12" customHeight="1">
      <c r="A47" s="531"/>
      <c r="H47" s="539"/>
    </row>
    <row r="48" spans="1:8" ht="12" customHeight="1">
      <c r="A48" s="531">
        <v>30</v>
      </c>
      <c r="B48" s="545" t="s">
        <v>97</v>
      </c>
      <c r="E48" s="538">
        <f>E41-(+E44+E45+E46)</f>
        <v>42</v>
      </c>
      <c r="F48" s="538">
        <f>F41-F44+F45+F46</f>
        <v>42</v>
      </c>
      <c r="G48" s="538">
        <f>G41-SUM(G44:G46)</f>
        <v>0</v>
      </c>
      <c r="H48" s="539" t="str">
        <f>IF(E48=F48+G48," ","ERROR")</f>
        <v xml:space="preserve"> </v>
      </c>
    </row>
    <row r="49" spans="1:8" ht="12" customHeight="1">
      <c r="A49" s="531"/>
      <c r="H49" s="539"/>
    </row>
    <row r="50" spans="1:8" ht="12" customHeight="1">
      <c r="A50" s="531"/>
      <c r="B50" s="542" t="s">
        <v>155</v>
      </c>
      <c r="H50" s="539"/>
    </row>
    <row r="51" spans="1:8" ht="12" customHeight="1">
      <c r="A51" s="531"/>
      <c r="B51" s="542" t="s">
        <v>156</v>
      </c>
      <c r="H51" s="539"/>
    </row>
    <row r="52" spans="1:8" ht="12" customHeight="1">
      <c r="A52" s="531">
        <v>31</v>
      </c>
      <c r="B52" s="524" t="s">
        <v>157</v>
      </c>
      <c r="E52" s="538"/>
      <c r="F52" s="538"/>
      <c r="G52" s="538"/>
      <c r="H52" s="539" t="str">
        <f t="shared" ref="H52:H63" si="0">IF(E52=F52+G52," ","ERROR")</f>
        <v xml:space="preserve"> </v>
      </c>
    </row>
    <row r="53" spans="1:8" ht="12" customHeight="1">
      <c r="A53" s="531">
        <v>32</v>
      </c>
      <c r="B53" s="524" t="s">
        <v>158</v>
      </c>
      <c r="E53" s="540"/>
      <c r="F53" s="540"/>
      <c r="G53" s="540"/>
      <c r="H53" s="539" t="str">
        <f t="shared" si="0"/>
        <v xml:space="preserve"> </v>
      </c>
    </row>
    <row r="54" spans="1:8" ht="12" customHeight="1">
      <c r="A54" s="531">
        <v>33</v>
      </c>
      <c r="B54" s="524" t="s">
        <v>166</v>
      </c>
      <c r="E54" s="541"/>
      <c r="F54" s="541"/>
      <c r="G54" s="541"/>
      <c r="H54" s="539" t="str">
        <f t="shared" si="0"/>
        <v xml:space="preserve"> </v>
      </c>
    </row>
    <row r="55" spans="1:8" ht="12" customHeight="1">
      <c r="A55" s="531">
        <v>34</v>
      </c>
      <c r="B55" s="524" t="s">
        <v>160</v>
      </c>
      <c r="E55" s="540">
        <f>SUM(E52:E54)</f>
        <v>0</v>
      </c>
      <c r="F55" s="540">
        <f>SUM(F52:F54)</f>
        <v>0</v>
      </c>
      <c r="G55" s="540">
        <f>SUM(G52:G54)</f>
        <v>0</v>
      </c>
      <c r="H55" s="539" t="str">
        <f t="shared" si="0"/>
        <v xml:space="preserve"> </v>
      </c>
    </row>
    <row r="56" spans="1:8" ht="12" customHeight="1">
      <c r="A56" s="531"/>
      <c r="B56" s="524" t="s">
        <v>102</v>
      </c>
      <c r="E56" s="540"/>
      <c r="F56" s="540"/>
      <c r="G56" s="540"/>
      <c r="H56" s="539" t="str">
        <f t="shared" si="0"/>
        <v xml:space="preserve"> </v>
      </c>
    </row>
    <row r="57" spans="1:8" ht="12" customHeight="1">
      <c r="A57" s="531">
        <v>35</v>
      </c>
      <c r="B57" s="524" t="s">
        <v>157</v>
      </c>
      <c r="E57" s="540"/>
      <c r="F57" s="540"/>
      <c r="G57" s="540"/>
      <c r="H57" s="539" t="str">
        <f t="shared" si="0"/>
        <v xml:space="preserve"> </v>
      </c>
    </row>
    <row r="58" spans="1:8" ht="12" customHeight="1">
      <c r="A58" s="531">
        <v>36</v>
      </c>
      <c r="B58" s="524" t="s">
        <v>158</v>
      </c>
      <c r="E58" s="540"/>
      <c r="F58" s="540"/>
      <c r="G58" s="540"/>
      <c r="H58" s="539" t="str">
        <f t="shared" si="0"/>
        <v xml:space="preserve"> </v>
      </c>
    </row>
    <row r="59" spans="1:8" ht="12" customHeight="1">
      <c r="A59" s="531">
        <v>37</v>
      </c>
      <c r="B59" s="524" t="s">
        <v>166</v>
      </c>
      <c r="E59" s="541"/>
      <c r="F59" s="541"/>
      <c r="G59" s="541"/>
      <c r="H59" s="539" t="str">
        <f t="shared" si="0"/>
        <v xml:space="preserve"> </v>
      </c>
    </row>
    <row r="60" spans="1:8" ht="12" customHeight="1">
      <c r="A60" s="531">
        <v>38</v>
      </c>
      <c r="B60" s="524" t="s">
        <v>161</v>
      </c>
      <c r="E60" s="540">
        <f>SUM(E57:E59)</f>
        <v>0</v>
      </c>
      <c r="F60" s="540">
        <f>SUM(F57:F59)</f>
        <v>0</v>
      </c>
      <c r="G60" s="540">
        <f>SUM(G57:G59)</f>
        <v>0</v>
      </c>
      <c r="H60" s="539" t="str">
        <f t="shared" si="0"/>
        <v xml:space="preserve"> </v>
      </c>
    </row>
    <row r="61" spans="1:8" ht="12" customHeight="1">
      <c r="A61" s="531">
        <v>39</v>
      </c>
      <c r="B61" s="542" t="s">
        <v>162</v>
      </c>
      <c r="E61" s="540"/>
      <c r="F61" s="540"/>
      <c r="G61" s="540"/>
      <c r="H61" s="539" t="str">
        <f t="shared" si="0"/>
        <v xml:space="preserve"> </v>
      </c>
    </row>
    <row r="62" spans="1:8" ht="12" customHeight="1">
      <c r="A62" s="531">
        <v>40</v>
      </c>
      <c r="B62" s="524" t="s">
        <v>105</v>
      </c>
      <c r="E62" s="540"/>
      <c r="F62" s="540"/>
      <c r="G62" s="540"/>
      <c r="H62" s="539" t="str">
        <f t="shared" si="0"/>
        <v xml:space="preserve"> </v>
      </c>
    </row>
    <row r="63" spans="1:8" ht="12" customHeight="1">
      <c r="A63" s="531">
        <v>41</v>
      </c>
      <c r="B63" s="542" t="s">
        <v>106</v>
      </c>
      <c r="E63" s="541"/>
      <c r="F63" s="541"/>
      <c r="G63" s="541"/>
      <c r="H63" s="539" t="str">
        <f t="shared" si="0"/>
        <v xml:space="preserve"> </v>
      </c>
    </row>
    <row r="64" spans="1:8" ht="12" customHeight="1">
      <c r="A64" s="531"/>
      <c r="B64" s="524" t="s">
        <v>163</v>
      </c>
      <c r="H64" s="539"/>
    </row>
    <row r="65" spans="1:8" ht="12" customHeight="1" thickBot="1">
      <c r="A65" s="531">
        <v>42</v>
      </c>
      <c r="B65" s="545" t="s">
        <v>107</v>
      </c>
      <c r="E65" s="546">
        <f>E55-E60+E61+E62+E63</f>
        <v>0</v>
      </c>
      <c r="F65" s="546">
        <f>F55-F60+F61+F62+F63</f>
        <v>0</v>
      </c>
      <c r="G65" s="546">
        <f>G55-G60+G61+G62+G63</f>
        <v>0</v>
      </c>
      <c r="H65" s="539" t="str">
        <f>IF(E65=F65+G65," ","ERROR")</f>
        <v xml:space="preserve"> </v>
      </c>
    </row>
    <row r="66" spans="1:8" ht="12" customHeight="1" thickTop="1">
      <c r="A66" s="531"/>
      <c r="B66" s="545"/>
      <c r="E66" s="547"/>
      <c r="F66" s="547"/>
      <c r="G66" s="547"/>
      <c r="H66" s="539"/>
    </row>
    <row r="67" spans="1:8" ht="12" customHeight="1">
      <c r="A67" s="531"/>
      <c r="B67" s="545"/>
      <c r="E67" s="547"/>
      <c r="F67" s="547"/>
      <c r="G67" s="547"/>
      <c r="H67" s="539"/>
    </row>
    <row r="68" spans="1:8" ht="12" customHeight="1">
      <c r="A68" s="523" t="str">
        <f>Inputs!$D$6</f>
        <v>AVISTA UTILITIES</v>
      </c>
      <c r="B68" s="523"/>
      <c r="C68" s="523"/>
      <c r="G68" s="524"/>
    </row>
    <row r="69" spans="1:8" ht="12" customHeight="1">
      <c r="A69" s="523" t="s">
        <v>169</v>
      </c>
      <c r="B69" s="523"/>
      <c r="C69" s="523"/>
      <c r="G69" s="524"/>
    </row>
    <row r="70" spans="1:8" ht="12" customHeight="1">
      <c r="A70" s="523" t="str">
        <f>A3</f>
        <v>TWELVE MONTHS ENDED SEPTEMBER 30, 2008</v>
      </c>
      <c r="B70" s="523"/>
      <c r="C70" s="523"/>
      <c r="F70" s="528" t="str">
        <f>F2</f>
        <v>INJURIES</v>
      </c>
      <c r="G70" s="524"/>
    </row>
    <row r="71" spans="1:8" ht="12" customHeight="1">
      <c r="A71" s="523" t="s">
        <v>170</v>
      </c>
      <c r="B71" s="523"/>
      <c r="C71" s="523"/>
      <c r="F71" s="528" t="str">
        <f>F3</f>
        <v>AND DAMAGES</v>
      </c>
      <c r="G71" s="524"/>
    </row>
    <row r="72" spans="1:8" ht="12" customHeight="1">
      <c r="E72" s="548"/>
      <c r="F72" s="535" t="str">
        <f>F4</f>
        <v>GAS</v>
      </c>
      <c r="G72" s="549"/>
    </row>
    <row r="73" spans="1:8" ht="12" customHeight="1">
      <c r="A73" s="531" t="s">
        <v>10</v>
      </c>
      <c r="F73" s="528"/>
    </row>
    <row r="74" spans="1:8" ht="12" customHeight="1">
      <c r="A74" s="550" t="s">
        <v>27</v>
      </c>
      <c r="B74" s="533" t="s">
        <v>113</v>
      </c>
      <c r="C74" s="533"/>
      <c r="F74" s="535" t="s">
        <v>132</v>
      </c>
    </row>
    <row r="75" spans="1:8" ht="12" customHeight="1">
      <c r="A75" s="531"/>
      <c r="B75" s="524" t="s">
        <v>68</v>
      </c>
      <c r="E75" s="524"/>
      <c r="G75" s="524"/>
    </row>
    <row r="76" spans="1:8" ht="12" customHeight="1">
      <c r="A76" s="531">
        <v>1</v>
      </c>
      <c r="B76" s="524" t="s">
        <v>134</v>
      </c>
      <c r="E76" s="524"/>
      <c r="F76" s="538">
        <f>G8</f>
        <v>0</v>
      </c>
      <c r="G76" s="524"/>
    </row>
    <row r="77" spans="1:8" ht="12" customHeight="1">
      <c r="A77" s="531">
        <v>2</v>
      </c>
      <c r="B77" s="524" t="s">
        <v>135</v>
      </c>
      <c r="E77" s="524"/>
      <c r="F77" s="540">
        <f>G9</f>
        <v>0</v>
      </c>
      <c r="G77" s="524"/>
    </row>
    <row r="78" spans="1:8" ht="12" customHeight="1">
      <c r="A78" s="531">
        <v>3</v>
      </c>
      <c r="B78" s="524" t="s">
        <v>71</v>
      </c>
      <c r="E78" s="524"/>
      <c r="F78" s="541">
        <f>G10</f>
        <v>0</v>
      </c>
      <c r="G78" s="524"/>
    </row>
    <row r="79" spans="1:8" ht="12" customHeight="1">
      <c r="A79" s="531"/>
      <c r="E79" s="524"/>
      <c r="F79" s="540"/>
      <c r="G79" s="524"/>
    </row>
    <row r="80" spans="1:8" ht="12" customHeight="1">
      <c r="A80" s="531">
        <v>4</v>
      </c>
      <c r="B80" s="524" t="s">
        <v>136</v>
      </c>
      <c r="E80" s="524"/>
      <c r="F80" s="540">
        <f>F76+F77+F78</f>
        <v>0</v>
      </c>
      <c r="G80" s="524"/>
    </row>
    <row r="81" spans="1:7" ht="12" customHeight="1">
      <c r="A81" s="531"/>
      <c r="E81" s="524"/>
      <c r="F81" s="540"/>
      <c r="G81" s="524"/>
    </row>
    <row r="82" spans="1:7" ht="12" customHeight="1">
      <c r="A82" s="531"/>
      <c r="B82" s="524" t="s">
        <v>73</v>
      </c>
      <c r="E82" s="524"/>
      <c r="F82" s="540"/>
      <c r="G82" s="524"/>
    </row>
    <row r="83" spans="1:7" ht="12" customHeight="1">
      <c r="A83" s="531">
        <v>5</v>
      </c>
      <c r="B83" s="524" t="s">
        <v>137</v>
      </c>
      <c r="E83" s="524"/>
      <c r="F83" s="540">
        <f>G14</f>
        <v>0</v>
      </c>
      <c r="G83" s="524"/>
    </row>
    <row r="84" spans="1:7" ht="12" customHeight="1">
      <c r="A84" s="531"/>
      <c r="B84" s="524" t="s">
        <v>75</v>
      </c>
      <c r="E84" s="524"/>
      <c r="F84" s="540"/>
      <c r="G84" s="524"/>
    </row>
    <row r="85" spans="1:7" ht="12" customHeight="1">
      <c r="A85" s="531">
        <v>6</v>
      </c>
      <c r="B85" s="524" t="s">
        <v>138</v>
      </c>
      <c r="E85" s="524"/>
      <c r="F85" s="540">
        <f>G16</f>
        <v>0</v>
      </c>
      <c r="G85" s="524"/>
    </row>
    <row r="86" spans="1:7" ht="12" customHeight="1">
      <c r="A86" s="531">
        <v>7</v>
      </c>
      <c r="B86" s="524" t="s">
        <v>139</v>
      </c>
      <c r="E86" s="524"/>
      <c r="F86" s="540">
        <f>G17</f>
        <v>0</v>
      </c>
      <c r="G86" s="524"/>
    </row>
    <row r="87" spans="1:7" ht="12" customHeight="1">
      <c r="A87" s="531">
        <v>8</v>
      </c>
      <c r="B87" s="524" t="s">
        <v>140</v>
      </c>
      <c r="E87" s="524"/>
      <c r="F87" s="541">
        <f>G18</f>
        <v>0</v>
      </c>
      <c r="G87" s="524"/>
    </row>
    <row r="88" spans="1:7" ht="12" customHeight="1">
      <c r="A88" s="531">
        <v>9</v>
      </c>
      <c r="B88" s="524" t="s">
        <v>141</v>
      </c>
      <c r="E88" s="524"/>
      <c r="F88" s="540">
        <f>F85+F86+F87</f>
        <v>0</v>
      </c>
      <c r="G88" s="524"/>
    </row>
    <row r="89" spans="1:7" ht="12" customHeight="1">
      <c r="A89" s="531"/>
      <c r="B89" s="524" t="s">
        <v>80</v>
      </c>
      <c r="E89" s="524"/>
      <c r="F89" s="540"/>
      <c r="G89" s="524"/>
    </row>
    <row r="90" spans="1:7" ht="12" customHeight="1">
      <c r="A90" s="531">
        <v>10</v>
      </c>
      <c r="B90" s="524" t="s">
        <v>142</v>
      </c>
      <c r="E90" s="524"/>
      <c r="F90" s="540">
        <f>G21</f>
        <v>0</v>
      </c>
      <c r="G90" s="524"/>
    </row>
    <row r="91" spans="1:7" ht="12" customHeight="1">
      <c r="A91" s="531">
        <v>11</v>
      </c>
      <c r="B91" s="524" t="s">
        <v>143</v>
      </c>
      <c r="E91" s="524"/>
      <c r="F91" s="540">
        <f>G22</f>
        <v>0</v>
      </c>
      <c r="G91" s="524"/>
    </row>
    <row r="92" spans="1:7" ht="12" customHeight="1">
      <c r="A92" s="531">
        <v>12</v>
      </c>
      <c r="B92" s="524" t="s">
        <v>144</v>
      </c>
      <c r="E92" s="524"/>
      <c r="F92" s="541">
        <f>G23</f>
        <v>0</v>
      </c>
      <c r="G92" s="524"/>
    </row>
    <row r="93" spans="1:7" ht="12" customHeight="1">
      <c r="A93" s="531">
        <v>13</v>
      </c>
      <c r="B93" s="524" t="s">
        <v>145</v>
      </c>
      <c r="E93" s="524"/>
      <c r="F93" s="540">
        <f>F90+F91+F92</f>
        <v>0</v>
      </c>
      <c r="G93" s="524"/>
    </row>
    <row r="94" spans="1:7" ht="12" customHeight="1">
      <c r="A94" s="531"/>
      <c r="B94" s="524" t="s">
        <v>84</v>
      </c>
      <c r="E94" s="524"/>
      <c r="F94" s="540"/>
      <c r="G94" s="524"/>
    </row>
    <row r="95" spans="1:7" ht="12" customHeight="1">
      <c r="A95" s="531">
        <v>14</v>
      </c>
      <c r="B95" s="524" t="s">
        <v>142</v>
      </c>
      <c r="E95" s="524"/>
      <c r="F95" s="540">
        <f>G26</f>
        <v>0</v>
      </c>
      <c r="G95" s="524"/>
    </row>
    <row r="96" spans="1:7" ht="12" customHeight="1">
      <c r="A96" s="531">
        <v>15</v>
      </c>
      <c r="B96" s="524" t="s">
        <v>143</v>
      </c>
      <c r="E96" s="524"/>
      <c r="F96" s="540">
        <f>G27</f>
        <v>0</v>
      </c>
      <c r="G96" s="524"/>
    </row>
    <row r="97" spans="1:7" ht="12" customHeight="1">
      <c r="A97" s="531">
        <v>16</v>
      </c>
      <c r="B97" s="524" t="s">
        <v>144</v>
      </c>
      <c r="E97" s="524"/>
      <c r="F97" s="541"/>
      <c r="G97" s="524"/>
    </row>
    <row r="98" spans="1:7" ht="12" customHeight="1">
      <c r="A98" s="531">
        <v>17</v>
      </c>
      <c r="B98" s="524" t="s">
        <v>146</v>
      </c>
      <c r="E98" s="524"/>
      <c r="F98" s="540">
        <f>F95+F96+F97</f>
        <v>0</v>
      </c>
      <c r="G98" s="524"/>
    </row>
    <row r="99" spans="1:7" ht="12" customHeight="1">
      <c r="A99" s="531">
        <v>18</v>
      </c>
      <c r="B99" s="524" t="s">
        <v>86</v>
      </c>
      <c r="E99" s="524"/>
      <c r="F99" s="540">
        <f>G31</f>
        <v>0</v>
      </c>
      <c r="G99" s="524"/>
    </row>
    <row r="100" spans="1:7" ht="12" customHeight="1">
      <c r="A100" s="531">
        <v>19</v>
      </c>
      <c r="B100" s="524" t="s">
        <v>87</v>
      </c>
      <c r="E100" s="524"/>
      <c r="F100" s="540">
        <f>G32</f>
        <v>0</v>
      </c>
      <c r="G100" s="524"/>
    </row>
    <row r="101" spans="1:7" ht="12" customHeight="1">
      <c r="A101" s="531">
        <v>20</v>
      </c>
      <c r="B101" s="524" t="s">
        <v>147</v>
      </c>
      <c r="E101" s="524"/>
      <c r="F101" s="540">
        <f>G33</f>
        <v>0</v>
      </c>
      <c r="G101" s="524"/>
    </row>
    <row r="102" spans="1:7" ht="12" customHeight="1">
      <c r="A102" s="531"/>
      <c r="B102" s="524" t="s">
        <v>148</v>
      </c>
      <c r="E102" s="524"/>
      <c r="F102" s="540"/>
      <c r="G102" s="524"/>
    </row>
    <row r="103" spans="1:7" ht="12" customHeight="1">
      <c r="A103" s="531">
        <v>21</v>
      </c>
      <c r="B103" s="524" t="s">
        <v>142</v>
      </c>
      <c r="E103" s="524"/>
      <c r="F103" s="540">
        <f>G35</f>
        <v>0</v>
      </c>
      <c r="G103" s="524"/>
    </row>
    <row r="104" spans="1:7" ht="12" customHeight="1">
      <c r="A104" s="531">
        <v>22</v>
      </c>
      <c r="B104" s="524" t="s">
        <v>143</v>
      </c>
      <c r="E104" s="524"/>
      <c r="F104" s="540">
        <f>G36</f>
        <v>0</v>
      </c>
      <c r="G104" s="524"/>
    </row>
    <row r="105" spans="1:7" ht="12" customHeight="1">
      <c r="A105" s="531">
        <v>23</v>
      </c>
      <c r="B105" s="524" t="s">
        <v>144</v>
      </c>
      <c r="E105" s="524"/>
      <c r="F105" s="541">
        <f>G37</f>
        <v>0</v>
      </c>
      <c r="G105" s="524"/>
    </row>
    <row r="106" spans="1:7" ht="12" customHeight="1">
      <c r="A106" s="531">
        <v>24</v>
      </c>
      <c r="B106" s="524" t="s">
        <v>149</v>
      </c>
      <c r="E106" s="524"/>
      <c r="F106" s="541">
        <f>F103+F104+F105</f>
        <v>0</v>
      </c>
      <c r="G106" s="524"/>
    </row>
    <row r="107" spans="1:7" ht="12" customHeight="1">
      <c r="A107" s="531"/>
      <c r="E107" s="524"/>
      <c r="F107" s="540"/>
      <c r="G107" s="524"/>
    </row>
    <row r="108" spans="1:7" ht="12" customHeight="1">
      <c r="A108" s="531">
        <v>25</v>
      </c>
      <c r="B108" s="524" t="s">
        <v>91</v>
      </c>
      <c r="E108" s="524"/>
      <c r="F108" s="541">
        <f>F106+F101+F100+F99+F98+F93+F88+F83</f>
        <v>0</v>
      </c>
      <c r="G108" s="524"/>
    </row>
    <row r="109" spans="1:7" ht="12" customHeight="1">
      <c r="A109" s="531"/>
      <c r="E109" s="524"/>
      <c r="F109" s="540"/>
      <c r="G109" s="524"/>
    </row>
    <row r="110" spans="1:7" ht="12" customHeight="1">
      <c r="A110" s="531">
        <v>26</v>
      </c>
      <c r="B110" s="524" t="s">
        <v>171</v>
      </c>
      <c r="E110" s="524"/>
      <c r="F110" s="541">
        <f>F80-F108</f>
        <v>0</v>
      </c>
      <c r="G110" s="524"/>
    </row>
    <row r="111" spans="1:7" ht="12" customHeight="1">
      <c r="A111" s="531"/>
      <c r="E111" s="524"/>
      <c r="G111" s="524"/>
    </row>
    <row r="112" spans="1:7" ht="12" customHeight="1">
      <c r="A112" s="531">
        <v>27</v>
      </c>
      <c r="B112" s="524" t="s">
        <v>172</v>
      </c>
      <c r="G112" s="524"/>
    </row>
    <row r="113" spans="1:7" ht="12" customHeight="1" thickBot="1">
      <c r="A113" s="531"/>
      <c r="B113" s="551" t="s">
        <v>173</v>
      </c>
      <c r="C113" s="552">
        <f>Inputs!$D$4</f>
        <v>1.1416000000000001E-2</v>
      </c>
      <c r="F113" s="546">
        <f>ROUND(F110*C113,0)</f>
        <v>0</v>
      </c>
      <c r="G113" s="524"/>
    </row>
    <row r="114" spans="1:7" ht="12" customHeight="1" thickTop="1">
      <c r="A114" s="531"/>
      <c r="G114" s="524"/>
    </row>
  </sheetData>
  <customSheetViews>
    <customSheetView guid="{5BE913A1-B14F-11D2-B0DC-0000832CDFF0}" showRuler="0">
      <selection activeCell="F39" sqref="F39"/>
      <pageMargins left="0.75" right="0.75" top="0.5" bottom="0.5" header="0.5" footer="0.5"/>
      <pageSetup scale="85" orientation="portrait" horizontalDpi="4294967292" verticalDpi="0" r:id="rId1"/>
      <headerFooter alignWithMargins="0"/>
    </customSheetView>
    <customSheetView guid="{A15D1964-B049-11D2-8670-0000832CEEE8}" showRuler="0" topLeftCell="A55">
      <selection sqref="A1:C1"/>
      <pageMargins left="0.75" right="0.75" top="0.5" bottom="0.5" header="0.5" footer="0.5"/>
      <pageSetup scale="85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  <rowBreaks count="1" manualBreakCount="1">
    <brk id="6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H112"/>
  <sheetViews>
    <sheetView workbookViewId="0">
      <selection activeCell="G44" sqref="G44"/>
    </sheetView>
  </sheetViews>
  <sheetFormatPr defaultColWidth="12.42578125" defaultRowHeight="11.1" customHeight="1"/>
  <cols>
    <col min="1" max="1" width="5.5703125" style="554" customWidth="1"/>
    <col min="2" max="2" width="26.140625" style="554" customWidth="1"/>
    <col min="3" max="3" width="16.5703125" style="554" customWidth="1"/>
    <col min="4" max="4" width="6.7109375" style="554" customWidth="1"/>
    <col min="5" max="5" width="12.42578125" style="572" customWidth="1"/>
    <col min="6" max="6" width="12.42578125" style="573" customWidth="1"/>
    <col min="7" max="7" width="12.42578125" style="572" customWidth="1"/>
    <col min="8" max="16384" width="12.42578125" style="554"/>
  </cols>
  <sheetData>
    <row r="1" spans="1:8" ht="12">
      <c r="A1" s="553" t="str">
        <f>Inputs!$D$6</f>
        <v>AVISTA UTILITIES</v>
      </c>
      <c r="B1" s="553"/>
      <c r="C1" s="553"/>
      <c r="E1" s="555"/>
      <c r="F1" s="556"/>
      <c r="G1" s="555"/>
    </row>
    <row r="2" spans="1:8" ht="12">
      <c r="A2" s="553" t="s">
        <v>125</v>
      </c>
      <c r="B2" s="553"/>
      <c r="C2" s="553"/>
      <c r="E2" s="555"/>
      <c r="F2" s="557" t="s">
        <v>186</v>
      </c>
      <c r="G2" s="555"/>
    </row>
    <row r="3" spans="1:8" ht="12">
      <c r="A3" s="553" t="str">
        <f>Inputs!$D$2</f>
        <v>TWELVE MONTHS ENDED SEPTEMBER 30, 2008</v>
      </c>
      <c r="B3" s="553"/>
      <c r="C3" s="553"/>
      <c r="E3" s="555"/>
      <c r="F3" s="557" t="s">
        <v>187</v>
      </c>
      <c r="G3" s="554"/>
    </row>
    <row r="4" spans="1:8" ht="12">
      <c r="A4" s="553" t="s">
        <v>128</v>
      </c>
      <c r="B4" s="553"/>
      <c r="C4" s="553"/>
      <c r="E4" s="558"/>
      <c r="F4" s="559" t="s">
        <v>129</v>
      </c>
      <c r="G4" s="558"/>
    </row>
    <row r="5" spans="1:8" ht="12">
      <c r="A5" s="560" t="s">
        <v>10</v>
      </c>
      <c r="E5" s="555"/>
      <c r="F5" s="557"/>
      <c r="G5" s="555"/>
    </row>
    <row r="6" spans="1:8" ht="12">
      <c r="A6" s="561" t="s">
        <v>27</v>
      </c>
      <c r="B6" s="562" t="s">
        <v>113</v>
      </c>
      <c r="C6" s="562"/>
      <c r="E6" s="563" t="s">
        <v>130</v>
      </c>
      <c r="F6" s="564" t="s">
        <v>131</v>
      </c>
      <c r="G6" s="563" t="s">
        <v>132</v>
      </c>
      <c r="H6" s="565" t="s">
        <v>133</v>
      </c>
    </row>
    <row r="7" spans="1:8" ht="12">
      <c r="A7" s="560"/>
      <c r="B7" s="554" t="s">
        <v>68</v>
      </c>
      <c r="E7" s="566"/>
      <c r="F7" s="557"/>
      <c r="G7" s="566"/>
    </row>
    <row r="8" spans="1:8" ht="12">
      <c r="A8" s="560">
        <v>1</v>
      </c>
      <c r="B8" s="554" t="s">
        <v>134</v>
      </c>
      <c r="E8" s="567"/>
      <c r="F8" s="567"/>
      <c r="G8" s="567"/>
      <c r="H8" s="568" t="str">
        <f>IF(E8=F8+G8," ","ERROR")</f>
        <v xml:space="preserve"> </v>
      </c>
    </row>
    <row r="9" spans="1:8" ht="12">
      <c r="A9" s="560">
        <v>2</v>
      </c>
      <c r="B9" s="554" t="s">
        <v>135</v>
      </c>
      <c r="E9" s="569"/>
      <c r="F9" s="569"/>
      <c r="G9" s="569"/>
      <c r="H9" s="568" t="str">
        <f>IF(E9=F9+G9," ","ERROR")</f>
        <v xml:space="preserve"> </v>
      </c>
    </row>
    <row r="10" spans="1:8" ht="12">
      <c r="A10" s="560">
        <v>3</v>
      </c>
      <c r="B10" s="554" t="s">
        <v>71</v>
      </c>
      <c r="E10" s="570"/>
      <c r="F10" s="570"/>
      <c r="G10" s="570"/>
      <c r="H10" s="568" t="str">
        <f>IF(E10=F10+G10," ","ERROR")</f>
        <v xml:space="preserve"> </v>
      </c>
    </row>
    <row r="11" spans="1:8" ht="12">
      <c r="A11" s="560">
        <v>4</v>
      </c>
      <c r="B11" s="554" t="s">
        <v>136</v>
      </c>
      <c r="E11" s="569">
        <f>SUM(E8:E10)</f>
        <v>0</v>
      </c>
      <c r="F11" s="569">
        <f>SUM(F8:F10)</f>
        <v>0</v>
      </c>
      <c r="G11" s="569">
        <f>SUM(G8:G10)</f>
        <v>0</v>
      </c>
      <c r="H11" s="568" t="str">
        <f>IF(E11=F11+G11," ","ERROR")</f>
        <v xml:space="preserve"> </v>
      </c>
    </row>
    <row r="12" spans="1:8" ht="12">
      <c r="A12" s="560"/>
      <c r="E12" s="569"/>
      <c r="F12" s="569"/>
      <c r="G12" s="569"/>
      <c r="H12" s="568"/>
    </row>
    <row r="13" spans="1:8" ht="12">
      <c r="A13" s="560"/>
      <c r="B13" s="554" t="s">
        <v>73</v>
      </c>
      <c r="E13" s="569"/>
      <c r="F13" s="569"/>
      <c r="G13" s="569"/>
      <c r="H13" s="568"/>
    </row>
    <row r="14" spans="1:8" ht="12">
      <c r="A14" s="560">
        <v>5</v>
      </c>
      <c r="B14" s="554" t="s">
        <v>137</v>
      </c>
      <c r="E14" s="569"/>
      <c r="F14" s="569"/>
      <c r="G14" s="569"/>
      <c r="H14" s="568" t="str">
        <f>IF(E14=F14+G14," ","ERROR")</f>
        <v xml:space="preserve"> </v>
      </c>
    </row>
    <row r="15" spans="1:8" ht="12">
      <c r="A15" s="560"/>
      <c r="B15" s="554" t="s">
        <v>75</v>
      </c>
      <c r="E15" s="569"/>
      <c r="F15" s="569"/>
      <c r="G15" s="569"/>
      <c r="H15" s="568"/>
    </row>
    <row r="16" spans="1:8" ht="12">
      <c r="A16" s="560">
        <v>6</v>
      </c>
      <c r="B16" s="554" t="s">
        <v>138</v>
      </c>
      <c r="E16" s="569"/>
      <c r="F16" s="569"/>
      <c r="G16" s="569"/>
      <c r="H16" s="568" t="str">
        <f>IF(E16=F16+G16," ","ERROR")</f>
        <v xml:space="preserve"> </v>
      </c>
    </row>
    <row r="17" spans="1:8" ht="12">
      <c r="A17" s="560">
        <v>7</v>
      </c>
      <c r="B17" s="554" t="s">
        <v>139</v>
      </c>
      <c r="E17" s="569"/>
      <c r="F17" s="569"/>
      <c r="G17" s="569"/>
      <c r="H17" s="568" t="str">
        <f>IF(E17=F17+G17," ","ERROR")</f>
        <v xml:space="preserve"> </v>
      </c>
    </row>
    <row r="18" spans="1:8" ht="12">
      <c r="A18" s="560">
        <v>8</v>
      </c>
      <c r="B18" s="554" t="s">
        <v>140</v>
      </c>
      <c r="E18" s="570"/>
      <c r="F18" s="570"/>
      <c r="G18" s="570"/>
      <c r="H18" s="568" t="str">
        <f>IF(E18=F18+G18," ","ERROR")</f>
        <v xml:space="preserve"> </v>
      </c>
    </row>
    <row r="19" spans="1:8" ht="12">
      <c r="A19" s="560">
        <v>9</v>
      </c>
      <c r="B19" s="554" t="s">
        <v>141</v>
      </c>
      <c r="E19" s="569">
        <f>SUM(E16:E18)</f>
        <v>0</v>
      </c>
      <c r="F19" s="569">
        <f>SUM(F16:F18)</f>
        <v>0</v>
      </c>
      <c r="G19" s="569">
        <f>SUM(G16:G18)</f>
        <v>0</v>
      </c>
      <c r="H19" s="568" t="str">
        <f>IF(E19=F19+G19," ","ERROR")</f>
        <v xml:space="preserve"> </v>
      </c>
    </row>
    <row r="20" spans="1:8" ht="12">
      <c r="A20" s="560"/>
      <c r="B20" s="554" t="s">
        <v>80</v>
      </c>
      <c r="E20" s="569"/>
      <c r="F20" s="569"/>
      <c r="G20" s="569"/>
      <c r="H20" s="568"/>
    </row>
    <row r="21" spans="1:8" ht="12">
      <c r="A21" s="560">
        <v>10</v>
      </c>
      <c r="B21" s="554" t="s">
        <v>142</v>
      </c>
      <c r="E21" s="569"/>
      <c r="F21" s="569"/>
      <c r="G21" s="569"/>
      <c r="H21" s="568" t="str">
        <f>IF(E21=F21+G21," ","ERROR")</f>
        <v xml:space="preserve"> </v>
      </c>
    </row>
    <row r="22" spans="1:8" ht="12">
      <c r="A22" s="560">
        <v>11</v>
      </c>
      <c r="B22" s="554" t="s">
        <v>143</v>
      </c>
      <c r="E22" s="569"/>
      <c r="F22" s="569"/>
      <c r="G22" s="569"/>
      <c r="H22" s="568" t="str">
        <f>IF(E22=F22+G22," ","ERROR")</f>
        <v xml:space="preserve"> </v>
      </c>
    </row>
    <row r="23" spans="1:8" ht="12">
      <c r="A23" s="560">
        <v>12</v>
      </c>
      <c r="B23" s="554" t="s">
        <v>144</v>
      </c>
      <c r="E23" s="570"/>
      <c r="F23" s="570"/>
      <c r="G23" s="570"/>
      <c r="H23" s="568" t="str">
        <f>IF(E23=F23+G23," ","ERROR")</f>
        <v xml:space="preserve"> </v>
      </c>
    </row>
    <row r="24" spans="1:8" ht="12">
      <c r="A24" s="560">
        <v>13</v>
      </c>
      <c r="B24" s="554" t="s">
        <v>145</v>
      </c>
      <c r="E24" s="569">
        <f>SUM(E21:E23)</f>
        <v>0</v>
      </c>
      <c r="F24" s="569">
        <f>SUM(F21:F23)</f>
        <v>0</v>
      </c>
      <c r="G24" s="569">
        <f>SUM(G21:G23)</f>
        <v>0</v>
      </c>
      <c r="H24" s="568" t="str">
        <f>IF(E24=F24+G24," ","ERROR")</f>
        <v xml:space="preserve"> </v>
      </c>
    </row>
    <row r="25" spans="1:8" ht="12">
      <c r="A25" s="560"/>
      <c r="B25" s="554" t="s">
        <v>84</v>
      </c>
      <c r="E25" s="569"/>
      <c r="F25" s="569"/>
      <c r="G25" s="569"/>
      <c r="H25" s="568"/>
    </row>
    <row r="26" spans="1:8" ht="12">
      <c r="A26" s="560">
        <v>14</v>
      </c>
      <c r="B26" s="554" t="s">
        <v>142</v>
      </c>
      <c r="E26" s="569"/>
      <c r="F26" s="569"/>
      <c r="G26" s="569"/>
      <c r="H26" s="568" t="str">
        <f>IF(E26=F26+G26," ","ERROR")</f>
        <v xml:space="preserve"> </v>
      </c>
    </row>
    <row r="27" spans="1:8" ht="12">
      <c r="A27" s="560">
        <v>15</v>
      </c>
      <c r="B27" s="554" t="s">
        <v>143</v>
      </c>
      <c r="E27" s="569"/>
      <c r="F27" s="569"/>
      <c r="G27" s="569"/>
      <c r="H27" s="568" t="str">
        <f>IF(E27=F27+G27," ","ERROR")</f>
        <v xml:space="preserve"> </v>
      </c>
    </row>
    <row r="28" spans="1:8" ht="12">
      <c r="A28" s="560">
        <v>16</v>
      </c>
      <c r="B28" s="554" t="s">
        <v>144</v>
      </c>
      <c r="E28" s="570">
        <f>F28+G28</f>
        <v>0</v>
      </c>
      <c r="F28" s="570"/>
      <c r="G28" s="570">
        <f>F111</f>
        <v>0</v>
      </c>
      <c r="H28" s="568" t="str">
        <f>IF(E28=F28+G28," ","ERROR")</f>
        <v xml:space="preserve"> </v>
      </c>
    </row>
    <row r="29" spans="1:8" ht="12">
      <c r="A29" s="560">
        <v>17</v>
      </c>
      <c r="B29" s="554" t="s">
        <v>146</v>
      </c>
      <c r="E29" s="569">
        <f>SUM(E26:E28)</f>
        <v>0</v>
      </c>
      <c r="F29" s="569">
        <f>SUM(F26:F28)</f>
        <v>0</v>
      </c>
      <c r="G29" s="569">
        <f>SUM(G26:G28)</f>
        <v>0</v>
      </c>
      <c r="H29" s="568" t="str">
        <f>IF(E29=F29+G29," ","ERROR")</f>
        <v xml:space="preserve"> </v>
      </c>
    </row>
    <row r="30" spans="1:8" ht="12">
      <c r="A30" s="560"/>
      <c r="E30" s="569"/>
      <c r="F30" s="569"/>
      <c r="G30" s="569"/>
      <c r="H30" s="568"/>
    </row>
    <row r="31" spans="1:8" ht="12">
      <c r="A31" s="560">
        <v>18</v>
      </c>
      <c r="B31" s="554" t="s">
        <v>86</v>
      </c>
      <c r="E31" s="569"/>
      <c r="F31" s="569"/>
      <c r="G31" s="569"/>
      <c r="H31" s="568" t="str">
        <f>IF(E31=F31+G31," ","ERROR")</f>
        <v xml:space="preserve"> </v>
      </c>
    </row>
    <row r="32" spans="1:8" ht="12">
      <c r="A32" s="560">
        <v>19</v>
      </c>
      <c r="B32" s="554" t="s">
        <v>87</v>
      </c>
      <c r="E32" s="569"/>
      <c r="F32" s="569"/>
      <c r="G32" s="569"/>
      <c r="H32" s="568" t="str">
        <f>IF(E32=F32+G32," ","ERROR")</f>
        <v xml:space="preserve"> </v>
      </c>
    </row>
    <row r="33" spans="1:8" ht="12">
      <c r="A33" s="560">
        <v>20</v>
      </c>
      <c r="B33" s="554" t="s">
        <v>147</v>
      </c>
      <c r="E33" s="569"/>
      <c r="F33" s="569"/>
      <c r="G33" s="569"/>
      <c r="H33" s="568" t="str">
        <f>IF(E33=F33+G33," ","ERROR")</f>
        <v xml:space="preserve"> </v>
      </c>
    </row>
    <row r="34" spans="1:8" ht="12">
      <c r="A34" s="560"/>
      <c r="B34" s="554" t="s">
        <v>148</v>
      </c>
      <c r="E34" s="569"/>
      <c r="F34" s="569"/>
      <c r="G34" s="569"/>
      <c r="H34" s="568"/>
    </row>
    <row r="35" spans="1:8" ht="12">
      <c r="A35" s="560">
        <v>21</v>
      </c>
      <c r="B35" s="554" t="s">
        <v>142</v>
      </c>
      <c r="E35" s="569"/>
      <c r="F35" s="569"/>
      <c r="G35" s="569"/>
      <c r="H35" s="568" t="str">
        <f>IF(E35=F35+G35," ","ERROR")</f>
        <v xml:space="preserve"> </v>
      </c>
    </row>
    <row r="36" spans="1:8" ht="12">
      <c r="A36" s="560">
        <v>22</v>
      </c>
      <c r="B36" s="554" t="s">
        <v>143</v>
      </c>
      <c r="E36" s="569"/>
      <c r="F36" s="569"/>
      <c r="G36" s="569"/>
      <c r="H36" s="568" t="str">
        <f>IF(E36=F36+G36," ","ERROR")</f>
        <v xml:space="preserve"> </v>
      </c>
    </row>
    <row r="37" spans="1:8" ht="12">
      <c r="A37" s="560">
        <v>23</v>
      </c>
      <c r="B37" s="554" t="s">
        <v>144</v>
      </c>
      <c r="E37" s="570"/>
      <c r="F37" s="570"/>
      <c r="G37" s="570"/>
      <c r="H37" s="568" t="str">
        <f>IF(E37=F37+G37," ","ERROR")</f>
        <v xml:space="preserve"> </v>
      </c>
    </row>
    <row r="38" spans="1:8" ht="12">
      <c r="A38" s="560">
        <v>24</v>
      </c>
      <c r="B38" s="554" t="s">
        <v>149</v>
      </c>
      <c r="E38" s="570">
        <f>SUM(E35:E37)</f>
        <v>0</v>
      </c>
      <c r="F38" s="570">
        <f>SUM(F35:F37)</f>
        <v>0</v>
      </c>
      <c r="G38" s="570">
        <f>SUM(G35:G37)</f>
        <v>0</v>
      </c>
      <c r="H38" s="568" t="str">
        <f>IF(E38=F38+G38," ","ERROR")</f>
        <v xml:space="preserve"> </v>
      </c>
    </row>
    <row r="39" spans="1:8" ht="12">
      <c r="A39" s="560">
        <v>25</v>
      </c>
      <c r="B39" s="554" t="s">
        <v>91</v>
      </c>
      <c r="E39" s="570">
        <f>E19+E24+E29+E31+E32+E33+E38+E14</f>
        <v>0</v>
      </c>
      <c r="F39" s="570">
        <f>F19+F24+F29+F31+F32+F33+F38+F14</f>
        <v>0</v>
      </c>
      <c r="G39" s="570">
        <f>G19+G24+G29+G31+G32+G33+G38+G14</f>
        <v>0</v>
      </c>
      <c r="H39" s="568" t="str">
        <f>IF(E39=F39+G39," ","ERROR")</f>
        <v xml:space="preserve"> </v>
      </c>
    </row>
    <row r="40" spans="1:8" ht="12">
      <c r="A40" s="560"/>
      <c r="E40" s="569"/>
      <c r="F40" s="569"/>
      <c r="G40" s="569"/>
      <c r="H40" s="568"/>
    </row>
    <row r="41" spans="1:8" ht="12">
      <c r="A41" s="560">
        <v>26</v>
      </c>
      <c r="B41" s="554" t="s">
        <v>150</v>
      </c>
      <c r="E41" s="569">
        <f>E11-E39</f>
        <v>0</v>
      </c>
      <c r="F41" s="569">
        <f>F11-F39</f>
        <v>0</v>
      </c>
      <c r="G41" s="569">
        <f>G11-G39</f>
        <v>0</v>
      </c>
      <c r="H41" s="568" t="str">
        <f>IF(E41=F41+G41," ","ERROR")</f>
        <v xml:space="preserve"> </v>
      </c>
    </row>
    <row r="42" spans="1:8" ht="12">
      <c r="A42" s="560"/>
      <c r="E42" s="569"/>
      <c r="F42" s="569"/>
      <c r="G42" s="569"/>
      <c r="H42" s="568"/>
    </row>
    <row r="43" spans="1:8" ht="12">
      <c r="A43" s="560"/>
      <c r="B43" s="554" t="s">
        <v>151</v>
      </c>
      <c r="E43" s="569"/>
      <c r="F43" s="569"/>
      <c r="G43" s="569"/>
      <c r="H43" s="568"/>
    </row>
    <row r="44" spans="1:8" ht="12">
      <c r="A44" s="560">
        <v>27</v>
      </c>
      <c r="B44" s="571" t="s">
        <v>165</v>
      </c>
      <c r="E44" s="569">
        <f>F44+G44</f>
        <v>-10</v>
      </c>
      <c r="F44" s="569">
        <f>3</f>
        <v>3</v>
      </c>
      <c r="G44" s="569">
        <f>-13</f>
        <v>-13</v>
      </c>
      <c r="H44" s="568" t="str">
        <f>IF(E44=F44+G44," ","ERROR")</f>
        <v xml:space="preserve"> </v>
      </c>
    </row>
    <row r="45" spans="1:8" ht="12">
      <c r="A45" s="560">
        <v>28</v>
      </c>
      <c r="B45" s="554" t="s">
        <v>153</v>
      </c>
      <c r="E45" s="569">
        <f>F45+G45</f>
        <v>10</v>
      </c>
      <c r="F45" s="569">
        <v>7</v>
      </c>
      <c r="G45" s="569">
        <v>3</v>
      </c>
      <c r="H45" s="568" t="str">
        <f>IF(E45=F45+G45," ","ERROR")</f>
        <v xml:space="preserve"> </v>
      </c>
    </row>
    <row r="46" spans="1:8" ht="12">
      <c r="A46" s="560">
        <v>29</v>
      </c>
      <c r="B46" s="554" t="s">
        <v>154</v>
      </c>
      <c r="E46" s="570"/>
      <c r="F46" s="570"/>
      <c r="G46" s="570"/>
      <c r="H46" s="568" t="str">
        <f>IF(E46=F46+G46," ","ERROR")</f>
        <v xml:space="preserve"> </v>
      </c>
    </row>
    <row r="47" spans="1:8" ht="12">
      <c r="A47" s="560"/>
      <c r="H47" s="568"/>
    </row>
    <row r="48" spans="1:8" ht="12">
      <c r="A48" s="560">
        <v>30</v>
      </c>
      <c r="B48" s="574" t="s">
        <v>97</v>
      </c>
      <c r="E48" s="567">
        <f>E41-(+E44+E45+E46)</f>
        <v>0</v>
      </c>
      <c r="F48" s="567">
        <f>F41-(F44+F45+F46)</f>
        <v>-10</v>
      </c>
      <c r="G48" s="567">
        <f>G41-SUM(G44:G46)</f>
        <v>10</v>
      </c>
      <c r="H48" s="568" t="str">
        <f>IF(E48=F48+G48," ","ERROR")</f>
        <v xml:space="preserve"> </v>
      </c>
    </row>
    <row r="49" spans="1:8" ht="12">
      <c r="A49" s="560"/>
      <c r="H49" s="568"/>
    </row>
    <row r="50" spans="1:8" ht="12">
      <c r="A50" s="560"/>
      <c r="B50" s="571" t="s">
        <v>155</v>
      </c>
      <c r="H50" s="568"/>
    </row>
    <row r="51" spans="1:8" ht="12">
      <c r="A51" s="560"/>
      <c r="B51" s="571" t="s">
        <v>156</v>
      </c>
      <c r="H51" s="568"/>
    </row>
    <row r="52" spans="1:8" ht="12">
      <c r="A52" s="560">
        <v>31</v>
      </c>
      <c r="B52" s="554" t="s">
        <v>157</v>
      </c>
      <c r="E52" s="567"/>
      <c r="F52" s="567"/>
      <c r="G52" s="567"/>
      <c r="H52" s="568" t="str">
        <f t="shared" ref="H52:H63" si="0">IF(E52=F52+G52," ","ERROR")</f>
        <v xml:space="preserve"> </v>
      </c>
    </row>
    <row r="53" spans="1:8" ht="12">
      <c r="A53" s="560">
        <v>32</v>
      </c>
      <c r="B53" s="554" t="s">
        <v>158</v>
      </c>
      <c r="E53" s="569"/>
      <c r="F53" s="569"/>
      <c r="G53" s="569"/>
      <c r="H53" s="568" t="str">
        <f t="shared" si="0"/>
        <v xml:space="preserve"> </v>
      </c>
    </row>
    <row r="54" spans="1:8" ht="12">
      <c r="A54" s="560">
        <v>33</v>
      </c>
      <c r="B54" s="554" t="s">
        <v>166</v>
      </c>
      <c r="E54" s="570"/>
      <c r="F54" s="570"/>
      <c r="G54" s="570"/>
      <c r="H54" s="568" t="str">
        <f t="shared" si="0"/>
        <v xml:space="preserve"> </v>
      </c>
    </row>
    <row r="55" spans="1:8" ht="12">
      <c r="A55" s="560">
        <v>34</v>
      </c>
      <c r="B55" s="554" t="s">
        <v>160</v>
      </c>
      <c r="E55" s="569">
        <f>SUM(E52:E54)</f>
        <v>0</v>
      </c>
      <c r="F55" s="569">
        <f>SUM(F52:F54)</f>
        <v>0</v>
      </c>
      <c r="G55" s="569">
        <f>SUM(G52:G54)</f>
        <v>0</v>
      </c>
      <c r="H55" s="568" t="str">
        <f t="shared" si="0"/>
        <v xml:space="preserve"> </v>
      </c>
    </row>
    <row r="56" spans="1:8" ht="12">
      <c r="A56" s="560"/>
      <c r="B56" s="554" t="s">
        <v>102</v>
      </c>
      <c r="E56" s="569"/>
      <c r="F56" s="569"/>
      <c r="G56" s="569"/>
      <c r="H56" s="568" t="str">
        <f t="shared" si="0"/>
        <v xml:space="preserve"> </v>
      </c>
    </row>
    <row r="57" spans="1:8" ht="12">
      <c r="A57" s="560">
        <v>35</v>
      </c>
      <c r="B57" s="554" t="s">
        <v>157</v>
      </c>
      <c r="E57" s="569"/>
      <c r="F57" s="569"/>
      <c r="G57" s="569"/>
      <c r="H57" s="568" t="str">
        <f t="shared" si="0"/>
        <v xml:space="preserve"> </v>
      </c>
    </row>
    <row r="58" spans="1:8" ht="12">
      <c r="A58" s="560">
        <v>36</v>
      </c>
      <c r="B58" s="554" t="s">
        <v>158</v>
      </c>
      <c r="E58" s="569"/>
      <c r="F58" s="569"/>
      <c r="G58" s="569"/>
      <c r="H58" s="568" t="str">
        <f t="shared" si="0"/>
        <v xml:space="preserve"> </v>
      </c>
    </row>
    <row r="59" spans="1:8" ht="12">
      <c r="A59" s="560">
        <v>37</v>
      </c>
      <c r="B59" s="554" t="s">
        <v>166</v>
      </c>
      <c r="E59" s="570"/>
      <c r="F59" s="570"/>
      <c r="G59" s="570"/>
      <c r="H59" s="568" t="str">
        <f t="shared" si="0"/>
        <v xml:space="preserve"> </v>
      </c>
    </row>
    <row r="60" spans="1:8" ht="12">
      <c r="A60" s="560">
        <v>38</v>
      </c>
      <c r="B60" s="554" t="s">
        <v>161</v>
      </c>
      <c r="E60" s="569">
        <f>SUM(E57:E59)</f>
        <v>0</v>
      </c>
      <c r="F60" s="569">
        <f>SUM(F57:F59)</f>
        <v>0</v>
      </c>
      <c r="G60" s="569">
        <f>SUM(G57:G59)</f>
        <v>0</v>
      </c>
      <c r="H60" s="568" t="str">
        <f t="shared" si="0"/>
        <v xml:space="preserve"> </v>
      </c>
    </row>
    <row r="61" spans="1:8" ht="12">
      <c r="A61" s="560">
        <v>39</v>
      </c>
      <c r="B61" s="571" t="s">
        <v>162</v>
      </c>
      <c r="E61" s="569"/>
      <c r="F61" s="569"/>
      <c r="G61" s="569"/>
      <c r="H61" s="568" t="str">
        <f t="shared" si="0"/>
        <v xml:space="preserve"> </v>
      </c>
    </row>
    <row r="62" spans="1:8" ht="12">
      <c r="A62" s="560">
        <v>40</v>
      </c>
      <c r="B62" s="554" t="s">
        <v>105</v>
      </c>
      <c r="E62" s="569"/>
      <c r="F62" s="569"/>
      <c r="G62" s="569"/>
      <c r="H62" s="568" t="str">
        <f t="shared" si="0"/>
        <v xml:space="preserve"> </v>
      </c>
    </row>
    <row r="63" spans="1:8" ht="12">
      <c r="A63" s="560">
        <v>41</v>
      </c>
      <c r="B63" s="571" t="s">
        <v>106</v>
      </c>
      <c r="E63" s="570"/>
      <c r="F63" s="570"/>
      <c r="G63" s="570"/>
      <c r="H63" s="568" t="str">
        <f t="shared" si="0"/>
        <v xml:space="preserve"> </v>
      </c>
    </row>
    <row r="64" spans="1:8" ht="12">
      <c r="A64" s="560"/>
      <c r="B64" s="554" t="s">
        <v>163</v>
      </c>
      <c r="H64" s="568"/>
    </row>
    <row r="65" spans="1:8" ht="12.75" thickBot="1">
      <c r="A65" s="560">
        <v>42</v>
      </c>
      <c r="B65" s="574" t="s">
        <v>107</v>
      </c>
      <c r="E65" s="575">
        <f>E55-E60+E61+E62+E63</f>
        <v>0</v>
      </c>
      <c r="F65" s="575">
        <f>F55-F60+F61+F62+F63</f>
        <v>0</v>
      </c>
      <c r="G65" s="575">
        <f>G55-G60+G61+G62+G63</f>
        <v>0</v>
      </c>
      <c r="H65" s="568" t="str">
        <f>IF(E65=F65+G65," ","ERROR")</f>
        <v xml:space="preserve"> </v>
      </c>
    </row>
    <row r="66" spans="1:8" ht="12.75" thickTop="1">
      <c r="A66" s="576"/>
      <c r="B66" s="576"/>
      <c r="C66" s="576"/>
      <c r="D66" s="577"/>
      <c r="E66" s="578"/>
      <c r="F66" s="579"/>
      <c r="G66" s="577"/>
    </row>
    <row r="67" spans="1:8" ht="12">
      <c r="A67" s="576"/>
      <c r="B67" s="576"/>
      <c r="C67" s="576"/>
      <c r="D67" s="577"/>
      <c r="E67" s="578"/>
      <c r="F67" s="579"/>
      <c r="G67" s="577"/>
    </row>
    <row r="68" spans="1:8" ht="12">
      <c r="A68" s="576"/>
      <c r="B68" s="576"/>
      <c r="C68" s="576"/>
      <c r="D68" s="577"/>
      <c r="E68" s="578"/>
      <c r="F68" s="580"/>
      <c r="G68" s="577"/>
    </row>
    <row r="69" spans="1:8" ht="12">
      <c r="A69" s="576"/>
      <c r="B69" s="576"/>
      <c r="C69" s="576"/>
      <c r="D69" s="577"/>
      <c r="E69" s="578"/>
      <c r="F69" s="580"/>
      <c r="G69" s="577"/>
    </row>
    <row r="70" spans="1:8" ht="12">
      <c r="A70" s="577"/>
      <c r="B70" s="577"/>
      <c r="C70" s="577"/>
      <c r="D70" s="577"/>
      <c r="E70" s="578"/>
      <c r="F70" s="580"/>
      <c r="G70" s="577"/>
    </row>
    <row r="71" spans="1:8" ht="12">
      <c r="A71" s="561"/>
      <c r="B71" s="577"/>
      <c r="C71" s="577"/>
      <c r="D71" s="577"/>
      <c r="E71" s="578"/>
      <c r="F71" s="580"/>
      <c r="G71" s="578"/>
    </row>
    <row r="72" spans="1:8" ht="12">
      <c r="A72" s="561"/>
      <c r="B72" s="576"/>
      <c r="C72" s="576"/>
      <c r="D72" s="577"/>
      <c r="E72" s="578"/>
      <c r="F72" s="580"/>
      <c r="G72" s="578"/>
    </row>
    <row r="73" spans="1:8" ht="12">
      <c r="A73" s="561"/>
      <c r="B73" s="577"/>
      <c r="C73" s="577"/>
      <c r="D73" s="577"/>
      <c r="E73" s="577"/>
      <c r="F73" s="579"/>
      <c r="G73" s="577"/>
    </row>
    <row r="74" spans="1:8" ht="12">
      <c r="A74" s="561"/>
      <c r="B74" s="577"/>
      <c r="C74" s="577"/>
      <c r="D74" s="577"/>
      <c r="E74" s="577"/>
      <c r="F74" s="581"/>
      <c r="G74" s="577"/>
    </row>
    <row r="75" spans="1:8" ht="12">
      <c r="A75" s="561"/>
      <c r="B75" s="577"/>
      <c r="C75" s="577"/>
      <c r="D75" s="577"/>
      <c r="E75" s="577"/>
      <c r="F75" s="582"/>
      <c r="G75" s="577"/>
    </row>
    <row r="76" spans="1:8" ht="12">
      <c r="A76" s="561"/>
      <c r="B76" s="577"/>
      <c r="C76" s="577"/>
      <c r="D76" s="577"/>
      <c r="E76" s="577"/>
      <c r="F76" s="582"/>
      <c r="G76" s="577"/>
    </row>
    <row r="77" spans="1:8" ht="12">
      <c r="A77" s="561"/>
      <c r="B77" s="577"/>
      <c r="C77" s="577"/>
      <c r="D77" s="577"/>
      <c r="E77" s="577"/>
      <c r="F77" s="582"/>
      <c r="G77" s="577"/>
    </row>
    <row r="78" spans="1:8" ht="12">
      <c r="A78" s="561"/>
      <c r="B78" s="577"/>
      <c r="C78" s="577"/>
      <c r="D78" s="577"/>
      <c r="E78" s="577"/>
      <c r="F78" s="582"/>
      <c r="G78" s="577"/>
    </row>
    <row r="79" spans="1:8" ht="12">
      <c r="A79" s="561"/>
      <c r="B79" s="577"/>
      <c r="C79" s="577"/>
      <c r="D79" s="577"/>
      <c r="E79" s="577"/>
      <c r="F79" s="582"/>
      <c r="G79" s="577"/>
    </row>
    <row r="80" spans="1:8" ht="12">
      <c r="A80" s="561"/>
      <c r="B80" s="577"/>
      <c r="C80" s="577"/>
      <c r="D80" s="577"/>
      <c r="E80" s="577"/>
      <c r="F80" s="582"/>
      <c r="G80" s="577"/>
    </row>
    <row r="81" spans="1:7" ht="12">
      <c r="A81" s="561"/>
      <c r="B81" s="577"/>
      <c r="C81" s="577"/>
      <c r="D81" s="577"/>
      <c r="E81" s="577"/>
      <c r="F81" s="582"/>
      <c r="G81" s="577"/>
    </row>
    <row r="82" spans="1:7" ht="12">
      <c r="A82" s="561"/>
      <c r="B82" s="577"/>
      <c r="C82" s="577"/>
      <c r="D82" s="577"/>
      <c r="E82" s="577"/>
      <c r="F82" s="582"/>
      <c r="G82" s="577"/>
    </row>
    <row r="83" spans="1:7" ht="12">
      <c r="A83" s="561"/>
      <c r="B83" s="577"/>
      <c r="C83" s="577"/>
      <c r="D83" s="577"/>
      <c r="E83" s="577"/>
      <c r="F83" s="582"/>
      <c r="G83" s="577"/>
    </row>
    <row r="84" spans="1:7" ht="12">
      <c r="A84" s="561"/>
      <c r="B84" s="577"/>
      <c r="C84" s="577"/>
      <c r="D84" s="577"/>
      <c r="E84" s="577"/>
      <c r="F84" s="582"/>
      <c r="G84" s="577"/>
    </row>
    <row r="85" spans="1:7" ht="12">
      <c r="A85" s="561"/>
      <c r="B85" s="577"/>
      <c r="C85" s="577"/>
      <c r="D85" s="577"/>
      <c r="E85" s="577"/>
      <c r="F85" s="582"/>
      <c r="G85" s="577"/>
    </row>
    <row r="86" spans="1:7" ht="12">
      <c r="A86" s="561"/>
      <c r="B86" s="577"/>
      <c r="C86" s="577"/>
      <c r="D86" s="577"/>
      <c r="E86" s="577"/>
      <c r="F86" s="582"/>
      <c r="G86" s="577"/>
    </row>
    <row r="87" spans="1:7" ht="12">
      <c r="A87" s="561"/>
      <c r="B87" s="577"/>
      <c r="C87" s="577"/>
      <c r="D87" s="577"/>
      <c r="E87" s="577"/>
      <c r="F87" s="582"/>
      <c r="G87" s="577"/>
    </row>
    <row r="88" spans="1:7" ht="12">
      <c r="A88" s="561"/>
      <c r="B88" s="577"/>
      <c r="C88" s="577"/>
      <c r="D88" s="577"/>
      <c r="E88" s="577"/>
      <c r="F88" s="582"/>
      <c r="G88" s="577"/>
    </row>
    <row r="89" spans="1:7" ht="12">
      <c r="A89" s="561"/>
      <c r="B89" s="577"/>
      <c r="C89" s="577"/>
      <c r="D89" s="577"/>
      <c r="E89" s="577"/>
      <c r="F89" s="582"/>
      <c r="G89" s="577"/>
    </row>
    <row r="90" spans="1:7" ht="12">
      <c r="A90" s="561"/>
      <c r="B90" s="577"/>
      <c r="C90" s="577"/>
      <c r="D90" s="577"/>
      <c r="E90" s="577"/>
      <c r="F90" s="582"/>
      <c r="G90" s="577"/>
    </row>
    <row r="91" spans="1:7" ht="12">
      <c r="A91" s="561"/>
      <c r="B91" s="577"/>
      <c r="C91" s="577"/>
      <c r="D91" s="577"/>
      <c r="E91" s="577"/>
      <c r="F91" s="582"/>
      <c r="G91" s="577"/>
    </row>
    <row r="92" spans="1:7" ht="12">
      <c r="A92" s="561"/>
      <c r="B92" s="577"/>
      <c r="C92" s="577"/>
      <c r="D92" s="577"/>
      <c r="E92" s="577"/>
      <c r="F92" s="582"/>
      <c r="G92" s="577"/>
    </row>
    <row r="93" spans="1:7" ht="12">
      <c r="A93" s="561"/>
      <c r="B93" s="577"/>
      <c r="C93" s="577"/>
      <c r="D93" s="577"/>
      <c r="E93" s="577"/>
      <c r="F93" s="582"/>
      <c r="G93" s="577"/>
    </row>
    <row r="94" spans="1:7" ht="12">
      <c r="A94" s="561"/>
      <c r="B94" s="577"/>
      <c r="C94" s="577"/>
      <c r="D94" s="577"/>
      <c r="E94" s="577"/>
      <c r="F94" s="582"/>
      <c r="G94" s="577"/>
    </row>
    <row r="95" spans="1:7" ht="12">
      <c r="A95" s="561"/>
      <c r="B95" s="577"/>
      <c r="C95" s="577"/>
      <c r="D95" s="577"/>
      <c r="E95" s="577"/>
      <c r="F95" s="582"/>
      <c r="G95" s="577"/>
    </row>
    <row r="96" spans="1:7" ht="12">
      <c r="A96" s="561"/>
      <c r="B96" s="577"/>
      <c r="C96" s="577"/>
      <c r="D96" s="577"/>
      <c r="E96" s="577"/>
      <c r="F96" s="582"/>
      <c r="G96" s="577"/>
    </row>
    <row r="97" spans="1:7" ht="12">
      <c r="A97" s="561"/>
      <c r="B97" s="577"/>
      <c r="C97" s="577"/>
      <c r="D97" s="577"/>
      <c r="E97" s="577"/>
      <c r="F97" s="582"/>
      <c r="G97" s="577"/>
    </row>
    <row r="98" spans="1:7" ht="12">
      <c r="A98" s="561"/>
      <c r="B98" s="577"/>
      <c r="C98" s="577"/>
      <c r="D98" s="577"/>
      <c r="E98" s="577"/>
      <c r="F98" s="582"/>
      <c r="G98" s="577"/>
    </row>
    <row r="99" spans="1:7" ht="12">
      <c r="A99" s="561"/>
      <c r="B99" s="577"/>
      <c r="C99" s="577"/>
      <c r="D99" s="577"/>
      <c r="E99" s="577"/>
      <c r="F99" s="582"/>
      <c r="G99" s="577"/>
    </row>
    <row r="100" spans="1:7" ht="12">
      <c r="A100" s="561"/>
      <c r="B100" s="577"/>
      <c r="C100" s="577"/>
      <c r="D100" s="577"/>
      <c r="E100" s="577"/>
      <c r="F100" s="582"/>
      <c r="G100" s="577"/>
    </row>
    <row r="101" spans="1:7" ht="12">
      <c r="A101" s="561"/>
      <c r="B101" s="577"/>
      <c r="C101" s="577"/>
      <c r="D101" s="577"/>
      <c r="E101" s="577"/>
      <c r="F101" s="582"/>
      <c r="G101" s="577"/>
    </row>
    <row r="102" spans="1:7" ht="12">
      <c r="A102" s="561"/>
      <c r="B102" s="577"/>
      <c r="C102" s="577"/>
      <c r="D102" s="577"/>
      <c r="E102" s="577"/>
      <c r="F102" s="582"/>
      <c r="G102" s="577"/>
    </row>
    <row r="103" spans="1:7" ht="12">
      <c r="A103" s="561"/>
      <c r="B103" s="577"/>
      <c r="C103" s="577"/>
      <c r="D103" s="577"/>
      <c r="E103" s="577"/>
      <c r="F103" s="582"/>
      <c r="G103" s="577"/>
    </row>
    <row r="104" spans="1:7" ht="12">
      <c r="A104" s="561"/>
      <c r="B104" s="577"/>
      <c r="C104" s="577"/>
      <c r="D104" s="577"/>
      <c r="E104" s="577"/>
      <c r="F104" s="582"/>
      <c r="G104" s="577"/>
    </row>
    <row r="105" spans="1:7" ht="12">
      <c r="A105" s="561"/>
      <c r="B105" s="577"/>
      <c r="C105" s="577"/>
      <c r="D105" s="577"/>
      <c r="E105" s="577"/>
      <c r="F105" s="582"/>
      <c r="G105" s="577"/>
    </row>
    <row r="106" spans="1:7" ht="12">
      <c r="A106" s="561"/>
      <c r="B106" s="577"/>
      <c r="C106" s="577"/>
      <c r="D106" s="577"/>
      <c r="E106" s="577"/>
      <c r="F106" s="582"/>
      <c r="G106" s="577"/>
    </row>
    <row r="107" spans="1:7" ht="12">
      <c r="A107" s="561"/>
      <c r="B107" s="577"/>
      <c r="C107" s="577"/>
      <c r="D107" s="577"/>
      <c r="E107" s="577"/>
      <c r="F107" s="582"/>
      <c r="G107" s="577"/>
    </row>
    <row r="108" spans="1:7" ht="12">
      <c r="A108" s="561"/>
      <c r="B108" s="577"/>
      <c r="C108" s="577"/>
      <c r="D108" s="577"/>
      <c r="E108" s="577"/>
      <c r="F108" s="582"/>
      <c r="G108" s="577"/>
    </row>
    <row r="109" spans="1:7" ht="12">
      <c r="A109" s="561"/>
      <c r="B109" s="577"/>
      <c r="C109" s="577"/>
      <c r="D109" s="577"/>
      <c r="E109" s="577"/>
      <c r="F109" s="579"/>
      <c r="G109" s="577"/>
    </row>
    <row r="110" spans="1:7" ht="12">
      <c r="A110" s="561"/>
      <c r="B110" s="577"/>
      <c r="C110" s="577"/>
      <c r="D110" s="577"/>
      <c r="E110" s="578"/>
      <c r="F110" s="579"/>
      <c r="G110" s="577"/>
    </row>
    <row r="111" spans="1:7" ht="12">
      <c r="A111" s="561"/>
      <c r="B111" s="583"/>
      <c r="C111" s="584"/>
      <c r="D111" s="577"/>
      <c r="E111" s="578"/>
      <c r="F111" s="581"/>
      <c r="G111" s="577"/>
    </row>
    <row r="112" spans="1:7" ht="12">
      <c r="A112" s="561"/>
      <c r="B112" s="577"/>
      <c r="C112" s="577"/>
      <c r="D112" s="577"/>
      <c r="E112" s="578"/>
      <c r="F112" s="579"/>
      <c r="G112" s="577"/>
    </row>
  </sheetData>
  <customSheetViews>
    <customSheetView guid="{5BE913A1-B14F-11D2-B0DC-0000832CDFF0}" showPageBreaks="1" fitToPage="1" printArea="1" showRuler="0" topLeftCell="A57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4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7">
      <selection sqref="A1:C1"/>
      <rowBreaks count="1" manualBreakCount="1">
        <brk id="65" max="65535" man="1"/>
      </rowBreaks>
      <pageMargins left="1" right="1" top="0.5" bottom="0.5" header="0.5" footer="0.5"/>
      <printOptions horizontalCentered="1"/>
      <pageSetup scale="84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N55"/>
  <sheetViews>
    <sheetView tabSelected="1" workbookViewId="0">
      <selection activeCell="A32" sqref="A32"/>
    </sheetView>
  </sheetViews>
  <sheetFormatPr defaultRowHeight="12.75"/>
  <cols>
    <col min="1" max="1" width="10.7109375" style="191" customWidth="1"/>
    <col min="2" max="3" width="9.140625" style="191"/>
    <col min="4" max="4" width="22" style="191" customWidth="1"/>
    <col min="5" max="5" width="10.7109375" style="191" customWidth="1"/>
    <col min="6" max="12" width="9.140625" style="191"/>
    <col min="13" max="13" width="11.5703125" style="191" customWidth="1"/>
    <col min="14" max="14" width="10.140625" customWidth="1"/>
  </cols>
  <sheetData>
    <row r="1" spans="1:14">
      <c r="A1" s="895" t="s">
        <v>197</v>
      </c>
      <c r="B1" s="641"/>
      <c r="C1" s="641"/>
      <c r="D1" s="641"/>
      <c r="E1" s="641"/>
      <c r="F1" s="641"/>
      <c r="G1" s="202"/>
      <c r="H1" s="202"/>
      <c r="I1" s="202"/>
      <c r="J1" s="202"/>
      <c r="K1" s="202"/>
      <c r="L1" s="202"/>
      <c r="M1" s="202"/>
    </row>
    <row r="2" spans="1:14">
      <c r="A2" s="895" t="s">
        <v>375</v>
      </c>
      <c r="B2" s="641"/>
      <c r="C2" s="641"/>
      <c r="D2" s="641"/>
      <c r="E2" s="641"/>
      <c r="F2" s="641"/>
      <c r="G2" s="202"/>
      <c r="H2" s="202"/>
      <c r="I2" s="202"/>
      <c r="J2" s="202"/>
      <c r="K2" s="202"/>
      <c r="L2" s="202"/>
      <c r="M2" s="202"/>
    </row>
    <row r="3" spans="1:14">
      <c r="A3" s="895" t="s">
        <v>256</v>
      </c>
      <c r="B3" s="641"/>
      <c r="C3" s="641"/>
      <c r="D3" s="641"/>
      <c r="E3" s="641"/>
      <c r="F3" s="641"/>
      <c r="G3" s="202"/>
      <c r="H3" s="202"/>
      <c r="I3" s="202"/>
      <c r="J3" s="202"/>
      <c r="K3" s="202"/>
      <c r="L3" s="202"/>
      <c r="M3" s="202"/>
    </row>
    <row r="4" spans="1:14">
      <c r="A4" s="895" t="str">
        <f>Inputs!D2</f>
        <v>TWELVE MONTHS ENDED SEPTEMBER 30, 2008</v>
      </c>
      <c r="B4" s="641"/>
      <c r="C4" s="641"/>
      <c r="D4" s="641"/>
      <c r="E4" s="641"/>
      <c r="F4" s="641"/>
      <c r="G4" s="202"/>
      <c r="H4" s="202"/>
      <c r="I4" s="202"/>
      <c r="J4" s="202"/>
      <c r="K4" s="202"/>
      <c r="L4" s="202"/>
      <c r="M4" s="202"/>
    </row>
    <row r="5" spans="1:14">
      <c r="A5" s="1157" t="s">
        <v>400</v>
      </c>
      <c r="B5" s="1157"/>
      <c r="C5" s="1157"/>
      <c r="D5" s="1157"/>
      <c r="E5" s="1157"/>
      <c r="F5" s="1157"/>
    </row>
    <row r="8" spans="1:14">
      <c r="A8" s="202"/>
      <c r="B8" s="202"/>
      <c r="C8" s="202"/>
      <c r="D8" s="202"/>
      <c r="E8" s="202"/>
      <c r="F8" s="215"/>
      <c r="G8" s="896"/>
      <c r="H8" s="1136"/>
      <c r="I8" s="1136"/>
      <c r="J8" s="1137"/>
      <c r="K8" s="1138" t="s">
        <v>401</v>
      </c>
      <c r="L8" s="1139"/>
      <c r="M8" s="1140"/>
    </row>
    <row r="9" spans="1:14">
      <c r="A9" s="937" t="s">
        <v>376</v>
      </c>
      <c r="B9" s="205"/>
      <c r="C9" s="1158" t="s">
        <v>113</v>
      </c>
      <c r="D9" s="1159"/>
      <c r="E9" s="215"/>
      <c r="F9" s="937"/>
      <c r="G9" s="896"/>
      <c r="H9" s="1141" t="s">
        <v>131</v>
      </c>
      <c r="I9" s="1142"/>
      <c r="J9" s="1143" t="s">
        <v>377</v>
      </c>
      <c r="K9" s="1143"/>
      <c r="L9" s="1143" t="s">
        <v>378</v>
      </c>
      <c r="M9" s="1140"/>
    </row>
    <row r="10" spans="1:14">
      <c r="A10" s="938" t="s">
        <v>27</v>
      </c>
      <c r="B10" s="205"/>
      <c r="C10" s="1160"/>
      <c r="D10" s="1161"/>
      <c r="E10" s="215"/>
      <c r="F10" s="938" t="s">
        <v>402</v>
      </c>
      <c r="G10" s="896"/>
      <c r="H10" s="1144" t="s">
        <v>379</v>
      </c>
      <c r="I10" s="1142"/>
      <c r="J10" s="1144" t="s">
        <v>380</v>
      </c>
      <c r="K10" s="1144" t="s">
        <v>381</v>
      </c>
      <c r="L10" s="1144" t="s">
        <v>381</v>
      </c>
      <c r="M10" s="1140"/>
    </row>
    <row r="11" spans="1:14">
      <c r="A11" s="202"/>
      <c r="B11" s="202"/>
      <c r="C11" s="202"/>
      <c r="D11" s="202"/>
      <c r="E11" s="939"/>
      <c r="G11" s="896"/>
      <c r="H11" s="1136"/>
      <c r="I11" s="1145"/>
      <c r="J11" s="1136"/>
      <c r="K11" s="1136"/>
      <c r="L11" s="1136"/>
      <c r="M11" s="1140"/>
    </row>
    <row r="12" spans="1:14">
      <c r="A12" s="225">
        <v>1</v>
      </c>
      <c r="B12" s="202"/>
      <c r="C12" s="202" t="s">
        <v>403</v>
      </c>
      <c r="D12" s="202"/>
      <c r="E12" s="202"/>
      <c r="F12" s="228">
        <f>WAGas09_08!AP69</f>
        <v>178263</v>
      </c>
      <c r="G12" s="896"/>
      <c r="H12" s="1074" t="s">
        <v>440</v>
      </c>
      <c r="I12" s="1146"/>
      <c r="J12" s="1147">
        <f>100%-J14-J18</f>
        <v>0.53499999999999992</v>
      </c>
      <c r="K12" s="1147">
        <v>6.5699999999999995E-2</v>
      </c>
      <c r="L12" s="1147">
        <f>ROUND(J12*K12,4)</f>
        <v>3.5099999999999999E-2</v>
      </c>
      <c r="M12" s="1140"/>
      <c r="N12" s="995"/>
    </row>
    <row r="13" spans="1:14">
      <c r="A13" s="225"/>
      <c r="B13" s="202"/>
      <c r="C13" s="202"/>
      <c r="D13" s="202"/>
      <c r="E13" s="202"/>
      <c r="F13" s="228"/>
      <c r="G13" s="896"/>
      <c r="H13" s="1074"/>
      <c r="I13" s="1148"/>
      <c r="J13" s="1147"/>
      <c r="K13" s="1149"/>
      <c r="L13" s="1147"/>
      <c r="M13" s="1150" t="s">
        <v>442</v>
      </c>
      <c r="N13" s="996"/>
    </row>
    <row r="14" spans="1:14">
      <c r="A14" s="225">
        <v>2</v>
      </c>
      <c r="B14" s="202"/>
      <c r="C14" s="202" t="s">
        <v>382</v>
      </c>
      <c r="D14" s="202"/>
      <c r="E14" s="202"/>
      <c r="F14" s="898">
        <f>L20</f>
        <v>8.249999999999999E-2</v>
      </c>
      <c r="G14" s="896"/>
      <c r="H14" s="1074" t="s">
        <v>385</v>
      </c>
      <c r="I14" s="1146"/>
      <c r="J14" s="1147">
        <v>0</v>
      </c>
      <c r="K14" s="1149">
        <v>0</v>
      </c>
      <c r="L14" s="1147">
        <f>ROUND(J14*K14,4)</f>
        <v>0</v>
      </c>
      <c r="M14" s="1151">
        <f>SUM(L12:L14)</f>
        <v>3.5099999999999999E-2</v>
      </c>
      <c r="N14" s="62"/>
    </row>
    <row r="15" spans="1:14">
      <c r="A15" s="225"/>
      <c r="B15" s="202"/>
      <c r="C15" s="202"/>
      <c r="D15" s="202"/>
      <c r="E15" s="202"/>
      <c r="F15" s="899"/>
      <c r="G15" s="896"/>
      <c r="H15" s="1074"/>
      <c r="I15" s="1148"/>
      <c r="J15" s="1152"/>
      <c r="K15" s="1152"/>
      <c r="L15" s="1153"/>
      <c r="M15" s="1140"/>
      <c r="N15" s="995"/>
    </row>
    <row r="16" spans="1:14">
      <c r="A16" s="225">
        <v>3</v>
      </c>
      <c r="B16" s="202"/>
      <c r="C16" s="202" t="s">
        <v>383</v>
      </c>
      <c r="D16" s="202"/>
      <c r="E16" s="202"/>
      <c r="F16" s="228">
        <f>ROUND(F12*F14,0)</f>
        <v>14707</v>
      </c>
      <c r="G16" s="896"/>
      <c r="H16" s="1074" t="s">
        <v>392</v>
      </c>
      <c r="I16" s="1146"/>
      <c r="J16" s="1152"/>
      <c r="K16" s="1152"/>
      <c r="L16" s="1151">
        <f>ROUND(J16*K16,4)</f>
        <v>0</v>
      </c>
      <c r="M16" s="1140"/>
    </row>
    <row r="17" spans="1:14">
      <c r="A17" s="225"/>
      <c r="B17" s="202"/>
      <c r="C17" s="202"/>
      <c r="D17" s="202"/>
      <c r="E17" s="202"/>
      <c r="F17" s="228"/>
      <c r="G17" s="896"/>
      <c r="H17" s="1154"/>
      <c r="I17" s="1154"/>
      <c r="J17" s="1154"/>
      <c r="K17" s="1154"/>
      <c r="L17" s="1154"/>
      <c r="M17" s="1140"/>
    </row>
    <row r="18" spans="1:14">
      <c r="A18" s="225">
        <v>4</v>
      </c>
      <c r="B18" s="202"/>
      <c r="C18" s="202" t="s">
        <v>384</v>
      </c>
      <c r="D18" s="202"/>
      <c r="E18" s="202"/>
      <c r="F18" s="901">
        <f>WAGas09_08!AP52</f>
        <v>12451.560955000001</v>
      </c>
      <c r="G18" s="896"/>
      <c r="H18" s="1074" t="s">
        <v>388</v>
      </c>
      <c r="I18" s="1146"/>
      <c r="J18" s="1147">
        <v>0.46500000000000002</v>
      </c>
      <c r="K18" s="1147">
        <v>0.10199999999999999</v>
      </c>
      <c r="L18" s="1147">
        <f>ROUND(J18*K18,4)</f>
        <v>4.7399999999999998E-2</v>
      </c>
      <c r="M18" s="1140"/>
    </row>
    <row r="19" spans="1:14">
      <c r="A19" s="225"/>
      <c r="B19" s="202"/>
      <c r="C19" s="202"/>
      <c r="D19" s="202"/>
      <c r="E19" s="202"/>
      <c r="F19" s="202"/>
      <c r="G19" s="896"/>
      <c r="H19" s="1074"/>
      <c r="I19" s="1148"/>
      <c r="J19" s="1152"/>
      <c r="K19" s="1152"/>
      <c r="L19" s="1153"/>
      <c r="M19" s="1140"/>
    </row>
    <row r="20" spans="1:14" ht="13.5" thickBot="1">
      <c r="A20" s="225">
        <v>5</v>
      </c>
      <c r="B20" s="202"/>
      <c r="C20" s="202" t="s">
        <v>386</v>
      </c>
      <c r="D20" s="202"/>
      <c r="E20" s="202"/>
      <c r="F20" s="228">
        <f>F16-F18</f>
        <v>2255.4390449999992</v>
      </c>
      <c r="G20" s="896"/>
      <c r="H20" s="1074" t="s">
        <v>44</v>
      </c>
      <c r="I20" s="1155"/>
      <c r="J20" s="1156">
        <f>SUM(J12:J19)</f>
        <v>1</v>
      </c>
      <c r="K20" s="1151"/>
      <c r="L20" s="1156">
        <f>SUM(L12:L19)</f>
        <v>8.249999999999999E-2</v>
      </c>
      <c r="M20" s="1140"/>
    </row>
    <row r="21" spans="1:14" ht="13.5" thickTop="1">
      <c r="A21" s="225"/>
      <c r="B21" s="202"/>
      <c r="C21" s="202"/>
      <c r="D21" s="202"/>
      <c r="E21" s="202"/>
      <c r="F21" s="202"/>
      <c r="G21" s="896"/>
      <c r="H21" s="1074"/>
      <c r="I21" s="1148"/>
      <c r="J21" s="1151"/>
      <c r="K21" s="1151"/>
      <c r="L21" s="1153"/>
      <c r="M21" s="1140"/>
    </row>
    <row r="22" spans="1:14">
      <c r="A22" s="225">
        <v>6</v>
      </c>
      <c r="B22" s="202"/>
      <c r="C22" s="202" t="s">
        <v>387</v>
      </c>
      <c r="D22" s="202"/>
      <c r="E22" s="202"/>
      <c r="F22" s="1163">
        <f>'ConverFac_Exh-WA'!E29</f>
        <v>0.62208835000000007</v>
      </c>
      <c r="G22" s="896"/>
      <c r="N22" s="1105"/>
    </row>
    <row r="23" spans="1:14" ht="13.5" thickBot="1">
      <c r="A23" s="225"/>
      <c r="B23" s="202"/>
      <c r="C23" s="202"/>
      <c r="D23" s="202"/>
      <c r="E23" s="202"/>
      <c r="F23" s="202"/>
      <c r="G23" s="896"/>
      <c r="N23" s="1105"/>
    </row>
    <row r="24" spans="1:14" ht="13.5" thickBot="1">
      <c r="A24" s="225">
        <v>7</v>
      </c>
      <c r="B24" s="202"/>
      <c r="C24" s="202" t="s">
        <v>389</v>
      </c>
      <c r="D24" s="202"/>
      <c r="E24" s="1084"/>
      <c r="F24" s="903">
        <f>ROUND(F20/F22,0)</f>
        <v>3626</v>
      </c>
      <c r="G24" s="896"/>
      <c r="N24" s="1105"/>
    </row>
    <row r="25" spans="1:14">
      <c r="A25" s="202"/>
      <c r="B25" s="202"/>
      <c r="C25" s="202"/>
      <c r="D25" s="202"/>
      <c r="E25" s="1084"/>
      <c r="F25" s="202"/>
      <c r="G25" s="896"/>
      <c r="N25" s="1105"/>
    </row>
    <row r="26" spans="1:14">
      <c r="A26" s="225">
        <v>8</v>
      </c>
      <c r="B26" s="202"/>
      <c r="C26" s="202" t="s">
        <v>390</v>
      </c>
      <c r="D26" s="202"/>
      <c r="E26" s="202"/>
      <c r="F26" s="902">
        <f>WAGas09_08!AP13+WAGas09_08!AP14</f>
        <v>215587</v>
      </c>
      <c r="G26" s="896"/>
      <c r="N26" s="1105"/>
    </row>
    <row r="27" spans="1:14">
      <c r="A27" s="202"/>
      <c r="B27" s="202"/>
      <c r="C27" s="202"/>
      <c r="D27" s="202"/>
      <c r="E27" s="202"/>
      <c r="F27" s="202"/>
      <c r="G27" s="896"/>
      <c r="N27" s="1105"/>
    </row>
    <row r="28" spans="1:14" ht="13.5" thickBot="1">
      <c r="A28" s="225">
        <v>9</v>
      </c>
      <c r="B28" s="202"/>
      <c r="C28" s="202" t="s">
        <v>391</v>
      </c>
      <c r="D28" s="202"/>
      <c r="E28" s="202"/>
      <c r="F28" s="904">
        <f>ROUND(F24/F26,4)</f>
        <v>1.6799999999999999E-2</v>
      </c>
      <c r="N28" s="1105"/>
    </row>
    <row r="29" spans="1:14" ht="13.5" thickTop="1">
      <c r="B29" s="202"/>
      <c r="C29" s="896"/>
      <c r="D29" s="896"/>
      <c r="E29" s="896"/>
      <c r="F29" s="896"/>
      <c r="N29" s="1105"/>
    </row>
    <row r="30" spans="1:14">
      <c r="N30" s="1105"/>
    </row>
    <row r="31" spans="1:14" ht="15.75">
      <c r="A31" s="1212" t="s">
        <v>534</v>
      </c>
      <c r="N31" s="1105"/>
    </row>
    <row r="32" spans="1:14" ht="10.5" customHeight="1">
      <c r="N32" s="1105"/>
    </row>
    <row r="33" spans="8:14">
      <c r="N33" s="1105"/>
    </row>
    <row r="34" spans="8:14">
      <c r="N34" s="1105"/>
    </row>
    <row r="35" spans="8:14">
      <c r="N35" s="1105"/>
    </row>
    <row r="39" spans="8:14" ht="8.25" customHeight="1"/>
    <row r="40" spans="8:14" hidden="1"/>
    <row r="41" spans="8:14" ht="1.5" hidden="1" customHeight="1">
      <c r="H41" s="1112"/>
      <c r="I41" s="1112"/>
      <c r="J41" s="1124"/>
      <c r="K41" s="1125" t="s">
        <v>401</v>
      </c>
      <c r="L41" s="1126"/>
      <c r="M41" s="1113"/>
    </row>
    <row r="42" spans="8:14" hidden="1">
      <c r="H42" s="1127" t="s">
        <v>132</v>
      </c>
      <c r="I42" s="1128"/>
      <c r="J42" s="1127" t="s">
        <v>377</v>
      </c>
      <c r="K42" s="1127"/>
      <c r="L42" s="1127" t="s">
        <v>378</v>
      </c>
      <c r="M42" s="1113"/>
    </row>
    <row r="43" spans="8:14" hidden="1">
      <c r="H43" s="1129" t="s">
        <v>379</v>
      </c>
      <c r="I43" s="1128"/>
      <c r="J43" s="1129" t="s">
        <v>380</v>
      </c>
      <c r="K43" s="1129" t="s">
        <v>381</v>
      </c>
      <c r="L43" s="1129" t="s">
        <v>381</v>
      </c>
      <c r="M43" s="1113"/>
    </row>
    <row r="44" spans="8:14" hidden="1">
      <c r="H44" s="1112"/>
      <c r="I44" s="1114"/>
      <c r="J44" s="1112"/>
      <c r="K44" s="1112"/>
      <c r="L44" s="1112"/>
      <c r="M44" s="1113"/>
    </row>
    <row r="45" spans="8:14" hidden="1">
      <c r="H45" s="1115" t="s">
        <v>440</v>
      </c>
      <c r="I45" s="1122"/>
      <c r="J45" s="1116">
        <v>0.52059999999999995</v>
      </c>
      <c r="K45" s="1117">
        <v>6.8400000000000002E-2</v>
      </c>
      <c r="L45" s="1116">
        <f>ROUND(J45*K45,4)</f>
        <v>3.56E-2</v>
      </c>
      <c r="M45" s="1113" t="s">
        <v>470</v>
      </c>
    </row>
    <row r="46" spans="8:14" hidden="1">
      <c r="H46" s="1115"/>
      <c r="I46" s="1118"/>
      <c r="J46" s="1116"/>
      <c r="K46" s="1117"/>
      <c r="L46" s="1116"/>
      <c r="M46" s="1119" t="s">
        <v>443</v>
      </c>
    </row>
    <row r="47" spans="8:14" hidden="1">
      <c r="H47" s="1115" t="s">
        <v>385</v>
      </c>
      <c r="I47" s="1122"/>
      <c r="J47" s="1116">
        <v>0</v>
      </c>
      <c r="K47" s="1117">
        <v>0</v>
      </c>
      <c r="L47" s="1116">
        <f>ROUND(J47*K47,4)</f>
        <v>0</v>
      </c>
      <c r="M47" s="1120">
        <f>SUM(L45:L47)</f>
        <v>3.56E-2</v>
      </c>
    </row>
    <row r="48" spans="8:14" hidden="1">
      <c r="H48" s="1115"/>
      <c r="I48" s="1118"/>
      <c r="J48" s="1120"/>
      <c r="K48" s="1120"/>
      <c r="L48" s="1121"/>
      <c r="M48" s="1113"/>
    </row>
    <row r="49" spans="8:13" hidden="1">
      <c r="H49" s="1115" t="s">
        <v>392</v>
      </c>
      <c r="I49" s="1122"/>
      <c r="J49" s="1120"/>
      <c r="K49" s="1120"/>
      <c r="L49" s="1120">
        <f>ROUND(J49*K49,4)</f>
        <v>0</v>
      </c>
      <c r="M49" s="1113"/>
    </row>
    <row r="50" spans="8:13" hidden="1">
      <c r="H50" s="1113"/>
      <c r="I50" s="1113"/>
      <c r="J50" s="1113"/>
      <c r="K50" s="1113"/>
      <c r="L50" s="1113"/>
      <c r="M50" s="1113"/>
    </row>
    <row r="51" spans="8:13" hidden="1">
      <c r="H51" s="1115" t="s">
        <v>388</v>
      </c>
      <c r="I51" s="1122"/>
      <c r="J51" s="1116">
        <v>0.47939999999999999</v>
      </c>
      <c r="K51" s="1116">
        <v>0.108</v>
      </c>
      <c r="L51" s="1116">
        <f>ROUND(J51*K51,4)</f>
        <v>5.1799999999999999E-2</v>
      </c>
      <c r="M51" s="1113"/>
    </row>
    <row r="52" spans="8:13" hidden="1">
      <c r="H52" s="1115"/>
      <c r="I52" s="1118"/>
      <c r="J52" s="1120"/>
      <c r="K52" s="1120"/>
      <c r="L52" s="1121"/>
      <c r="M52" s="1113"/>
    </row>
    <row r="53" spans="8:13" ht="13.5" hidden="1" thickBot="1">
      <c r="H53" s="1115" t="s">
        <v>44</v>
      </c>
      <c r="I53" s="1122"/>
      <c r="J53" s="1123">
        <f>SUM(J45:J52)</f>
        <v>1</v>
      </c>
      <c r="K53" s="1120"/>
      <c r="L53" s="1123">
        <f>SUM(L45:L52)</f>
        <v>8.7400000000000005E-2</v>
      </c>
      <c r="M53" s="1113"/>
    </row>
    <row r="54" spans="8:13" ht="13.5" hidden="1" thickTop="1">
      <c r="H54" s="1113"/>
      <c r="I54" s="1113"/>
      <c r="J54" s="1113"/>
      <c r="K54" s="1113"/>
      <c r="L54" s="1113"/>
      <c r="M54" s="1113"/>
    </row>
    <row r="55" spans="8:13" hidden="1"/>
  </sheetData>
  <mergeCells count="2">
    <mergeCell ref="A5:F5"/>
    <mergeCell ref="C9:D10"/>
  </mergeCells>
  <phoneticPr fontId="0" type="noConversion"/>
  <pageMargins left="0.75" right="0.75" top="1" bottom="1" header="0.5" footer="0.5"/>
  <pageSetup orientation="portrait" r:id="rId1"/>
  <headerFooter alignWithMargins="0">
    <oddFooter xml:space="preserve">&amp;R&amp;"Times,Regular"                                                                
  Page 2 of 8          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H112"/>
  <sheetViews>
    <sheetView zoomScale="75" workbookViewId="0">
      <selection activeCell="C113" sqref="C113"/>
    </sheetView>
  </sheetViews>
  <sheetFormatPr defaultColWidth="12.42578125" defaultRowHeight="11.1" customHeight="1"/>
  <cols>
    <col min="1" max="1" width="5.5703125" style="614" customWidth="1"/>
    <col min="2" max="2" width="26.140625" style="614" customWidth="1"/>
    <col min="3" max="3" width="12.42578125" style="614" customWidth="1"/>
    <col min="4" max="4" width="6.7109375" style="614" customWidth="1"/>
    <col min="5" max="5" width="12.42578125" style="636" customWidth="1"/>
    <col min="6" max="6" width="12.42578125" style="637" customWidth="1"/>
    <col min="7" max="7" width="12.42578125" style="636" customWidth="1"/>
    <col min="8" max="16384" width="12.42578125" style="614"/>
  </cols>
  <sheetData>
    <row r="1" spans="1:8" ht="12">
      <c r="A1" s="613" t="str">
        <f>Inputs!$D$6</f>
        <v>AVISTA UTILITIES</v>
      </c>
      <c r="B1" s="613"/>
      <c r="C1" s="613"/>
      <c r="E1" s="615"/>
      <c r="F1" s="616"/>
      <c r="G1" s="615"/>
    </row>
    <row r="2" spans="1:8" ht="12">
      <c r="A2" s="613" t="s">
        <v>125</v>
      </c>
      <c r="B2" s="613"/>
      <c r="C2" s="613"/>
      <c r="E2" s="617"/>
      <c r="F2" s="617" t="s">
        <v>288</v>
      </c>
      <c r="G2" s="617"/>
    </row>
    <row r="3" spans="1:8" ht="12">
      <c r="A3" s="613" t="str">
        <f>Inputs!$D$2</f>
        <v>TWELVE MONTHS ENDED SEPTEMBER 30, 2008</v>
      </c>
      <c r="B3" s="613"/>
      <c r="C3" s="613"/>
      <c r="E3" s="617"/>
      <c r="F3" s="617" t="s">
        <v>174</v>
      </c>
      <c r="G3" s="617"/>
    </row>
    <row r="4" spans="1:8" ht="12">
      <c r="A4" s="613" t="s">
        <v>128</v>
      </c>
      <c r="B4" s="613"/>
      <c r="C4" s="613"/>
      <c r="E4" s="618"/>
      <c r="F4" s="618" t="s">
        <v>129</v>
      </c>
      <c r="G4" s="619"/>
    </row>
    <row r="5" spans="1:8" ht="12">
      <c r="A5" s="620" t="s">
        <v>10</v>
      </c>
      <c r="E5" s="615"/>
      <c r="F5" s="621"/>
      <c r="G5" s="615"/>
    </row>
    <row r="6" spans="1:8" ht="12">
      <c r="A6" s="622" t="s">
        <v>27</v>
      </c>
      <c r="B6" s="623" t="s">
        <v>113</v>
      </c>
      <c r="C6" s="623"/>
      <c r="E6" s="624" t="s">
        <v>130</v>
      </c>
      <c r="F6" s="625" t="s">
        <v>131</v>
      </c>
      <c r="G6" s="624" t="s">
        <v>132</v>
      </c>
      <c r="H6" s="626" t="s">
        <v>133</v>
      </c>
    </row>
    <row r="7" spans="1:8" ht="12">
      <c r="A7" s="620"/>
      <c r="B7" s="614" t="s">
        <v>68</v>
      </c>
      <c r="E7" s="627"/>
      <c r="F7" s="621"/>
      <c r="G7" s="627"/>
    </row>
    <row r="8" spans="1:8" ht="12">
      <c r="A8" s="620">
        <v>1</v>
      </c>
      <c r="B8" s="614" t="s">
        <v>134</v>
      </c>
      <c r="E8" s="628">
        <f>SUM(F8:G8)</f>
        <v>0</v>
      </c>
      <c r="F8" s="629"/>
      <c r="G8" s="629"/>
      <c r="H8" s="630" t="str">
        <f>IF(E8=F8+G8," ","ERROR")</f>
        <v xml:space="preserve"> </v>
      </c>
    </row>
    <row r="9" spans="1:8" ht="12">
      <c r="A9" s="620">
        <v>2</v>
      </c>
      <c r="B9" s="614" t="s">
        <v>135</v>
      </c>
      <c r="E9" s="628"/>
      <c r="F9" s="628"/>
      <c r="G9" s="628"/>
      <c r="H9" s="630" t="str">
        <f>IF(E9=F9+G9," ","ERROR")</f>
        <v xml:space="preserve"> </v>
      </c>
    </row>
    <row r="10" spans="1:8" ht="12">
      <c r="A10" s="620">
        <v>3</v>
      </c>
      <c r="B10" s="614" t="s">
        <v>71</v>
      </c>
      <c r="E10" s="631"/>
      <c r="F10" s="631"/>
      <c r="G10" s="631"/>
      <c r="H10" s="630" t="str">
        <f>IF(E10=F10+G10," ","ERROR")</f>
        <v xml:space="preserve"> </v>
      </c>
    </row>
    <row r="11" spans="1:8" ht="12">
      <c r="A11" s="620">
        <v>4</v>
      </c>
      <c r="B11" s="614" t="s">
        <v>136</v>
      </c>
      <c r="E11" s="628">
        <f>SUM(E8:E10)</f>
        <v>0</v>
      </c>
      <c r="F11" s="628">
        <f>SUM(F8:F10)</f>
        <v>0</v>
      </c>
      <c r="G11" s="628">
        <f>SUM(G8:G10)</f>
        <v>0</v>
      </c>
      <c r="H11" s="630" t="str">
        <f>IF(E11=F11+G11," ","ERROR")</f>
        <v xml:space="preserve"> </v>
      </c>
    </row>
    <row r="12" spans="1:8" ht="12">
      <c r="A12" s="620"/>
      <c r="E12" s="628"/>
      <c r="F12" s="628"/>
      <c r="G12" s="628"/>
      <c r="H12" s="630"/>
    </row>
    <row r="13" spans="1:8" ht="12">
      <c r="A13" s="620"/>
      <c r="B13" s="614" t="s">
        <v>73</v>
      </c>
      <c r="E13" s="628"/>
      <c r="F13" s="628"/>
      <c r="G13" s="628"/>
      <c r="H13" s="630"/>
    </row>
    <row r="14" spans="1:8" ht="12">
      <c r="A14" s="620">
        <v>5</v>
      </c>
      <c r="B14" s="614" t="s">
        <v>137</v>
      </c>
      <c r="E14" s="628"/>
      <c r="F14" s="628"/>
      <c r="G14" s="628"/>
      <c r="H14" s="630" t="str">
        <f>IF(E14=F14+G14," ","ERROR")</f>
        <v xml:space="preserve"> </v>
      </c>
    </row>
    <row r="15" spans="1:8" ht="12">
      <c r="A15" s="620"/>
      <c r="B15" s="614" t="s">
        <v>75</v>
      </c>
      <c r="E15" s="628"/>
      <c r="F15" s="628"/>
      <c r="G15" s="628"/>
      <c r="H15" s="630"/>
    </row>
    <row r="16" spans="1:8" ht="12">
      <c r="A16" s="620">
        <v>6</v>
      </c>
      <c r="B16" s="614" t="s">
        <v>138</v>
      </c>
      <c r="E16" s="628"/>
      <c r="F16" s="628"/>
      <c r="G16" s="628"/>
      <c r="H16" s="630" t="str">
        <f>IF(E16=F16+G16," ","ERROR")</f>
        <v xml:space="preserve"> </v>
      </c>
    </row>
    <row r="17" spans="1:8" ht="12">
      <c r="A17" s="620">
        <v>7</v>
      </c>
      <c r="B17" s="614" t="s">
        <v>139</v>
      </c>
      <c r="E17" s="628"/>
      <c r="F17" s="628"/>
      <c r="G17" s="628"/>
      <c r="H17" s="630" t="str">
        <f>IF(E17=F17+G17," ","ERROR")</f>
        <v xml:space="preserve"> </v>
      </c>
    </row>
    <row r="18" spans="1:8" ht="12">
      <c r="A18" s="620">
        <v>8</v>
      </c>
      <c r="B18" s="614" t="s">
        <v>140</v>
      </c>
      <c r="E18" s="631"/>
      <c r="F18" s="631"/>
      <c r="G18" s="631"/>
      <c r="H18" s="630" t="str">
        <f>IF(E18=F18+G18," ","ERROR")</f>
        <v xml:space="preserve"> </v>
      </c>
    </row>
    <row r="19" spans="1:8" ht="12">
      <c r="A19" s="620">
        <v>9</v>
      </c>
      <c r="B19" s="614" t="s">
        <v>141</v>
      </c>
      <c r="E19" s="628">
        <f>SUM(E16:E18)</f>
        <v>0</v>
      </c>
      <c r="F19" s="628">
        <f>SUM(F16:F18)</f>
        <v>0</v>
      </c>
      <c r="G19" s="628">
        <f>SUM(G16:G18)</f>
        <v>0</v>
      </c>
      <c r="H19" s="630" t="str">
        <f>IF(E19=F19+G19," ","ERROR")</f>
        <v xml:space="preserve"> </v>
      </c>
    </row>
    <row r="20" spans="1:8" ht="12">
      <c r="A20" s="620"/>
      <c r="B20" s="614" t="s">
        <v>80</v>
      </c>
      <c r="E20" s="628"/>
      <c r="F20" s="628"/>
      <c r="G20" s="628"/>
      <c r="H20" s="630"/>
    </row>
    <row r="21" spans="1:8" ht="12">
      <c r="A21" s="620">
        <v>10</v>
      </c>
      <c r="B21" s="614" t="s">
        <v>142</v>
      </c>
      <c r="E21" s="628"/>
      <c r="F21" s="628"/>
      <c r="G21" s="628"/>
      <c r="H21" s="630" t="str">
        <f>IF(E21=F21+G21," ","ERROR")</f>
        <v xml:space="preserve"> </v>
      </c>
    </row>
    <row r="22" spans="1:8" ht="12">
      <c r="A22" s="620">
        <v>11</v>
      </c>
      <c r="B22" s="614" t="s">
        <v>143</v>
      </c>
      <c r="E22" s="628"/>
      <c r="F22" s="628"/>
      <c r="G22" s="628"/>
      <c r="H22" s="630" t="str">
        <f>IF(E22=F22+G22," ","ERROR")</f>
        <v xml:space="preserve"> </v>
      </c>
    </row>
    <row r="23" spans="1:8" ht="12">
      <c r="A23" s="620">
        <v>12</v>
      </c>
      <c r="B23" s="614" t="s">
        <v>144</v>
      </c>
      <c r="E23" s="631"/>
      <c r="F23" s="631"/>
      <c r="G23" s="631"/>
      <c r="H23" s="630" t="str">
        <f>IF(E23=F23+G23," ","ERROR")</f>
        <v xml:space="preserve"> </v>
      </c>
    </row>
    <row r="24" spans="1:8" ht="12">
      <c r="A24" s="620">
        <v>13</v>
      </c>
      <c r="B24" s="614" t="s">
        <v>145</v>
      </c>
      <c r="E24" s="628">
        <f>SUM(E21:E23)</f>
        <v>0</v>
      </c>
      <c r="F24" s="628">
        <f>SUM(F21:F23)</f>
        <v>0</v>
      </c>
      <c r="G24" s="628">
        <f>SUM(G21:G23)</f>
        <v>0</v>
      </c>
      <c r="H24" s="630" t="str">
        <f>IF(E24=F24+G24," ","ERROR")</f>
        <v xml:space="preserve"> </v>
      </c>
    </row>
    <row r="25" spans="1:8" ht="12">
      <c r="A25" s="620"/>
      <c r="B25" s="614" t="s">
        <v>84</v>
      </c>
      <c r="E25" s="628"/>
      <c r="F25" s="628"/>
      <c r="G25" s="628"/>
      <c r="H25" s="630"/>
    </row>
    <row r="26" spans="1:8" ht="12">
      <c r="A26" s="620">
        <v>14</v>
      </c>
      <c r="B26" s="614" t="s">
        <v>142</v>
      </c>
      <c r="E26" s="628"/>
      <c r="F26" s="628"/>
      <c r="G26" s="628"/>
      <c r="H26" s="630" t="str">
        <f>IF(E26=F26+G26," ","ERROR")</f>
        <v xml:space="preserve"> </v>
      </c>
    </row>
    <row r="27" spans="1:8" ht="12">
      <c r="A27" s="620">
        <v>15</v>
      </c>
      <c r="B27" s="614" t="s">
        <v>143</v>
      </c>
      <c r="E27" s="628"/>
      <c r="F27" s="628"/>
      <c r="G27" s="628"/>
      <c r="H27" s="630" t="str">
        <f>IF(E27=F27+G27," ","ERROR")</f>
        <v xml:space="preserve"> </v>
      </c>
    </row>
    <row r="28" spans="1:8" ht="12">
      <c r="A28" s="620">
        <v>16</v>
      </c>
      <c r="B28" s="614" t="s">
        <v>144</v>
      </c>
      <c r="E28" s="631">
        <f>F28+G28</f>
        <v>0</v>
      </c>
      <c r="F28" s="631"/>
      <c r="G28" s="632">
        <v>0</v>
      </c>
      <c r="H28" s="630" t="str">
        <f>IF(E28=F28+G28," ","ERROR")</f>
        <v xml:space="preserve"> </v>
      </c>
    </row>
    <row r="29" spans="1:8" ht="12">
      <c r="A29" s="620">
        <v>17</v>
      </c>
      <c r="B29" s="614" t="s">
        <v>146</v>
      </c>
      <c r="E29" s="628">
        <f>SUM(E26:E28)</f>
        <v>0</v>
      </c>
      <c r="F29" s="628">
        <f>SUM(F26:F28)</f>
        <v>0</v>
      </c>
      <c r="G29" s="628">
        <f>SUM(G26:G28)</f>
        <v>0</v>
      </c>
      <c r="H29" s="630" t="str">
        <f>IF(E29=F29+G29," ","ERROR")</f>
        <v xml:space="preserve"> </v>
      </c>
    </row>
    <row r="30" spans="1:8" ht="12">
      <c r="A30" s="620"/>
      <c r="E30" s="628"/>
      <c r="F30" s="628"/>
      <c r="G30" s="628"/>
      <c r="H30" s="630"/>
    </row>
    <row r="31" spans="1:8" ht="12">
      <c r="A31" s="620">
        <v>18</v>
      </c>
      <c r="B31" s="614" t="s">
        <v>86</v>
      </c>
      <c r="E31" s="633"/>
      <c r="F31" s="628"/>
      <c r="G31" s="628"/>
      <c r="H31" s="630" t="str">
        <f>IF(E31=F31+G31," ","ERROR")</f>
        <v xml:space="preserve"> </v>
      </c>
    </row>
    <row r="32" spans="1:8" ht="12">
      <c r="A32" s="620">
        <v>19</v>
      </c>
      <c r="B32" s="614" t="s">
        <v>87</v>
      </c>
      <c r="E32" s="628"/>
      <c r="F32" s="628"/>
      <c r="G32" s="628"/>
      <c r="H32" s="630" t="str">
        <f>IF(E32=F32+G32," ","ERROR")</f>
        <v xml:space="preserve"> </v>
      </c>
    </row>
    <row r="33" spans="1:8" ht="12">
      <c r="A33" s="620">
        <v>20</v>
      </c>
      <c r="B33" s="614" t="s">
        <v>147</v>
      </c>
      <c r="E33" s="628"/>
      <c r="F33" s="628"/>
      <c r="G33" s="628"/>
      <c r="H33" s="630" t="str">
        <f>IF(E33=F33+G33," ","ERROR")</f>
        <v xml:space="preserve"> </v>
      </c>
    </row>
    <row r="34" spans="1:8" ht="12">
      <c r="A34" s="620"/>
      <c r="B34" s="614" t="s">
        <v>148</v>
      </c>
      <c r="E34" s="628"/>
      <c r="F34" s="628"/>
      <c r="G34" s="628"/>
      <c r="H34" s="630"/>
    </row>
    <row r="35" spans="1:8" ht="12">
      <c r="A35" s="620">
        <v>21</v>
      </c>
      <c r="B35" s="614" t="s">
        <v>142</v>
      </c>
      <c r="E35" s="628"/>
      <c r="F35" s="628"/>
      <c r="G35" s="628"/>
      <c r="H35" s="630" t="str">
        <f>IF(E35=F35+G35," ","ERROR")</f>
        <v xml:space="preserve"> </v>
      </c>
    </row>
    <row r="36" spans="1:8" ht="12">
      <c r="A36" s="620">
        <v>22</v>
      </c>
      <c r="B36" s="614" t="s">
        <v>143</v>
      </c>
      <c r="E36" s="628"/>
      <c r="F36" s="628"/>
      <c r="G36" s="628"/>
      <c r="H36" s="630" t="str">
        <f>IF(E36=F36+G36," ","ERROR")</f>
        <v xml:space="preserve"> </v>
      </c>
    </row>
    <row r="37" spans="1:8" ht="12">
      <c r="A37" s="620">
        <v>23</v>
      </c>
      <c r="B37" s="614" t="s">
        <v>144</v>
      </c>
      <c r="E37" s="631"/>
      <c r="F37" s="631"/>
      <c r="G37" s="631"/>
      <c r="H37" s="630" t="str">
        <f>IF(E37=F37+G37," ","ERROR")</f>
        <v xml:space="preserve"> </v>
      </c>
    </row>
    <row r="38" spans="1:8" ht="12">
      <c r="A38" s="620">
        <v>24</v>
      </c>
      <c r="B38" s="614" t="s">
        <v>149</v>
      </c>
      <c r="E38" s="631">
        <f>SUM(E35:E37)</f>
        <v>0</v>
      </c>
      <c r="F38" s="631">
        <f>SUM(F35:F37)</f>
        <v>0</v>
      </c>
      <c r="G38" s="631">
        <f>SUM(G35:G37)</f>
        <v>0</v>
      </c>
      <c r="H38" s="630" t="str">
        <f>IF(E38=F38+G38," ","ERROR")</f>
        <v xml:space="preserve"> </v>
      </c>
    </row>
    <row r="39" spans="1:8" ht="12">
      <c r="A39" s="620">
        <v>25</v>
      </c>
      <c r="B39" s="614" t="s">
        <v>91</v>
      </c>
      <c r="E39" s="631">
        <f>E19+E24+E29+E31+E32+E33+E38+E14</f>
        <v>0</v>
      </c>
      <c r="F39" s="631">
        <f>F19+F24+F29+F31+F32+F33+F38+F14</f>
        <v>0</v>
      </c>
      <c r="G39" s="631">
        <f>G19+G24+G29+G31+G32+G33+G38+G14</f>
        <v>0</v>
      </c>
      <c r="H39" s="630" t="str">
        <f>IF(E39=F39+G39," ","ERROR")</f>
        <v xml:space="preserve"> </v>
      </c>
    </row>
    <row r="40" spans="1:8" ht="12">
      <c r="A40" s="620"/>
      <c r="E40" s="628"/>
      <c r="F40" s="628"/>
      <c r="G40" s="628"/>
      <c r="H40" s="630"/>
    </row>
    <row r="41" spans="1:8" ht="12">
      <c r="A41" s="620">
        <v>26</v>
      </c>
      <c r="B41" s="614" t="s">
        <v>150</v>
      </c>
      <c r="E41" s="628">
        <f>E11-E39</f>
        <v>0</v>
      </c>
      <c r="F41" s="628">
        <f>F11-F39</f>
        <v>0</v>
      </c>
      <c r="G41" s="628">
        <f>G11-G39</f>
        <v>0</v>
      </c>
      <c r="H41" s="630" t="str">
        <f>IF(E41=F41+G41," ","ERROR")</f>
        <v xml:space="preserve"> </v>
      </c>
    </row>
    <row r="42" spans="1:8" ht="12">
      <c r="A42" s="620"/>
      <c r="E42" s="628"/>
      <c r="F42" s="628"/>
      <c r="G42" s="628"/>
      <c r="H42" s="630"/>
    </row>
    <row r="43" spans="1:8" ht="12">
      <c r="A43" s="620"/>
      <c r="B43" s="614" t="s">
        <v>151</v>
      </c>
      <c r="E43" s="628"/>
      <c r="F43" s="628"/>
      <c r="G43" s="628"/>
      <c r="H43" s="630"/>
    </row>
    <row r="44" spans="1:8" ht="12">
      <c r="A44" s="620">
        <v>27</v>
      </c>
      <c r="B44" s="634" t="s">
        <v>152</v>
      </c>
      <c r="D44" s="635">
        <v>0.35</v>
      </c>
      <c r="E44" s="628">
        <f>F44+G44</f>
        <v>0</v>
      </c>
      <c r="F44" s="628">
        <f>ROUND(F41*D44,0)</f>
        <v>0</v>
      </c>
      <c r="G44" s="628">
        <f>ROUND(G41*D44,0)</f>
        <v>0</v>
      </c>
      <c r="H44" s="630" t="str">
        <f>IF(E44=F44+G44," ","ERROR")</f>
        <v xml:space="preserve"> </v>
      </c>
    </row>
    <row r="45" spans="1:8" ht="12">
      <c r="A45" s="620">
        <v>28</v>
      </c>
      <c r="B45" s="614" t="s">
        <v>154</v>
      </c>
      <c r="E45" s="628"/>
      <c r="F45" s="628"/>
      <c r="G45" s="628"/>
      <c r="H45" s="630" t="str">
        <f>IF(E45=F45+G45," ","ERROR")</f>
        <v xml:space="preserve"> </v>
      </c>
    </row>
    <row r="46" spans="1:8" ht="12">
      <c r="A46" s="620">
        <v>29</v>
      </c>
      <c r="B46" s="614" t="s">
        <v>153</v>
      </c>
      <c r="E46" s="631"/>
      <c r="F46" s="631"/>
      <c r="G46" s="631"/>
      <c r="H46" s="630" t="str">
        <f>IF(E46=F46+G46," ","ERROR")</f>
        <v xml:space="preserve"> </v>
      </c>
    </row>
    <row r="47" spans="1:8" ht="12">
      <c r="A47" s="620"/>
      <c r="H47" s="630"/>
    </row>
    <row r="48" spans="1:8" ht="12.75" thickBot="1">
      <c r="A48" s="620">
        <v>30</v>
      </c>
      <c r="B48" s="638" t="s">
        <v>97</v>
      </c>
      <c r="E48" s="639">
        <f>E41-(+E44+E45+E46)</f>
        <v>0</v>
      </c>
      <c r="F48" s="639">
        <f>F41-F44+F45+F46</f>
        <v>0</v>
      </c>
      <c r="G48" s="639">
        <f>G41-SUM(G44:G46)</f>
        <v>0</v>
      </c>
      <c r="H48" s="630" t="str">
        <f>IF(E48=F48+G48," ","ERROR")</f>
        <v xml:space="preserve"> </v>
      </c>
    </row>
    <row r="49" spans="1:8" ht="12.75" thickTop="1">
      <c r="A49" s="620"/>
      <c r="H49" s="630"/>
    </row>
    <row r="50" spans="1:8" ht="12">
      <c r="A50" s="620"/>
      <c r="B50" s="634" t="s">
        <v>155</v>
      </c>
      <c r="H50" s="630"/>
    </row>
    <row r="51" spans="1:8" ht="12">
      <c r="A51" s="620"/>
      <c r="B51" s="634" t="s">
        <v>156</v>
      </c>
      <c r="H51" s="630"/>
    </row>
    <row r="52" spans="1:8" ht="12">
      <c r="A52" s="620">
        <v>31</v>
      </c>
      <c r="B52" s="614" t="s">
        <v>157</v>
      </c>
      <c r="E52" s="629"/>
      <c r="F52" s="629"/>
      <c r="G52" s="629"/>
      <c r="H52" s="630" t="str">
        <f t="shared" ref="H52:H63" si="0">IF(E52=F52+G52," ","ERROR")</f>
        <v xml:space="preserve"> </v>
      </c>
    </row>
    <row r="53" spans="1:8" ht="12">
      <c r="A53" s="620">
        <v>32</v>
      </c>
      <c r="B53" s="614" t="s">
        <v>158</v>
      </c>
      <c r="E53" s="628"/>
      <c r="F53" s="628"/>
      <c r="G53" s="628"/>
      <c r="H53" s="630" t="str">
        <f t="shared" si="0"/>
        <v xml:space="preserve"> </v>
      </c>
    </row>
    <row r="54" spans="1:8" ht="12">
      <c r="A54" s="620">
        <v>33</v>
      </c>
      <c r="B54" s="614" t="s">
        <v>166</v>
      </c>
      <c r="E54" s="631"/>
      <c r="F54" s="631"/>
      <c r="G54" s="631"/>
      <c r="H54" s="630" t="str">
        <f t="shared" si="0"/>
        <v xml:space="preserve"> </v>
      </c>
    </row>
    <row r="55" spans="1:8" ht="12">
      <c r="A55" s="620">
        <v>34</v>
      </c>
      <c r="B55" s="614" t="s">
        <v>160</v>
      </c>
      <c r="E55" s="628">
        <f>SUM(E52:E54)</f>
        <v>0</v>
      </c>
      <c r="F55" s="628">
        <f>SUM(F52:F54)</f>
        <v>0</v>
      </c>
      <c r="G55" s="628">
        <f>SUM(G52:G54)</f>
        <v>0</v>
      </c>
      <c r="H55" s="630" t="str">
        <f t="shared" si="0"/>
        <v xml:space="preserve"> </v>
      </c>
    </row>
    <row r="56" spans="1:8" ht="12">
      <c r="A56" s="620"/>
      <c r="B56" s="614" t="s">
        <v>102</v>
      </c>
      <c r="E56" s="628"/>
      <c r="F56" s="628"/>
      <c r="G56" s="628"/>
      <c r="H56" s="630" t="str">
        <f t="shared" si="0"/>
        <v xml:space="preserve"> </v>
      </c>
    </row>
    <row r="57" spans="1:8" ht="12">
      <c r="A57" s="620">
        <v>35</v>
      </c>
      <c r="B57" s="614" t="s">
        <v>157</v>
      </c>
      <c r="E57" s="628"/>
      <c r="F57" s="628"/>
      <c r="G57" s="628"/>
      <c r="H57" s="630" t="str">
        <f t="shared" si="0"/>
        <v xml:space="preserve"> </v>
      </c>
    </row>
    <row r="58" spans="1:8" ht="12">
      <c r="A58" s="620">
        <v>36</v>
      </c>
      <c r="B58" s="614" t="s">
        <v>158</v>
      </c>
      <c r="E58" s="628"/>
      <c r="F58" s="628"/>
      <c r="G58" s="628"/>
      <c r="H58" s="630" t="str">
        <f t="shared" si="0"/>
        <v xml:space="preserve"> </v>
      </c>
    </row>
    <row r="59" spans="1:8" ht="12">
      <c r="A59" s="620">
        <v>37</v>
      </c>
      <c r="B59" s="614" t="s">
        <v>166</v>
      </c>
      <c r="E59" s="631"/>
      <c r="F59" s="631"/>
      <c r="G59" s="631"/>
      <c r="H59" s="630" t="str">
        <f t="shared" si="0"/>
        <v xml:space="preserve"> </v>
      </c>
    </row>
    <row r="60" spans="1:8" ht="12">
      <c r="A60" s="620">
        <v>38</v>
      </c>
      <c r="B60" s="614" t="s">
        <v>161</v>
      </c>
      <c r="E60" s="628">
        <f>SUM(E57:E59)</f>
        <v>0</v>
      </c>
      <c r="F60" s="628">
        <f>SUM(F57:F59)</f>
        <v>0</v>
      </c>
      <c r="G60" s="628">
        <f>SUM(G57:G59)</f>
        <v>0</v>
      </c>
      <c r="H60" s="630" t="str">
        <f t="shared" si="0"/>
        <v xml:space="preserve"> </v>
      </c>
    </row>
    <row r="61" spans="1:8" ht="12">
      <c r="A61" s="620">
        <v>39</v>
      </c>
      <c r="B61" s="634" t="s">
        <v>162</v>
      </c>
      <c r="E61" s="628"/>
      <c r="F61" s="628"/>
      <c r="G61" s="628"/>
      <c r="H61" s="630" t="str">
        <f t="shared" si="0"/>
        <v xml:space="preserve"> </v>
      </c>
    </row>
    <row r="62" spans="1:8" ht="12">
      <c r="A62" s="620">
        <v>40</v>
      </c>
      <c r="B62" s="614" t="s">
        <v>105</v>
      </c>
      <c r="E62" s="628"/>
      <c r="F62" s="628"/>
      <c r="G62" s="628"/>
      <c r="H62" s="630" t="str">
        <f t="shared" si="0"/>
        <v xml:space="preserve"> </v>
      </c>
    </row>
    <row r="63" spans="1:8" ht="12">
      <c r="A63" s="620">
        <v>41</v>
      </c>
      <c r="B63" s="634" t="s">
        <v>106</v>
      </c>
      <c r="E63" s="631"/>
      <c r="F63" s="631"/>
      <c r="G63" s="631"/>
      <c r="H63" s="630" t="str">
        <f t="shared" si="0"/>
        <v xml:space="preserve"> </v>
      </c>
    </row>
    <row r="64" spans="1:8" ht="9" customHeight="1">
      <c r="A64" s="620"/>
      <c r="B64" s="614" t="s">
        <v>163</v>
      </c>
      <c r="H64" s="630"/>
    </row>
    <row r="65" spans="1:8" ht="12.75" thickBot="1">
      <c r="A65" s="620">
        <v>42</v>
      </c>
      <c r="B65" s="638" t="s">
        <v>107</v>
      </c>
      <c r="E65" s="639">
        <f>E55-E60+E61+E62+E63</f>
        <v>0</v>
      </c>
      <c r="F65" s="639">
        <f>F55-F60+F61+F62+F63</f>
        <v>0</v>
      </c>
      <c r="G65" s="639">
        <f>G55-G60+G61+G62+G63</f>
        <v>0</v>
      </c>
      <c r="H65" s="630" t="str">
        <f>IF(E65=F65+G65," ","ERROR")</f>
        <v xml:space="preserve"> </v>
      </c>
    </row>
    <row r="66" spans="1:8" ht="11.1" customHeight="1" thickTop="1">
      <c r="A66" s="585" t="str">
        <f>Inputs!$D$6</f>
        <v>AVISTA UTILITIES</v>
      </c>
      <c r="B66" s="585"/>
      <c r="C66" s="585"/>
      <c r="D66" s="586"/>
      <c r="E66" s="604"/>
      <c r="F66" s="605"/>
      <c r="G66" s="586"/>
    </row>
    <row r="67" spans="1:8" ht="11.1" customHeight="1">
      <c r="A67" s="585" t="s">
        <v>169</v>
      </c>
      <c r="B67" s="585"/>
      <c r="C67" s="585"/>
      <c r="D67" s="586"/>
      <c r="E67" s="604"/>
      <c r="F67" s="605"/>
      <c r="G67" s="586"/>
    </row>
    <row r="68" spans="1:8" ht="11.1" customHeight="1">
      <c r="A68" s="585" t="str">
        <f>A3</f>
        <v>TWELVE MONTHS ENDED SEPTEMBER 30, 2008</v>
      </c>
      <c r="B68" s="585"/>
      <c r="C68" s="585"/>
      <c r="D68" s="586"/>
      <c r="E68" s="604"/>
      <c r="F68" s="589" t="str">
        <f>F2</f>
        <v>STATE INCOME TAX</v>
      </c>
      <c r="G68" s="586"/>
    </row>
    <row r="69" spans="1:8" ht="11.1" customHeight="1">
      <c r="A69" s="585" t="s">
        <v>170</v>
      </c>
      <c r="B69" s="585"/>
      <c r="C69" s="585"/>
      <c r="D69" s="586"/>
      <c r="E69" s="604"/>
      <c r="F69" s="589" t="str">
        <f>F3</f>
        <v>ADJUSTMENT</v>
      </c>
      <c r="G69" s="586"/>
    </row>
    <row r="70" spans="1:8" ht="11.1" customHeight="1">
      <c r="A70" s="586"/>
      <c r="B70" s="586"/>
      <c r="C70" s="586"/>
      <c r="D70" s="586"/>
      <c r="E70" s="608"/>
      <c r="F70" s="596" t="str">
        <f>F4</f>
        <v>GAS</v>
      </c>
      <c r="G70" s="609"/>
    </row>
    <row r="71" spans="1:8" ht="11.1" customHeight="1">
      <c r="A71" s="592" t="s">
        <v>10</v>
      </c>
      <c r="B71" s="586"/>
      <c r="C71" s="586"/>
      <c r="D71" s="586"/>
      <c r="E71" s="604"/>
      <c r="F71" s="589"/>
    </row>
    <row r="72" spans="1:8" ht="11.1" customHeight="1">
      <c r="A72" s="610" t="s">
        <v>27</v>
      </c>
      <c r="B72" s="594" t="s">
        <v>113</v>
      </c>
      <c r="C72" s="594"/>
      <c r="D72" s="586"/>
      <c r="E72" s="604"/>
      <c r="F72" s="596" t="str">
        <f>G6</f>
        <v>Idaho</v>
      </c>
    </row>
    <row r="73" spans="1:8" ht="11.1" customHeight="1">
      <c r="A73" s="592"/>
      <c r="B73" s="586" t="s">
        <v>68</v>
      </c>
      <c r="C73" s="586"/>
      <c r="D73" s="586"/>
      <c r="E73" s="586"/>
      <c r="F73" s="605"/>
    </row>
    <row r="74" spans="1:8" ht="11.1" customHeight="1">
      <c r="A74" s="592">
        <v>1</v>
      </c>
      <c r="B74" s="586" t="s">
        <v>134</v>
      </c>
      <c r="C74" s="586"/>
      <c r="D74" s="586"/>
      <c r="E74" s="586"/>
      <c r="F74" s="599">
        <f>G8</f>
        <v>0</v>
      </c>
    </row>
    <row r="75" spans="1:8" ht="11.1" customHeight="1">
      <c r="A75" s="592">
        <v>2</v>
      </c>
      <c r="B75" s="586" t="s">
        <v>135</v>
      </c>
      <c r="C75" s="586"/>
      <c r="D75" s="586"/>
      <c r="E75" s="586"/>
      <c r="F75" s="601">
        <f>G9</f>
        <v>0</v>
      </c>
    </row>
    <row r="76" spans="1:8" ht="11.1" customHeight="1">
      <c r="A76" s="592">
        <v>3</v>
      </c>
      <c r="B76" s="586" t="s">
        <v>71</v>
      </c>
      <c r="C76" s="586"/>
      <c r="D76" s="586"/>
      <c r="E76" s="586"/>
      <c r="F76" s="602">
        <f>G10</f>
        <v>0</v>
      </c>
    </row>
    <row r="77" spans="1:8" ht="11.1" customHeight="1">
      <c r="A77" s="592"/>
      <c r="B77" s="586"/>
      <c r="C77" s="586"/>
      <c r="D77" s="586"/>
      <c r="E77" s="586"/>
      <c r="F77" s="601"/>
    </row>
    <row r="78" spans="1:8" ht="11.1" customHeight="1">
      <c r="A78" s="592">
        <v>4</v>
      </c>
      <c r="B78" s="586" t="s">
        <v>136</v>
      </c>
      <c r="C78" s="586"/>
      <c r="D78" s="586"/>
      <c r="E78" s="586"/>
      <c r="F78" s="601">
        <f>F74+F75+F76</f>
        <v>0</v>
      </c>
    </row>
    <row r="79" spans="1:8" ht="11.1" customHeight="1">
      <c r="A79" s="592"/>
      <c r="B79" s="586"/>
      <c r="C79" s="586"/>
      <c r="D79" s="586"/>
      <c r="E79" s="586"/>
      <c r="F79" s="601"/>
    </row>
    <row r="80" spans="1:8" ht="11.1" customHeight="1">
      <c r="A80" s="592"/>
      <c r="B80" s="586" t="s">
        <v>73</v>
      </c>
      <c r="C80" s="586"/>
      <c r="D80" s="586"/>
      <c r="E80" s="586"/>
      <c r="F80" s="601"/>
    </row>
    <row r="81" spans="1:6" ht="11.1" customHeight="1">
      <c r="A81" s="592">
        <v>5</v>
      </c>
      <c r="B81" s="586" t="s">
        <v>137</v>
      </c>
      <c r="C81" s="586"/>
      <c r="D81" s="586"/>
      <c r="E81" s="586"/>
      <c r="F81" s="601">
        <f>G14</f>
        <v>0</v>
      </c>
    </row>
    <row r="82" spans="1:6" ht="11.1" customHeight="1">
      <c r="A82" s="592"/>
      <c r="B82" s="586" t="s">
        <v>75</v>
      </c>
      <c r="C82" s="586"/>
      <c r="D82" s="586"/>
      <c r="E82" s="586"/>
      <c r="F82" s="601"/>
    </row>
    <row r="83" spans="1:6" ht="11.1" customHeight="1">
      <c r="A83" s="592">
        <v>6</v>
      </c>
      <c r="B83" s="586" t="s">
        <v>138</v>
      </c>
      <c r="C83" s="586"/>
      <c r="D83" s="586"/>
      <c r="E83" s="586"/>
      <c r="F83" s="601">
        <f>G16</f>
        <v>0</v>
      </c>
    </row>
    <row r="84" spans="1:6" ht="11.1" customHeight="1">
      <c r="A84" s="592">
        <v>7</v>
      </c>
      <c r="B84" s="586" t="s">
        <v>139</v>
      </c>
      <c r="C84" s="586"/>
      <c r="D84" s="586"/>
      <c r="E84" s="586"/>
      <c r="F84" s="601">
        <f>G17</f>
        <v>0</v>
      </c>
    </row>
    <row r="85" spans="1:6" ht="11.1" customHeight="1">
      <c r="A85" s="592">
        <v>8</v>
      </c>
      <c r="B85" s="586" t="s">
        <v>140</v>
      </c>
      <c r="C85" s="586"/>
      <c r="D85" s="586"/>
      <c r="E85" s="586"/>
      <c r="F85" s="602">
        <f>G18</f>
        <v>0</v>
      </c>
    </row>
    <row r="86" spans="1:6" ht="11.1" customHeight="1">
      <c r="A86" s="592">
        <v>9</v>
      </c>
      <c r="B86" s="586" t="s">
        <v>141</v>
      </c>
      <c r="C86" s="586"/>
      <c r="D86" s="586"/>
      <c r="E86" s="586"/>
      <c r="F86" s="601">
        <f>F83+F84+F85</f>
        <v>0</v>
      </c>
    </row>
    <row r="87" spans="1:6" ht="11.1" customHeight="1">
      <c r="A87" s="592"/>
      <c r="B87" s="586" t="s">
        <v>80</v>
      </c>
      <c r="C87" s="586"/>
      <c r="D87" s="586"/>
      <c r="E87" s="586"/>
      <c r="F87" s="601"/>
    </row>
    <row r="88" spans="1:6" ht="11.1" customHeight="1">
      <c r="A88" s="592">
        <v>10</v>
      </c>
      <c r="B88" s="586" t="s">
        <v>142</v>
      </c>
      <c r="C88" s="586"/>
      <c r="D88" s="586"/>
      <c r="E88" s="586"/>
      <c r="F88" s="601">
        <f>G21</f>
        <v>0</v>
      </c>
    </row>
    <row r="89" spans="1:6" ht="11.1" customHeight="1">
      <c r="A89" s="592">
        <v>11</v>
      </c>
      <c r="B89" s="586" t="s">
        <v>143</v>
      </c>
      <c r="C89" s="586"/>
      <c r="D89" s="586"/>
      <c r="E89" s="586"/>
      <c r="F89" s="601">
        <f>G22</f>
        <v>0</v>
      </c>
    </row>
    <row r="90" spans="1:6" ht="11.1" customHeight="1">
      <c r="A90" s="592">
        <v>12</v>
      </c>
      <c r="B90" s="586" t="s">
        <v>144</v>
      </c>
      <c r="C90" s="586"/>
      <c r="D90" s="586"/>
      <c r="E90" s="586"/>
      <c r="F90" s="602">
        <f>G23</f>
        <v>0</v>
      </c>
    </row>
    <row r="91" spans="1:6" ht="11.1" customHeight="1">
      <c r="A91" s="592">
        <v>13</v>
      </c>
      <c r="B91" s="586" t="s">
        <v>145</v>
      </c>
      <c r="C91" s="586"/>
      <c r="D91" s="586"/>
      <c r="E91" s="586"/>
      <c r="F91" s="601">
        <f>F88+F89+F90</f>
        <v>0</v>
      </c>
    </row>
    <row r="92" spans="1:6" ht="11.1" customHeight="1">
      <c r="A92" s="592"/>
      <c r="B92" s="586" t="s">
        <v>84</v>
      </c>
      <c r="C92" s="586"/>
      <c r="D92" s="586"/>
      <c r="E92" s="586"/>
      <c r="F92" s="601"/>
    </row>
    <row r="93" spans="1:6" ht="11.1" customHeight="1">
      <c r="A93" s="592">
        <v>14</v>
      </c>
      <c r="B93" s="586" t="s">
        <v>142</v>
      </c>
      <c r="C93" s="586"/>
      <c r="D93" s="586"/>
      <c r="E93" s="586"/>
      <c r="F93" s="601">
        <f>G26</f>
        <v>0</v>
      </c>
    </row>
    <row r="94" spans="1:6" ht="11.1" customHeight="1">
      <c r="A94" s="592">
        <v>15</v>
      </c>
      <c r="B94" s="586" t="s">
        <v>143</v>
      </c>
      <c r="C94" s="586"/>
      <c r="D94" s="586"/>
      <c r="E94" s="586"/>
      <c r="F94" s="601">
        <f>G27</f>
        <v>0</v>
      </c>
    </row>
    <row r="95" spans="1:6" ht="11.1" customHeight="1">
      <c r="A95" s="592">
        <v>16</v>
      </c>
      <c r="B95" s="586" t="s">
        <v>144</v>
      </c>
      <c r="C95" s="586"/>
      <c r="D95" s="586"/>
      <c r="E95" s="586"/>
      <c r="F95" s="602"/>
    </row>
    <row r="96" spans="1:6" ht="11.1" customHeight="1">
      <c r="A96" s="592">
        <v>17</v>
      </c>
      <c r="B96" s="586" t="s">
        <v>146</v>
      </c>
      <c r="C96" s="586"/>
      <c r="D96" s="586"/>
      <c r="E96" s="586"/>
      <c r="F96" s="601">
        <f>F93+F94+F95</f>
        <v>0</v>
      </c>
    </row>
    <row r="97" spans="1:6" ht="11.1" customHeight="1">
      <c r="A97" s="592">
        <v>18</v>
      </c>
      <c r="B97" s="586" t="s">
        <v>86</v>
      </c>
      <c r="C97" s="586"/>
      <c r="D97" s="586"/>
      <c r="E97" s="586"/>
      <c r="F97" s="601">
        <f>G31</f>
        <v>0</v>
      </c>
    </row>
    <row r="98" spans="1:6" ht="11.1" customHeight="1">
      <c r="A98" s="592">
        <v>19</v>
      </c>
      <c r="B98" s="586" t="s">
        <v>87</v>
      </c>
      <c r="C98" s="586"/>
      <c r="D98" s="586"/>
      <c r="E98" s="586"/>
      <c r="F98" s="601">
        <f>G32</f>
        <v>0</v>
      </c>
    </row>
    <row r="99" spans="1:6" ht="11.1" customHeight="1">
      <c r="A99" s="592">
        <v>20</v>
      </c>
      <c r="B99" s="586" t="s">
        <v>147</v>
      </c>
      <c r="C99" s="586"/>
      <c r="D99" s="586"/>
      <c r="E99" s="586"/>
      <c r="F99" s="601">
        <f>G33</f>
        <v>0</v>
      </c>
    </row>
    <row r="100" spans="1:6" ht="11.1" customHeight="1">
      <c r="A100" s="592"/>
      <c r="B100" s="586" t="s">
        <v>148</v>
      </c>
      <c r="C100" s="586"/>
      <c r="D100" s="586"/>
      <c r="E100" s="586"/>
      <c r="F100" s="601"/>
    </row>
    <row r="101" spans="1:6" ht="11.1" customHeight="1">
      <c r="A101" s="592">
        <v>21</v>
      </c>
      <c r="B101" s="586" t="s">
        <v>142</v>
      </c>
      <c r="C101" s="586"/>
      <c r="D101" s="586"/>
      <c r="E101" s="586"/>
      <c r="F101" s="601">
        <f>G35</f>
        <v>0</v>
      </c>
    </row>
    <row r="102" spans="1:6" ht="11.1" customHeight="1">
      <c r="A102" s="592">
        <v>22</v>
      </c>
      <c r="B102" s="586" t="s">
        <v>143</v>
      </c>
      <c r="C102" s="586"/>
      <c r="D102" s="586"/>
      <c r="E102" s="586"/>
      <c r="F102" s="601">
        <f>G36</f>
        <v>0</v>
      </c>
    </row>
    <row r="103" spans="1:6" ht="11.1" customHeight="1">
      <c r="A103" s="592">
        <v>23</v>
      </c>
      <c r="B103" s="586" t="s">
        <v>144</v>
      </c>
      <c r="C103" s="586"/>
      <c r="D103" s="586"/>
      <c r="E103" s="586"/>
      <c r="F103" s="602">
        <f>G37</f>
        <v>0</v>
      </c>
    </row>
    <row r="104" spans="1:6" ht="11.1" customHeight="1">
      <c r="A104" s="592">
        <v>24</v>
      </c>
      <c r="B104" s="586" t="s">
        <v>149</v>
      </c>
      <c r="C104" s="586"/>
      <c r="D104" s="586"/>
      <c r="E104" s="586"/>
      <c r="F104" s="602">
        <f>F101+F102+F103</f>
        <v>0</v>
      </c>
    </row>
    <row r="105" spans="1:6" ht="11.1" customHeight="1">
      <c r="A105" s="592"/>
      <c r="B105" s="586"/>
      <c r="C105" s="586"/>
      <c r="D105" s="586"/>
      <c r="E105" s="586"/>
      <c r="F105" s="601"/>
    </row>
    <row r="106" spans="1:6" ht="11.1" customHeight="1">
      <c r="A106" s="592">
        <v>25</v>
      </c>
      <c r="B106" s="586" t="s">
        <v>91</v>
      </c>
      <c r="C106" s="586"/>
      <c r="D106" s="586"/>
      <c r="E106" s="586"/>
      <c r="F106" s="602">
        <f>F104+F99+F98+F97+F96+F91+F86+F81</f>
        <v>0</v>
      </c>
    </row>
    <row r="107" spans="1:6" ht="11.1" customHeight="1">
      <c r="A107" s="592"/>
      <c r="B107" s="586"/>
      <c r="C107" s="586"/>
      <c r="D107" s="586"/>
      <c r="E107" s="586"/>
      <c r="F107" s="601"/>
    </row>
    <row r="108" spans="1:6" ht="11.1" customHeight="1">
      <c r="A108" s="592">
        <v>26</v>
      </c>
      <c r="B108" s="586" t="s">
        <v>171</v>
      </c>
      <c r="C108" s="586"/>
      <c r="D108" s="586"/>
      <c r="E108" s="586"/>
      <c r="F108" s="602">
        <f>F78-F106</f>
        <v>0</v>
      </c>
    </row>
    <row r="109" spans="1:6" ht="11.1" customHeight="1">
      <c r="A109" s="592"/>
      <c r="B109" s="586"/>
      <c r="C109" s="586"/>
      <c r="D109" s="586"/>
      <c r="E109" s="586"/>
      <c r="F109" s="605"/>
    </row>
    <row r="110" spans="1:6" ht="11.1" customHeight="1">
      <c r="A110" s="592">
        <v>27</v>
      </c>
      <c r="B110" s="586" t="s">
        <v>172</v>
      </c>
      <c r="C110" s="586"/>
      <c r="D110" s="586"/>
      <c r="E110" s="604"/>
      <c r="F110" s="605"/>
    </row>
    <row r="111" spans="1:6" ht="11.1" customHeight="1" thickBot="1">
      <c r="A111" s="592"/>
      <c r="B111" s="611" t="s">
        <v>173</v>
      </c>
      <c r="C111" s="612">
        <f>Inputs!$D$4</f>
        <v>1.1416000000000001E-2</v>
      </c>
      <c r="D111" s="586"/>
      <c r="E111" s="604"/>
      <c r="F111" s="640">
        <f>ROUND(F108*C111,0)</f>
        <v>0</v>
      </c>
    </row>
    <row r="112" spans="1:6" ht="11.1" customHeight="1" thickTop="1">
      <c r="A112" s="592"/>
      <c r="B112" s="586"/>
      <c r="C112" s="586"/>
      <c r="D112" s="586"/>
      <c r="E112" s="604"/>
      <c r="F112" s="605"/>
    </row>
  </sheetData>
  <phoneticPr fontId="0" type="noConversion"/>
  <printOptions horizontalCentered="1"/>
  <pageMargins left="1" right="1" top="0.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/>
  <dimension ref="A1:H130"/>
  <sheetViews>
    <sheetView topLeftCell="A22" zoomScaleNormal="100" workbookViewId="0">
      <selection activeCell="H44" sqref="H44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/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363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-13</v>
      </c>
      <c r="F27" s="391">
        <v>-13</v>
      </c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-13</v>
      </c>
      <c r="F29" s="391">
        <f>SUM(F26:F28)</f>
        <v>-13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-13</v>
      </c>
      <c r="F39" s="392">
        <f>F19+F24+F29+F31+F32+F33+F38+F14</f>
        <v>-13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13</v>
      </c>
      <c r="F41" s="391">
        <f>F11-F39</f>
        <v>13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5</v>
      </c>
      <c r="F44" s="391">
        <f>ROUND(F41*D44,0)</f>
        <v>5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8</v>
      </c>
      <c r="F48" s="398">
        <f>F41-F44+F45+F46</f>
        <v>8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>
        <f>F2</f>
        <v>0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NET GAINS &amp; LOSSES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/>
  <rowBreaks count="1" manualBreakCount="1"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I114"/>
  <sheetViews>
    <sheetView topLeftCell="A34" workbookViewId="0">
      <selection activeCell="H63" sqref="H63"/>
    </sheetView>
  </sheetViews>
  <sheetFormatPr defaultColWidth="12.42578125" defaultRowHeight="11.1" customHeight="1"/>
  <cols>
    <col min="1" max="1" width="5.5703125" style="129" customWidth="1"/>
    <col min="2" max="2" width="26.140625" style="129" customWidth="1"/>
    <col min="3" max="3" width="12.42578125" style="129" customWidth="1"/>
    <col min="4" max="4" width="6.7109375" style="129" customWidth="1"/>
    <col min="5" max="5" width="12.42578125" style="146" customWidth="1"/>
    <col min="6" max="6" width="12.42578125" style="147" customWidth="1"/>
    <col min="7" max="7" width="12.42578125" style="146" customWidth="1"/>
    <col min="8" max="16384" width="12.42578125" style="129"/>
  </cols>
  <sheetData>
    <row r="1" spans="1:7" ht="12">
      <c r="A1" s="128" t="str">
        <f>Inputs!$D$6</f>
        <v>AVISTA UTILITIES</v>
      </c>
      <c r="B1" s="128"/>
      <c r="C1" s="128"/>
      <c r="E1" s="130"/>
      <c r="F1" s="131"/>
      <c r="G1" s="130"/>
    </row>
    <row r="2" spans="1:7" ht="12">
      <c r="A2" s="128" t="s">
        <v>125</v>
      </c>
      <c r="B2" s="128"/>
      <c r="C2" s="128"/>
      <c r="E2" s="130"/>
      <c r="F2" s="132" t="s">
        <v>178</v>
      </c>
      <c r="G2" s="130"/>
    </row>
    <row r="3" spans="1:7" ht="12">
      <c r="A3" s="128" t="str">
        <f>Inputs!$D$2</f>
        <v>TWELVE MONTHS ENDED SEPTEMBER 30, 2008</v>
      </c>
      <c r="B3" s="128"/>
      <c r="C3" s="128"/>
      <c r="E3" s="130"/>
      <c r="F3" s="132" t="s">
        <v>190</v>
      </c>
      <c r="G3" s="129"/>
    </row>
    <row r="4" spans="1:7" ht="12">
      <c r="A4" s="128" t="s">
        <v>128</v>
      </c>
      <c r="B4" s="128"/>
      <c r="C4" s="128"/>
      <c r="E4" s="133"/>
      <c r="F4" s="134" t="s">
        <v>129</v>
      </c>
      <c r="G4" s="133"/>
    </row>
    <row r="5" spans="1:7" ht="12">
      <c r="A5" s="135" t="s">
        <v>10</v>
      </c>
      <c r="E5" s="130"/>
      <c r="F5" s="132"/>
      <c r="G5" s="130"/>
    </row>
    <row r="6" spans="1:7" ht="12">
      <c r="A6" s="136" t="s">
        <v>27</v>
      </c>
      <c r="B6" s="137" t="s">
        <v>113</v>
      </c>
      <c r="C6" s="137"/>
      <c r="E6" s="138" t="s">
        <v>130</v>
      </c>
      <c r="F6" s="139" t="s">
        <v>131</v>
      </c>
      <c r="G6" s="138" t="s">
        <v>132</v>
      </c>
    </row>
    <row r="7" spans="1:7" ht="12">
      <c r="A7" s="135"/>
      <c r="B7" s="129" t="s">
        <v>68</v>
      </c>
      <c r="E7" s="140"/>
      <c r="F7" s="132"/>
      <c r="G7" s="140"/>
    </row>
    <row r="8" spans="1:7" ht="12">
      <c r="A8" s="135">
        <v>1</v>
      </c>
      <c r="B8" s="129" t="s">
        <v>134</v>
      </c>
      <c r="E8" s="141"/>
      <c r="F8" s="141"/>
      <c r="G8" s="141"/>
    </row>
    <row r="9" spans="1:7" ht="12">
      <c r="A9" s="135">
        <v>2</v>
      </c>
      <c r="B9" s="129" t="s">
        <v>135</v>
      </c>
      <c r="E9" s="142"/>
      <c r="F9" s="142"/>
      <c r="G9" s="142"/>
    </row>
    <row r="10" spans="1:7" ht="12">
      <c r="A10" s="135">
        <v>3</v>
      </c>
      <c r="B10" s="129" t="s">
        <v>71</v>
      </c>
      <c r="E10" s="143"/>
      <c r="F10" s="143"/>
      <c r="G10" s="143"/>
    </row>
    <row r="11" spans="1:7" ht="12">
      <c r="A11" s="135">
        <v>4</v>
      </c>
      <c r="B11" s="129" t="s">
        <v>136</v>
      </c>
      <c r="E11" s="142">
        <f>SUM(E8:E10)</f>
        <v>0</v>
      </c>
      <c r="F11" s="142">
        <f>SUM(F8:F10)</f>
        <v>0</v>
      </c>
      <c r="G11" s="142">
        <f>SUM(G8:G10)</f>
        <v>0</v>
      </c>
    </row>
    <row r="12" spans="1:7" ht="12">
      <c r="A12" s="135"/>
      <c r="E12" s="142"/>
      <c r="F12" s="142"/>
      <c r="G12" s="142"/>
    </row>
    <row r="13" spans="1:7" ht="12">
      <c r="A13" s="135"/>
      <c r="B13" s="129" t="s">
        <v>73</v>
      </c>
      <c r="E13" s="142"/>
      <c r="F13" s="142"/>
      <c r="G13" s="142"/>
    </row>
    <row r="14" spans="1:7" ht="12">
      <c r="A14" s="135">
        <v>5</v>
      </c>
      <c r="B14" s="129" t="s">
        <v>137</v>
      </c>
      <c r="E14" s="142"/>
      <c r="F14" s="142"/>
      <c r="G14" s="142"/>
    </row>
    <row r="15" spans="1:7" ht="12">
      <c r="A15" s="135"/>
      <c r="B15" s="129" t="s">
        <v>75</v>
      </c>
      <c r="E15" s="142"/>
      <c r="F15" s="142"/>
      <c r="G15" s="142"/>
    </row>
    <row r="16" spans="1:7" ht="12">
      <c r="A16" s="135">
        <v>6</v>
      </c>
      <c r="B16" s="129" t="s">
        <v>138</v>
      </c>
      <c r="E16" s="142"/>
      <c r="F16" s="142"/>
      <c r="G16" s="142"/>
    </row>
    <row r="17" spans="1:7" ht="12">
      <c r="A17" s="135">
        <v>7</v>
      </c>
      <c r="B17" s="129" t="s">
        <v>139</v>
      </c>
      <c r="E17" s="142"/>
      <c r="F17" s="142"/>
      <c r="G17" s="142"/>
    </row>
    <row r="18" spans="1:7" ht="12">
      <c r="A18" s="135">
        <v>8</v>
      </c>
      <c r="B18" s="129" t="s">
        <v>140</v>
      </c>
      <c r="E18" s="143"/>
      <c r="F18" s="143"/>
      <c r="G18" s="143"/>
    </row>
    <row r="19" spans="1:7" ht="12">
      <c r="A19" s="135">
        <v>9</v>
      </c>
      <c r="B19" s="129" t="s">
        <v>141</v>
      </c>
      <c r="E19" s="142">
        <f>SUM(E16:E18)</f>
        <v>0</v>
      </c>
      <c r="F19" s="142">
        <f>SUM(F16:F18)</f>
        <v>0</v>
      </c>
      <c r="G19" s="142">
        <f>SUM(G16:G18)</f>
        <v>0</v>
      </c>
    </row>
    <row r="20" spans="1:7" ht="12">
      <c r="A20" s="135"/>
      <c r="B20" s="129" t="s">
        <v>80</v>
      </c>
      <c r="E20" s="142"/>
      <c r="F20" s="142"/>
      <c r="G20" s="142"/>
    </row>
    <row r="21" spans="1:7" ht="12">
      <c r="A21" s="135">
        <v>10</v>
      </c>
      <c r="B21" s="129" t="s">
        <v>142</v>
      </c>
      <c r="E21" s="142"/>
      <c r="F21" s="142"/>
      <c r="G21" s="142"/>
    </row>
    <row r="22" spans="1:7" ht="12">
      <c r="A22" s="135">
        <v>11</v>
      </c>
      <c r="B22" s="129" t="s">
        <v>143</v>
      </c>
      <c r="E22" s="142"/>
      <c r="F22" s="142"/>
      <c r="G22" s="142"/>
    </row>
    <row r="23" spans="1:7" ht="12">
      <c r="A23" s="135">
        <v>12</v>
      </c>
      <c r="B23" s="129" t="s">
        <v>144</v>
      </c>
      <c r="E23" s="143"/>
      <c r="F23" s="143"/>
      <c r="G23" s="143"/>
    </row>
    <row r="24" spans="1:7" ht="12">
      <c r="A24" s="135">
        <v>13</v>
      </c>
      <c r="B24" s="129" t="s">
        <v>145</v>
      </c>
      <c r="E24" s="142">
        <f>SUM(E21:E23)</f>
        <v>0</v>
      </c>
      <c r="F24" s="142">
        <f>SUM(F21:F23)</f>
        <v>0</v>
      </c>
      <c r="G24" s="142">
        <f>SUM(G21:G23)</f>
        <v>0</v>
      </c>
    </row>
    <row r="25" spans="1:7" ht="12">
      <c r="A25" s="135"/>
      <c r="B25" s="129" t="s">
        <v>84</v>
      </c>
      <c r="E25" s="142"/>
      <c r="F25" s="142"/>
      <c r="G25" s="142"/>
    </row>
    <row r="26" spans="1:7" ht="12">
      <c r="A26" s="135">
        <v>14</v>
      </c>
      <c r="B26" s="129" t="s">
        <v>142</v>
      </c>
      <c r="E26" s="142"/>
      <c r="F26" s="142"/>
      <c r="G26" s="142"/>
    </row>
    <row r="27" spans="1:7" ht="12">
      <c r="A27" s="135">
        <v>15</v>
      </c>
      <c r="B27" s="129" t="s">
        <v>143</v>
      </c>
      <c r="E27" s="142"/>
      <c r="F27" s="142"/>
      <c r="G27" s="142"/>
    </row>
    <row r="28" spans="1:7" ht="12">
      <c r="A28" s="135">
        <v>16</v>
      </c>
      <c r="B28" s="129" t="s">
        <v>144</v>
      </c>
      <c r="E28" s="143">
        <f>F28+G28</f>
        <v>0</v>
      </c>
      <c r="F28" s="143"/>
      <c r="G28" s="1076">
        <f>F113</f>
        <v>0</v>
      </c>
    </row>
    <row r="29" spans="1:7" ht="12">
      <c r="A29" s="135">
        <v>17</v>
      </c>
      <c r="B29" s="129" t="s">
        <v>146</v>
      </c>
      <c r="E29" s="142">
        <f>SUM(E26:E28)</f>
        <v>0</v>
      </c>
      <c r="F29" s="142">
        <f>SUM(F26:F28)</f>
        <v>0</v>
      </c>
      <c r="G29" s="142">
        <f>SUM(G26:G28)</f>
        <v>0</v>
      </c>
    </row>
    <row r="30" spans="1:7" ht="12">
      <c r="A30" s="135"/>
      <c r="E30" s="142"/>
      <c r="F30" s="142"/>
      <c r="G30" s="142"/>
    </row>
    <row r="31" spans="1:7" ht="12">
      <c r="A31" s="135">
        <v>18</v>
      </c>
      <c r="B31" s="129" t="s">
        <v>86</v>
      </c>
      <c r="E31" s="142">
        <f>F31+G31</f>
        <v>-85</v>
      </c>
      <c r="F31" s="142">
        <v>-85</v>
      </c>
      <c r="G31" s="142">
        <v>0</v>
      </c>
    </row>
    <row r="32" spans="1:7" ht="12">
      <c r="A32" s="135">
        <v>19</v>
      </c>
      <c r="B32" s="129" t="s">
        <v>87</v>
      </c>
      <c r="E32" s="142"/>
      <c r="F32" s="142"/>
      <c r="G32" s="142"/>
    </row>
    <row r="33" spans="1:7" ht="12">
      <c r="A33" s="135">
        <v>20</v>
      </c>
      <c r="B33" s="129" t="s">
        <v>147</v>
      </c>
      <c r="E33" s="142"/>
      <c r="F33" s="142"/>
      <c r="G33" s="142"/>
    </row>
    <row r="34" spans="1:7" ht="12">
      <c r="A34" s="135"/>
      <c r="B34" s="129" t="s">
        <v>148</v>
      </c>
      <c r="E34" s="142"/>
      <c r="F34" s="142"/>
      <c r="G34" s="142"/>
    </row>
    <row r="35" spans="1:7" ht="12">
      <c r="A35" s="135">
        <v>21</v>
      </c>
      <c r="B35" s="129" t="s">
        <v>142</v>
      </c>
      <c r="E35" s="142"/>
      <c r="F35" s="142"/>
      <c r="G35" s="142"/>
    </row>
    <row r="36" spans="1:7" ht="12">
      <c r="A36" s="135">
        <v>22</v>
      </c>
      <c r="B36" s="129" t="s">
        <v>143</v>
      </c>
      <c r="E36" s="142"/>
      <c r="F36" s="142"/>
      <c r="G36" s="142"/>
    </row>
    <row r="37" spans="1:7" ht="12">
      <c r="A37" s="135">
        <v>23</v>
      </c>
      <c r="B37" s="129" t="s">
        <v>144</v>
      </c>
      <c r="E37" s="143"/>
      <c r="F37" s="143"/>
      <c r="G37" s="143"/>
    </row>
    <row r="38" spans="1:7" ht="12">
      <c r="A38" s="135">
        <v>24</v>
      </c>
      <c r="B38" s="129" t="s">
        <v>149</v>
      </c>
      <c r="E38" s="143">
        <f>SUM(E35:E37)</f>
        <v>0</v>
      </c>
      <c r="F38" s="143">
        <f>SUM(F35:F37)</f>
        <v>0</v>
      </c>
      <c r="G38" s="143">
        <f>SUM(G35:G37)</f>
        <v>0</v>
      </c>
    </row>
    <row r="39" spans="1:7" ht="12">
      <c r="A39" s="135">
        <v>25</v>
      </c>
      <c r="B39" s="129" t="s">
        <v>91</v>
      </c>
      <c r="E39" s="143">
        <f>E19+E24+E29+E31+E32+E33+E38+E14</f>
        <v>-85</v>
      </c>
      <c r="F39" s="143">
        <f>F19+F24+F29+F31+F32+F33+F38+F14</f>
        <v>-85</v>
      </c>
      <c r="G39" s="143">
        <f>G19+G24+G29+G31+G32+G33+G38+G14</f>
        <v>0</v>
      </c>
    </row>
    <row r="40" spans="1:7" ht="12">
      <c r="A40" s="135"/>
      <c r="E40" s="142"/>
      <c r="F40" s="142"/>
      <c r="G40" s="142"/>
    </row>
    <row r="41" spans="1:7" ht="12">
      <c r="A41" s="135">
        <v>26</v>
      </c>
      <c r="B41" s="129" t="s">
        <v>150</v>
      </c>
      <c r="E41" s="142">
        <f>E11-E39</f>
        <v>85</v>
      </c>
      <c r="F41" s="142">
        <f>F11-F39</f>
        <v>85</v>
      </c>
      <c r="G41" s="142">
        <f>G11-G39</f>
        <v>0</v>
      </c>
    </row>
    <row r="42" spans="1:7" ht="12">
      <c r="A42" s="135"/>
      <c r="E42" s="142"/>
      <c r="F42" s="142"/>
      <c r="G42" s="142"/>
    </row>
    <row r="43" spans="1:7" ht="12">
      <c r="A43" s="135"/>
      <c r="B43" s="129" t="s">
        <v>151</v>
      </c>
      <c r="E43" s="142"/>
      <c r="F43" s="142"/>
      <c r="G43" s="142"/>
    </row>
    <row r="44" spans="1:7" ht="12">
      <c r="A44" s="135">
        <v>27</v>
      </c>
      <c r="B44" s="144" t="s">
        <v>152</v>
      </c>
      <c r="D44" s="145">
        <v>0.35</v>
      </c>
      <c r="E44" s="142">
        <f>F44+G44</f>
        <v>30</v>
      </c>
      <c r="F44" s="142">
        <f>ROUND(F41*D44,0)</f>
        <v>30</v>
      </c>
      <c r="G44" s="142">
        <f>ROUND(G41*D44,0)</f>
        <v>0</v>
      </c>
    </row>
    <row r="45" spans="1:7" ht="12">
      <c r="A45" s="135">
        <v>28</v>
      </c>
      <c r="B45" s="129" t="s">
        <v>154</v>
      </c>
      <c r="E45" s="142"/>
      <c r="F45" s="142"/>
      <c r="G45" s="142"/>
    </row>
    <row r="46" spans="1:7" ht="12">
      <c r="A46" s="135">
        <v>29</v>
      </c>
      <c r="B46" s="129" t="s">
        <v>153</v>
      </c>
      <c r="E46" s="143"/>
      <c r="F46" s="143"/>
      <c r="G46" s="143"/>
    </row>
    <row r="47" spans="1:7" ht="12">
      <c r="A47" s="135"/>
    </row>
    <row r="48" spans="1:7" ht="12.75" thickBot="1">
      <c r="A48" s="135">
        <v>30</v>
      </c>
      <c r="B48" s="148" t="s">
        <v>97</v>
      </c>
      <c r="E48" s="149">
        <f>E41-(+E44+E45+E46)</f>
        <v>55</v>
      </c>
      <c r="F48" s="149">
        <f>F41-F44+F45+F46</f>
        <v>55</v>
      </c>
      <c r="G48" s="149">
        <f>G41-SUM(G44:G46)</f>
        <v>0</v>
      </c>
    </row>
    <row r="49" spans="1:9" ht="12.75" thickTop="1">
      <c r="A49" s="135"/>
    </row>
    <row r="50" spans="1:9" ht="12">
      <c r="A50" s="135"/>
      <c r="B50" s="144" t="s">
        <v>155</v>
      </c>
    </row>
    <row r="51" spans="1:9" ht="12">
      <c r="A51" s="135"/>
      <c r="B51" s="144" t="s">
        <v>156</v>
      </c>
    </row>
    <row r="52" spans="1:9" ht="12">
      <c r="A52" s="135">
        <v>31</v>
      </c>
      <c r="B52" s="129" t="s">
        <v>157</v>
      </c>
      <c r="E52" s="141"/>
      <c r="F52" s="141"/>
      <c r="G52" s="141"/>
    </row>
    <row r="53" spans="1:9" ht="12">
      <c r="A53" s="135">
        <v>32</v>
      </c>
      <c r="B53" s="129" t="s">
        <v>158</v>
      </c>
      <c r="E53" s="142"/>
      <c r="F53" s="142"/>
      <c r="G53" s="142"/>
    </row>
    <row r="54" spans="1:9" ht="12">
      <c r="A54" s="135">
        <v>33</v>
      </c>
      <c r="B54" s="129" t="s">
        <v>166</v>
      </c>
      <c r="E54" s="143"/>
      <c r="F54" s="143"/>
      <c r="G54" s="143"/>
    </row>
    <row r="55" spans="1:9" ht="12">
      <c r="A55" s="135">
        <v>34</v>
      </c>
      <c r="B55" s="129" t="s">
        <v>160</v>
      </c>
      <c r="E55" s="142">
        <f>SUM(E52:E54)</f>
        <v>0</v>
      </c>
      <c r="F55" s="142">
        <f>SUM(F52:F54)</f>
        <v>0</v>
      </c>
      <c r="G55" s="142">
        <f>SUM(G52:G54)</f>
        <v>0</v>
      </c>
    </row>
    <row r="56" spans="1:9" ht="12">
      <c r="A56" s="135"/>
      <c r="B56" s="129" t="s">
        <v>102</v>
      </c>
      <c r="E56" s="142"/>
      <c r="F56" s="142"/>
      <c r="G56" s="142"/>
    </row>
    <row r="57" spans="1:9" ht="12">
      <c r="A57" s="135">
        <v>35</v>
      </c>
      <c r="B57" s="129" t="s">
        <v>157</v>
      </c>
      <c r="E57" s="142"/>
      <c r="F57" s="142"/>
      <c r="G57" s="142"/>
    </row>
    <row r="58" spans="1:9" ht="12">
      <c r="A58" s="135">
        <v>36</v>
      </c>
      <c r="B58" s="129" t="s">
        <v>158</v>
      </c>
      <c r="E58" s="142"/>
      <c r="F58" s="142"/>
      <c r="G58" s="142"/>
    </row>
    <row r="59" spans="1:9" ht="12">
      <c r="A59" s="135">
        <v>37</v>
      </c>
      <c r="B59" s="129" t="s">
        <v>166</v>
      </c>
      <c r="E59" s="143"/>
      <c r="F59" s="143"/>
      <c r="G59" s="143"/>
    </row>
    <row r="60" spans="1:9" ht="12">
      <c r="A60" s="135">
        <v>38</v>
      </c>
      <c r="B60" s="129" t="s">
        <v>161</v>
      </c>
      <c r="E60" s="142">
        <f>SUM(E57:E59)</f>
        <v>0</v>
      </c>
      <c r="F60" s="142">
        <f>SUM(F57:F59)</f>
        <v>0</v>
      </c>
      <c r="G60" s="142">
        <f>SUM(G57:G59)</f>
        <v>0</v>
      </c>
    </row>
    <row r="61" spans="1:9" ht="12">
      <c r="A61" s="135">
        <v>39</v>
      </c>
      <c r="B61" s="144" t="s">
        <v>162</v>
      </c>
      <c r="E61" s="142"/>
      <c r="F61" s="142"/>
      <c r="G61" s="142"/>
    </row>
    <row r="62" spans="1:9" ht="12">
      <c r="A62" s="135">
        <v>40</v>
      </c>
      <c r="B62" s="129" t="s">
        <v>105</v>
      </c>
      <c r="E62" s="142"/>
      <c r="F62" s="142"/>
      <c r="G62" s="142"/>
      <c r="I62" s="129">
        <f>G62+F62</f>
        <v>0</v>
      </c>
    </row>
    <row r="63" spans="1:9" ht="12">
      <c r="A63" s="135">
        <v>41</v>
      </c>
      <c r="B63" s="144" t="s">
        <v>106</v>
      </c>
      <c r="E63" s="143"/>
      <c r="F63" s="143"/>
      <c r="G63" s="143"/>
    </row>
    <row r="64" spans="1:9" ht="9" customHeight="1">
      <c r="A64" s="135"/>
      <c r="B64" s="129" t="s">
        <v>163</v>
      </c>
    </row>
    <row r="65" spans="1:7" ht="12.75" thickBot="1">
      <c r="A65" s="135">
        <v>42</v>
      </c>
      <c r="B65" s="148" t="s">
        <v>107</v>
      </c>
      <c r="E65" s="149">
        <f>E55-E60+E61+E62+E63</f>
        <v>0</v>
      </c>
      <c r="F65" s="149">
        <f>F55-F60+F61+F62+F63</f>
        <v>0</v>
      </c>
      <c r="G65" s="149">
        <f>G55-G60+G61+G62+G63</f>
        <v>0</v>
      </c>
    </row>
    <row r="66" spans="1:7" ht="11.1" customHeight="1" thickTop="1">
      <c r="A66" s="150"/>
      <c r="B66" s="150"/>
      <c r="C66" s="150"/>
      <c r="D66" s="151"/>
      <c r="E66" s="152"/>
      <c r="F66" s="153"/>
      <c r="G66" s="152"/>
    </row>
    <row r="67" spans="1:7" ht="11.1" customHeight="1">
      <c r="A67" s="150"/>
      <c r="B67" s="150"/>
      <c r="C67" s="150"/>
      <c r="D67" s="151"/>
      <c r="E67" s="152"/>
      <c r="F67" s="153"/>
      <c r="G67" s="152"/>
    </row>
    <row r="68" spans="1:7" ht="11.1" customHeight="1">
      <c r="A68" s="375" t="str">
        <f>Inputs!$D$6</f>
        <v>AVISTA UTILITIES</v>
      </c>
      <c r="B68" s="375"/>
      <c r="C68" s="375"/>
      <c r="D68" s="376"/>
      <c r="E68" s="395"/>
      <c r="F68" s="396"/>
      <c r="G68" s="376"/>
    </row>
    <row r="69" spans="1:7" ht="11.1" customHeight="1">
      <c r="A69" s="375" t="s">
        <v>169</v>
      </c>
      <c r="B69" s="375"/>
      <c r="C69" s="375"/>
      <c r="D69" s="376"/>
      <c r="E69" s="395"/>
      <c r="F69" s="396"/>
      <c r="G69" s="376"/>
    </row>
    <row r="70" spans="1:7" ht="11.1" customHeight="1">
      <c r="A70" s="375" t="str">
        <f>A3</f>
        <v>TWELVE MONTHS ENDED SEPTEMBER 30, 2008</v>
      </c>
      <c r="B70" s="375"/>
      <c r="C70" s="375"/>
      <c r="D70" s="376"/>
      <c r="E70" s="395"/>
      <c r="F70" s="379" t="str">
        <f>F2</f>
        <v>ELIMINATE</v>
      </c>
      <c r="G70" s="376"/>
    </row>
    <row r="71" spans="1:7" ht="11.1" customHeight="1">
      <c r="A71" s="375" t="s">
        <v>170</v>
      </c>
      <c r="B71" s="375"/>
      <c r="C71" s="375"/>
      <c r="D71" s="376"/>
      <c r="E71" s="395"/>
      <c r="F71" s="379" t="str">
        <f>F3</f>
        <v>A/R EXPENSES</v>
      </c>
      <c r="G71" s="376"/>
    </row>
    <row r="72" spans="1:7" ht="11.1" customHeight="1">
      <c r="A72" s="376"/>
      <c r="B72" s="376"/>
      <c r="C72" s="376"/>
      <c r="D72" s="376"/>
      <c r="E72" s="400"/>
      <c r="F72" s="386" t="str">
        <f>F4</f>
        <v>GAS</v>
      </c>
      <c r="G72" s="401"/>
    </row>
    <row r="73" spans="1:7" ht="11.1" customHeight="1">
      <c r="A73" s="382" t="s">
        <v>10</v>
      </c>
      <c r="B73" s="376"/>
      <c r="C73" s="376"/>
      <c r="D73" s="376"/>
      <c r="E73" s="395"/>
      <c r="F73" s="379"/>
      <c r="G73" s="395"/>
    </row>
    <row r="74" spans="1:7" ht="11.1" customHeight="1">
      <c r="A74" s="402" t="s">
        <v>27</v>
      </c>
      <c r="B74" s="384" t="s">
        <v>113</v>
      </c>
      <c r="C74" s="384"/>
      <c r="D74" s="376"/>
      <c r="E74" s="395"/>
      <c r="F74" s="386" t="s">
        <v>132</v>
      </c>
      <c r="G74" s="395"/>
    </row>
    <row r="75" spans="1:7" ht="11.1" customHeight="1">
      <c r="A75" s="382"/>
      <c r="B75" s="376" t="s">
        <v>68</v>
      </c>
      <c r="C75" s="376"/>
      <c r="D75" s="376"/>
      <c r="E75" s="376"/>
      <c r="F75" s="396"/>
      <c r="G75" s="376"/>
    </row>
    <row r="76" spans="1:7" ht="11.1" customHeight="1">
      <c r="A76" s="382">
        <v>1</v>
      </c>
      <c r="B76" s="376" t="s">
        <v>134</v>
      </c>
      <c r="C76" s="376"/>
      <c r="D76" s="376"/>
      <c r="E76" s="376"/>
      <c r="F76" s="389">
        <f>G8</f>
        <v>0</v>
      </c>
      <c r="G76" s="376"/>
    </row>
    <row r="77" spans="1:7" ht="11.1" customHeight="1">
      <c r="A77" s="382">
        <v>2</v>
      </c>
      <c r="B77" s="376" t="s">
        <v>135</v>
      </c>
      <c r="C77" s="376"/>
      <c r="D77" s="376"/>
      <c r="E77" s="376"/>
      <c r="F77" s="391">
        <f>G9</f>
        <v>0</v>
      </c>
      <c r="G77" s="376"/>
    </row>
    <row r="78" spans="1:7" ht="11.1" customHeight="1">
      <c r="A78" s="382">
        <v>3</v>
      </c>
      <c r="B78" s="376" t="s">
        <v>71</v>
      </c>
      <c r="C78" s="376"/>
      <c r="D78" s="376"/>
      <c r="E78" s="376"/>
      <c r="F78" s="392">
        <f>G10</f>
        <v>0</v>
      </c>
      <c r="G78" s="376"/>
    </row>
    <row r="79" spans="1:7" ht="11.1" customHeight="1">
      <c r="A79" s="382"/>
      <c r="B79" s="376"/>
      <c r="C79" s="376"/>
      <c r="D79" s="376"/>
      <c r="E79" s="376"/>
      <c r="F79" s="391"/>
      <c r="G79" s="376"/>
    </row>
    <row r="80" spans="1:7" ht="11.1" customHeight="1">
      <c r="A80" s="382">
        <v>4</v>
      </c>
      <c r="B80" s="376" t="s">
        <v>136</v>
      </c>
      <c r="C80" s="376"/>
      <c r="D80" s="376"/>
      <c r="E80" s="376"/>
      <c r="F80" s="391">
        <f>F76+F77+F78</f>
        <v>0</v>
      </c>
      <c r="G80" s="376"/>
    </row>
    <row r="81" spans="1:7" ht="11.1" customHeight="1">
      <c r="A81" s="382"/>
      <c r="B81" s="376"/>
      <c r="C81" s="376"/>
      <c r="D81" s="376"/>
      <c r="E81" s="376"/>
      <c r="F81" s="391"/>
      <c r="G81" s="376"/>
    </row>
    <row r="82" spans="1:7" ht="11.1" customHeight="1">
      <c r="A82" s="382"/>
      <c r="B82" s="376" t="s">
        <v>73</v>
      </c>
      <c r="C82" s="376"/>
      <c r="D82" s="376"/>
      <c r="E82" s="376"/>
      <c r="F82" s="391"/>
      <c r="G82" s="376"/>
    </row>
    <row r="83" spans="1:7" ht="11.1" customHeight="1">
      <c r="A83" s="382">
        <v>5</v>
      </c>
      <c r="B83" s="376" t="s">
        <v>137</v>
      </c>
      <c r="C83" s="376"/>
      <c r="D83" s="376"/>
      <c r="E83" s="376"/>
      <c r="F83" s="391">
        <f>G14</f>
        <v>0</v>
      </c>
      <c r="G83" s="376"/>
    </row>
    <row r="84" spans="1:7" ht="11.1" customHeight="1">
      <c r="A84" s="382"/>
      <c r="B84" s="376" t="s">
        <v>75</v>
      </c>
      <c r="C84" s="376"/>
      <c r="D84" s="376"/>
      <c r="E84" s="376"/>
      <c r="F84" s="391"/>
      <c r="G84" s="376"/>
    </row>
    <row r="85" spans="1:7" ht="11.1" customHeight="1">
      <c r="A85" s="382">
        <v>6</v>
      </c>
      <c r="B85" s="376" t="s">
        <v>138</v>
      </c>
      <c r="C85" s="376"/>
      <c r="D85" s="376"/>
      <c r="E85" s="376"/>
      <c r="F85" s="391">
        <f>G16</f>
        <v>0</v>
      </c>
      <c r="G85" s="376"/>
    </row>
    <row r="86" spans="1:7" ht="11.1" customHeight="1">
      <c r="A86" s="382">
        <v>7</v>
      </c>
      <c r="B86" s="376" t="s">
        <v>139</v>
      </c>
      <c r="C86" s="376"/>
      <c r="D86" s="376"/>
      <c r="E86" s="376"/>
      <c r="F86" s="391">
        <f>G17</f>
        <v>0</v>
      </c>
      <c r="G86" s="376"/>
    </row>
    <row r="87" spans="1:7" ht="11.1" customHeight="1">
      <c r="A87" s="382">
        <v>8</v>
      </c>
      <c r="B87" s="376" t="s">
        <v>140</v>
      </c>
      <c r="C87" s="376"/>
      <c r="D87" s="376"/>
      <c r="E87" s="376"/>
      <c r="F87" s="392">
        <f>G18</f>
        <v>0</v>
      </c>
      <c r="G87" s="376"/>
    </row>
    <row r="88" spans="1:7" ht="11.1" customHeight="1">
      <c r="A88" s="382">
        <v>9</v>
      </c>
      <c r="B88" s="376" t="s">
        <v>141</v>
      </c>
      <c r="C88" s="376"/>
      <c r="D88" s="376"/>
      <c r="E88" s="376"/>
      <c r="F88" s="391">
        <f>F85+F86+F87</f>
        <v>0</v>
      </c>
      <c r="G88" s="376"/>
    </row>
    <row r="89" spans="1:7" ht="11.1" customHeight="1">
      <c r="A89" s="382"/>
      <c r="B89" s="376" t="s">
        <v>80</v>
      </c>
      <c r="C89" s="376"/>
      <c r="D89" s="376"/>
      <c r="E89" s="376"/>
      <c r="F89" s="391"/>
      <c r="G89" s="376"/>
    </row>
    <row r="90" spans="1:7" ht="11.1" customHeight="1">
      <c r="A90" s="382">
        <v>10</v>
      </c>
      <c r="B90" s="376" t="s">
        <v>142</v>
      </c>
      <c r="C90" s="376"/>
      <c r="D90" s="376"/>
      <c r="E90" s="376"/>
      <c r="F90" s="391">
        <f>G21</f>
        <v>0</v>
      </c>
      <c r="G90" s="376"/>
    </row>
    <row r="91" spans="1:7" ht="11.1" customHeight="1">
      <c r="A91" s="382">
        <v>11</v>
      </c>
      <c r="B91" s="376" t="s">
        <v>143</v>
      </c>
      <c r="C91" s="376"/>
      <c r="D91" s="376"/>
      <c r="E91" s="376"/>
      <c r="F91" s="391">
        <f>G22</f>
        <v>0</v>
      </c>
      <c r="G91" s="376"/>
    </row>
    <row r="92" spans="1:7" ht="11.1" customHeight="1">
      <c r="A92" s="382">
        <v>12</v>
      </c>
      <c r="B92" s="376" t="s">
        <v>144</v>
      </c>
      <c r="C92" s="376"/>
      <c r="D92" s="376"/>
      <c r="E92" s="376"/>
      <c r="F92" s="392">
        <f>G23</f>
        <v>0</v>
      </c>
      <c r="G92" s="376"/>
    </row>
    <row r="93" spans="1:7" ht="11.1" customHeight="1">
      <c r="A93" s="382">
        <v>13</v>
      </c>
      <c r="B93" s="376" t="s">
        <v>145</v>
      </c>
      <c r="C93" s="376"/>
      <c r="D93" s="376"/>
      <c r="E93" s="376"/>
      <c r="F93" s="391">
        <f>F90+F91+F92</f>
        <v>0</v>
      </c>
      <c r="G93" s="376"/>
    </row>
    <row r="94" spans="1:7" ht="11.1" customHeight="1">
      <c r="A94" s="382"/>
      <c r="B94" s="376" t="s">
        <v>84</v>
      </c>
      <c r="C94" s="376"/>
      <c r="D94" s="376"/>
      <c r="E94" s="376"/>
      <c r="F94" s="391"/>
      <c r="G94" s="376"/>
    </row>
    <row r="95" spans="1:7" ht="11.1" customHeight="1">
      <c r="A95" s="382">
        <v>14</v>
      </c>
      <c r="B95" s="376" t="s">
        <v>142</v>
      </c>
      <c r="C95" s="376"/>
      <c r="D95" s="376"/>
      <c r="E95" s="376"/>
      <c r="F95" s="391">
        <f>G26</f>
        <v>0</v>
      </c>
      <c r="G95" s="376"/>
    </row>
    <row r="96" spans="1:7" ht="11.1" customHeight="1">
      <c r="A96" s="382">
        <v>15</v>
      </c>
      <c r="B96" s="376" t="s">
        <v>143</v>
      </c>
      <c r="C96" s="376"/>
      <c r="D96" s="376"/>
      <c r="E96" s="376"/>
      <c r="F96" s="391">
        <f>G27</f>
        <v>0</v>
      </c>
      <c r="G96" s="376"/>
    </row>
    <row r="97" spans="1:7" ht="11.1" customHeight="1">
      <c r="A97" s="382">
        <v>16</v>
      </c>
      <c r="B97" s="376" t="s">
        <v>144</v>
      </c>
      <c r="C97" s="376"/>
      <c r="D97" s="376"/>
      <c r="E97" s="376"/>
      <c r="F97" s="392"/>
      <c r="G97" s="376"/>
    </row>
    <row r="98" spans="1:7" ht="11.1" customHeight="1">
      <c r="A98" s="382">
        <v>17</v>
      </c>
      <c r="B98" s="376" t="s">
        <v>146</v>
      </c>
      <c r="C98" s="376"/>
      <c r="D98" s="376"/>
      <c r="E98" s="376"/>
      <c r="F98" s="391">
        <f>F95+F96+F97</f>
        <v>0</v>
      </c>
      <c r="G98" s="376"/>
    </row>
    <row r="99" spans="1:7" ht="11.1" customHeight="1">
      <c r="A99" s="382">
        <v>18</v>
      </c>
      <c r="B99" s="376" t="s">
        <v>86</v>
      </c>
      <c r="C99" s="376"/>
      <c r="D99" s="376"/>
      <c r="E99" s="376"/>
      <c r="F99" s="391">
        <f>G31</f>
        <v>0</v>
      </c>
      <c r="G99" s="376"/>
    </row>
    <row r="100" spans="1:7" ht="11.1" customHeight="1">
      <c r="A100" s="382">
        <v>19</v>
      </c>
      <c r="B100" s="376" t="s">
        <v>87</v>
      </c>
      <c r="C100" s="376"/>
      <c r="D100" s="376"/>
      <c r="E100" s="376"/>
      <c r="F100" s="391">
        <f>G32</f>
        <v>0</v>
      </c>
      <c r="G100" s="376"/>
    </row>
    <row r="101" spans="1:7" ht="11.1" customHeight="1">
      <c r="A101" s="382">
        <v>20</v>
      </c>
      <c r="B101" s="376" t="s">
        <v>147</v>
      </c>
      <c r="C101" s="376"/>
      <c r="D101" s="376"/>
      <c r="E101" s="376"/>
      <c r="F101" s="391">
        <f>G33</f>
        <v>0</v>
      </c>
      <c r="G101" s="376"/>
    </row>
    <row r="102" spans="1:7" ht="11.1" customHeight="1">
      <c r="A102" s="382"/>
      <c r="B102" s="376" t="s">
        <v>148</v>
      </c>
      <c r="C102" s="376"/>
      <c r="D102" s="376"/>
      <c r="E102" s="376"/>
      <c r="F102" s="391"/>
      <c r="G102" s="376"/>
    </row>
    <row r="103" spans="1:7" ht="11.1" customHeight="1">
      <c r="A103" s="382">
        <v>21</v>
      </c>
      <c r="B103" s="376" t="s">
        <v>142</v>
      </c>
      <c r="C103" s="376"/>
      <c r="D103" s="376"/>
      <c r="E103" s="376"/>
      <c r="F103" s="391">
        <f>G35</f>
        <v>0</v>
      </c>
      <c r="G103" s="376"/>
    </row>
    <row r="104" spans="1:7" ht="11.1" customHeight="1">
      <c r="A104" s="382">
        <v>22</v>
      </c>
      <c r="B104" s="376" t="s">
        <v>143</v>
      </c>
      <c r="C104" s="376"/>
      <c r="D104" s="376"/>
      <c r="E104" s="376"/>
      <c r="F104" s="391">
        <f>G36</f>
        <v>0</v>
      </c>
      <c r="G104" s="376"/>
    </row>
    <row r="105" spans="1:7" ht="11.1" customHeight="1">
      <c r="A105" s="382">
        <v>23</v>
      </c>
      <c r="B105" s="376" t="s">
        <v>144</v>
      </c>
      <c r="C105" s="376"/>
      <c r="D105" s="376"/>
      <c r="E105" s="376"/>
      <c r="F105" s="392">
        <f>G37</f>
        <v>0</v>
      </c>
      <c r="G105" s="376"/>
    </row>
    <row r="106" spans="1:7" ht="11.1" customHeight="1">
      <c r="A106" s="382">
        <v>24</v>
      </c>
      <c r="B106" s="376" t="s">
        <v>149</v>
      </c>
      <c r="C106" s="376"/>
      <c r="D106" s="376"/>
      <c r="E106" s="376"/>
      <c r="F106" s="392">
        <f>F103+F104+F105</f>
        <v>0</v>
      </c>
      <c r="G106" s="376"/>
    </row>
    <row r="107" spans="1:7" ht="11.1" customHeight="1">
      <c r="A107" s="382"/>
      <c r="B107" s="376"/>
      <c r="C107" s="376"/>
      <c r="D107" s="376"/>
      <c r="E107" s="376"/>
      <c r="F107" s="391"/>
      <c r="G107" s="376"/>
    </row>
    <row r="108" spans="1:7" ht="11.1" customHeight="1">
      <c r="A108" s="382">
        <v>25</v>
      </c>
      <c r="B108" s="376" t="s">
        <v>91</v>
      </c>
      <c r="C108" s="376"/>
      <c r="D108" s="376"/>
      <c r="E108" s="376"/>
      <c r="F108" s="392">
        <f>F106+F101+F100+F99+F98+F93+F88+F83</f>
        <v>0</v>
      </c>
      <c r="G108" s="376"/>
    </row>
    <row r="109" spans="1:7" ht="11.1" customHeight="1">
      <c r="A109" s="382"/>
      <c r="B109" s="376"/>
      <c r="C109" s="376"/>
      <c r="D109" s="376"/>
      <c r="E109" s="376"/>
      <c r="F109" s="391"/>
      <c r="G109" s="376"/>
    </row>
    <row r="110" spans="1:7" ht="11.1" customHeight="1">
      <c r="A110" s="382">
        <v>26</v>
      </c>
      <c r="B110" s="376" t="s">
        <v>171</v>
      </c>
      <c r="C110" s="376"/>
      <c r="D110" s="376"/>
      <c r="E110" s="376"/>
      <c r="F110" s="392">
        <f>F80-F108</f>
        <v>0</v>
      </c>
      <c r="G110" s="376"/>
    </row>
    <row r="111" spans="1:7" ht="11.1" customHeight="1">
      <c r="A111" s="382"/>
      <c r="B111" s="376"/>
      <c r="C111" s="376"/>
      <c r="D111" s="376"/>
      <c r="E111" s="376"/>
      <c r="F111" s="396"/>
      <c r="G111" s="376"/>
    </row>
    <row r="112" spans="1:7" ht="11.1" customHeight="1">
      <c r="A112" s="382">
        <v>27</v>
      </c>
      <c r="B112" s="376" t="s">
        <v>172</v>
      </c>
      <c r="C112" s="376"/>
      <c r="D112" s="376"/>
      <c r="E112" s="395"/>
      <c r="F112" s="396"/>
      <c r="G112" s="376"/>
    </row>
    <row r="113" spans="1:7" ht="11.1" customHeight="1" thickBot="1">
      <c r="A113" s="382"/>
      <c r="B113" s="403" t="s">
        <v>173</v>
      </c>
      <c r="C113" s="404">
        <f>Inputs!$D$4</f>
        <v>1.1416000000000001E-2</v>
      </c>
      <c r="D113" s="376"/>
      <c r="E113" s="395"/>
      <c r="F113" s="398">
        <f>ROUND(F110*C113,0)</f>
        <v>0</v>
      </c>
      <c r="G113" s="376"/>
    </row>
    <row r="114" spans="1:7" ht="11.1" customHeight="1" thickTop="1"/>
  </sheetData>
  <customSheetViews>
    <customSheetView guid="{5BE913A1-B14F-11D2-B0DC-0000832CDFF0}" scale="75" showPageBreaks="1" printArea="1" showRuler="0" topLeftCell="A42">
      <selection sqref="A1:C1"/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42">
      <selection sqref="A1:C1"/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155" customWidth="1"/>
    <col min="2" max="2" width="26.140625" style="155" customWidth="1"/>
    <col min="3" max="3" width="12.42578125" style="155" customWidth="1"/>
    <col min="4" max="4" width="6.7109375" style="155" customWidth="1"/>
    <col min="5" max="5" width="12.42578125" style="175" customWidth="1"/>
    <col min="6" max="6" width="12.42578125" style="176" customWidth="1"/>
    <col min="7" max="7" width="12.42578125" style="175" customWidth="1"/>
    <col min="8" max="16384" width="12.42578125" style="155"/>
  </cols>
  <sheetData>
    <row r="1" spans="1:8" ht="12">
      <c r="A1" s="154" t="str">
        <f>Inputs!$D$6</f>
        <v>AVISTA UTILITIES</v>
      </c>
      <c r="B1" s="154"/>
      <c r="C1" s="154"/>
      <c r="E1" s="156"/>
      <c r="F1" s="157"/>
      <c r="G1" s="156"/>
    </row>
    <row r="2" spans="1:8" ht="12">
      <c r="A2" s="154" t="s">
        <v>125</v>
      </c>
      <c r="B2" s="154"/>
      <c r="C2" s="154"/>
      <c r="E2" s="158" t="s">
        <v>191</v>
      </c>
      <c r="F2" s="158"/>
      <c r="G2" s="158"/>
    </row>
    <row r="3" spans="1:8" ht="12">
      <c r="A3" s="154" t="str">
        <f>Inputs!$D$2</f>
        <v>TWELVE MONTHS ENDED SEPTEMBER 30, 2008</v>
      </c>
      <c r="B3" s="154"/>
      <c r="C3" s="154"/>
      <c r="E3" s="158" t="s">
        <v>192</v>
      </c>
      <c r="F3" s="158"/>
      <c r="G3" s="158"/>
    </row>
    <row r="4" spans="1:8" ht="12">
      <c r="A4" s="154" t="s">
        <v>128</v>
      </c>
      <c r="B4" s="154"/>
      <c r="C4" s="154"/>
      <c r="E4" s="159" t="s">
        <v>129</v>
      </c>
      <c r="F4" s="159"/>
      <c r="G4" s="160"/>
    </row>
    <row r="5" spans="1:8" ht="12">
      <c r="A5" s="161" t="s">
        <v>10</v>
      </c>
      <c r="E5" s="156"/>
      <c r="F5" s="162"/>
      <c r="G5" s="156"/>
    </row>
    <row r="6" spans="1:8" ht="12">
      <c r="A6" s="163" t="s">
        <v>27</v>
      </c>
      <c r="B6" s="164" t="s">
        <v>113</v>
      </c>
      <c r="C6" s="164"/>
      <c r="E6" s="165" t="s">
        <v>130</v>
      </c>
      <c r="F6" s="166" t="s">
        <v>131</v>
      </c>
      <c r="G6" s="165" t="s">
        <v>132</v>
      </c>
      <c r="H6" s="167" t="s">
        <v>133</v>
      </c>
    </row>
    <row r="7" spans="1:8" ht="12">
      <c r="A7" s="161"/>
      <c r="B7" s="155" t="s">
        <v>68</v>
      </c>
      <c r="E7" s="168"/>
      <c r="F7" s="162"/>
      <c r="G7" s="168"/>
    </row>
    <row r="8" spans="1:8" ht="12">
      <c r="A8" s="161">
        <v>1</v>
      </c>
      <c r="B8" s="155" t="s">
        <v>134</v>
      </c>
      <c r="E8" s="169"/>
      <c r="F8" s="169"/>
      <c r="G8" s="169"/>
      <c r="H8" s="170" t="str">
        <f>IF(E8=F8+G8," ","ERROR")</f>
        <v xml:space="preserve"> </v>
      </c>
    </row>
    <row r="9" spans="1:8" ht="12">
      <c r="A9" s="161">
        <v>2</v>
      </c>
      <c r="B9" s="155" t="s">
        <v>135</v>
      </c>
      <c r="E9" s="171"/>
      <c r="F9" s="171"/>
      <c r="G9" s="171"/>
      <c r="H9" s="170" t="str">
        <f>IF(E9=F9+G9," ","ERROR")</f>
        <v xml:space="preserve"> </v>
      </c>
    </row>
    <row r="10" spans="1:8" ht="12">
      <c r="A10" s="161">
        <v>3</v>
      </c>
      <c r="B10" s="155" t="s">
        <v>71</v>
      </c>
      <c r="E10" s="172"/>
      <c r="F10" s="172"/>
      <c r="G10" s="172"/>
      <c r="H10" s="170" t="str">
        <f>IF(E10=F10+G10," ","ERROR")</f>
        <v xml:space="preserve"> </v>
      </c>
    </row>
    <row r="11" spans="1:8" ht="12">
      <c r="A11" s="161">
        <v>4</v>
      </c>
      <c r="B11" s="155" t="s">
        <v>136</v>
      </c>
      <c r="E11" s="171">
        <f>SUM(E8:E10)</f>
        <v>0</v>
      </c>
      <c r="F11" s="171">
        <f>SUM(F8:F10)</f>
        <v>0</v>
      </c>
      <c r="G11" s="171">
        <f>SUM(G8:G10)</f>
        <v>0</v>
      </c>
      <c r="H11" s="170" t="str">
        <f>IF(E11=F11+G11," ","ERROR")</f>
        <v xml:space="preserve"> </v>
      </c>
    </row>
    <row r="12" spans="1:8" ht="12">
      <c r="A12" s="161"/>
      <c r="E12" s="171"/>
      <c r="F12" s="171"/>
      <c r="G12" s="171"/>
      <c r="H12" s="170"/>
    </row>
    <row r="13" spans="1:8" ht="12">
      <c r="A13" s="161"/>
      <c r="B13" s="155" t="s">
        <v>73</v>
      </c>
      <c r="E13" s="171"/>
      <c r="F13" s="171"/>
      <c r="G13" s="171"/>
      <c r="H13" s="170"/>
    </row>
    <row r="14" spans="1:8" ht="12">
      <c r="A14" s="161">
        <v>5</v>
      </c>
      <c r="B14" s="155" t="s">
        <v>137</v>
      </c>
      <c r="E14" s="171"/>
      <c r="F14" s="171"/>
      <c r="G14" s="171"/>
      <c r="H14" s="170" t="str">
        <f>IF(E14=F14+G14," ","ERROR")</f>
        <v xml:space="preserve"> </v>
      </c>
    </row>
    <row r="15" spans="1:8" ht="12">
      <c r="A15" s="161"/>
      <c r="B15" s="155" t="s">
        <v>75</v>
      </c>
      <c r="E15" s="171"/>
      <c r="F15" s="171"/>
      <c r="G15" s="171"/>
      <c r="H15" s="170"/>
    </row>
    <row r="16" spans="1:8" ht="12">
      <c r="A16" s="161">
        <v>6</v>
      </c>
      <c r="B16" s="155" t="s">
        <v>138</v>
      </c>
      <c r="E16" s="171"/>
      <c r="F16" s="171"/>
      <c r="G16" s="171"/>
      <c r="H16" s="170" t="str">
        <f>IF(E16=F16+G16," ","ERROR")</f>
        <v xml:space="preserve"> </v>
      </c>
    </row>
    <row r="17" spans="1:8" ht="12">
      <c r="A17" s="161">
        <v>7</v>
      </c>
      <c r="B17" s="155" t="s">
        <v>139</v>
      </c>
      <c r="E17" s="171"/>
      <c r="F17" s="171"/>
      <c r="G17" s="171"/>
      <c r="H17" s="170" t="str">
        <f>IF(E17=F17+G17," ","ERROR")</f>
        <v xml:space="preserve"> </v>
      </c>
    </row>
    <row r="18" spans="1:8" ht="12">
      <c r="A18" s="161">
        <v>8</v>
      </c>
      <c r="B18" s="155" t="s">
        <v>140</v>
      </c>
      <c r="E18" s="172"/>
      <c r="F18" s="172"/>
      <c r="G18" s="172"/>
      <c r="H18" s="170" t="str">
        <f>IF(E18=F18+G18," ","ERROR")</f>
        <v xml:space="preserve"> </v>
      </c>
    </row>
    <row r="19" spans="1:8" ht="12">
      <c r="A19" s="161">
        <v>9</v>
      </c>
      <c r="B19" s="155" t="s">
        <v>141</v>
      </c>
      <c r="E19" s="171">
        <f>SUM(E16:E18)</f>
        <v>0</v>
      </c>
      <c r="F19" s="171">
        <f>SUM(F16:F18)</f>
        <v>0</v>
      </c>
      <c r="G19" s="171">
        <f>SUM(G16:G18)</f>
        <v>0</v>
      </c>
      <c r="H19" s="170" t="str">
        <f>IF(E19=F19+G19," ","ERROR")</f>
        <v xml:space="preserve"> </v>
      </c>
    </row>
    <row r="20" spans="1:8" ht="12">
      <c r="A20" s="161"/>
      <c r="B20" s="155" t="s">
        <v>80</v>
      </c>
      <c r="E20" s="171"/>
      <c r="F20" s="171"/>
      <c r="G20" s="171"/>
      <c r="H20" s="170"/>
    </row>
    <row r="21" spans="1:8" ht="12">
      <c r="A21" s="161">
        <v>10</v>
      </c>
      <c r="B21" s="155" t="s">
        <v>142</v>
      </c>
      <c r="E21" s="171"/>
      <c r="F21" s="171"/>
      <c r="G21" s="171"/>
      <c r="H21" s="170" t="str">
        <f>IF(E21=F21+G21," ","ERROR")</f>
        <v xml:space="preserve"> </v>
      </c>
    </row>
    <row r="22" spans="1:8" ht="12">
      <c r="A22" s="161">
        <v>11</v>
      </c>
      <c r="B22" s="155" t="s">
        <v>143</v>
      </c>
      <c r="E22" s="171"/>
      <c r="F22" s="171"/>
      <c r="G22" s="171"/>
      <c r="H22" s="170" t="str">
        <f>IF(E22=F22+G22," ","ERROR")</f>
        <v xml:space="preserve"> </v>
      </c>
    </row>
    <row r="23" spans="1:8" ht="12">
      <c r="A23" s="161">
        <v>12</v>
      </c>
      <c r="B23" s="155" t="s">
        <v>144</v>
      </c>
      <c r="E23" s="172"/>
      <c r="F23" s="172"/>
      <c r="G23" s="172"/>
      <c r="H23" s="170" t="str">
        <f>IF(E23=F23+G23," ","ERROR")</f>
        <v xml:space="preserve"> </v>
      </c>
    </row>
    <row r="24" spans="1:8" ht="12">
      <c r="A24" s="161">
        <v>13</v>
      </c>
      <c r="B24" s="155" t="s">
        <v>145</v>
      </c>
      <c r="E24" s="171">
        <f>SUM(E21:E23)</f>
        <v>0</v>
      </c>
      <c r="F24" s="171">
        <f>SUM(F21:F23)</f>
        <v>0</v>
      </c>
      <c r="G24" s="171">
        <f>SUM(G21:G23)</f>
        <v>0</v>
      </c>
      <c r="H24" s="170" t="str">
        <f>IF(E24=F24+G24," ","ERROR")</f>
        <v xml:space="preserve"> </v>
      </c>
    </row>
    <row r="25" spans="1:8" ht="12">
      <c r="A25" s="161"/>
      <c r="B25" s="155" t="s">
        <v>84</v>
      </c>
      <c r="E25" s="171"/>
      <c r="F25" s="171"/>
      <c r="G25" s="171"/>
      <c r="H25" s="170"/>
    </row>
    <row r="26" spans="1:8" ht="12">
      <c r="A26" s="161">
        <v>14</v>
      </c>
      <c r="B26" s="155" t="s">
        <v>142</v>
      </c>
      <c r="E26" s="171"/>
      <c r="F26" s="171"/>
      <c r="G26" s="171"/>
      <c r="H26" s="170" t="str">
        <f>IF(E26=F26+G26," ","ERROR")</f>
        <v xml:space="preserve"> </v>
      </c>
    </row>
    <row r="27" spans="1:8" ht="12">
      <c r="A27" s="161">
        <v>15</v>
      </c>
      <c r="B27" s="155" t="s">
        <v>143</v>
      </c>
      <c r="E27" s="171"/>
      <c r="F27" s="171"/>
      <c r="G27" s="171"/>
      <c r="H27" s="170" t="str">
        <f>IF(E27=F27+G27," ","ERROR")</f>
        <v xml:space="preserve"> </v>
      </c>
    </row>
    <row r="28" spans="1:8" ht="12">
      <c r="A28" s="161">
        <v>16</v>
      </c>
      <c r="B28" s="155" t="s">
        <v>144</v>
      </c>
      <c r="E28" s="172">
        <f>F28+G28</f>
        <v>0</v>
      </c>
      <c r="F28" s="172"/>
      <c r="G28" s="172"/>
      <c r="H28" s="170" t="str">
        <f>IF(E28=F28+G28," ","ERROR")</f>
        <v xml:space="preserve"> </v>
      </c>
    </row>
    <row r="29" spans="1:8" ht="12">
      <c r="A29" s="161">
        <v>17</v>
      </c>
      <c r="B29" s="155" t="s">
        <v>146</v>
      </c>
      <c r="E29" s="171">
        <f>SUM(E26:E28)</f>
        <v>0</v>
      </c>
      <c r="F29" s="171">
        <f>SUM(F26:F28)</f>
        <v>0</v>
      </c>
      <c r="G29" s="171">
        <f>SUM(G26:G28)</f>
        <v>0</v>
      </c>
      <c r="H29" s="170" t="str">
        <f>IF(E29=F29+G29," ","ERROR")</f>
        <v xml:space="preserve"> </v>
      </c>
    </row>
    <row r="30" spans="1:8" ht="12">
      <c r="A30" s="161"/>
      <c r="E30" s="171"/>
      <c r="F30" s="171"/>
      <c r="G30" s="171"/>
      <c r="H30" s="170"/>
    </row>
    <row r="31" spans="1:8" ht="12">
      <c r="A31" s="161">
        <v>18</v>
      </c>
      <c r="B31" s="155" t="s">
        <v>86</v>
      </c>
      <c r="E31" s="171"/>
      <c r="F31" s="171"/>
      <c r="G31" s="171"/>
      <c r="H31" s="170" t="str">
        <f>IF(E31=F31+G31," ","ERROR")</f>
        <v xml:space="preserve"> </v>
      </c>
    </row>
    <row r="32" spans="1:8" ht="12">
      <c r="A32" s="161">
        <v>19</v>
      </c>
      <c r="B32" s="155" t="s">
        <v>87</v>
      </c>
      <c r="E32" s="171"/>
      <c r="F32" s="171"/>
      <c r="G32" s="171"/>
      <c r="H32" s="170" t="str">
        <f>IF(E32=F32+G32," ","ERROR")</f>
        <v xml:space="preserve"> </v>
      </c>
    </row>
    <row r="33" spans="1:8" ht="12">
      <c r="A33" s="161">
        <v>20</v>
      </c>
      <c r="B33" s="155" t="s">
        <v>147</v>
      </c>
      <c r="E33" s="171"/>
      <c r="F33" s="171"/>
      <c r="G33" s="171"/>
      <c r="H33" s="170" t="str">
        <f>IF(E33=F33+G33," ","ERROR")</f>
        <v xml:space="preserve"> </v>
      </c>
    </row>
    <row r="34" spans="1:8" ht="12">
      <c r="A34" s="161"/>
      <c r="B34" s="155" t="s">
        <v>148</v>
      </c>
      <c r="E34" s="171"/>
      <c r="F34" s="171"/>
      <c r="G34" s="171"/>
      <c r="H34" s="170"/>
    </row>
    <row r="35" spans="1:8" ht="12">
      <c r="A35" s="161">
        <v>21</v>
      </c>
      <c r="B35" s="155" t="s">
        <v>142</v>
      </c>
      <c r="E35" s="171">
        <f>SUM(F35:G35)</f>
        <v>-2</v>
      </c>
      <c r="F35" s="171">
        <v>-2</v>
      </c>
      <c r="G35" s="628"/>
      <c r="H35" s="170" t="str">
        <f>IF(E35=F35+G35," ","ERROR")</f>
        <v xml:space="preserve"> </v>
      </c>
    </row>
    <row r="36" spans="1:8" ht="12">
      <c r="A36" s="161">
        <v>22</v>
      </c>
      <c r="B36" s="155" t="s">
        <v>143</v>
      </c>
      <c r="E36" s="171"/>
      <c r="F36" s="171"/>
      <c r="G36" s="171"/>
      <c r="H36" s="170" t="str">
        <f>IF(E36=F36+G36," ","ERROR")</f>
        <v xml:space="preserve"> </v>
      </c>
    </row>
    <row r="37" spans="1:8" ht="12">
      <c r="A37" s="161">
        <v>23</v>
      </c>
      <c r="B37" s="155" t="s">
        <v>144</v>
      </c>
      <c r="E37" s="172"/>
      <c r="F37" s="172"/>
      <c r="G37" s="172"/>
      <c r="H37" s="170" t="str">
        <f>IF(E37=F37+G37," ","ERROR")</f>
        <v xml:space="preserve"> </v>
      </c>
    </row>
    <row r="38" spans="1:8" ht="12">
      <c r="A38" s="161">
        <v>24</v>
      </c>
      <c r="B38" s="155" t="s">
        <v>149</v>
      </c>
      <c r="E38" s="172">
        <f>SUM(E35:E37)</f>
        <v>-2</v>
      </c>
      <c r="F38" s="172">
        <f>SUM(F35:F37)</f>
        <v>-2</v>
      </c>
      <c r="G38" s="172">
        <f>SUM(G35:G37)</f>
        <v>0</v>
      </c>
      <c r="H38" s="170" t="str">
        <f>IF(E38=F38+G38," ","ERROR")</f>
        <v xml:space="preserve"> </v>
      </c>
    </row>
    <row r="39" spans="1:8" ht="12">
      <c r="A39" s="161">
        <v>25</v>
      </c>
      <c r="B39" s="155" t="s">
        <v>91</v>
      </c>
      <c r="E39" s="172">
        <f>E19+E24+E29+E31+E32+E33+E38+E14</f>
        <v>-2</v>
      </c>
      <c r="F39" s="172">
        <f>F19+F24+F29+F31+F32+F33+F38+F14</f>
        <v>-2</v>
      </c>
      <c r="G39" s="172">
        <f>G19+G24+G29+G31+G32+G33+G38+G14</f>
        <v>0</v>
      </c>
      <c r="H39" s="170" t="str">
        <f>IF(E39=F39+G39," ","ERROR")</f>
        <v xml:space="preserve"> </v>
      </c>
    </row>
    <row r="40" spans="1:8" ht="12">
      <c r="A40" s="161"/>
      <c r="E40" s="171"/>
      <c r="F40" s="171"/>
      <c r="G40" s="171"/>
      <c r="H40" s="170"/>
    </row>
    <row r="41" spans="1:8" ht="12">
      <c r="A41" s="161">
        <v>26</v>
      </c>
      <c r="B41" s="155" t="s">
        <v>150</v>
      </c>
      <c r="E41" s="171">
        <f>E11-E39</f>
        <v>2</v>
      </c>
      <c r="F41" s="171">
        <f>F11-F39</f>
        <v>2</v>
      </c>
      <c r="G41" s="171">
        <f>G11-G39</f>
        <v>0</v>
      </c>
      <c r="H41" s="170" t="str">
        <f>IF(E41=F41+G41," ","ERROR")</f>
        <v xml:space="preserve"> </v>
      </c>
    </row>
    <row r="42" spans="1:8" ht="12">
      <c r="A42" s="161"/>
      <c r="E42" s="171"/>
      <c r="F42" s="171"/>
      <c r="G42" s="171"/>
      <c r="H42" s="170"/>
    </row>
    <row r="43" spans="1:8" ht="12">
      <c r="A43" s="161"/>
      <c r="B43" s="155" t="s">
        <v>151</v>
      </c>
      <c r="E43" s="171"/>
      <c r="F43" s="171"/>
      <c r="G43" s="171"/>
      <c r="H43" s="170"/>
    </row>
    <row r="44" spans="1:8" ht="12">
      <c r="A44" s="161">
        <v>27</v>
      </c>
      <c r="B44" s="173" t="s">
        <v>152</v>
      </c>
      <c r="D44" s="174">
        <v>0.35</v>
      </c>
      <c r="E44" s="171">
        <f>F44+G44</f>
        <v>1</v>
      </c>
      <c r="F44" s="171">
        <f>ROUND(F41*D44,0)</f>
        <v>1</v>
      </c>
      <c r="G44" s="171">
        <f>ROUND(G41*D44,0)</f>
        <v>0</v>
      </c>
      <c r="H44" s="170" t="str">
        <f>IF(E44=F44+G44," ","ERROR")</f>
        <v xml:space="preserve"> </v>
      </c>
    </row>
    <row r="45" spans="1:8" ht="12">
      <c r="A45" s="161">
        <v>28</v>
      </c>
      <c r="B45" s="155" t="s">
        <v>154</v>
      </c>
      <c r="E45" s="171"/>
      <c r="F45" s="171"/>
      <c r="G45" s="171"/>
      <c r="H45" s="170" t="str">
        <f>IF(E45=F45+G45," ","ERROR")</f>
        <v xml:space="preserve"> </v>
      </c>
    </row>
    <row r="46" spans="1:8" ht="12">
      <c r="A46" s="161">
        <v>29</v>
      </c>
      <c r="B46" s="155" t="s">
        <v>153</v>
      </c>
      <c r="E46" s="172"/>
      <c r="F46" s="172"/>
      <c r="G46" s="172"/>
      <c r="H46" s="170" t="str">
        <f>IF(E46=F46+G46," ","ERROR")</f>
        <v xml:space="preserve"> </v>
      </c>
    </row>
    <row r="47" spans="1:8" ht="12">
      <c r="A47" s="161"/>
      <c r="H47" s="170"/>
    </row>
    <row r="48" spans="1:8" ht="12.75" thickBot="1">
      <c r="A48" s="161">
        <v>30</v>
      </c>
      <c r="B48" s="177" t="s">
        <v>97</v>
      </c>
      <c r="E48" s="178">
        <f>E41-(+E44+E45+E46)</f>
        <v>1</v>
      </c>
      <c r="F48" s="178">
        <f>F41-F44+F45+F46</f>
        <v>1</v>
      </c>
      <c r="G48" s="178">
        <f>G41-SUM(G44:G46)</f>
        <v>0</v>
      </c>
      <c r="H48" s="170" t="str">
        <f>IF(E48=F48+G48," ","ERROR")</f>
        <v xml:space="preserve"> </v>
      </c>
    </row>
    <row r="49" spans="1:8" ht="12.75" thickTop="1">
      <c r="A49" s="161"/>
      <c r="H49" s="170"/>
    </row>
    <row r="50" spans="1:8" ht="12">
      <c r="A50" s="161"/>
      <c r="B50" s="173" t="s">
        <v>155</v>
      </c>
      <c r="H50" s="170"/>
    </row>
    <row r="51" spans="1:8" ht="12">
      <c r="A51" s="161"/>
      <c r="B51" s="173" t="s">
        <v>156</v>
      </c>
      <c r="H51" s="170"/>
    </row>
    <row r="52" spans="1:8" ht="12">
      <c r="A52" s="161">
        <v>31</v>
      </c>
      <c r="B52" s="155" t="s">
        <v>157</v>
      </c>
      <c r="E52" s="169"/>
      <c r="F52" s="169"/>
      <c r="G52" s="169"/>
      <c r="H52" s="170" t="str">
        <f t="shared" ref="H52:H63" si="0">IF(E52=F52+G52," ","ERROR")</f>
        <v xml:space="preserve"> </v>
      </c>
    </row>
    <row r="53" spans="1:8" ht="12">
      <c r="A53" s="161">
        <v>32</v>
      </c>
      <c r="B53" s="155" t="s">
        <v>158</v>
      </c>
      <c r="E53" s="171"/>
      <c r="F53" s="171"/>
      <c r="G53" s="171"/>
      <c r="H53" s="170" t="str">
        <f t="shared" si="0"/>
        <v xml:space="preserve"> </v>
      </c>
    </row>
    <row r="54" spans="1:8" ht="12">
      <c r="A54" s="161">
        <v>33</v>
      </c>
      <c r="B54" s="155" t="s">
        <v>166</v>
      </c>
      <c r="E54" s="172"/>
      <c r="F54" s="172"/>
      <c r="G54" s="172"/>
      <c r="H54" s="170" t="str">
        <f t="shared" si="0"/>
        <v xml:space="preserve"> </v>
      </c>
    </row>
    <row r="55" spans="1:8" ht="12">
      <c r="A55" s="161">
        <v>34</v>
      </c>
      <c r="B55" s="155" t="s">
        <v>160</v>
      </c>
      <c r="E55" s="171">
        <f>SUM(E52:E54)</f>
        <v>0</v>
      </c>
      <c r="F55" s="171">
        <f>SUM(F52:F54)</f>
        <v>0</v>
      </c>
      <c r="G55" s="171">
        <f>SUM(G52:G54)</f>
        <v>0</v>
      </c>
      <c r="H55" s="170" t="str">
        <f t="shared" si="0"/>
        <v xml:space="preserve"> </v>
      </c>
    </row>
    <row r="56" spans="1:8" ht="12">
      <c r="A56" s="161"/>
      <c r="B56" s="155" t="s">
        <v>102</v>
      </c>
      <c r="E56" s="171"/>
      <c r="F56" s="171"/>
      <c r="G56" s="171"/>
      <c r="H56" s="170" t="str">
        <f t="shared" si="0"/>
        <v xml:space="preserve"> </v>
      </c>
    </row>
    <row r="57" spans="1:8" ht="12">
      <c r="A57" s="161">
        <v>35</v>
      </c>
      <c r="B57" s="155" t="s">
        <v>157</v>
      </c>
      <c r="E57" s="171"/>
      <c r="F57" s="171"/>
      <c r="G57" s="171"/>
      <c r="H57" s="170" t="str">
        <f t="shared" si="0"/>
        <v xml:space="preserve"> </v>
      </c>
    </row>
    <row r="58" spans="1:8" ht="12">
      <c r="A58" s="161">
        <v>36</v>
      </c>
      <c r="B58" s="155" t="s">
        <v>158</v>
      </c>
      <c r="E58" s="171"/>
      <c r="F58" s="171"/>
      <c r="G58" s="171"/>
      <c r="H58" s="170" t="str">
        <f t="shared" si="0"/>
        <v xml:space="preserve"> </v>
      </c>
    </row>
    <row r="59" spans="1:8" ht="12">
      <c r="A59" s="161">
        <v>37</v>
      </c>
      <c r="B59" s="155" t="s">
        <v>166</v>
      </c>
      <c r="E59" s="172"/>
      <c r="F59" s="172"/>
      <c r="G59" s="172"/>
      <c r="H59" s="170" t="str">
        <f t="shared" si="0"/>
        <v xml:space="preserve"> </v>
      </c>
    </row>
    <row r="60" spans="1:8" ht="12">
      <c r="A60" s="161">
        <v>38</v>
      </c>
      <c r="B60" s="155" t="s">
        <v>161</v>
      </c>
      <c r="E60" s="171">
        <f>SUM(E57:E59)</f>
        <v>0</v>
      </c>
      <c r="F60" s="171">
        <f>SUM(F57:F59)</f>
        <v>0</v>
      </c>
      <c r="G60" s="171">
        <f>SUM(G57:G59)</f>
        <v>0</v>
      </c>
      <c r="H60" s="170" t="str">
        <f t="shared" si="0"/>
        <v xml:space="preserve"> </v>
      </c>
    </row>
    <row r="61" spans="1:8" ht="12">
      <c r="A61" s="161">
        <v>39</v>
      </c>
      <c r="B61" s="173" t="s">
        <v>162</v>
      </c>
      <c r="E61" s="171"/>
      <c r="F61" s="171"/>
      <c r="G61" s="171"/>
      <c r="H61" s="170" t="str">
        <f t="shared" si="0"/>
        <v xml:space="preserve"> </v>
      </c>
    </row>
    <row r="62" spans="1:8" ht="12">
      <c r="A62" s="161">
        <v>40</v>
      </c>
      <c r="B62" s="155" t="s">
        <v>105</v>
      </c>
      <c r="E62" s="171"/>
      <c r="F62" s="171"/>
      <c r="G62" s="171"/>
      <c r="H62" s="170" t="str">
        <f t="shared" si="0"/>
        <v xml:space="preserve"> </v>
      </c>
    </row>
    <row r="63" spans="1:8" ht="12">
      <c r="A63" s="161">
        <v>41</v>
      </c>
      <c r="B63" s="173" t="s">
        <v>106</v>
      </c>
      <c r="E63" s="172"/>
      <c r="F63" s="172"/>
      <c r="G63" s="172"/>
      <c r="H63" s="170" t="str">
        <f t="shared" si="0"/>
        <v xml:space="preserve"> </v>
      </c>
    </row>
    <row r="64" spans="1:8" ht="9" customHeight="1">
      <c r="A64" s="161"/>
      <c r="B64" s="155" t="s">
        <v>163</v>
      </c>
      <c r="H64" s="170"/>
    </row>
    <row r="65" spans="1:8" ht="12.75" thickBot="1">
      <c r="A65" s="161">
        <v>42</v>
      </c>
      <c r="B65" s="177" t="s">
        <v>107</v>
      </c>
      <c r="E65" s="178">
        <f>E55-E60+E61+E62+E63</f>
        <v>0</v>
      </c>
      <c r="F65" s="178">
        <f>F55-F60+F61+F62+F63</f>
        <v>0</v>
      </c>
      <c r="G65" s="178">
        <f>G55-G60+G61+G62+G63</f>
        <v>0</v>
      </c>
      <c r="H65" s="170" t="str">
        <f>IF(E65=F65+G65," ","ERROR")</f>
        <v xml:space="preserve"> </v>
      </c>
    </row>
    <row r="66" spans="1:8" ht="11.1" customHeight="1" thickTop="1">
      <c r="A66" s="154" t="str">
        <f>Inputs!$D$6</f>
        <v>AVISTA UTILITIES</v>
      </c>
      <c r="B66" s="154"/>
      <c r="C66" s="154"/>
    </row>
    <row r="67" spans="1:8" ht="11.1" customHeight="1">
      <c r="A67" s="154" t="s">
        <v>169</v>
      </c>
      <c r="B67" s="154"/>
      <c r="C67" s="154"/>
    </row>
    <row r="68" spans="1:8" ht="11.1" customHeight="1">
      <c r="A68" s="154" t="str">
        <f>A3</f>
        <v>TWELVE MONTHS ENDED SEPTEMBER 30, 2008</v>
      </c>
      <c r="B68" s="154"/>
      <c r="C68" s="154"/>
    </row>
    <row r="69" spans="1:8" ht="11.1" customHeight="1">
      <c r="A69" s="154" t="s">
        <v>170</v>
      </c>
      <c r="B69" s="154"/>
      <c r="C69" s="154"/>
    </row>
    <row r="71" spans="1:8" ht="11.1" customHeight="1">
      <c r="A71" s="161" t="s">
        <v>10</v>
      </c>
    </row>
    <row r="72" spans="1:8" ht="11.1" customHeight="1">
      <c r="A72" s="179" t="s">
        <v>27</v>
      </c>
      <c r="B72" s="164" t="s">
        <v>113</v>
      </c>
      <c r="C72" s="164"/>
    </row>
    <row r="73" spans="1:8" ht="11.1" customHeight="1">
      <c r="A73" s="161"/>
      <c r="B73" s="155" t="s">
        <v>68</v>
      </c>
    </row>
    <row r="74" spans="1:8" ht="11.1" customHeight="1">
      <c r="A74" s="161">
        <v>1</v>
      </c>
      <c r="B74" s="155" t="s">
        <v>134</v>
      </c>
    </row>
    <row r="75" spans="1:8" ht="11.1" customHeight="1">
      <c r="A75" s="161">
        <v>2</v>
      </c>
      <c r="B75" s="155" t="s">
        <v>135</v>
      </c>
    </row>
    <row r="76" spans="1:8" ht="11.1" customHeight="1">
      <c r="A76" s="161">
        <v>3</v>
      </c>
      <c r="B76" s="155" t="s">
        <v>71</v>
      </c>
    </row>
    <row r="77" spans="1:8" ht="11.1" customHeight="1">
      <c r="A77" s="161"/>
    </row>
    <row r="78" spans="1:8" ht="11.1" customHeight="1">
      <c r="A78" s="161">
        <v>4</v>
      </c>
      <c r="B78" s="155" t="s">
        <v>136</v>
      </c>
    </row>
    <row r="79" spans="1:8" ht="11.1" customHeight="1">
      <c r="A79" s="161"/>
    </row>
    <row r="80" spans="1:8" ht="11.1" customHeight="1">
      <c r="A80" s="161"/>
      <c r="B80" s="155" t="s">
        <v>73</v>
      </c>
    </row>
    <row r="81" spans="1:2" ht="11.1" customHeight="1">
      <c r="A81" s="161">
        <v>5</v>
      </c>
      <c r="B81" s="155" t="s">
        <v>137</v>
      </c>
    </row>
    <row r="82" spans="1:2" ht="11.1" customHeight="1">
      <c r="A82" s="161"/>
      <c r="B82" s="155" t="s">
        <v>75</v>
      </c>
    </row>
    <row r="83" spans="1:2" ht="11.1" customHeight="1">
      <c r="A83" s="161">
        <v>6</v>
      </c>
      <c r="B83" s="155" t="s">
        <v>138</v>
      </c>
    </row>
    <row r="84" spans="1:2" ht="11.1" customHeight="1">
      <c r="A84" s="161">
        <v>7</v>
      </c>
      <c r="B84" s="155" t="s">
        <v>139</v>
      </c>
    </row>
    <row r="85" spans="1:2" ht="11.1" customHeight="1">
      <c r="A85" s="161">
        <v>8</v>
      </c>
      <c r="B85" s="155" t="s">
        <v>140</v>
      </c>
    </row>
    <row r="86" spans="1:2" ht="11.1" customHeight="1">
      <c r="A86" s="161">
        <v>9</v>
      </c>
      <c r="B86" s="155" t="s">
        <v>141</v>
      </c>
    </row>
    <row r="87" spans="1:2" ht="11.1" customHeight="1">
      <c r="A87" s="161"/>
      <c r="B87" s="155" t="s">
        <v>80</v>
      </c>
    </row>
    <row r="88" spans="1:2" ht="11.1" customHeight="1">
      <c r="A88" s="161">
        <v>10</v>
      </c>
      <c r="B88" s="155" t="s">
        <v>142</v>
      </c>
    </row>
    <row r="89" spans="1:2" ht="11.1" customHeight="1">
      <c r="A89" s="161">
        <v>11</v>
      </c>
      <c r="B89" s="155" t="s">
        <v>143</v>
      </c>
    </row>
    <row r="90" spans="1:2" ht="11.1" customHeight="1">
      <c r="A90" s="161">
        <v>12</v>
      </c>
      <c r="B90" s="155" t="s">
        <v>144</v>
      </c>
    </row>
    <row r="91" spans="1:2" ht="11.1" customHeight="1">
      <c r="A91" s="161">
        <v>13</v>
      </c>
      <c r="B91" s="155" t="s">
        <v>145</v>
      </c>
    </row>
    <row r="92" spans="1:2" ht="11.1" customHeight="1">
      <c r="A92" s="161"/>
      <c r="B92" s="155" t="s">
        <v>84</v>
      </c>
    </row>
    <row r="93" spans="1:2" ht="11.1" customHeight="1">
      <c r="A93" s="161">
        <v>14</v>
      </c>
      <c r="B93" s="155" t="s">
        <v>142</v>
      </c>
    </row>
    <row r="94" spans="1:2" ht="11.1" customHeight="1">
      <c r="A94" s="161">
        <v>15</v>
      </c>
      <c r="B94" s="155" t="s">
        <v>143</v>
      </c>
    </row>
    <row r="95" spans="1:2" ht="11.1" customHeight="1">
      <c r="A95" s="161">
        <v>16</v>
      </c>
      <c r="B95" s="155" t="s">
        <v>144</v>
      </c>
    </row>
    <row r="96" spans="1:2" ht="11.1" customHeight="1">
      <c r="A96" s="161">
        <v>17</v>
      </c>
      <c r="B96" s="155" t="s">
        <v>146</v>
      </c>
    </row>
    <row r="97" spans="1:3" ht="11.1" customHeight="1">
      <c r="A97" s="161">
        <v>18</v>
      </c>
      <c r="B97" s="155" t="s">
        <v>86</v>
      </c>
    </row>
    <row r="98" spans="1:3" ht="11.1" customHeight="1">
      <c r="A98" s="161">
        <v>19</v>
      </c>
      <c r="B98" s="155" t="s">
        <v>87</v>
      </c>
    </row>
    <row r="99" spans="1:3" ht="11.1" customHeight="1">
      <c r="A99" s="161">
        <v>20</v>
      </c>
      <c r="B99" s="155" t="s">
        <v>147</v>
      </c>
    </row>
    <row r="100" spans="1:3" ht="11.1" customHeight="1">
      <c r="A100" s="161"/>
      <c r="B100" s="155" t="s">
        <v>148</v>
      </c>
    </row>
    <row r="101" spans="1:3" ht="11.1" customHeight="1">
      <c r="A101" s="161">
        <v>21</v>
      </c>
      <c r="B101" s="155" t="s">
        <v>142</v>
      </c>
    </row>
    <row r="102" spans="1:3" ht="11.1" customHeight="1">
      <c r="A102" s="161">
        <v>22</v>
      </c>
      <c r="B102" s="155" t="s">
        <v>143</v>
      </c>
    </row>
    <row r="103" spans="1:3" ht="11.1" customHeight="1">
      <c r="A103" s="161">
        <v>23</v>
      </c>
      <c r="B103" s="155" t="s">
        <v>144</v>
      </c>
    </row>
    <row r="104" spans="1:3" ht="11.1" customHeight="1">
      <c r="A104" s="161">
        <v>24</v>
      </c>
      <c r="B104" s="155" t="s">
        <v>149</v>
      </c>
    </row>
    <row r="105" spans="1:3" ht="11.1" customHeight="1">
      <c r="A105" s="161"/>
    </row>
    <row r="106" spans="1:3" ht="11.1" customHeight="1">
      <c r="A106" s="161">
        <v>25</v>
      </c>
      <c r="B106" s="155" t="s">
        <v>91</v>
      </c>
    </row>
    <row r="107" spans="1:3" ht="11.1" customHeight="1">
      <c r="A107" s="161"/>
    </row>
    <row r="108" spans="1:3" ht="11.1" customHeight="1">
      <c r="A108" s="161">
        <v>26</v>
      </c>
      <c r="B108" s="155" t="s">
        <v>171</v>
      </c>
    </row>
    <row r="109" spans="1:3" ht="11.1" customHeight="1">
      <c r="A109" s="161"/>
    </row>
    <row r="110" spans="1:3" ht="11.1" customHeight="1">
      <c r="A110" s="161">
        <v>27</v>
      </c>
      <c r="B110" s="155" t="s">
        <v>172</v>
      </c>
    </row>
    <row r="111" spans="1:3" ht="11.1" customHeight="1">
      <c r="A111" s="161"/>
      <c r="B111" s="180" t="s">
        <v>173</v>
      </c>
      <c r="C111" s="181">
        <f>Inputs!$D$4</f>
        <v>1.1416000000000001E-2</v>
      </c>
    </row>
    <row r="112" spans="1:3" ht="11.1" customHeight="1">
      <c r="A112" s="161"/>
    </row>
  </sheetData>
  <customSheetViews>
    <customSheetView guid="{5BE913A1-B14F-11D2-B0DC-0000832CDFF0}" showPageBreaks="1" printArea="1" showRuler="0" topLeftCell="A56">
      <selection activeCell="G35" sqref="G35"/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56">
      <selection activeCell="G35" sqref="G35"/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H66"/>
  <sheetViews>
    <sheetView workbookViewId="0">
      <selection activeCell="F29" sqref="F29"/>
    </sheetView>
  </sheetViews>
  <sheetFormatPr defaultRowHeight="12" customHeight="1"/>
  <cols>
    <col min="1" max="1" width="4.5703125" style="202" customWidth="1"/>
    <col min="2" max="2" width="28.5703125" style="202" customWidth="1"/>
    <col min="3" max="3" width="10" style="202" customWidth="1"/>
    <col min="4" max="4" width="9.140625" style="202"/>
    <col min="5" max="5" width="11.85546875" style="202" customWidth="1"/>
    <col min="6" max="6" width="12.85546875" style="202" customWidth="1"/>
    <col min="7" max="7" width="11.140625" style="202" customWidth="1"/>
    <col min="8" max="16384" width="9.140625" style="202"/>
  </cols>
  <sheetData>
    <row r="1" spans="1:8" ht="12" customHeight="1">
      <c r="A1" s="641" t="str">
        <f>Inputs!$D$6</f>
        <v>AVISTA UTILITIES</v>
      </c>
      <c r="B1" s="641"/>
      <c r="C1" s="641"/>
      <c r="D1" s="641"/>
      <c r="E1" s="642"/>
      <c r="F1" s="643"/>
      <c r="G1" s="642"/>
    </row>
    <row r="2" spans="1:8" ht="12" customHeight="1">
      <c r="A2" s="641" t="s">
        <v>125</v>
      </c>
      <c r="B2" s="641"/>
      <c r="C2" s="641"/>
      <c r="D2" s="641"/>
      <c r="E2" s="642"/>
      <c r="F2" s="644" t="s">
        <v>193</v>
      </c>
      <c r="G2" s="642"/>
    </row>
    <row r="3" spans="1:8" ht="12" customHeight="1">
      <c r="A3" s="641" t="str">
        <f>Inputs!$D$2</f>
        <v>TWELVE MONTHS ENDED SEPTEMBER 30, 2008</v>
      </c>
      <c r="B3" s="641"/>
      <c r="C3" s="641"/>
      <c r="D3" s="641"/>
      <c r="E3" s="642"/>
      <c r="F3" s="644" t="s">
        <v>366</v>
      </c>
    </row>
    <row r="4" spans="1:8" ht="12" customHeight="1">
      <c r="A4" s="641" t="s">
        <v>128</v>
      </c>
      <c r="B4" s="641"/>
      <c r="C4" s="641"/>
      <c r="D4" s="641"/>
      <c r="E4" s="645"/>
      <c r="F4" s="646" t="s">
        <v>129</v>
      </c>
      <c r="G4" s="645"/>
    </row>
    <row r="5" spans="1:8" ht="12" customHeight="1">
      <c r="A5" s="225" t="s">
        <v>10</v>
      </c>
      <c r="E5" s="642"/>
      <c r="F5" s="644"/>
      <c r="G5" s="642"/>
    </row>
    <row r="6" spans="1:8" ht="12" customHeight="1">
      <c r="A6" s="647" t="s">
        <v>27</v>
      </c>
      <c r="B6" s="648" t="s">
        <v>113</v>
      </c>
      <c r="C6" s="648"/>
      <c r="E6" s="649" t="s">
        <v>130</v>
      </c>
      <c r="F6" s="650" t="s">
        <v>131</v>
      </c>
      <c r="G6" s="649" t="s">
        <v>132</v>
      </c>
      <c r="H6" s="651" t="s">
        <v>133</v>
      </c>
    </row>
    <row r="7" spans="1:8" ht="12" customHeight="1">
      <c r="A7" s="225"/>
      <c r="B7" s="202" t="s">
        <v>68</v>
      </c>
      <c r="E7" s="652"/>
      <c r="F7" s="644"/>
      <c r="G7" s="652"/>
    </row>
    <row r="8" spans="1:8" ht="12" customHeight="1">
      <c r="A8" s="225">
        <v>1</v>
      </c>
      <c r="B8" s="202" t="s">
        <v>134</v>
      </c>
      <c r="E8" s="653"/>
      <c r="F8" s="653"/>
      <c r="G8" s="653"/>
      <c r="H8" s="654" t="str">
        <f>IF(E8=F8+G8," ","ERROR")</f>
        <v xml:space="preserve"> </v>
      </c>
    </row>
    <row r="9" spans="1:8" ht="12" customHeight="1">
      <c r="A9" s="225">
        <v>2</v>
      </c>
      <c r="B9" s="202" t="s">
        <v>135</v>
      </c>
      <c r="E9" s="653"/>
      <c r="F9" s="653"/>
      <c r="G9" s="653"/>
      <c r="H9" s="654" t="str">
        <f>IF(E9=F9+G9," ","ERROR")</f>
        <v xml:space="preserve"> </v>
      </c>
    </row>
    <row r="10" spans="1:8" ht="12" customHeight="1">
      <c r="A10" s="225">
        <v>3</v>
      </c>
      <c r="B10" s="202" t="s">
        <v>71</v>
      </c>
      <c r="E10" s="655"/>
      <c r="F10" s="655"/>
      <c r="G10" s="655"/>
      <c r="H10" s="654" t="str">
        <f>IF(E10=F10+G10," ","ERROR")</f>
        <v xml:space="preserve"> </v>
      </c>
    </row>
    <row r="11" spans="1:8" ht="12" customHeight="1">
      <c r="A11" s="225">
        <v>4</v>
      </c>
      <c r="B11" s="202" t="s">
        <v>136</v>
      </c>
      <c r="E11" s="653">
        <f>SUM(E8:E10)</f>
        <v>0</v>
      </c>
      <c r="F11" s="653">
        <f>SUM(F8:F10)</f>
        <v>0</v>
      </c>
      <c r="G11" s="653">
        <f>SUM(G8:G10)</f>
        <v>0</v>
      </c>
      <c r="H11" s="654" t="str">
        <f>IF(E11=F11+G11," ","ERROR")</f>
        <v xml:space="preserve"> </v>
      </c>
    </row>
    <row r="12" spans="1:8" ht="12" customHeight="1">
      <c r="A12" s="225"/>
      <c r="E12" s="653"/>
      <c r="F12" s="653"/>
      <c r="G12" s="653"/>
      <c r="H12" s="654"/>
    </row>
    <row r="13" spans="1:8" ht="12" customHeight="1">
      <c r="A13" s="225"/>
      <c r="B13" s="202" t="s">
        <v>73</v>
      </c>
      <c r="E13" s="653"/>
      <c r="F13" s="653"/>
      <c r="G13" s="653"/>
      <c r="H13" s="654"/>
    </row>
    <row r="14" spans="1:8" ht="12" customHeight="1">
      <c r="A14" s="225">
        <v>5</v>
      </c>
      <c r="B14" s="202" t="s">
        <v>137</v>
      </c>
      <c r="E14" s="653"/>
      <c r="F14" s="653"/>
      <c r="G14" s="653"/>
      <c r="H14" s="654" t="str">
        <f>IF(E14=F14+G14," ","ERROR")</f>
        <v xml:space="preserve"> </v>
      </c>
    </row>
    <row r="15" spans="1:8" ht="12" customHeight="1">
      <c r="A15" s="225"/>
      <c r="B15" s="202" t="s">
        <v>75</v>
      </c>
      <c r="E15" s="653"/>
      <c r="F15" s="653"/>
      <c r="G15" s="653"/>
      <c r="H15" s="654"/>
    </row>
    <row r="16" spans="1:8" ht="12" customHeight="1">
      <c r="A16" s="225">
        <v>6</v>
      </c>
      <c r="B16" s="202" t="s">
        <v>138</v>
      </c>
      <c r="E16" s="653"/>
      <c r="F16" s="653"/>
      <c r="G16" s="653"/>
      <c r="H16" s="654" t="str">
        <f>IF(E16=F16+G16," ","ERROR")</f>
        <v xml:space="preserve"> </v>
      </c>
    </row>
    <row r="17" spans="1:8" ht="12" customHeight="1">
      <c r="A17" s="225">
        <v>7</v>
      </c>
      <c r="B17" s="202" t="s">
        <v>139</v>
      </c>
      <c r="E17" s="653"/>
      <c r="F17" s="653"/>
      <c r="G17" s="653"/>
      <c r="H17" s="654" t="str">
        <f>IF(E17=F17+G17," ","ERROR")</f>
        <v xml:space="preserve"> </v>
      </c>
    </row>
    <row r="18" spans="1:8" ht="12" customHeight="1">
      <c r="A18" s="225">
        <v>8</v>
      </c>
      <c r="B18" s="202" t="s">
        <v>140</v>
      </c>
      <c r="E18" s="655"/>
      <c r="F18" s="655"/>
      <c r="G18" s="655"/>
      <c r="H18" s="654" t="str">
        <f>IF(E18=F18+G18," ","ERROR")</f>
        <v xml:space="preserve"> </v>
      </c>
    </row>
    <row r="19" spans="1:8" ht="12" customHeight="1">
      <c r="A19" s="225">
        <v>9</v>
      </c>
      <c r="B19" s="202" t="s">
        <v>141</v>
      </c>
      <c r="E19" s="653">
        <f>SUM(E16:E18)</f>
        <v>0</v>
      </c>
      <c r="F19" s="653">
        <f>SUM(F16:F18)</f>
        <v>0</v>
      </c>
      <c r="G19" s="653">
        <f>SUM(G16:G18)</f>
        <v>0</v>
      </c>
      <c r="H19" s="654" t="str">
        <f>IF(E19=F19+G19," ","ERROR")</f>
        <v xml:space="preserve"> </v>
      </c>
    </row>
    <row r="20" spans="1:8" ht="12" customHeight="1">
      <c r="A20" s="225"/>
      <c r="B20" s="202" t="s">
        <v>80</v>
      </c>
      <c r="E20" s="653"/>
      <c r="F20" s="653"/>
      <c r="G20" s="653"/>
      <c r="H20" s="654"/>
    </row>
    <row r="21" spans="1:8" ht="12" customHeight="1">
      <c r="A21" s="225">
        <v>10</v>
      </c>
      <c r="B21" s="202" t="s">
        <v>142</v>
      </c>
      <c r="E21" s="653"/>
      <c r="F21" s="653"/>
      <c r="G21" s="653"/>
      <c r="H21" s="654" t="str">
        <f>IF(E21=F21+G21," ","ERROR")</f>
        <v xml:space="preserve"> </v>
      </c>
    </row>
    <row r="22" spans="1:8" ht="12" customHeight="1">
      <c r="A22" s="225">
        <v>11</v>
      </c>
      <c r="B22" s="202" t="s">
        <v>143</v>
      </c>
      <c r="E22" s="653"/>
      <c r="F22" s="653"/>
      <c r="G22" s="653"/>
      <c r="H22" s="654" t="str">
        <f>IF(E22=F22+G22," ","ERROR")</f>
        <v xml:space="preserve"> </v>
      </c>
    </row>
    <row r="23" spans="1:8" ht="12" customHeight="1">
      <c r="A23" s="225">
        <v>12</v>
      </c>
      <c r="B23" s="202" t="s">
        <v>144</v>
      </c>
      <c r="E23" s="655"/>
      <c r="F23" s="655"/>
      <c r="G23" s="655"/>
      <c r="H23" s="654" t="str">
        <f>IF(E23=F23+G23," ","ERROR")</f>
        <v xml:space="preserve"> </v>
      </c>
    </row>
    <row r="24" spans="1:8" ht="12" customHeight="1">
      <c r="A24" s="225">
        <v>13</v>
      </c>
      <c r="B24" s="202" t="s">
        <v>145</v>
      </c>
      <c r="E24" s="653">
        <f>SUM(E21:E23)</f>
        <v>0</v>
      </c>
      <c r="F24" s="653">
        <f>SUM(F21:F23)</f>
        <v>0</v>
      </c>
      <c r="G24" s="653">
        <f>SUM(G21:G23)</f>
        <v>0</v>
      </c>
      <c r="H24" s="654" t="str">
        <f>IF(E24=F24+G24," ","ERROR")</f>
        <v xml:space="preserve"> </v>
      </c>
    </row>
    <row r="25" spans="1:8" ht="12" customHeight="1">
      <c r="A25" s="225"/>
      <c r="B25" s="202" t="s">
        <v>84</v>
      </c>
      <c r="E25" s="653"/>
      <c r="F25" s="653"/>
      <c r="G25" s="653"/>
      <c r="H25" s="654"/>
    </row>
    <row r="26" spans="1:8" ht="12" customHeight="1">
      <c r="A26" s="225">
        <v>14</v>
      </c>
      <c r="B26" s="202" t="s">
        <v>142</v>
      </c>
      <c r="E26" s="653"/>
      <c r="F26" s="653"/>
      <c r="G26" s="653"/>
      <c r="H26" s="654" t="str">
        <f>IF(E26=F26+G26," ","ERROR")</f>
        <v xml:space="preserve"> </v>
      </c>
    </row>
    <row r="27" spans="1:8" ht="12" customHeight="1">
      <c r="A27" s="225">
        <v>15</v>
      </c>
      <c r="B27" s="202" t="s">
        <v>143</v>
      </c>
      <c r="E27" s="653"/>
      <c r="F27" s="653"/>
      <c r="G27" s="653"/>
      <c r="H27" s="654" t="str">
        <f>IF(E27=F27+G27," ","ERROR")</f>
        <v xml:space="preserve"> </v>
      </c>
    </row>
    <row r="28" spans="1:8" ht="12" customHeight="1">
      <c r="A28" s="225">
        <v>16</v>
      </c>
      <c r="B28" s="202" t="s">
        <v>144</v>
      </c>
      <c r="E28" s="230">
        <f>F28+G28</f>
        <v>79</v>
      </c>
      <c r="F28" s="231">
        <v>79</v>
      </c>
      <c r="G28" s="230">
        <v>0</v>
      </c>
      <c r="H28" s="654" t="str">
        <f>IF(E28=F28+G28," ","ERROR")</f>
        <v xml:space="preserve"> </v>
      </c>
    </row>
    <row r="29" spans="1:8" ht="12" customHeight="1">
      <c r="A29" s="225">
        <v>17</v>
      </c>
      <c r="B29" s="202" t="s">
        <v>146</v>
      </c>
      <c r="E29" s="721">
        <f>SUM(E26:E28)</f>
        <v>79</v>
      </c>
      <c r="F29" s="722">
        <f>SUM(F26:F28)</f>
        <v>79</v>
      </c>
      <c r="G29" s="721">
        <f>SUM(G26:G28)</f>
        <v>0</v>
      </c>
      <c r="H29" s="654" t="str">
        <f>IF(E29=F29+G29," ","ERROR")</f>
        <v xml:space="preserve"> </v>
      </c>
    </row>
    <row r="30" spans="1:8" ht="12" customHeight="1">
      <c r="A30" s="225"/>
      <c r="E30" s="656"/>
      <c r="F30" s="656"/>
      <c r="G30" s="656"/>
      <c r="H30" s="654"/>
    </row>
    <row r="31" spans="1:8" ht="12" customHeight="1">
      <c r="A31" s="225">
        <v>18</v>
      </c>
      <c r="B31" s="202" t="s">
        <v>86</v>
      </c>
      <c r="E31" s="656"/>
      <c r="F31" s="656"/>
      <c r="G31" s="656"/>
      <c r="H31" s="654" t="str">
        <f>IF(E31=F31+G31," ","ERROR")</f>
        <v xml:space="preserve"> </v>
      </c>
    </row>
    <row r="32" spans="1:8" ht="12" customHeight="1">
      <c r="A32" s="225">
        <v>19</v>
      </c>
      <c r="B32" s="202" t="s">
        <v>87</v>
      </c>
      <c r="E32" s="656"/>
      <c r="F32" s="656"/>
      <c r="G32" s="656"/>
      <c r="H32" s="654" t="str">
        <f>IF(E32=F32+G32," ","ERROR")</f>
        <v xml:space="preserve"> </v>
      </c>
    </row>
    <row r="33" spans="1:8" ht="12" customHeight="1">
      <c r="A33" s="225">
        <v>20</v>
      </c>
      <c r="B33" s="202" t="s">
        <v>147</v>
      </c>
      <c r="E33" s="656"/>
      <c r="F33" s="656"/>
      <c r="G33" s="656"/>
      <c r="H33" s="654" t="str">
        <f>IF(E33=F33+G33," ","ERROR")</f>
        <v xml:space="preserve"> </v>
      </c>
    </row>
    <row r="34" spans="1:8" ht="12" customHeight="1">
      <c r="A34" s="225"/>
      <c r="B34" s="202" t="s">
        <v>148</v>
      </c>
      <c r="E34" s="656"/>
      <c r="F34" s="656"/>
      <c r="G34" s="656"/>
      <c r="H34" s="654"/>
    </row>
    <row r="35" spans="1:8" ht="12" customHeight="1">
      <c r="A35" s="225">
        <v>21</v>
      </c>
      <c r="B35" s="202" t="s">
        <v>142</v>
      </c>
      <c r="E35" s="231"/>
      <c r="F35" s="653"/>
      <c r="G35" s="653"/>
      <c r="H35" s="654" t="str">
        <f>IF(E35=F35+G35," ","ERROR")</f>
        <v xml:space="preserve"> </v>
      </c>
    </row>
    <row r="36" spans="1:8" ht="12" customHeight="1">
      <c r="A36" s="225">
        <v>22</v>
      </c>
      <c r="B36" s="202" t="s">
        <v>143</v>
      </c>
      <c r="E36" s="656"/>
      <c r="F36" s="656"/>
      <c r="G36" s="656"/>
      <c r="H36" s="654" t="str">
        <f>IF(E36=F36+G36," ","ERROR")</f>
        <v xml:space="preserve"> </v>
      </c>
    </row>
    <row r="37" spans="1:8" ht="12" customHeight="1">
      <c r="A37" s="225">
        <v>23</v>
      </c>
      <c r="B37" s="202" t="s">
        <v>144</v>
      </c>
      <c r="E37" s="657"/>
      <c r="F37" s="657"/>
      <c r="G37" s="657"/>
      <c r="H37" s="654" t="str">
        <f>IF(E37=F37+G37," ","ERROR")</f>
        <v xml:space="preserve"> </v>
      </c>
    </row>
    <row r="38" spans="1:8" ht="12" customHeight="1">
      <c r="A38" s="225">
        <v>24</v>
      </c>
      <c r="B38" s="202" t="s">
        <v>149</v>
      </c>
      <c r="E38" s="655">
        <f>SUM(E35:E37)</f>
        <v>0</v>
      </c>
      <c r="F38" s="655">
        <f>SUM(F35:F37)</f>
        <v>0</v>
      </c>
      <c r="G38" s="655">
        <f>SUM(G35:G37)</f>
        <v>0</v>
      </c>
      <c r="H38" s="654" t="str">
        <f>IF(E38=F38+G38," ","ERROR")</f>
        <v xml:space="preserve"> </v>
      </c>
    </row>
    <row r="39" spans="1:8" ht="12" customHeight="1">
      <c r="A39" s="225">
        <v>25</v>
      </c>
      <c r="B39" s="202" t="s">
        <v>91</v>
      </c>
      <c r="E39" s="655">
        <f>E19+E24+E29+E31+E32+E33+E38+E14</f>
        <v>79</v>
      </c>
      <c r="F39" s="655">
        <f>F19+F24+F29+F31+F32+F33+F38+F14</f>
        <v>79</v>
      </c>
      <c r="G39" s="655">
        <f>G19+G24+G29+G31+G32+G33+G38+G14</f>
        <v>0</v>
      </c>
      <c r="H39" s="654" t="str">
        <f>IF(E39=F39+G39," ","ERROR")</f>
        <v xml:space="preserve"> </v>
      </c>
    </row>
    <row r="40" spans="1:8" ht="12" customHeight="1">
      <c r="A40" s="225"/>
      <c r="E40" s="653"/>
      <c r="F40" s="653"/>
      <c r="G40" s="653"/>
      <c r="H40" s="654"/>
    </row>
    <row r="41" spans="1:8" ht="12" customHeight="1">
      <c r="A41" s="225">
        <v>26</v>
      </c>
      <c r="B41" s="202" t="s">
        <v>150</v>
      </c>
      <c r="E41" s="653">
        <f>E11-E39</f>
        <v>-79</v>
      </c>
      <c r="F41" s="653">
        <f>F11-F39</f>
        <v>-79</v>
      </c>
      <c r="G41" s="653">
        <f>G11-G39</f>
        <v>0</v>
      </c>
      <c r="H41" s="654" t="str">
        <f>IF(E41=F41+G41," ","ERROR")</f>
        <v xml:space="preserve"> </v>
      </c>
    </row>
    <row r="42" spans="1:8" ht="12" customHeight="1">
      <c r="A42" s="225"/>
      <c r="E42" s="653"/>
      <c r="F42" s="653"/>
      <c r="G42" s="653"/>
      <c r="H42" s="654"/>
    </row>
    <row r="43" spans="1:8" ht="12" customHeight="1">
      <c r="A43" s="225"/>
      <c r="B43" s="202" t="s">
        <v>151</v>
      </c>
      <c r="E43" s="653"/>
      <c r="F43" s="653"/>
      <c r="G43" s="653"/>
      <c r="H43" s="654"/>
    </row>
    <row r="44" spans="1:8" ht="12" customHeight="1">
      <c r="A44" s="225">
        <v>27</v>
      </c>
      <c r="B44" s="658" t="s">
        <v>165</v>
      </c>
      <c r="E44" s="653">
        <f>F44+G44</f>
        <v>-28</v>
      </c>
      <c r="F44" s="653">
        <f>ROUND(F41*0.35,0)</f>
        <v>-28</v>
      </c>
      <c r="G44" s="653">
        <f>ROUND(G41*0.35,0)</f>
        <v>0</v>
      </c>
      <c r="H44" s="654" t="str">
        <f>IF(E44=F44+G44," ","ERROR")</f>
        <v xml:space="preserve"> </v>
      </c>
    </row>
    <row r="45" spans="1:8" ht="12" customHeight="1">
      <c r="A45" s="225">
        <v>28</v>
      </c>
      <c r="B45" s="202" t="s">
        <v>154</v>
      </c>
      <c r="E45" s="653"/>
      <c r="F45" s="653"/>
      <c r="G45" s="653"/>
      <c r="H45" s="654" t="str">
        <f>IF(E45=F45+G45," ","ERROR")</f>
        <v xml:space="preserve"> </v>
      </c>
    </row>
    <row r="46" spans="1:8" ht="12" customHeight="1">
      <c r="A46" s="225">
        <v>29</v>
      </c>
      <c r="B46" s="202" t="s">
        <v>153</v>
      </c>
      <c r="E46" s="655"/>
      <c r="F46" s="655"/>
      <c r="G46" s="655"/>
      <c r="H46" s="654" t="str">
        <f>IF(E46=F46+G46," ","ERROR")</f>
        <v xml:space="preserve"> </v>
      </c>
    </row>
    <row r="47" spans="1:8" ht="12" customHeight="1">
      <c r="A47" s="225"/>
      <c r="E47" s="653"/>
      <c r="F47" s="653"/>
      <c r="G47" s="653"/>
      <c r="H47" s="654"/>
    </row>
    <row r="48" spans="1:8" ht="12" customHeight="1">
      <c r="A48" s="225">
        <v>30</v>
      </c>
      <c r="B48" s="659" t="s">
        <v>97</v>
      </c>
      <c r="E48" s="653">
        <f>E41-(+E44+E45+E46)</f>
        <v>-51</v>
      </c>
      <c r="F48" s="653">
        <f>F41-F44+F45+F46</f>
        <v>-51</v>
      </c>
      <c r="G48" s="653">
        <f>G41-SUM(G44:G46)</f>
        <v>0</v>
      </c>
      <c r="H48" s="654" t="str">
        <f>IF(E48=F48+G48," ","ERROR")</f>
        <v xml:space="preserve"> </v>
      </c>
    </row>
    <row r="49" spans="1:8" ht="12" customHeight="1">
      <c r="A49" s="225"/>
      <c r="E49" s="653"/>
      <c r="F49" s="653"/>
      <c r="G49" s="653"/>
      <c r="H49" s="654"/>
    </row>
    <row r="50" spans="1:8" ht="12" customHeight="1">
      <c r="A50" s="225"/>
      <c r="B50" s="658" t="s">
        <v>155</v>
      </c>
      <c r="E50" s="653"/>
      <c r="F50" s="653"/>
      <c r="G50" s="653"/>
      <c r="H50" s="654"/>
    </row>
    <row r="51" spans="1:8" ht="12" customHeight="1">
      <c r="A51" s="225"/>
      <c r="B51" s="658" t="s">
        <v>156</v>
      </c>
      <c r="E51" s="653"/>
      <c r="F51" s="653"/>
      <c r="G51" s="653"/>
      <c r="H51" s="654"/>
    </row>
    <row r="52" spans="1:8" ht="12" customHeight="1">
      <c r="A52" s="225">
        <v>31</v>
      </c>
      <c r="B52" s="202" t="s">
        <v>157</v>
      </c>
      <c r="E52" s="653"/>
      <c r="F52" s="653"/>
      <c r="G52" s="653"/>
      <c r="H52" s="654" t="str">
        <f t="shared" ref="H52:H63" si="0">IF(E52=F52+G52," ","ERROR")</f>
        <v xml:space="preserve"> </v>
      </c>
    </row>
    <row r="53" spans="1:8" ht="12" customHeight="1">
      <c r="A53" s="225">
        <v>32</v>
      </c>
      <c r="B53" s="202" t="s">
        <v>158</v>
      </c>
      <c r="E53" s="653"/>
      <c r="F53" s="653"/>
      <c r="G53" s="653"/>
      <c r="H53" s="654" t="str">
        <f t="shared" si="0"/>
        <v xml:space="preserve"> </v>
      </c>
    </row>
    <row r="54" spans="1:8" ht="12" customHeight="1">
      <c r="A54" s="225">
        <v>33</v>
      </c>
      <c r="B54" s="202" t="s">
        <v>166</v>
      </c>
      <c r="E54" s="655"/>
      <c r="F54" s="655"/>
      <c r="G54" s="655"/>
      <c r="H54" s="654" t="str">
        <f t="shared" si="0"/>
        <v xml:space="preserve"> </v>
      </c>
    </row>
    <row r="55" spans="1:8" ht="12" customHeight="1">
      <c r="A55" s="225">
        <v>34</v>
      </c>
      <c r="B55" s="202" t="s">
        <v>160</v>
      </c>
      <c r="E55" s="653">
        <f>SUM(E52:E54)</f>
        <v>0</v>
      </c>
      <c r="F55" s="653">
        <f>SUM(F52:F54)</f>
        <v>0</v>
      </c>
      <c r="G55" s="653">
        <f>SUM(G52:G54)</f>
        <v>0</v>
      </c>
      <c r="H55" s="654" t="str">
        <f t="shared" si="0"/>
        <v xml:space="preserve"> </v>
      </c>
    </row>
    <row r="56" spans="1:8" ht="12" customHeight="1">
      <c r="A56" s="225"/>
      <c r="B56" s="202" t="s">
        <v>102</v>
      </c>
      <c r="E56" s="653"/>
      <c r="F56" s="653"/>
      <c r="G56" s="653"/>
      <c r="H56" s="654" t="str">
        <f t="shared" si="0"/>
        <v xml:space="preserve"> </v>
      </c>
    </row>
    <row r="57" spans="1:8" ht="12" customHeight="1">
      <c r="A57" s="225">
        <v>35</v>
      </c>
      <c r="B57" s="202" t="s">
        <v>157</v>
      </c>
      <c r="E57" s="653"/>
      <c r="F57" s="653"/>
      <c r="G57" s="653"/>
      <c r="H57" s="654" t="str">
        <f t="shared" si="0"/>
        <v xml:space="preserve"> </v>
      </c>
    </row>
    <row r="58" spans="1:8" ht="12" customHeight="1">
      <c r="A58" s="225">
        <v>36</v>
      </c>
      <c r="B58" s="202" t="s">
        <v>158</v>
      </c>
      <c r="E58" s="653"/>
      <c r="F58" s="653"/>
      <c r="G58" s="653"/>
      <c r="H58" s="654" t="str">
        <f t="shared" si="0"/>
        <v xml:space="preserve"> </v>
      </c>
    </row>
    <row r="59" spans="1:8" ht="12" customHeight="1">
      <c r="A59" s="225">
        <v>37</v>
      </c>
      <c r="B59" s="202" t="s">
        <v>166</v>
      </c>
      <c r="E59" s="655"/>
      <c r="F59" s="655"/>
      <c r="G59" s="655"/>
      <c r="H59" s="654" t="str">
        <f t="shared" si="0"/>
        <v xml:space="preserve"> </v>
      </c>
    </row>
    <row r="60" spans="1:8" ht="12" customHeight="1">
      <c r="A60" s="225">
        <v>38</v>
      </c>
      <c r="B60" s="202" t="s">
        <v>161</v>
      </c>
      <c r="E60" s="653">
        <f>SUM(E57:E59)</f>
        <v>0</v>
      </c>
      <c r="F60" s="653">
        <f>SUM(F57:F59)</f>
        <v>0</v>
      </c>
      <c r="G60" s="653">
        <f>SUM(G57:G59)</f>
        <v>0</v>
      </c>
      <c r="H60" s="654" t="str">
        <f t="shared" si="0"/>
        <v xml:space="preserve"> </v>
      </c>
    </row>
    <row r="61" spans="1:8" ht="12" customHeight="1">
      <c r="A61" s="225">
        <v>39</v>
      </c>
      <c r="B61" s="658" t="s">
        <v>162</v>
      </c>
      <c r="E61" s="653"/>
      <c r="F61" s="653"/>
      <c r="G61" s="653"/>
      <c r="H61" s="654" t="str">
        <f t="shared" si="0"/>
        <v xml:space="preserve"> </v>
      </c>
    </row>
    <row r="62" spans="1:8" ht="12" customHeight="1">
      <c r="A62" s="225">
        <v>40</v>
      </c>
      <c r="B62" s="202" t="s">
        <v>105</v>
      </c>
      <c r="E62" s="653"/>
      <c r="F62" s="653"/>
      <c r="G62" s="653"/>
      <c r="H62" s="654" t="str">
        <f t="shared" si="0"/>
        <v xml:space="preserve"> </v>
      </c>
    </row>
    <row r="63" spans="1:8" ht="12" customHeight="1">
      <c r="A63" s="225">
        <v>41</v>
      </c>
      <c r="B63" s="658" t="s">
        <v>106</v>
      </c>
      <c r="E63" s="655"/>
      <c r="F63" s="655"/>
      <c r="G63" s="655"/>
      <c r="H63" s="654" t="str">
        <f t="shared" si="0"/>
        <v xml:space="preserve"> </v>
      </c>
    </row>
    <row r="64" spans="1:8" ht="12" customHeight="1">
      <c r="A64" s="225"/>
      <c r="B64" s="202" t="s">
        <v>163</v>
      </c>
      <c r="E64" s="653"/>
      <c r="F64" s="653"/>
      <c r="G64" s="653"/>
      <c r="H64" s="654"/>
    </row>
    <row r="65" spans="1:8" ht="12" customHeight="1" thickBot="1">
      <c r="A65" s="225">
        <v>42</v>
      </c>
      <c r="B65" s="659" t="s">
        <v>107</v>
      </c>
      <c r="E65" s="660">
        <f>E55-E60+E61+E62+E63</f>
        <v>0</v>
      </c>
      <c r="F65" s="660">
        <f>F55-F60+F61+F62+F63</f>
        <v>0</v>
      </c>
      <c r="G65" s="660">
        <f>G55-G60+G61+G62+G63</f>
        <v>0</v>
      </c>
      <c r="H65" s="654" t="str">
        <f>IF(E65=F65+G65," ","ERROR")</f>
        <v xml:space="preserve"> </v>
      </c>
    </row>
    <row r="66" spans="1:8" ht="12" customHeight="1" thickTop="1">
      <c r="A66" s="225"/>
      <c r="E66" s="653"/>
      <c r="F66" s="653"/>
      <c r="G66" s="653"/>
    </row>
  </sheetData>
  <customSheetViews>
    <customSheetView guid="{5BE913A1-B14F-11D2-B0DC-0000832CDFF0}" showRuler="0" topLeftCell="A53">
      <selection sqref="A1:C1"/>
      <rowBreaks count="1" manualBreakCount="1">
        <brk id="65" max="65535" man="1"/>
      </rowBreaks>
      <pageMargins left="0.75" right="0.75" top="0.8" bottom="0.5" header="0.66" footer="0.45"/>
      <printOptions horizontalCentered="1"/>
      <pageSetup scale="82" orientation="portrait" horizontalDpi="300" verticalDpi="300" r:id="rId1"/>
      <headerFooter alignWithMargins="0"/>
    </customSheetView>
    <customSheetView guid="{A15D1964-B049-11D2-8670-0000832CEEE8}" showRuler="0" topLeftCell="A53">
      <selection sqref="A1:C1"/>
      <rowBreaks count="1" manualBreakCount="1">
        <brk id="65" max="65535" man="1"/>
      </rowBreaks>
      <pageMargins left="0.75" right="0.75" top="0.8" bottom="0.5" header="0.66" footer="0.45"/>
      <printOptions horizontalCentered="1"/>
      <pageSetup scale="82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75" top="0.75" bottom="0.5" header="0.66" footer="0.4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H132"/>
  <sheetViews>
    <sheetView topLeftCell="A19" workbookViewId="0">
      <selection activeCell="F27" sqref="F2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9" t="s">
        <v>479</v>
      </c>
      <c r="G1" s="377"/>
    </row>
    <row r="2" spans="1:8" ht="12" customHeight="1">
      <c r="A2" s="375" t="s">
        <v>125</v>
      </c>
      <c r="B2" s="375"/>
      <c r="C2" s="375"/>
      <c r="E2" s="377"/>
      <c r="F2" s="379" t="s">
        <v>480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>
        <v>0</v>
      </c>
      <c r="G16" s="391">
        <v>0</v>
      </c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/>
      <c r="F21" s="391"/>
      <c r="G21" s="391"/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392"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/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/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/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F35+G35</f>
        <v>0</v>
      </c>
      <c r="F35" s="391">
        <v>0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82"/>
      <c r="B68" s="397"/>
      <c r="E68" s="399"/>
      <c r="F68" s="399"/>
      <c r="G68" s="399"/>
      <c r="H68" s="390"/>
    </row>
    <row r="69" spans="1:8" ht="12" customHeight="1">
      <c r="A69" s="382"/>
      <c r="B69" s="397"/>
      <c r="E69" s="399"/>
      <c r="F69" s="399"/>
      <c r="G69" s="399"/>
      <c r="H69" s="390"/>
    </row>
    <row r="70" spans="1:8" ht="12" customHeight="1">
      <c r="A70" s="375" t="str">
        <f>Inputs!$D$6</f>
        <v>AVISTA UTILITIES</v>
      </c>
      <c r="B70" s="375"/>
      <c r="C70" s="375"/>
      <c r="G70" s="376"/>
    </row>
    <row r="71" spans="1:8" ht="12" customHeight="1">
      <c r="A71" s="375" t="s">
        <v>169</v>
      </c>
      <c r="B71" s="375"/>
      <c r="C71" s="375"/>
      <c r="G71" s="376"/>
    </row>
    <row r="72" spans="1:8" ht="12" customHeight="1">
      <c r="A72" s="375" t="str">
        <f>A3</f>
        <v>TWELVE MONTHS ENDED SEPTEMBER 30, 2008</v>
      </c>
      <c r="B72" s="375"/>
      <c r="C72" s="375"/>
      <c r="F72" s="379" t="str">
        <f>F2</f>
        <v>(Associated with Mobile Dispatch)</v>
      </c>
      <c r="G72" s="376"/>
    </row>
    <row r="73" spans="1:8" ht="12" customHeight="1">
      <c r="A73" s="375" t="s">
        <v>170</v>
      </c>
      <c r="B73" s="375"/>
      <c r="C73" s="375"/>
      <c r="F73" s="379" t="str">
        <f>F3</f>
        <v>ADJUSTMENT</v>
      </c>
      <c r="G73" s="376"/>
    </row>
    <row r="74" spans="1:8" ht="12" customHeight="1">
      <c r="E74" s="400"/>
      <c r="F74" s="386" t="str">
        <f>F4</f>
        <v>GAS</v>
      </c>
      <c r="G74" s="401"/>
    </row>
    <row r="75" spans="1:8" ht="12" customHeight="1">
      <c r="A75" s="382" t="s">
        <v>10</v>
      </c>
      <c r="F75" s="379"/>
    </row>
    <row r="76" spans="1:8" ht="12" customHeight="1">
      <c r="A76" s="402" t="s">
        <v>27</v>
      </c>
      <c r="B76" s="384" t="s">
        <v>113</v>
      </c>
      <c r="C76" s="384"/>
      <c r="F76" s="386" t="s">
        <v>132</v>
      </c>
    </row>
    <row r="77" spans="1:8" ht="12" customHeight="1">
      <c r="A77" s="382"/>
      <c r="B77" s="376" t="s">
        <v>68</v>
      </c>
      <c r="E77" s="376"/>
      <c r="G77" s="376"/>
    </row>
    <row r="78" spans="1:8" ht="12" customHeight="1">
      <c r="A78" s="382">
        <v>1</v>
      </c>
      <c r="B78" s="376" t="s">
        <v>134</v>
      </c>
      <c r="E78" s="376"/>
      <c r="F78" s="389">
        <f>G8</f>
        <v>0</v>
      </c>
      <c r="G78" s="376"/>
    </row>
    <row r="79" spans="1:8" ht="12" customHeight="1">
      <c r="A79" s="382">
        <v>2</v>
      </c>
      <c r="B79" s="376" t="s">
        <v>135</v>
      </c>
      <c r="E79" s="376"/>
      <c r="F79" s="391">
        <f>G9</f>
        <v>0</v>
      </c>
      <c r="G79" s="376"/>
    </row>
    <row r="80" spans="1:8" ht="12" customHeight="1">
      <c r="A80" s="382">
        <v>3</v>
      </c>
      <c r="B80" s="376" t="s">
        <v>71</v>
      </c>
      <c r="E80" s="376"/>
      <c r="F80" s="392">
        <f>G10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>
        <v>4</v>
      </c>
      <c r="B82" s="376" t="s">
        <v>136</v>
      </c>
      <c r="E82" s="376"/>
      <c r="F82" s="391">
        <f>F78+F79+F80</f>
        <v>0</v>
      </c>
      <c r="G82" s="376"/>
    </row>
    <row r="83" spans="1:7" ht="12" customHeight="1">
      <c r="A83" s="382"/>
      <c r="E83" s="376"/>
      <c r="F83" s="391"/>
      <c r="G83" s="376"/>
    </row>
    <row r="84" spans="1:7" ht="12" customHeight="1">
      <c r="A84" s="382"/>
      <c r="B84" s="376" t="s">
        <v>73</v>
      </c>
      <c r="E84" s="376"/>
      <c r="F84" s="391"/>
      <c r="G84" s="376"/>
    </row>
    <row r="85" spans="1:7" ht="12" customHeight="1">
      <c r="A85" s="382">
        <v>5</v>
      </c>
      <c r="B85" s="376" t="s">
        <v>137</v>
      </c>
      <c r="E85" s="376"/>
      <c r="F85" s="391">
        <f>G14</f>
        <v>0</v>
      </c>
      <c r="G85" s="376"/>
    </row>
    <row r="86" spans="1:7" ht="12" customHeight="1">
      <c r="A86" s="382"/>
      <c r="B86" s="376" t="s">
        <v>75</v>
      </c>
      <c r="E86" s="376"/>
      <c r="F86" s="391"/>
      <c r="G86" s="376"/>
    </row>
    <row r="87" spans="1:7" ht="12" customHeight="1">
      <c r="A87" s="382">
        <v>6</v>
      </c>
      <c r="B87" s="376" t="s">
        <v>138</v>
      </c>
      <c r="E87" s="376"/>
      <c r="F87" s="391">
        <f>G16</f>
        <v>0</v>
      </c>
      <c r="G87" s="376"/>
    </row>
    <row r="88" spans="1:7" ht="12" customHeight="1">
      <c r="A88" s="382">
        <v>7</v>
      </c>
      <c r="B88" s="376" t="s">
        <v>139</v>
      </c>
      <c r="E88" s="376"/>
      <c r="F88" s="391">
        <f>G17</f>
        <v>0</v>
      </c>
      <c r="G88" s="376"/>
    </row>
    <row r="89" spans="1:7" ht="12" customHeight="1">
      <c r="A89" s="382">
        <v>8</v>
      </c>
      <c r="B89" s="376" t="s">
        <v>140</v>
      </c>
      <c r="E89" s="376"/>
      <c r="F89" s="392">
        <f>G18</f>
        <v>0</v>
      </c>
      <c r="G89" s="376"/>
    </row>
    <row r="90" spans="1:7" ht="12" customHeight="1">
      <c r="A90" s="382">
        <v>9</v>
      </c>
      <c r="B90" s="376" t="s">
        <v>141</v>
      </c>
      <c r="E90" s="376"/>
      <c r="F90" s="391">
        <f>F87+F88+F89</f>
        <v>0</v>
      </c>
      <c r="G90" s="376"/>
    </row>
    <row r="91" spans="1:7" ht="12" customHeight="1">
      <c r="A91" s="382"/>
      <c r="B91" s="376" t="s">
        <v>80</v>
      </c>
      <c r="E91" s="376"/>
      <c r="F91" s="391"/>
      <c r="G91" s="376"/>
    </row>
    <row r="92" spans="1:7" ht="12" customHeight="1">
      <c r="A92" s="382">
        <v>10</v>
      </c>
      <c r="B92" s="376" t="s">
        <v>142</v>
      </c>
      <c r="E92" s="376"/>
      <c r="F92" s="391">
        <f>G21</f>
        <v>0</v>
      </c>
      <c r="G92" s="376"/>
    </row>
    <row r="93" spans="1:7" ht="12" customHeight="1">
      <c r="A93" s="382">
        <v>11</v>
      </c>
      <c r="B93" s="376" t="s">
        <v>143</v>
      </c>
      <c r="E93" s="376"/>
      <c r="F93" s="391">
        <f>G22</f>
        <v>0</v>
      </c>
      <c r="G93" s="376"/>
    </row>
    <row r="94" spans="1:7" ht="12" customHeight="1">
      <c r="A94" s="382">
        <v>12</v>
      </c>
      <c r="B94" s="376" t="s">
        <v>144</v>
      </c>
      <c r="E94" s="376"/>
      <c r="F94" s="392">
        <f>G23</f>
        <v>0</v>
      </c>
      <c r="G94" s="376"/>
    </row>
    <row r="95" spans="1:7" ht="12" customHeight="1">
      <c r="A95" s="382">
        <v>13</v>
      </c>
      <c r="B95" s="376" t="s">
        <v>145</v>
      </c>
      <c r="E95" s="376"/>
      <c r="F95" s="391">
        <f>F92+F93+F94</f>
        <v>0</v>
      </c>
      <c r="G95" s="376"/>
    </row>
    <row r="96" spans="1:7" ht="12" customHeight="1">
      <c r="A96" s="382"/>
      <c r="B96" s="376" t="s">
        <v>84</v>
      </c>
      <c r="E96" s="376"/>
      <c r="F96" s="391"/>
      <c r="G96" s="376"/>
    </row>
    <row r="97" spans="1:7" ht="12" customHeight="1">
      <c r="A97" s="382">
        <v>14</v>
      </c>
      <c r="B97" s="376" t="s">
        <v>142</v>
      </c>
      <c r="E97" s="376"/>
      <c r="F97" s="391">
        <f>G26</f>
        <v>0</v>
      </c>
      <c r="G97" s="376"/>
    </row>
    <row r="98" spans="1:7" ht="12" customHeight="1">
      <c r="A98" s="382">
        <v>15</v>
      </c>
      <c r="B98" s="376" t="s">
        <v>143</v>
      </c>
      <c r="E98" s="376"/>
      <c r="F98" s="391">
        <f>G27</f>
        <v>0</v>
      </c>
      <c r="G98" s="376"/>
    </row>
    <row r="99" spans="1:7" ht="12" customHeight="1">
      <c r="A99" s="382">
        <v>16</v>
      </c>
      <c r="B99" s="376" t="s">
        <v>144</v>
      </c>
      <c r="E99" s="376"/>
      <c r="F99" s="392"/>
      <c r="G99" s="376"/>
    </row>
    <row r="100" spans="1:7" ht="12" customHeight="1">
      <c r="A100" s="382">
        <v>17</v>
      </c>
      <c r="B100" s="376" t="s">
        <v>146</v>
      </c>
      <c r="E100" s="376"/>
      <c r="F100" s="391">
        <f>F97+F98+F99</f>
        <v>0</v>
      </c>
      <c r="G100" s="376"/>
    </row>
    <row r="101" spans="1:7" ht="12" customHeight="1">
      <c r="A101" s="382">
        <v>18</v>
      </c>
      <c r="B101" s="376" t="s">
        <v>86</v>
      </c>
      <c r="E101" s="376"/>
      <c r="F101" s="391">
        <f>G31</f>
        <v>0</v>
      </c>
      <c r="G101" s="376"/>
    </row>
    <row r="102" spans="1:7" ht="12" customHeight="1">
      <c r="A102" s="382">
        <v>19</v>
      </c>
      <c r="B102" s="376" t="s">
        <v>87</v>
      </c>
      <c r="E102" s="376"/>
      <c r="F102" s="391">
        <f>G32</f>
        <v>0</v>
      </c>
      <c r="G102" s="376"/>
    </row>
    <row r="103" spans="1:7" ht="12" customHeight="1">
      <c r="A103" s="382">
        <v>20</v>
      </c>
      <c r="B103" s="376" t="s">
        <v>147</v>
      </c>
      <c r="E103" s="376"/>
      <c r="F103" s="391">
        <f>G33</f>
        <v>0</v>
      </c>
      <c r="G103" s="376"/>
    </row>
    <row r="104" spans="1:7" ht="12" customHeight="1">
      <c r="A104" s="382"/>
      <c r="B104" s="376" t="s">
        <v>148</v>
      </c>
      <c r="E104" s="376"/>
      <c r="F104" s="391"/>
      <c r="G104" s="376"/>
    </row>
    <row r="105" spans="1:7" ht="12" customHeight="1">
      <c r="A105" s="382">
        <v>21</v>
      </c>
      <c r="B105" s="376" t="s">
        <v>142</v>
      </c>
      <c r="E105" s="376"/>
      <c r="F105" s="391">
        <f>G35</f>
        <v>0</v>
      </c>
      <c r="G105" s="376"/>
    </row>
    <row r="106" spans="1:7" ht="12" customHeight="1">
      <c r="A106" s="382">
        <v>22</v>
      </c>
      <c r="B106" s="376" t="s">
        <v>143</v>
      </c>
      <c r="E106" s="376"/>
      <c r="F106" s="391">
        <f>G36</f>
        <v>0</v>
      </c>
      <c r="G106" s="376"/>
    </row>
    <row r="107" spans="1:7" ht="12" customHeight="1">
      <c r="A107" s="382">
        <v>23</v>
      </c>
      <c r="B107" s="376" t="s">
        <v>144</v>
      </c>
      <c r="E107" s="376"/>
      <c r="F107" s="392">
        <f>G37</f>
        <v>0</v>
      </c>
      <c r="G107" s="376"/>
    </row>
    <row r="108" spans="1:7" ht="12" customHeight="1">
      <c r="A108" s="382">
        <v>24</v>
      </c>
      <c r="B108" s="376" t="s">
        <v>149</v>
      </c>
      <c r="E108" s="376"/>
      <c r="F108" s="392">
        <f>F105+F106+F107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25</v>
      </c>
      <c r="B110" s="376" t="s">
        <v>91</v>
      </c>
      <c r="E110" s="376"/>
      <c r="F110" s="392">
        <f>F108+F103+F102+F101+F100+F95+F90+F85</f>
        <v>0</v>
      </c>
      <c r="G110" s="376"/>
    </row>
    <row r="111" spans="1:7" ht="12" customHeight="1">
      <c r="A111" s="382"/>
      <c r="E111" s="376"/>
      <c r="F111" s="391"/>
      <c r="G111" s="376"/>
    </row>
    <row r="112" spans="1:7" ht="12" customHeight="1">
      <c r="A112" s="382">
        <v>26</v>
      </c>
      <c r="B112" s="376" t="s">
        <v>171</v>
      </c>
      <c r="E112" s="376"/>
      <c r="F112" s="392">
        <f>F82-F110</f>
        <v>0</v>
      </c>
      <c r="G112" s="376"/>
    </row>
    <row r="113" spans="1:7" ht="12" customHeight="1">
      <c r="A113" s="382"/>
      <c r="E113" s="376"/>
      <c r="G113" s="376"/>
    </row>
    <row r="114" spans="1:7" ht="12" customHeight="1">
      <c r="A114" s="382">
        <v>27</v>
      </c>
      <c r="B114" s="376" t="s">
        <v>172</v>
      </c>
      <c r="G114" s="376"/>
    </row>
    <row r="115" spans="1:7" ht="12" customHeight="1" thickBot="1">
      <c r="A115" s="382"/>
      <c r="B115" s="403" t="s">
        <v>173</v>
      </c>
      <c r="C115" s="404">
        <f>Inputs!$D$4</f>
        <v>1.1416000000000001E-2</v>
      </c>
      <c r="F115" s="398">
        <f>ROUND(F112*C115,0)</f>
        <v>0</v>
      </c>
      <c r="G115" s="376"/>
    </row>
    <row r="116" spans="1:7" ht="12" customHeight="1" thickTop="1">
      <c r="A116" s="382"/>
      <c r="G116" s="376"/>
    </row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  <row r="131" ht="12" customHeight="1"/>
    <row r="132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/>
  <dimension ref="A1:I112"/>
  <sheetViews>
    <sheetView topLeftCell="A2" zoomScaleNormal="100" workbookViewId="0">
      <selection activeCell="F3" sqref="F3"/>
    </sheetView>
  </sheetViews>
  <sheetFormatPr defaultColWidth="12.42578125" defaultRowHeight="11.1" customHeight="1"/>
  <cols>
    <col min="1" max="1" width="5.5703125" style="586" customWidth="1"/>
    <col min="2" max="2" width="26.140625" style="586" customWidth="1"/>
    <col min="3" max="3" width="12.42578125" style="586" customWidth="1"/>
    <col min="4" max="4" width="6.7109375" style="586" customWidth="1"/>
    <col min="5" max="5" width="12.42578125" style="604" customWidth="1"/>
    <col min="6" max="6" width="12.42578125" style="605" customWidth="1"/>
    <col min="7" max="7" width="12.42578125" style="604" customWidth="1"/>
    <col min="8" max="16384" width="12.42578125" style="586"/>
  </cols>
  <sheetData>
    <row r="1" spans="1:8" ht="12">
      <c r="A1" s="585" t="str">
        <f>Inputs!$D$6</f>
        <v>AVISTA UTILITIES</v>
      </c>
      <c r="B1" s="585"/>
      <c r="C1" s="585"/>
      <c r="E1" s="587"/>
      <c r="F1" s="588"/>
      <c r="G1" s="587"/>
    </row>
    <row r="2" spans="1:8" ht="12">
      <c r="A2" s="585" t="s">
        <v>125</v>
      </c>
      <c r="B2" s="585"/>
      <c r="C2" s="585"/>
      <c r="E2" s="587"/>
      <c r="F2" s="589" t="s">
        <v>498</v>
      </c>
      <c r="G2" s="587"/>
    </row>
    <row r="3" spans="1:8" ht="12">
      <c r="A3" s="585" t="str">
        <f>Inputs!$D$2</f>
        <v>TWELVE MONTHS ENDED SEPTEMBER 30, 2008</v>
      </c>
      <c r="B3" s="585"/>
      <c r="C3" s="585"/>
      <c r="E3" s="587"/>
      <c r="F3" s="589" t="s">
        <v>510</v>
      </c>
      <c r="G3" s="586"/>
    </row>
    <row r="4" spans="1:8" ht="12">
      <c r="A4" s="585" t="s">
        <v>128</v>
      </c>
      <c r="B4" s="585"/>
      <c r="C4" s="585"/>
      <c r="E4" s="590"/>
      <c r="F4" s="591" t="s">
        <v>129</v>
      </c>
      <c r="G4" s="590"/>
    </row>
    <row r="5" spans="1:8" ht="12">
      <c r="A5" s="592" t="s">
        <v>10</v>
      </c>
      <c r="E5" s="587"/>
      <c r="F5" s="589"/>
      <c r="G5" s="587"/>
    </row>
    <row r="6" spans="1:8" ht="12">
      <c r="A6" s="593" t="s">
        <v>27</v>
      </c>
      <c r="B6" s="594" t="s">
        <v>113</v>
      </c>
      <c r="C6" s="594"/>
      <c r="E6" s="595" t="s">
        <v>130</v>
      </c>
      <c r="F6" s="596" t="s">
        <v>131</v>
      </c>
      <c r="G6" s="595" t="s">
        <v>132</v>
      </c>
      <c r="H6" s="597" t="s">
        <v>133</v>
      </c>
    </row>
    <row r="7" spans="1:8" ht="12">
      <c r="A7" s="592"/>
      <c r="B7" s="586" t="s">
        <v>68</v>
      </c>
      <c r="E7" s="598"/>
      <c r="F7" s="589"/>
      <c r="G7" s="598"/>
    </row>
    <row r="8" spans="1:8" ht="12">
      <c r="A8" s="592">
        <v>1</v>
      </c>
      <c r="B8" s="586" t="s">
        <v>134</v>
      </c>
      <c r="E8" s="599"/>
      <c r="F8" s="599"/>
      <c r="G8" s="599"/>
      <c r="H8" s="600" t="str">
        <f>IF(E8=F8+G8," ","ERROR")</f>
        <v xml:space="preserve"> </v>
      </c>
    </row>
    <row r="9" spans="1:8" ht="12">
      <c r="A9" s="592">
        <v>2</v>
      </c>
      <c r="B9" s="586" t="s">
        <v>135</v>
      </c>
      <c r="E9" s="601"/>
      <c r="F9" s="601"/>
      <c r="G9" s="601"/>
      <c r="H9" s="600" t="str">
        <f>IF(E9=F9+G9," ","ERROR")</f>
        <v xml:space="preserve"> </v>
      </c>
    </row>
    <row r="10" spans="1:8" ht="12">
      <c r="A10" s="592">
        <v>3</v>
      </c>
      <c r="B10" s="586" t="s">
        <v>71</v>
      </c>
      <c r="E10" s="602"/>
      <c r="F10" s="602"/>
      <c r="G10" s="602"/>
      <c r="H10" s="600" t="str">
        <f>IF(E10=F10+G10," ","ERROR")</f>
        <v xml:space="preserve"> </v>
      </c>
    </row>
    <row r="11" spans="1:8" ht="12">
      <c r="A11" s="592">
        <v>4</v>
      </c>
      <c r="B11" s="586" t="s">
        <v>136</v>
      </c>
      <c r="E11" s="601">
        <f>SUM(E8:E10)</f>
        <v>0</v>
      </c>
      <c r="F11" s="601">
        <f>SUM(F8:F10)</f>
        <v>0</v>
      </c>
      <c r="G11" s="601">
        <f>SUM(G8:G10)</f>
        <v>0</v>
      </c>
      <c r="H11" s="600" t="str">
        <f>IF(E11=F11+G11," ","ERROR")</f>
        <v xml:space="preserve"> </v>
      </c>
    </row>
    <row r="12" spans="1:8" ht="12">
      <c r="A12" s="592"/>
      <c r="E12" s="601"/>
      <c r="F12" s="601"/>
      <c r="G12" s="601"/>
      <c r="H12" s="600"/>
    </row>
    <row r="13" spans="1:8" ht="12">
      <c r="A13" s="592"/>
      <c r="B13" s="586" t="s">
        <v>73</v>
      </c>
      <c r="E13" s="601"/>
      <c r="F13" s="601"/>
      <c r="G13" s="601"/>
      <c r="H13" s="600"/>
    </row>
    <row r="14" spans="1:8" ht="12">
      <c r="A14" s="592">
        <v>5</v>
      </c>
      <c r="B14" s="586" t="s">
        <v>137</v>
      </c>
      <c r="E14" s="601"/>
      <c r="F14" s="601"/>
      <c r="G14" s="601"/>
      <c r="H14" s="600" t="str">
        <f>IF(E14=F14+G14," ","ERROR")</f>
        <v xml:space="preserve"> </v>
      </c>
    </row>
    <row r="15" spans="1:8" ht="12">
      <c r="A15" s="592"/>
      <c r="B15" s="586" t="s">
        <v>75</v>
      </c>
      <c r="E15" s="601"/>
      <c r="F15" s="601"/>
      <c r="G15" s="601"/>
      <c r="H15" s="600"/>
    </row>
    <row r="16" spans="1:8" ht="12">
      <c r="A16" s="592">
        <v>6</v>
      </c>
      <c r="B16" s="586" t="s">
        <v>138</v>
      </c>
      <c r="E16" s="601"/>
      <c r="F16" s="601"/>
      <c r="G16" s="601"/>
      <c r="H16" s="600" t="str">
        <f>IF(E16=F16+G16," ","ERROR")</f>
        <v xml:space="preserve"> </v>
      </c>
    </row>
    <row r="17" spans="1:8" ht="12">
      <c r="A17" s="592">
        <v>7</v>
      </c>
      <c r="B17" s="586" t="s">
        <v>139</v>
      </c>
      <c r="E17" s="601"/>
      <c r="F17" s="601"/>
      <c r="G17" s="601"/>
      <c r="H17" s="600" t="str">
        <f>IF(E17=F17+G17," ","ERROR")</f>
        <v xml:space="preserve"> </v>
      </c>
    </row>
    <row r="18" spans="1:8" ht="12">
      <c r="A18" s="592">
        <v>8</v>
      </c>
      <c r="B18" s="586" t="s">
        <v>140</v>
      </c>
      <c r="E18" s="602"/>
      <c r="F18" s="602"/>
      <c r="G18" s="602"/>
      <c r="H18" s="600" t="str">
        <f>IF(E18=F18+G18," ","ERROR")</f>
        <v xml:space="preserve"> </v>
      </c>
    </row>
    <row r="19" spans="1:8" ht="12">
      <c r="A19" s="592">
        <v>9</v>
      </c>
      <c r="B19" s="586" t="s">
        <v>141</v>
      </c>
      <c r="E19" s="601">
        <f>SUM(E16:E18)</f>
        <v>0</v>
      </c>
      <c r="F19" s="601">
        <f>SUM(F16:F18)</f>
        <v>0</v>
      </c>
      <c r="G19" s="601">
        <f>SUM(G16:G18)</f>
        <v>0</v>
      </c>
      <c r="H19" s="600" t="str">
        <f>IF(E19=F19+G19," ","ERROR")</f>
        <v xml:space="preserve"> </v>
      </c>
    </row>
    <row r="20" spans="1:8" ht="12">
      <c r="A20" s="592"/>
      <c r="B20" s="586" t="s">
        <v>80</v>
      </c>
      <c r="E20" s="601"/>
      <c r="F20" s="601"/>
      <c r="G20" s="601"/>
      <c r="H20" s="600"/>
    </row>
    <row r="21" spans="1:8" ht="12">
      <c r="A21" s="592">
        <v>10</v>
      </c>
      <c r="B21" s="586" t="s">
        <v>142</v>
      </c>
      <c r="E21" s="601"/>
      <c r="F21" s="601"/>
      <c r="G21" s="601"/>
      <c r="H21" s="600" t="str">
        <f>IF(E21=F21+G21," ","ERROR")</f>
        <v xml:space="preserve"> </v>
      </c>
    </row>
    <row r="22" spans="1:8" ht="12">
      <c r="A22" s="592">
        <v>11</v>
      </c>
      <c r="B22" s="586" t="s">
        <v>143</v>
      </c>
      <c r="E22" s="601"/>
      <c r="F22" s="601"/>
      <c r="G22" s="601"/>
      <c r="H22" s="600" t="str">
        <f>IF(E22=F22+G22," ","ERROR")</f>
        <v xml:space="preserve"> </v>
      </c>
    </row>
    <row r="23" spans="1:8" ht="12">
      <c r="A23" s="592">
        <v>12</v>
      </c>
      <c r="B23" s="586" t="s">
        <v>144</v>
      </c>
      <c r="E23" s="602"/>
      <c r="F23" s="602"/>
      <c r="G23" s="602"/>
      <c r="H23" s="600" t="str">
        <f>IF(E23=F23+G23," ","ERROR")</f>
        <v xml:space="preserve"> </v>
      </c>
    </row>
    <row r="24" spans="1:8" ht="12">
      <c r="A24" s="592">
        <v>13</v>
      </c>
      <c r="B24" s="586" t="s">
        <v>145</v>
      </c>
      <c r="E24" s="601">
        <f>SUM(E21:E23)</f>
        <v>0</v>
      </c>
      <c r="F24" s="601">
        <f>SUM(F21:F23)</f>
        <v>0</v>
      </c>
      <c r="G24" s="601">
        <f>SUM(G21:G23)</f>
        <v>0</v>
      </c>
      <c r="H24" s="600" t="str">
        <f>IF(E24=F24+G24," ","ERROR")</f>
        <v xml:space="preserve"> </v>
      </c>
    </row>
    <row r="25" spans="1:8" ht="12">
      <c r="A25" s="592"/>
      <c r="B25" s="586" t="s">
        <v>84</v>
      </c>
      <c r="E25" s="601"/>
      <c r="F25" s="601"/>
      <c r="G25" s="601"/>
      <c r="H25" s="600"/>
    </row>
    <row r="26" spans="1:8" ht="12">
      <c r="A26" s="592">
        <v>14</v>
      </c>
      <c r="B26" s="586" t="s">
        <v>142</v>
      </c>
      <c r="E26" s="601"/>
      <c r="F26" s="601"/>
      <c r="G26" s="601"/>
      <c r="H26" s="600" t="str">
        <f>IF(E26=F26+G26," ","ERROR")</f>
        <v xml:space="preserve"> </v>
      </c>
    </row>
    <row r="27" spans="1:8" ht="12">
      <c r="A27" s="592">
        <v>15</v>
      </c>
      <c r="B27" s="586" t="s">
        <v>143</v>
      </c>
      <c r="E27" s="601"/>
      <c r="F27" s="601"/>
      <c r="G27" s="601"/>
      <c r="H27" s="600" t="str">
        <f>IF(E27=F27+G27," ","ERROR")</f>
        <v xml:space="preserve"> </v>
      </c>
    </row>
    <row r="28" spans="1:8" ht="12">
      <c r="A28" s="592">
        <v>16</v>
      </c>
      <c r="B28" s="586" t="s">
        <v>144</v>
      </c>
      <c r="E28" s="602">
        <f>F28+G28</f>
        <v>0</v>
      </c>
      <c r="F28" s="602"/>
      <c r="G28" s="602">
        <f>F111</f>
        <v>0</v>
      </c>
      <c r="H28" s="600" t="str">
        <f>IF(E28=F28+G28," ","ERROR")</f>
        <v xml:space="preserve"> </v>
      </c>
    </row>
    <row r="29" spans="1:8" ht="12">
      <c r="A29" s="592">
        <v>17</v>
      </c>
      <c r="B29" s="586" t="s">
        <v>146</v>
      </c>
      <c r="E29" s="601">
        <f>SUM(E26:E28)</f>
        <v>0</v>
      </c>
      <c r="F29" s="601">
        <f>SUM(F26:F28)</f>
        <v>0</v>
      </c>
      <c r="G29" s="601">
        <f>SUM(G26:G28)</f>
        <v>0</v>
      </c>
      <c r="H29" s="600" t="str">
        <f>IF(E29=F29+G29," ","ERROR")</f>
        <v xml:space="preserve"> </v>
      </c>
    </row>
    <row r="30" spans="1:8" ht="12">
      <c r="A30" s="592"/>
      <c r="E30" s="601"/>
      <c r="F30" s="601"/>
      <c r="G30" s="601"/>
      <c r="H30" s="600"/>
    </row>
    <row r="31" spans="1:8" ht="12">
      <c r="A31" s="592">
        <v>18</v>
      </c>
      <c r="B31" s="586" t="s">
        <v>86</v>
      </c>
      <c r="E31" s="601"/>
      <c r="F31" s="601"/>
      <c r="G31" s="601"/>
      <c r="H31" s="600" t="str">
        <f>IF(E31=F31+G31," ","ERROR")</f>
        <v xml:space="preserve"> </v>
      </c>
    </row>
    <row r="32" spans="1:8" ht="12">
      <c r="A32" s="592">
        <v>19</v>
      </c>
      <c r="B32" s="586" t="s">
        <v>87</v>
      </c>
      <c r="E32" s="601"/>
      <c r="F32" s="601"/>
      <c r="G32" s="601"/>
      <c r="H32" s="600" t="str">
        <f>IF(E32=F32+G32," ","ERROR")</f>
        <v xml:space="preserve"> </v>
      </c>
    </row>
    <row r="33" spans="1:9" ht="12">
      <c r="A33" s="592">
        <v>20</v>
      </c>
      <c r="B33" s="586" t="s">
        <v>147</v>
      </c>
      <c r="E33" s="601"/>
      <c r="F33" s="601"/>
      <c r="G33" s="601"/>
      <c r="H33" s="600" t="str">
        <f>IF(E33=F33+G33," ","ERROR")</f>
        <v xml:space="preserve"> </v>
      </c>
    </row>
    <row r="34" spans="1:9" ht="12">
      <c r="A34" s="592"/>
      <c r="B34" s="586" t="s">
        <v>148</v>
      </c>
      <c r="E34" s="601"/>
      <c r="F34" s="601"/>
      <c r="G34" s="601"/>
      <c r="H34" s="600"/>
    </row>
    <row r="35" spans="1:9" ht="12">
      <c r="A35" s="592">
        <v>21</v>
      </c>
      <c r="B35" s="586" t="s">
        <v>142</v>
      </c>
      <c r="E35" s="602">
        <f>F35+G35</f>
        <v>-86</v>
      </c>
      <c r="F35" s="601">
        <v>-86</v>
      </c>
      <c r="G35" s="601"/>
      <c r="H35" s="600" t="str">
        <f>IF(E35=F35+G35," ","ERROR")</f>
        <v xml:space="preserve"> </v>
      </c>
    </row>
    <row r="36" spans="1:9" ht="12">
      <c r="A36" s="592">
        <v>22</v>
      </c>
      <c r="B36" s="586" t="s">
        <v>143</v>
      </c>
      <c r="E36" s="601"/>
      <c r="F36" s="601"/>
      <c r="G36" s="601"/>
      <c r="H36" s="600" t="str">
        <f>IF(E36=F36+G36," ","ERROR")</f>
        <v xml:space="preserve"> </v>
      </c>
    </row>
    <row r="37" spans="1:9" ht="12">
      <c r="A37" s="592">
        <v>23</v>
      </c>
      <c r="B37" s="586" t="s">
        <v>144</v>
      </c>
      <c r="E37" s="602"/>
      <c r="F37" s="602"/>
      <c r="G37" s="602"/>
      <c r="H37" s="600" t="str">
        <f>IF(E37=F37+G37," ","ERROR")</f>
        <v xml:space="preserve"> </v>
      </c>
    </row>
    <row r="38" spans="1:9" ht="12">
      <c r="A38" s="592">
        <v>24</v>
      </c>
      <c r="B38" s="586" t="s">
        <v>149</v>
      </c>
      <c r="E38" s="602">
        <f>SUM(E35:E37)</f>
        <v>-86</v>
      </c>
      <c r="F38" s="602">
        <f>SUM(F35:F37)</f>
        <v>-86</v>
      </c>
      <c r="G38" s="602">
        <f>SUM(G35:G37)</f>
        <v>0</v>
      </c>
      <c r="H38" s="600" t="str">
        <f>IF(E38=F38+G38," ","ERROR")</f>
        <v xml:space="preserve"> </v>
      </c>
    </row>
    <row r="39" spans="1:9" ht="12">
      <c r="A39" s="592">
        <v>25</v>
      </c>
      <c r="B39" s="586" t="s">
        <v>91</v>
      </c>
      <c r="E39" s="602">
        <f>E19+E24+E29+E31+E32+E33+E38+E14</f>
        <v>-86</v>
      </c>
      <c r="F39" s="602">
        <f>F19+F24+F29+F31+F32+F33+F38+F14</f>
        <v>-86</v>
      </c>
      <c r="G39" s="602">
        <f>G19+G24+G29+G31+G32+G33+G38+G14</f>
        <v>0</v>
      </c>
      <c r="H39" s="600" t="str">
        <f>IF(E39=F39+G39," ","ERROR")</f>
        <v xml:space="preserve"> </v>
      </c>
    </row>
    <row r="40" spans="1:9" ht="12">
      <c r="A40" s="592"/>
      <c r="E40" s="601"/>
      <c r="F40" s="601"/>
      <c r="G40" s="601"/>
      <c r="H40" s="600"/>
    </row>
    <row r="41" spans="1:9" ht="12">
      <c r="A41" s="592">
        <v>26</v>
      </c>
      <c r="B41" s="586" t="s">
        <v>150</v>
      </c>
      <c r="E41" s="601">
        <f>E11-E39</f>
        <v>86</v>
      </c>
      <c r="F41" s="601">
        <f>F11-F39</f>
        <v>86</v>
      </c>
      <c r="G41" s="601">
        <f>G11-G39</f>
        <v>0</v>
      </c>
      <c r="H41" s="600" t="str">
        <f>IF(E41=F41+G41," ","ERROR")</f>
        <v xml:space="preserve"> </v>
      </c>
    </row>
    <row r="42" spans="1:9" ht="12">
      <c r="A42" s="592"/>
      <c r="E42" s="601"/>
      <c r="F42" s="601"/>
      <c r="G42" s="601"/>
      <c r="H42" s="600"/>
    </row>
    <row r="43" spans="1:9" ht="12">
      <c r="A43" s="592"/>
      <c r="B43" s="586" t="s">
        <v>151</v>
      </c>
      <c r="E43" s="601"/>
      <c r="F43" s="601"/>
      <c r="G43" s="601"/>
      <c r="H43" s="600"/>
    </row>
    <row r="44" spans="1:9" ht="12">
      <c r="A44" s="592">
        <v>27</v>
      </c>
      <c r="B44" s="603" t="s">
        <v>165</v>
      </c>
      <c r="D44" s="394">
        <v>0.35</v>
      </c>
      <c r="E44" s="391">
        <f>F44+G44</f>
        <v>30</v>
      </c>
      <c r="F44" s="391">
        <f>ROUND(F41*D44,0)</f>
        <v>30</v>
      </c>
      <c r="G44" s="391">
        <f>ROUND(G41*D44,0)</f>
        <v>0</v>
      </c>
      <c r="H44" s="847"/>
      <c r="I44" s="848"/>
    </row>
    <row r="45" spans="1:9" ht="12">
      <c r="A45" s="592">
        <v>28</v>
      </c>
      <c r="B45" s="586" t="s">
        <v>154</v>
      </c>
      <c r="E45" s="601"/>
      <c r="F45" s="601"/>
      <c r="G45" s="601"/>
      <c r="H45" s="600" t="str">
        <f>IF(E45=F45+G45," ","ERROR")</f>
        <v xml:space="preserve"> </v>
      </c>
    </row>
    <row r="46" spans="1:9" ht="12">
      <c r="A46" s="592">
        <v>29</v>
      </c>
      <c r="B46" s="586" t="s">
        <v>153</v>
      </c>
      <c r="E46" s="602"/>
      <c r="F46" s="602"/>
      <c r="G46" s="602"/>
      <c r="H46" s="600" t="str">
        <f>IF(E46=F46+G46," ","ERROR")</f>
        <v xml:space="preserve"> </v>
      </c>
    </row>
    <row r="47" spans="1:9" ht="12">
      <c r="A47" s="592"/>
      <c r="H47" s="600"/>
    </row>
    <row r="48" spans="1:9" ht="12">
      <c r="A48" s="592">
        <v>30</v>
      </c>
      <c r="B48" s="606" t="s">
        <v>97</v>
      </c>
      <c r="E48" s="599">
        <f>E41-(+E44+E45+E46)</f>
        <v>56</v>
      </c>
      <c r="F48" s="599">
        <f>F41-F44+F45+F46</f>
        <v>56</v>
      </c>
      <c r="G48" s="599">
        <f>G41-SUM(G44:G46)</f>
        <v>0</v>
      </c>
      <c r="H48" s="600" t="str">
        <f>IF(E48=F48+G48," ","ERROR")</f>
        <v xml:space="preserve"> </v>
      </c>
    </row>
    <row r="49" spans="1:8" ht="12">
      <c r="A49" s="592"/>
      <c r="H49" s="600"/>
    </row>
    <row r="50" spans="1:8" ht="12">
      <c r="A50" s="592"/>
      <c r="B50" s="603" t="s">
        <v>155</v>
      </c>
      <c r="H50" s="600"/>
    </row>
    <row r="51" spans="1:8" ht="12">
      <c r="A51" s="592"/>
      <c r="B51" s="603" t="s">
        <v>156</v>
      </c>
      <c r="H51" s="600"/>
    </row>
    <row r="52" spans="1:8" ht="12">
      <c r="A52" s="592">
        <v>31</v>
      </c>
      <c r="B52" s="586" t="s">
        <v>157</v>
      </c>
      <c r="E52" s="599"/>
      <c r="F52" s="599"/>
      <c r="G52" s="599"/>
      <c r="H52" s="600" t="str">
        <f t="shared" ref="H52:H63" si="0">IF(E52=F52+G52," ","ERROR")</f>
        <v xml:space="preserve"> </v>
      </c>
    </row>
    <row r="53" spans="1:8" ht="12">
      <c r="A53" s="592">
        <v>32</v>
      </c>
      <c r="B53" s="586" t="s">
        <v>158</v>
      </c>
      <c r="E53" s="601"/>
      <c r="F53" s="601"/>
      <c r="G53" s="601"/>
      <c r="H53" s="600" t="str">
        <f t="shared" si="0"/>
        <v xml:space="preserve"> </v>
      </c>
    </row>
    <row r="54" spans="1:8" ht="12">
      <c r="A54" s="592">
        <v>33</v>
      </c>
      <c r="B54" s="586" t="s">
        <v>166</v>
      </c>
      <c r="E54" s="602"/>
      <c r="F54" s="602"/>
      <c r="G54" s="602"/>
      <c r="H54" s="600" t="str">
        <f t="shared" si="0"/>
        <v xml:space="preserve"> </v>
      </c>
    </row>
    <row r="55" spans="1:8" ht="12">
      <c r="A55" s="592">
        <v>34</v>
      </c>
      <c r="B55" s="586" t="s">
        <v>160</v>
      </c>
      <c r="E55" s="601">
        <f>SUM(E52:E54)</f>
        <v>0</v>
      </c>
      <c r="F55" s="601">
        <f>SUM(F52:F54)</f>
        <v>0</v>
      </c>
      <c r="G55" s="601">
        <f>SUM(G52:G54)</f>
        <v>0</v>
      </c>
      <c r="H55" s="600" t="str">
        <f t="shared" si="0"/>
        <v xml:space="preserve"> </v>
      </c>
    </row>
    <row r="56" spans="1:8" ht="12">
      <c r="A56" s="592"/>
      <c r="B56" s="586" t="s">
        <v>102</v>
      </c>
      <c r="E56" s="601"/>
      <c r="F56" s="601"/>
      <c r="G56" s="601"/>
      <c r="H56" s="600" t="str">
        <f t="shared" si="0"/>
        <v xml:space="preserve"> </v>
      </c>
    </row>
    <row r="57" spans="1:8" ht="12">
      <c r="A57" s="592">
        <v>35</v>
      </c>
      <c r="B57" s="586" t="s">
        <v>157</v>
      </c>
      <c r="E57" s="601"/>
      <c r="F57" s="601"/>
      <c r="G57" s="601"/>
      <c r="H57" s="600" t="str">
        <f t="shared" si="0"/>
        <v xml:space="preserve"> </v>
      </c>
    </row>
    <row r="58" spans="1:8" ht="12">
      <c r="A58" s="592">
        <v>36</v>
      </c>
      <c r="B58" s="586" t="s">
        <v>158</v>
      </c>
      <c r="E58" s="601"/>
      <c r="F58" s="601"/>
      <c r="G58" s="601"/>
      <c r="H58" s="600" t="str">
        <f t="shared" si="0"/>
        <v xml:space="preserve"> </v>
      </c>
    </row>
    <row r="59" spans="1:8" ht="12">
      <c r="A59" s="592">
        <v>37</v>
      </c>
      <c r="B59" s="586" t="s">
        <v>166</v>
      </c>
      <c r="E59" s="602"/>
      <c r="F59" s="602"/>
      <c r="G59" s="602"/>
      <c r="H59" s="600" t="str">
        <f t="shared" si="0"/>
        <v xml:space="preserve"> </v>
      </c>
    </row>
    <row r="60" spans="1:8" ht="12">
      <c r="A60" s="592">
        <v>38</v>
      </c>
      <c r="B60" s="586" t="s">
        <v>161</v>
      </c>
      <c r="E60" s="601">
        <f>SUM(E57:E59)</f>
        <v>0</v>
      </c>
      <c r="F60" s="601">
        <f>SUM(F57:F59)</f>
        <v>0</v>
      </c>
      <c r="G60" s="601">
        <f>SUM(G57:G59)</f>
        <v>0</v>
      </c>
      <c r="H60" s="600" t="str">
        <f t="shared" si="0"/>
        <v xml:space="preserve"> </v>
      </c>
    </row>
    <row r="61" spans="1:8" ht="12">
      <c r="A61" s="592">
        <v>39</v>
      </c>
      <c r="B61" s="603" t="s">
        <v>162</v>
      </c>
      <c r="E61" s="601"/>
      <c r="F61" s="601"/>
      <c r="G61" s="601"/>
      <c r="H61" s="600" t="str">
        <f t="shared" si="0"/>
        <v xml:space="preserve"> </v>
      </c>
    </row>
    <row r="62" spans="1:8" ht="12">
      <c r="A62" s="592">
        <v>40</v>
      </c>
      <c r="B62" s="586" t="s">
        <v>105</v>
      </c>
      <c r="E62" s="601"/>
      <c r="F62" s="601"/>
      <c r="G62" s="601"/>
      <c r="H62" s="600" t="str">
        <f t="shared" si="0"/>
        <v xml:space="preserve"> </v>
      </c>
    </row>
    <row r="63" spans="1:8" ht="12">
      <c r="A63" s="592">
        <v>41</v>
      </c>
      <c r="B63" s="603" t="s">
        <v>106</v>
      </c>
      <c r="E63" s="602"/>
      <c r="F63" s="602"/>
      <c r="G63" s="602"/>
      <c r="H63" s="600" t="str">
        <f t="shared" si="0"/>
        <v xml:space="preserve"> </v>
      </c>
    </row>
    <row r="64" spans="1:8" ht="12">
      <c r="A64" s="592"/>
      <c r="B64" s="586" t="s">
        <v>163</v>
      </c>
      <c r="H64" s="600"/>
    </row>
    <row r="65" spans="1:8" ht="12.75" thickBot="1">
      <c r="A65" s="592">
        <v>42</v>
      </c>
      <c r="B65" s="606" t="s">
        <v>107</v>
      </c>
      <c r="E65" s="607">
        <f>E55-E60+E61+E62+E63</f>
        <v>0</v>
      </c>
      <c r="F65" s="607">
        <f>F55-F60+F61+F62+F63</f>
        <v>0</v>
      </c>
      <c r="G65" s="607">
        <f>G55-G60+G61+G62+G63</f>
        <v>0</v>
      </c>
      <c r="H65" s="600" t="str">
        <f>IF(E65=F65+G65," ","ERROR")</f>
        <v xml:space="preserve"> </v>
      </c>
    </row>
    <row r="66" spans="1:8" ht="12.75" thickTop="1">
      <c r="A66" s="585" t="str">
        <f>Inputs!$D$6</f>
        <v>AVISTA UTILITIES</v>
      </c>
      <c r="B66" s="585"/>
      <c r="C66" s="585"/>
      <c r="G66" s="586"/>
    </row>
    <row r="67" spans="1:8" ht="12">
      <c r="A67" s="585" t="s">
        <v>169</v>
      </c>
      <c r="B67" s="585"/>
      <c r="C67" s="585"/>
      <c r="G67" s="586"/>
    </row>
    <row r="68" spans="1:8" ht="12">
      <c r="A68" s="585" t="str">
        <f>A3</f>
        <v>TWELVE MONTHS ENDED SEPTEMBER 30, 2008</v>
      </c>
      <c r="B68" s="585"/>
      <c r="C68" s="585"/>
      <c r="F68" s="589" t="str">
        <f>F2</f>
        <v>MISCELLANEOUS</v>
      </c>
      <c r="G68" s="586"/>
    </row>
    <row r="69" spans="1:8" ht="12">
      <c r="A69" s="585" t="s">
        <v>170</v>
      </c>
      <c r="B69" s="585"/>
      <c r="C69" s="585"/>
      <c r="F69" s="589" t="str">
        <f>F3</f>
        <v>RESTATING ADJUSTMENTS</v>
      </c>
      <c r="G69" s="586"/>
    </row>
    <row r="70" spans="1:8" ht="12">
      <c r="E70" s="608"/>
      <c r="F70" s="596" t="str">
        <f>F4</f>
        <v>GAS</v>
      </c>
      <c r="G70" s="609"/>
    </row>
    <row r="71" spans="1:8" ht="12">
      <c r="A71" s="592" t="s">
        <v>10</v>
      </c>
      <c r="F71" s="589"/>
    </row>
    <row r="72" spans="1:8" ht="12">
      <c r="A72" s="610" t="s">
        <v>27</v>
      </c>
      <c r="B72" s="594" t="s">
        <v>113</v>
      </c>
      <c r="C72" s="594"/>
      <c r="F72" s="596" t="s">
        <v>132</v>
      </c>
    </row>
    <row r="73" spans="1:8" ht="12">
      <c r="A73" s="592"/>
      <c r="B73" s="586" t="s">
        <v>68</v>
      </c>
      <c r="E73" s="586"/>
      <c r="G73" s="586"/>
    </row>
    <row r="74" spans="1:8" ht="12">
      <c r="A74" s="592">
        <v>1</v>
      </c>
      <c r="B74" s="586" t="s">
        <v>134</v>
      </c>
      <c r="E74" s="586"/>
      <c r="F74" s="599">
        <f>G8</f>
        <v>0</v>
      </c>
      <c r="G74" s="586"/>
    </row>
    <row r="75" spans="1:8" ht="12">
      <c r="A75" s="592">
        <v>2</v>
      </c>
      <c r="B75" s="586" t="s">
        <v>135</v>
      </c>
      <c r="E75" s="586"/>
      <c r="F75" s="601">
        <f>G9</f>
        <v>0</v>
      </c>
      <c r="G75" s="586"/>
    </row>
    <row r="76" spans="1:8" ht="12">
      <c r="A76" s="592">
        <v>3</v>
      </c>
      <c r="B76" s="586" t="s">
        <v>71</v>
      </c>
      <c r="E76" s="586"/>
      <c r="F76" s="602">
        <f>G10</f>
        <v>0</v>
      </c>
      <c r="G76" s="586"/>
    </row>
    <row r="77" spans="1:8" ht="12">
      <c r="A77" s="592"/>
      <c r="E77" s="586"/>
      <c r="F77" s="601"/>
      <c r="G77" s="586"/>
    </row>
    <row r="78" spans="1:8" ht="12">
      <c r="A78" s="592">
        <v>4</v>
      </c>
      <c r="B78" s="586" t="s">
        <v>136</v>
      </c>
      <c r="E78" s="586"/>
      <c r="F78" s="601">
        <f>F74+F75+F76</f>
        <v>0</v>
      </c>
      <c r="G78" s="586"/>
    </row>
    <row r="79" spans="1:8" ht="12">
      <c r="A79" s="592"/>
      <c r="E79" s="586"/>
      <c r="F79" s="601"/>
      <c r="G79" s="586"/>
    </row>
    <row r="80" spans="1:8" ht="12">
      <c r="A80" s="592"/>
      <c r="B80" s="586" t="s">
        <v>73</v>
      </c>
      <c r="E80" s="586"/>
      <c r="F80" s="601"/>
      <c r="G80" s="586"/>
    </row>
    <row r="81" spans="1:7" ht="12">
      <c r="A81" s="592">
        <v>5</v>
      </c>
      <c r="B81" s="586" t="s">
        <v>137</v>
      </c>
      <c r="E81" s="586"/>
      <c r="F81" s="601">
        <f>G14</f>
        <v>0</v>
      </c>
      <c r="G81" s="586"/>
    </row>
    <row r="82" spans="1:7" ht="12">
      <c r="A82" s="592"/>
      <c r="B82" s="586" t="s">
        <v>75</v>
      </c>
      <c r="E82" s="586"/>
      <c r="F82" s="601"/>
      <c r="G82" s="586"/>
    </row>
    <row r="83" spans="1:7" ht="12">
      <c r="A83" s="592">
        <v>6</v>
      </c>
      <c r="B83" s="586" t="s">
        <v>138</v>
      </c>
      <c r="E83" s="586"/>
      <c r="F83" s="601">
        <f>G16</f>
        <v>0</v>
      </c>
      <c r="G83" s="586"/>
    </row>
    <row r="84" spans="1:7" ht="12">
      <c r="A84" s="592">
        <v>7</v>
      </c>
      <c r="B84" s="586" t="s">
        <v>139</v>
      </c>
      <c r="E84" s="586"/>
      <c r="F84" s="601">
        <f>G17</f>
        <v>0</v>
      </c>
      <c r="G84" s="586"/>
    </row>
    <row r="85" spans="1:7" ht="12">
      <c r="A85" s="592">
        <v>8</v>
      </c>
      <c r="B85" s="586" t="s">
        <v>140</v>
      </c>
      <c r="E85" s="586"/>
      <c r="F85" s="602">
        <f>G18</f>
        <v>0</v>
      </c>
      <c r="G85" s="586"/>
    </row>
    <row r="86" spans="1:7" ht="12">
      <c r="A86" s="592">
        <v>9</v>
      </c>
      <c r="B86" s="586" t="s">
        <v>141</v>
      </c>
      <c r="E86" s="586"/>
      <c r="F86" s="601">
        <f>F83+F84+F85</f>
        <v>0</v>
      </c>
      <c r="G86" s="586"/>
    </row>
    <row r="87" spans="1:7" ht="12">
      <c r="A87" s="592"/>
      <c r="B87" s="586" t="s">
        <v>80</v>
      </c>
      <c r="E87" s="586"/>
      <c r="F87" s="601"/>
      <c r="G87" s="586"/>
    </row>
    <row r="88" spans="1:7" ht="12">
      <c r="A88" s="592">
        <v>10</v>
      </c>
      <c r="B88" s="586" t="s">
        <v>142</v>
      </c>
      <c r="E88" s="586"/>
      <c r="F88" s="601">
        <f>G21</f>
        <v>0</v>
      </c>
      <c r="G88" s="586"/>
    </row>
    <row r="89" spans="1:7" ht="12">
      <c r="A89" s="592">
        <v>11</v>
      </c>
      <c r="B89" s="586" t="s">
        <v>143</v>
      </c>
      <c r="E89" s="586"/>
      <c r="F89" s="601">
        <f>G22</f>
        <v>0</v>
      </c>
      <c r="G89" s="586"/>
    </row>
    <row r="90" spans="1:7" ht="12">
      <c r="A90" s="592">
        <v>12</v>
      </c>
      <c r="B90" s="586" t="s">
        <v>144</v>
      </c>
      <c r="E90" s="586"/>
      <c r="F90" s="602">
        <f>G23</f>
        <v>0</v>
      </c>
      <c r="G90" s="586"/>
    </row>
    <row r="91" spans="1:7" ht="12">
      <c r="A91" s="592">
        <v>13</v>
      </c>
      <c r="B91" s="586" t="s">
        <v>145</v>
      </c>
      <c r="E91" s="586"/>
      <c r="F91" s="601">
        <f>F88+F89+F90</f>
        <v>0</v>
      </c>
      <c r="G91" s="586"/>
    </row>
    <row r="92" spans="1:7" ht="12">
      <c r="A92" s="592"/>
      <c r="B92" s="586" t="s">
        <v>84</v>
      </c>
      <c r="E92" s="586"/>
      <c r="F92" s="601"/>
      <c r="G92" s="586"/>
    </row>
    <row r="93" spans="1:7" ht="12">
      <c r="A93" s="592">
        <v>14</v>
      </c>
      <c r="B93" s="586" t="s">
        <v>142</v>
      </c>
      <c r="E93" s="586"/>
      <c r="F93" s="601">
        <f>G26</f>
        <v>0</v>
      </c>
      <c r="G93" s="586"/>
    </row>
    <row r="94" spans="1:7" ht="12">
      <c r="A94" s="592">
        <v>15</v>
      </c>
      <c r="B94" s="586" t="s">
        <v>143</v>
      </c>
      <c r="E94" s="586"/>
      <c r="F94" s="601">
        <f>G27</f>
        <v>0</v>
      </c>
      <c r="G94" s="586"/>
    </row>
    <row r="95" spans="1:7" ht="12">
      <c r="A95" s="592">
        <v>16</v>
      </c>
      <c r="B95" s="586" t="s">
        <v>144</v>
      </c>
      <c r="E95" s="586"/>
      <c r="F95" s="602"/>
      <c r="G95" s="586"/>
    </row>
    <row r="96" spans="1:7" ht="12">
      <c r="A96" s="592">
        <v>17</v>
      </c>
      <c r="B96" s="586" t="s">
        <v>146</v>
      </c>
      <c r="E96" s="586"/>
      <c r="F96" s="601">
        <f>F93+F94+F95</f>
        <v>0</v>
      </c>
      <c r="G96" s="586"/>
    </row>
    <row r="97" spans="1:7" ht="12">
      <c r="A97" s="592">
        <v>18</v>
      </c>
      <c r="B97" s="586" t="s">
        <v>86</v>
      </c>
      <c r="E97" s="586"/>
      <c r="F97" s="601">
        <f>G31</f>
        <v>0</v>
      </c>
      <c r="G97" s="586"/>
    </row>
    <row r="98" spans="1:7" ht="12">
      <c r="A98" s="592">
        <v>19</v>
      </c>
      <c r="B98" s="586" t="s">
        <v>87</v>
      </c>
      <c r="E98" s="586"/>
      <c r="F98" s="601">
        <f>G32</f>
        <v>0</v>
      </c>
      <c r="G98" s="586"/>
    </row>
    <row r="99" spans="1:7" ht="12">
      <c r="A99" s="592">
        <v>20</v>
      </c>
      <c r="B99" s="586" t="s">
        <v>147</v>
      </c>
      <c r="E99" s="586"/>
      <c r="F99" s="601">
        <f>G33</f>
        <v>0</v>
      </c>
      <c r="G99" s="586"/>
    </row>
    <row r="100" spans="1:7" ht="12">
      <c r="A100" s="592"/>
      <c r="B100" s="586" t="s">
        <v>148</v>
      </c>
      <c r="E100" s="586"/>
      <c r="F100" s="601"/>
      <c r="G100" s="586"/>
    </row>
    <row r="101" spans="1:7" ht="12">
      <c r="A101" s="592">
        <v>21</v>
      </c>
      <c r="B101" s="586" t="s">
        <v>142</v>
      </c>
      <c r="E101" s="586"/>
      <c r="F101" s="601">
        <f>G35</f>
        <v>0</v>
      </c>
      <c r="G101" s="586"/>
    </row>
    <row r="102" spans="1:7" ht="12">
      <c r="A102" s="592">
        <v>22</v>
      </c>
      <c r="B102" s="586" t="s">
        <v>143</v>
      </c>
      <c r="E102" s="586"/>
      <c r="F102" s="601">
        <f>G36</f>
        <v>0</v>
      </c>
      <c r="G102" s="586"/>
    </row>
    <row r="103" spans="1:7" ht="12">
      <c r="A103" s="592">
        <v>23</v>
      </c>
      <c r="B103" s="586" t="s">
        <v>144</v>
      </c>
      <c r="E103" s="586"/>
      <c r="F103" s="602">
        <f>G37</f>
        <v>0</v>
      </c>
      <c r="G103" s="586"/>
    </row>
    <row r="104" spans="1:7" ht="12">
      <c r="A104" s="592">
        <v>24</v>
      </c>
      <c r="B104" s="586" t="s">
        <v>149</v>
      </c>
      <c r="E104" s="586"/>
      <c r="F104" s="602">
        <f>F101+F102+F103</f>
        <v>0</v>
      </c>
      <c r="G104" s="586"/>
    </row>
    <row r="105" spans="1:7" ht="12">
      <c r="A105" s="592"/>
      <c r="E105" s="586"/>
      <c r="F105" s="601"/>
      <c r="G105" s="586"/>
    </row>
    <row r="106" spans="1:7" ht="12">
      <c r="A106" s="592">
        <v>25</v>
      </c>
      <c r="B106" s="586" t="s">
        <v>91</v>
      </c>
      <c r="E106" s="586"/>
      <c r="F106" s="602">
        <f>F104+F99+F98+F97+F96+F91+F86+F81</f>
        <v>0</v>
      </c>
      <c r="G106" s="586"/>
    </row>
    <row r="107" spans="1:7" ht="12">
      <c r="A107" s="592"/>
      <c r="E107" s="586"/>
      <c r="F107" s="601"/>
      <c r="G107" s="586"/>
    </row>
    <row r="108" spans="1:7" ht="12">
      <c r="A108" s="592">
        <v>26</v>
      </c>
      <c r="B108" s="586" t="s">
        <v>171</v>
      </c>
      <c r="E108" s="586"/>
      <c r="F108" s="602">
        <f>F78-F106</f>
        <v>0</v>
      </c>
      <c r="G108" s="586"/>
    </row>
    <row r="109" spans="1:7" ht="12">
      <c r="A109" s="592"/>
      <c r="E109" s="586"/>
      <c r="G109" s="586"/>
    </row>
    <row r="110" spans="1:7" ht="12">
      <c r="A110" s="592">
        <v>27</v>
      </c>
      <c r="B110" s="586" t="s">
        <v>172</v>
      </c>
      <c r="G110" s="586"/>
    </row>
    <row r="111" spans="1:7" ht="12.75" thickBot="1">
      <c r="A111" s="592"/>
      <c r="B111" s="611" t="s">
        <v>173</v>
      </c>
      <c r="C111" s="612">
        <f>Inputs!$D$4</f>
        <v>1.1416000000000001E-2</v>
      </c>
      <c r="F111" s="607">
        <f>ROUND(F108*C111,0)</f>
        <v>0</v>
      </c>
      <c r="G111" s="586"/>
    </row>
    <row r="112" spans="1:7" ht="12.75" thickTop="1">
      <c r="A112" s="592"/>
      <c r="G112" s="586"/>
    </row>
  </sheetData>
  <phoneticPr fontId="0" type="noConversion"/>
  <pageMargins left="1" right="0.5" top="0.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/>
  <dimension ref="A1:I112"/>
  <sheetViews>
    <sheetView zoomScaleNormal="100" workbookViewId="0">
      <selection activeCell="M10" sqref="M10"/>
    </sheetView>
  </sheetViews>
  <sheetFormatPr defaultColWidth="12.42578125" defaultRowHeight="11.1" customHeight="1"/>
  <cols>
    <col min="1" max="1" width="5.5703125" style="586" customWidth="1"/>
    <col min="2" max="2" width="26.140625" style="586" customWidth="1"/>
    <col min="3" max="3" width="12.42578125" style="586" customWidth="1"/>
    <col min="4" max="4" width="6.7109375" style="586" customWidth="1"/>
    <col min="5" max="5" width="12.42578125" style="604" customWidth="1"/>
    <col min="6" max="6" width="12.42578125" style="605" customWidth="1"/>
    <col min="7" max="7" width="12.42578125" style="604" customWidth="1"/>
    <col min="8" max="16384" width="12.42578125" style="586"/>
  </cols>
  <sheetData>
    <row r="1" spans="1:8" ht="12">
      <c r="A1" s="585" t="str">
        <f>Inputs!$D$6</f>
        <v>AVISTA UTILITIES</v>
      </c>
      <c r="B1" s="585"/>
      <c r="C1" s="585"/>
      <c r="E1" s="587"/>
      <c r="F1" s="588"/>
      <c r="G1" s="587"/>
    </row>
    <row r="2" spans="1:8" ht="12">
      <c r="A2" s="585" t="s">
        <v>125</v>
      </c>
      <c r="B2" s="585"/>
      <c r="C2" s="585"/>
      <c r="E2" s="587"/>
      <c r="F2" s="589" t="s">
        <v>188</v>
      </c>
      <c r="G2" s="587"/>
    </row>
    <row r="3" spans="1:8" ht="12">
      <c r="A3" s="585" t="str">
        <f>Inputs!$D$2</f>
        <v>TWELVE MONTHS ENDED SEPTEMBER 30, 2008</v>
      </c>
      <c r="B3" s="585"/>
      <c r="C3" s="585"/>
      <c r="E3" s="587"/>
      <c r="F3" s="589" t="s">
        <v>189</v>
      </c>
      <c r="G3" s="586"/>
    </row>
    <row r="4" spans="1:8" ht="12">
      <c r="A4" s="585" t="s">
        <v>128</v>
      </c>
      <c r="B4" s="585"/>
      <c r="C4" s="585"/>
      <c r="E4" s="590"/>
      <c r="F4" s="591" t="s">
        <v>129</v>
      </c>
      <c r="G4" s="590"/>
    </row>
    <row r="5" spans="1:8" ht="12">
      <c r="A5" s="592" t="s">
        <v>10</v>
      </c>
      <c r="E5" s="587"/>
      <c r="F5" s="589"/>
      <c r="G5" s="587"/>
    </row>
    <row r="6" spans="1:8" ht="12">
      <c r="A6" s="593" t="s">
        <v>27</v>
      </c>
      <c r="B6" s="594" t="s">
        <v>113</v>
      </c>
      <c r="C6" s="594"/>
      <c r="E6" s="595" t="s">
        <v>130</v>
      </c>
      <c r="F6" s="596" t="s">
        <v>131</v>
      </c>
      <c r="G6" s="595" t="s">
        <v>132</v>
      </c>
      <c r="H6" s="597" t="s">
        <v>133</v>
      </c>
    </row>
    <row r="7" spans="1:8" ht="12">
      <c r="A7" s="592"/>
      <c r="B7" s="586" t="s">
        <v>68</v>
      </c>
      <c r="E7" s="598"/>
      <c r="F7" s="589"/>
      <c r="G7" s="598"/>
    </row>
    <row r="8" spans="1:8" ht="12">
      <c r="A8" s="592">
        <v>1</v>
      </c>
      <c r="B8" s="586" t="s">
        <v>134</v>
      </c>
      <c r="E8" s="599"/>
      <c r="F8" s="599"/>
      <c r="G8" s="599"/>
      <c r="H8" s="600" t="str">
        <f>IF(E8=F8+G8," ","ERROR")</f>
        <v xml:space="preserve"> </v>
      </c>
    </row>
    <row r="9" spans="1:8" ht="12">
      <c r="A9" s="592">
        <v>2</v>
      </c>
      <c r="B9" s="586" t="s">
        <v>135</v>
      </c>
      <c r="E9" s="601"/>
      <c r="F9" s="601"/>
      <c r="G9" s="601"/>
      <c r="H9" s="600" t="str">
        <f>IF(E9=F9+G9," ","ERROR")</f>
        <v xml:space="preserve"> </v>
      </c>
    </row>
    <row r="10" spans="1:8" ht="12">
      <c r="A10" s="592">
        <v>3</v>
      </c>
      <c r="B10" s="586" t="s">
        <v>71</v>
      </c>
      <c r="E10" s="602"/>
      <c r="F10" s="602"/>
      <c r="G10" s="602"/>
      <c r="H10" s="600" t="str">
        <f>IF(E10=F10+G10," ","ERROR")</f>
        <v xml:space="preserve"> </v>
      </c>
    </row>
    <row r="11" spans="1:8" ht="12">
      <c r="A11" s="592">
        <v>4</v>
      </c>
      <c r="B11" s="586" t="s">
        <v>136</v>
      </c>
      <c r="E11" s="601">
        <f>SUM(E8:E10)</f>
        <v>0</v>
      </c>
      <c r="F11" s="601">
        <f>SUM(F8:F10)</f>
        <v>0</v>
      </c>
      <c r="G11" s="601">
        <f>SUM(G8:G10)</f>
        <v>0</v>
      </c>
      <c r="H11" s="600" t="str">
        <f>IF(E11=F11+G11," ","ERROR")</f>
        <v xml:space="preserve"> </v>
      </c>
    </row>
    <row r="12" spans="1:8" ht="12">
      <c r="A12" s="592"/>
      <c r="E12" s="601"/>
      <c r="F12" s="601"/>
      <c r="G12" s="601"/>
      <c r="H12" s="600"/>
    </row>
    <row r="13" spans="1:8" ht="12">
      <c r="A13" s="592"/>
      <c r="B13" s="586" t="s">
        <v>73</v>
      </c>
      <c r="E13" s="601"/>
      <c r="F13" s="601"/>
      <c r="G13" s="601"/>
      <c r="H13" s="600"/>
    </row>
    <row r="14" spans="1:8" ht="12">
      <c r="A14" s="592">
        <v>5</v>
      </c>
      <c r="B14" s="586" t="s">
        <v>137</v>
      </c>
      <c r="E14" s="601"/>
      <c r="F14" s="601"/>
      <c r="G14" s="601"/>
      <c r="H14" s="600" t="str">
        <f>IF(E14=F14+G14," ","ERROR")</f>
        <v xml:space="preserve"> </v>
      </c>
    </row>
    <row r="15" spans="1:8" ht="12">
      <c r="A15" s="592"/>
      <c r="B15" s="586" t="s">
        <v>75</v>
      </c>
      <c r="E15" s="601"/>
      <c r="F15" s="601"/>
      <c r="G15" s="601"/>
      <c r="H15" s="600"/>
    </row>
    <row r="16" spans="1:8" ht="12">
      <c r="A16" s="592">
        <v>6</v>
      </c>
      <c r="B16" s="586" t="s">
        <v>138</v>
      </c>
      <c r="E16" s="601"/>
      <c r="F16" s="601"/>
      <c r="G16" s="601"/>
      <c r="H16" s="600" t="str">
        <f>IF(E16=F16+G16," ","ERROR")</f>
        <v xml:space="preserve"> </v>
      </c>
    </row>
    <row r="17" spans="1:8" ht="12">
      <c r="A17" s="592">
        <v>7</v>
      </c>
      <c r="B17" s="586" t="s">
        <v>139</v>
      </c>
      <c r="E17" s="601"/>
      <c r="F17" s="601"/>
      <c r="G17" s="601"/>
      <c r="H17" s="600" t="str">
        <f>IF(E17=F17+G17," ","ERROR")</f>
        <v xml:space="preserve"> </v>
      </c>
    </row>
    <row r="18" spans="1:8" ht="12">
      <c r="A18" s="592">
        <v>8</v>
      </c>
      <c r="B18" s="586" t="s">
        <v>140</v>
      </c>
      <c r="E18" s="602"/>
      <c r="F18" s="602"/>
      <c r="G18" s="602"/>
      <c r="H18" s="600" t="str">
        <f>IF(E18=F18+G18," ","ERROR")</f>
        <v xml:space="preserve"> </v>
      </c>
    </row>
    <row r="19" spans="1:8" ht="12">
      <c r="A19" s="592">
        <v>9</v>
      </c>
      <c r="B19" s="586" t="s">
        <v>141</v>
      </c>
      <c r="E19" s="601">
        <f>SUM(E16:E18)</f>
        <v>0</v>
      </c>
      <c r="F19" s="601">
        <f>SUM(F16:F18)</f>
        <v>0</v>
      </c>
      <c r="G19" s="601">
        <f>SUM(G16:G18)</f>
        <v>0</v>
      </c>
      <c r="H19" s="600" t="str">
        <f>IF(E19=F19+G19," ","ERROR")</f>
        <v xml:space="preserve"> </v>
      </c>
    </row>
    <row r="20" spans="1:8" ht="12">
      <c r="A20" s="592"/>
      <c r="B20" s="586" t="s">
        <v>80</v>
      </c>
      <c r="E20" s="601"/>
      <c r="F20" s="601"/>
      <c r="G20" s="601"/>
      <c r="H20" s="600"/>
    </row>
    <row r="21" spans="1:8" ht="12">
      <c r="A21" s="592">
        <v>10</v>
      </c>
      <c r="B21" s="586" t="s">
        <v>142</v>
      </c>
      <c r="E21" s="601"/>
      <c r="F21" s="601"/>
      <c r="G21" s="601"/>
      <c r="H21" s="600" t="str">
        <f>IF(E21=F21+G21," ","ERROR")</f>
        <v xml:space="preserve"> </v>
      </c>
    </row>
    <row r="22" spans="1:8" ht="12">
      <c r="A22" s="592">
        <v>11</v>
      </c>
      <c r="B22" s="586" t="s">
        <v>143</v>
      </c>
      <c r="E22" s="601"/>
      <c r="F22" s="601"/>
      <c r="G22" s="601"/>
      <c r="H22" s="600" t="str">
        <f>IF(E22=F22+G22," ","ERROR")</f>
        <v xml:space="preserve"> </v>
      </c>
    </row>
    <row r="23" spans="1:8" ht="12">
      <c r="A23" s="592">
        <v>12</v>
      </c>
      <c r="B23" s="586" t="s">
        <v>144</v>
      </c>
      <c r="E23" s="602"/>
      <c r="F23" s="602"/>
      <c r="G23" s="602"/>
      <c r="H23" s="600" t="str">
        <f>IF(E23=F23+G23," ","ERROR")</f>
        <v xml:space="preserve"> </v>
      </c>
    </row>
    <row r="24" spans="1:8" ht="12">
      <c r="A24" s="592">
        <v>13</v>
      </c>
      <c r="B24" s="586" t="s">
        <v>145</v>
      </c>
      <c r="E24" s="601">
        <f>SUM(E21:E23)</f>
        <v>0</v>
      </c>
      <c r="F24" s="601">
        <f>SUM(F21:F23)</f>
        <v>0</v>
      </c>
      <c r="G24" s="601">
        <f>SUM(G21:G23)</f>
        <v>0</v>
      </c>
      <c r="H24" s="600" t="str">
        <f>IF(E24=F24+G24," ","ERROR")</f>
        <v xml:space="preserve"> </v>
      </c>
    </row>
    <row r="25" spans="1:8" ht="12">
      <c r="A25" s="592"/>
      <c r="B25" s="586" t="s">
        <v>84</v>
      </c>
      <c r="E25" s="601"/>
      <c r="F25" s="601"/>
      <c r="G25" s="601"/>
      <c r="H25" s="600"/>
    </row>
    <row r="26" spans="1:8" ht="12">
      <c r="A26" s="592">
        <v>14</v>
      </c>
      <c r="B26" s="586" t="s">
        <v>142</v>
      </c>
      <c r="E26" s="601"/>
      <c r="F26" s="601"/>
      <c r="G26" s="601"/>
      <c r="H26" s="600" t="str">
        <f>IF(E26=F26+G26," ","ERROR")</f>
        <v xml:space="preserve"> </v>
      </c>
    </row>
    <row r="27" spans="1:8" ht="12">
      <c r="A27" s="592">
        <v>15</v>
      </c>
      <c r="B27" s="586" t="s">
        <v>143</v>
      </c>
      <c r="E27" s="601"/>
      <c r="F27" s="601"/>
      <c r="G27" s="601"/>
      <c r="H27" s="600" t="str">
        <f>IF(E27=F27+G27," ","ERROR")</f>
        <v xml:space="preserve"> </v>
      </c>
    </row>
    <row r="28" spans="1:8" ht="12">
      <c r="A28" s="592">
        <v>16</v>
      </c>
      <c r="B28" s="586" t="s">
        <v>144</v>
      </c>
      <c r="E28" s="602">
        <f>F28+G28</f>
        <v>0</v>
      </c>
      <c r="F28" s="602"/>
      <c r="G28" s="602">
        <f>F111</f>
        <v>0</v>
      </c>
      <c r="H28" s="600" t="str">
        <f>IF(E28=F28+G28," ","ERROR")</f>
        <v xml:space="preserve"> </v>
      </c>
    </row>
    <row r="29" spans="1:8" ht="12">
      <c r="A29" s="592">
        <v>17</v>
      </c>
      <c r="B29" s="586" t="s">
        <v>146</v>
      </c>
      <c r="E29" s="601">
        <f>SUM(E26:E28)</f>
        <v>0</v>
      </c>
      <c r="F29" s="601">
        <f>SUM(F26:F28)</f>
        <v>0</v>
      </c>
      <c r="G29" s="601">
        <f>SUM(G26:G28)</f>
        <v>0</v>
      </c>
      <c r="H29" s="600" t="str">
        <f>IF(E29=F29+G29," ","ERROR")</f>
        <v xml:space="preserve"> </v>
      </c>
    </row>
    <row r="30" spans="1:8" ht="12">
      <c r="A30" s="592"/>
      <c r="E30" s="601"/>
      <c r="F30" s="601"/>
      <c r="G30" s="601"/>
      <c r="H30" s="600"/>
    </row>
    <row r="31" spans="1:8" ht="12">
      <c r="A31" s="592">
        <v>18</v>
      </c>
      <c r="B31" s="586" t="s">
        <v>86</v>
      </c>
      <c r="E31" s="601"/>
      <c r="F31" s="601"/>
      <c r="G31" s="601"/>
      <c r="H31" s="600" t="str">
        <f>IF(E31=F31+G31," ","ERROR")</f>
        <v xml:space="preserve"> </v>
      </c>
    </row>
    <row r="32" spans="1:8" ht="12">
      <c r="A32" s="592">
        <v>19</v>
      </c>
      <c r="B32" s="586" t="s">
        <v>87</v>
      </c>
      <c r="E32" s="601"/>
      <c r="F32" s="601"/>
      <c r="G32" s="601"/>
      <c r="H32" s="600" t="str">
        <f>IF(E32=F32+G32," ","ERROR")</f>
        <v xml:space="preserve"> </v>
      </c>
    </row>
    <row r="33" spans="1:9" ht="12">
      <c r="A33" s="592">
        <v>20</v>
      </c>
      <c r="B33" s="586" t="s">
        <v>147</v>
      </c>
      <c r="E33" s="601"/>
      <c r="F33" s="601"/>
      <c r="G33" s="601"/>
      <c r="H33" s="600" t="str">
        <f>IF(E33=F33+G33," ","ERROR")</f>
        <v xml:space="preserve"> </v>
      </c>
    </row>
    <row r="34" spans="1:9" ht="12">
      <c r="A34" s="592"/>
      <c r="B34" s="586" t="s">
        <v>148</v>
      </c>
      <c r="E34" s="601"/>
      <c r="F34" s="601"/>
      <c r="G34" s="601"/>
      <c r="H34" s="600"/>
    </row>
    <row r="35" spans="1:9" ht="12">
      <c r="A35" s="592">
        <v>21</v>
      </c>
      <c r="B35" s="586" t="s">
        <v>142</v>
      </c>
      <c r="E35" s="601"/>
      <c r="F35" s="601"/>
      <c r="G35" s="601"/>
      <c r="H35" s="600" t="str">
        <f>IF(E35=F35+G35," ","ERROR")</f>
        <v xml:space="preserve"> </v>
      </c>
    </row>
    <row r="36" spans="1:9" ht="12">
      <c r="A36" s="592">
        <v>22</v>
      </c>
      <c r="B36" s="586" t="s">
        <v>143</v>
      </c>
      <c r="E36" s="601"/>
      <c r="F36" s="601"/>
      <c r="G36" s="601"/>
      <c r="H36" s="600" t="str">
        <f>IF(E36=F36+G36," ","ERROR")</f>
        <v xml:space="preserve"> </v>
      </c>
    </row>
    <row r="37" spans="1:9" ht="12">
      <c r="A37" s="592">
        <v>23</v>
      </c>
      <c r="B37" s="586" t="s">
        <v>144</v>
      </c>
      <c r="E37" s="602"/>
      <c r="F37" s="602"/>
      <c r="G37" s="602"/>
      <c r="H37" s="600" t="str">
        <f>IF(E37=F37+G37," ","ERROR")</f>
        <v xml:space="preserve"> </v>
      </c>
    </row>
    <row r="38" spans="1:9" ht="12">
      <c r="A38" s="592">
        <v>24</v>
      </c>
      <c r="B38" s="586" t="s">
        <v>149</v>
      </c>
      <c r="E38" s="602">
        <f>SUM(E35:E37)</f>
        <v>0</v>
      </c>
      <c r="F38" s="602">
        <f>SUM(F35:F37)</f>
        <v>0</v>
      </c>
      <c r="G38" s="602">
        <f>SUM(G35:G37)</f>
        <v>0</v>
      </c>
      <c r="H38" s="600" t="str">
        <f>IF(E38=F38+G38," ","ERROR")</f>
        <v xml:space="preserve"> </v>
      </c>
    </row>
    <row r="39" spans="1:9" ht="12">
      <c r="A39" s="592">
        <v>25</v>
      </c>
      <c r="B39" s="586" t="s">
        <v>91</v>
      </c>
      <c r="E39" s="602">
        <f>E19+E24+E29+E31+E32+E33+E38+E14</f>
        <v>0</v>
      </c>
      <c r="F39" s="602">
        <f>F19+F24+F29+F31+F32+F33+F38+F14</f>
        <v>0</v>
      </c>
      <c r="G39" s="602">
        <f>G19+G24+G29+G31+G32+G33+G38+G14</f>
        <v>0</v>
      </c>
      <c r="H39" s="600" t="str">
        <f>IF(E39=F39+G39," ","ERROR")</f>
        <v xml:space="preserve"> </v>
      </c>
    </row>
    <row r="40" spans="1:9" ht="12">
      <c r="A40" s="592"/>
      <c r="E40" s="601"/>
      <c r="F40" s="601"/>
      <c r="G40" s="601"/>
      <c r="H40" s="600"/>
    </row>
    <row r="41" spans="1:9" ht="12">
      <c r="A41" s="592">
        <v>26</v>
      </c>
      <c r="B41" s="586" t="s">
        <v>150</v>
      </c>
      <c r="E41" s="601">
        <f>E11-E39</f>
        <v>0</v>
      </c>
      <c r="F41" s="601">
        <f>F11-F39</f>
        <v>0</v>
      </c>
      <c r="G41" s="601">
        <f>G11-G39</f>
        <v>0</v>
      </c>
      <c r="H41" s="600" t="str">
        <f>IF(E41=F41+G41," ","ERROR")</f>
        <v xml:space="preserve"> </v>
      </c>
    </row>
    <row r="42" spans="1:9" ht="12">
      <c r="A42" s="592"/>
      <c r="E42" s="601"/>
      <c r="F42" s="601"/>
      <c r="G42" s="601"/>
      <c r="H42" s="600"/>
    </row>
    <row r="43" spans="1:9" ht="12">
      <c r="A43" s="592"/>
      <c r="B43" s="586" t="s">
        <v>151</v>
      </c>
      <c r="E43" s="601"/>
      <c r="F43" s="601"/>
      <c r="G43" s="601"/>
      <c r="H43" s="600"/>
    </row>
    <row r="44" spans="1:9" ht="12">
      <c r="A44" s="592">
        <v>27</v>
      </c>
      <c r="B44" s="603" t="s">
        <v>165</v>
      </c>
      <c r="E44" s="601">
        <f>F44+G44</f>
        <v>-30.703014999999908</v>
      </c>
      <c r="F44" s="846">
        <f>DebtCalc!F53</f>
        <v>-186.56095499999986</v>
      </c>
      <c r="G44" s="846">
        <f>DebtCalc!F126</f>
        <v>155.85793999999996</v>
      </c>
      <c r="H44" s="847" t="s">
        <v>163</v>
      </c>
      <c r="I44" s="848" t="s">
        <v>342</v>
      </c>
    </row>
    <row r="45" spans="1:9" ht="12">
      <c r="A45" s="592">
        <v>28</v>
      </c>
      <c r="B45" s="586" t="s">
        <v>154</v>
      </c>
      <c r="E45" s="601"/>
      <c r="F45" s="601"/>
      <c r="G45" s="601"/>
      <c r="H45" s="600" t="str">
        <f>IF(E45=F45+G45," ","ERROR")</f>
        <v xml:space="preserve"> </v>
      </c>
    </row>
    <row r="46" spans="1:9" ht="12">
      <c r="A46" s="592">
        <v>29</v>
      </c>
      <c r="B46" s="586" t="s">
        <v>153</v>
      </c>
      <c r="E46" s="602"/>
      <c r="F46" s="602"/>
      <c r="G46" s="602"/>
      <c r="H46" s="600" t="str">
        <f>IF(E46=F46+G46," ","ERROR")</f>
        <v xml:space="preserve"> </v>
      </c>
    </row>
    <row r="47" spans="1:9" ht="12">
      <c r="A47" s="592"/>
      <c r="H47" s="600"/>
    </row>
    <row r="48" spans="1:9" ht="12">
      <c r="A48" s="592">
        <v>30</v>
      </c>
      <c r="B48" s="606" t="s">
        <v>97</v>
      </c>
      <c r="E48" s="599">
        <f>E41-(+E44+E45+E46)</f>
        <v>30.703014999999908</v>
      </c>
      <c r="F48" s="599">
        <f>F41-F44+F45+F46</f>
        <v>186.56095499999986</v>
      </c>
      <c r="G48" s="599">
        <f>G41-SUM(G44:G46)</f>
        <v>-155.85793999999996</v>
      </c>
      <c r="H48" s="600" t="str">
        <f>IF(E48=F48+G48," ","ERROR")</f>
        <v xml:space="preserve"> </v>
      </c>
    </row>
    <row r="49" spans="1:8" ht="12">
      <c r="A49" s="592"/>
      <c r="H49" s="600"/>
    </row>
    <row r="50" spans="1:8" ht="12">
      <c r="A50" s="592"/>
      <c r="B50" s="603" t="s">
        <v>155</v>
      </c>
      <c r="H50" s="600"/>
    </row>
    <row r="51" spans="1:8" ht="12">
      <c r="A51" s="592"/>
      <c r="B51" s="603" t="s">
        <v>156</v>
      </c>
      <c r="H51" s="600"/>
    </row>
    <row r="52" spans="1:8" ht="12">
      <c r="A52" s="592">
        <v>31</v>
      </c>
      <c r="B52" s="586" t="s">
        <v>157</v>
      </c>
      <c r="E52" s="599"/>
      <c r="F52" s="599"/>
      <c r="G52" s="599"/>
      <c r="H52" s="600" t="str">
        <f t="shared" ref="H52:H63" si="0">IF(E52=F52+G52," ","ERROR")</f>
        <v xml:space="preserve"> </v>
      </c>
    </row>
    <row r="53" spans="1:8" ht="12">
      <c r="A53" s="592">
        <v>32</v>
      </c>
      <c r="B53" s="586" t="s">
        <v>158</v>
      </c>
      <c r="E53" s="601"/>
      <c r="F53" s="601"/>
      <c r="G53" s="601"/>
      <c r="H53" s="600" t="str">
        <f t="shared" si="0"/>
        <v xml:space="preserve"> </v>
      </c>
    </row>
    <row r="54" spans="1:8" ht="12">
      <c r="A54" s="592">
        <v>33</v>
      </c>
      <c r="B54" s="586" t="s">
        <v>166</v>
      </c>
      <c r="E54" s="602"/>
      <c r="F54" s="602"/>
      <c r="G54" s="602"/>
      <c r="H54" s="600" t="str">
        <f t="shared" si="0"/>
        <v xml:space="preserve"> </v>
      </c>
    </row>
    <row r="55" spans="1:8" ht="12">
      <c r="A55" s="592">
        <v>34</v>
      </c>
      <c r="B55" s="586" t="s">
        <v>160</v>
      </c>
      <c r="E55" s="601">
        <f>SUM(E52:E54)</f>
        <v>0</v>
      </c>
      <c r="F55" s="601">
        <f>SUM(F52:F54)</f>
        <v>0</v>
      </c>
      <c r="G55" s="601">
        <f>SUM(G52:G54)</f>
        <v>0</v>
      </c>
      <c r="H55" s="600" t="str">
        <f t="shared" si="0"/>
        <v xml:space="preserve"> </v>
      </c>
    </row>
    <row r="56" spans="1:8" ht="12">
      <c r="A56" s="592"/>
      <c r="B56" s="586" t="s">
        <v>102</v>
      </c>
      <c r="E56" s="601"/>
      <c r="F56" s="601"/>
      <c r="G56" s="601"/>
      <c r="H56" s="600" t="str">
        <f t="shared" si="0"/>
        <v xml:space="preserve"> </v>
      </c>
    </row>
    <row r="57" spans="1:8" ht="12">
      <c r="A57" s="592">
        <v>35</v>
      </c>
      <c r="B57" s="586" t="s">
        <v>157</v>
      </c>
      <c r="E57" s="601"/>
      <c r="F57" s="601"/>
      <c r="G57" s="601"/>
      <c r="H57" s="600" t="str">
        <f t="shared" si="0"/>
        <v xml:space="preserve"> </v>
      </c>
    </row>
    <row r="58" spans="1:8" ht="12">
      <c r="A58" s="592">
        <v>36</v>
      </c>
      <c r="B58" s="586" t="s">
        <v>158</v>
      </c>
      <c r="E58" s="601"/>
      <c r="F58" s="601"/>
      <c r="G58" s="601"/>
      <c r="H58" s="600" t="str">
        <f t="shared" si="0"/>
        <v xml:space="preserve"> </v>
      </c>
    </row>
    <row r="59" spans="1:8" ht="12">
      <c r="A59" s="592">
        <v>37</v>
      </c>
      <c r="B59" s="586" t="s">
        <v>166</v>
      </c>
      <c r="E59" s="602"/>
      <c r="F59" s="602"/>
      <c r="G59" s="602"/>
      <c r="H59" s="600" t="str">
        <f t="shared" si="0"/>
        <v xml:space="preserve"> </v>
      </c>
    </row>
    <row r="60" spans="1:8" ht="12">
      <c r="A60" s="592">
        <v>38</v>
      </c>
      <c r="B60" s="586" t="s">
        <v>161</v>
      </c>
      <c r="E60" s="601">
        <f>SUM(E57:E59)</f>
        <v>0</v>
      </c>
      <c r="F60" s="601">
        <f>SUM(F57:F59)</f>
        <v>0</v>
      </c>
      <c r="G60" s="601">
        <f>SUM(G57:G59)</f>
        <v>0</v>
      </c>
      <c r="H60" s="600" t="str">
        <f t="shared" si="0"/>
        <v xml:space="preserve"> </v>
      </c>
    </row>
    <row r="61" spans="1:8" ht="12">
      <c r="A61" s="592">
        <v>39</v>
      </c>
      <c r="B61" s="603" t="s">
        <v>162</v>
      </c>
      <c r="E61" s="601"/>
      <c r="F61" s="601"/>
      <c r="G61" s="601"/>
      <c r="H61" s="600" t="str">
        <f t="shared" si="0"/>
        <v xml:space="preserve"> </v>
      </c>
    </row>
    <row r="62" spans="1:8" ht="12">
      <c r="A62" s="592">
        <v>40</v>
      </c>
      <c r="B62" s="586" t="s">
        <v>105</v>
      </c>
      <c r="E62" s="601"/>
      <c r="F62" s="601"/>
      <c r="G62" s="601"/>
      <c r="H62" s="600" t="str">
        <f t="shared" si="0"/>
        <v xml:space="preserve"> </v>
      </c>
    </row>
    <row r="63" spans="1:8" ht="12">
      <c r="A63" s="592">
        <v>41</v>
      </c>
      <c r="B63" s="603" t="s">
        <v>106</v>
      </c>
      <c r="E63" s="602"/>
      <c r="F63" s="602"/>
      <c r="G63" s="602"/>
      <c r="H63" s="600" t="str">
        <f t="shared" si="0"/>
        <v xml:space="preserve"> </v>
      </c>
    </row>
    <row r="64" spans="1:8" ht="12">
      <c r="A64" s="592"/>
      <c r="B64" s="586" t="s">
        <v>163</v>
      </c>
      <c r="H64" s="600"/>
    </row>
    <row r="65" spans="1:8" ht="12.75" thickBot="1">
      <c r="A65" s="592">
        <v>42</v>
      </c>
      <c r="B65" s="606" t="s">
        <v>107</v>
      </c>
      <c r="E65" s="607">
        <f>E55-E60+E61+E62+E63</f>
        <v>0</v>
      </c>
      <c r="F65" s="607">
        <f>F55-F60+F61+F62+F63</f>
        <v>0</v>
      </c>
      <c r="G65" s="607">
        <f>G55-G60+G61+G62+G63</f>
        <v>0</v>
      </c>
      <c r="H65" s="600" t="str">
        <f>IF(E65=F65+G65," ","ERROR")</f>
        <v xml:space="preserve"> </v>
      </c>
    </row>
    <row r="66" spans="1:8" ht="12.75" thickTop="1">
      <c r="A66" s="585" t="str">
        <f>Inputs!$D$6</f>
        <v>AVISTA UTILITIES</v>
      </c>
      <c r="B66" s="585"/>
      <c r="C66" s="585"/>
      <c r="G66" s="586"/>
    </row>
    <row r="67" spans="1:8" ht="12">
      <c r="A67" s="585" t="s">
        <v>169</v>
      </c>
      <c r="B67" s="585"/>
      <c r="C67" s="585"/>
      <c r="G67" s="586"/>
    </row>
    <row r="68" spans="1:8" ht="12">
      <c r="A68" s="585" t="str">
        <f>A3</f>
        <v>TWELVE MONTHS ENDED SEPTEMBER 30, 2008</v>
      </c>
      <c r="B68" s="585"/>
      <c r="C68" s="585"/>
      <c r="F68" s="589" t="str">
        <f>F2</f>
        <v>RESTATE</v>
      </c>
      <c r="G68" s="586"/>
    </row>
    <row r="69" spans="1:8" ht="12">
      <c r="A69" s="585" t="s">
        <v>170</v>
      </c>
      <c r="B69" s="585"/>
      <c r="C69" s="585"/>
      <c r="F69" s="589" t="str">
        <f>F3</f>
        <v>DEBT INTEREST</v>
      </c>
      <c r="G69" s="586"/>
    </row>
    <row r="70" spans="1:8" ht="12">
      <c r="E70" s="608"/>
      <c r="F70" s="596" t="str">
        <f>F4</f>
        <v>GAS</v>
      </c>
      <c r="G70" s="609"/>
    </row>
    <row r="71" spans="1:8" ht="12">
      <c r="A71" s="592" t="s">
        <v>10</v>
      </c>
      <c r="F71" s="589"/>
    </row>
    <row r="72" spans="1:8" ht="12">
      <c r="A72" s="610" t="s">
        <v>27</v>
      </c>
      <c r="B72" s="594" t="s">
        <v>113</v>
      </c>
      <c r="C72" s="594"/>
      <c r="F72" s="596" t="s">
        <v>132</v>
      </c>
    </row>
    <row r="73" spans="1:8" ht="12">
      <c r="A73" s="592"/>
      <c r="B73" s="586" t="s">
        <v>68</v>
      </c>
      <c r="E73" s="586"/>
      <c r="G73" s="586"/>
    </row>
    <row r="74" spans="1:8" ht="12">
      <c r="A74" s="592">
        <v>1</v>
      </c>
      <c r="B74" s="586" t="s">
        <v>134</v>
      </c>
      <c r="E74" s="586"/>
      <c r="F74" s="599">
        <f>G8</f>
        <v>0</v>
      </c>
      <c r="G74" s="586"/>
    </row>
    <row r="75" spans="1:8" ht="12">
      <c r="A75" s="592">
        <v>2</v>
      </c>
      <c r="B75" s="586" t="s">
        <v>135</v>
      </c>
      <c r="E75" s="586"/>
      <c r="F75" s="601">
        <f>G9</f>
        <v>0</v>
      </c>
      <c r="G75" s="586"/>
    </row>
    <row r="76" spans="1:8" ht="12">
      <c r="A76" s="592">
        <v>3</v>
      </c>
      <c r="B76" s="586" t="s">
        <v>71</v>
      </c>
      <c r="E76" s="586"/>
      <c r="F76" s="602">
        <f>G10</f>
        <v>0</v>
      </c>
      <c r="G76" s="586"/>
    </row>
    <row r="77" spans="1:8" ht="12">
      <c r="A77" s="592"/>
      <c r="E77" s="586"/>
      <c r="F77" s="601"/>
      <c r="G77" s="586"/>
    </row>
    <row r="78" spans="1:8" ht="12">
      <c r="A78" s="592">
        <v>4</v>
      </c>
      <c r="B78" s="586" t="s">
        <v>136</v>
      </c>
      <c r="E78" s="586"/>
      <c r="F78" s="601">
        <f>F74+F75+F76</f>
        <v>0</v>
      </c>
      <c r="G78" s="586"/>
    </row>
    <row r="79" spans="1:8" ht="12">
      <c r="A79" s="592"/>
      <c r="E79" s="586"/>
      <c r="F79" s="601"/>
      <c r="G79" s="586"/>
    </row>
    <row r="80" spans="1:8" ht="12">
      <c r="A80" s="592"/>
      <c r="B80" s="586" t="s">
        <v>73</v>
      </c>
      <c r="E80" s="586"/>
      <c r="F80" s="601"/>
      <c r="G80" s="586"/>
    </row>
    <row r="81" spans="1:7" ht="12">
      <c r="A81" s="592">
        <v>5</v>
      </c>
      <c r="B81" s="586" t="s">
        <v>137</v>
      </c>
      <c r="E81" s="586"/>
      <c r="F81" s="601">
        <f>G14</f>
        <v>0</v>
      </c>
      <c r="G81" s="586"/>
    </row>
    <row r="82" spans="1:7" ht="12">
      <c r="A82" s="592"/>
      <c r="B82" s="586" t="s">
        <v>75</v>
      </c>
      <c r="E82" s="586"/>
      <c r="F82" s="601"/>
      <c r="G82" s="586"/>
    </row>
    <row r="83" spans="1:7" ht="12">
      <c r="A83" s="592">
        <v>6</v>
      </c>
      <c r="B83" s="586" t="s">
        <v>138</v>
      </c>
      <c r="E83" s="586"/>
      <c r="F83" s="601">
        <f>G16</f>
        <v>0</v>
      </c>
      <c r="G83" s="586"/>
    </row>
    <row r="84" spans="1:7" ht="12">
      <c r="A84" s="592">
        <v>7</v>
      </c>
      <c r="B84" s="586" t="s">
        <v>139</v>
      </c>
      <c r="E84" s="586"/>
      <c r="F84" s="601">
        <f>G17</f>
        <v>0</v>
      </c>
      <c r="G84" s="586"/>
    </row>
    <row r="85" spans="1:7" ht="12">
      <c r="A85" s="592">
        <v>8</v>
      </c>
      <c r="B85" s="586" t="s">
        <v>140</v>
      </c>
      <c r="E85" s="586"/>
      <c r="F85" s="602">
        <f>G18</f>
        <v>0</v>
      </c>
      <c r="G85" s="586"/>
    </row>
    <row r="86" spans="1:7" ht="12">
      <c r="A86" s="592">
        <v>9</v>
      </c>
      <c r="B86" s="586" t="s">
        <v>141</v>
      </c>
      <c r="E86" s="586"/>
      <c r="F86" s="601">
        <f>F83+F84+F85</f>
        <v>0</v>
      </c>
      <c r="G86" s="586"/>
    </row>
    <row r="87" spans="1:7" ht="12">
      <c r="A87" s="592"/>
      <c r="B87" s="586" t="s">
        <v>80</v>
      </c>
      <c r="E87" s="586"/>
      <c r="F87" s="601"/>
      <c r="G87" s="586"/>
    </row>
    <row r="88" spans="1:7" ht="12">
      <c r="A88" s="592">
        <v>10</v>
      </c>
      <c r="B88" s="586" t="s">
        <v>142</v>
      </c>
      <c r="E88" s="586"/>
      <c r="F88" s="601">
        <f>G21</f>
        <v>0</v>
      </c>
      <c r="G88" s="586"/>
    </row>
    <row r="89" spans="1:7" ht="12">
      <c r="A89" s="592">
        <v>11</v>
      </c>
      <c r="B89" s="586" t="s">
        <v>143</v>
      </c>
      <c r="E89" s="586"/>
      <c r="F89" s="601">
        <f>G22</f>
        <v>0</v>
      </c>
      <c r="G89" s="586"/>
    </row>
    <row r="90" spans="1:7" ht="12">
      <c r="A90" s="592">
        <v>12</v>
      </c>
      <c r="B90" s="586" t="s">
        <v>144</v>
      </c>
      <c r="E90" s="586"/>
      <c r="F90" s="602">
        <f>G23</f>
        <v>0</v>
      </c>
      <c r="G90" s="586"/>
    </row>
    <row r="91" spans="1:7" ht="12">
      <c r="A91" s="592">
        <v>13</v>
      </c>
      <c r="B91" s="586" t="s">
        <v>145</v>
      </c>
      <c r="E91" s="586"/>
      <c r="F91" s="601">
        <f>F88+F89+F90</f>
        <v>0</v>
      </c>
      <c r="G91" s="586"/>
    </row>
    <row r="92" spans="1:7" ht="12">
      <c r="A92" s="592"/>
      <c r="B92" s="586" t="s">
        <v>84</v>
      </c>
      <c r="E92" s="586"/>
      <c r="F92" s="601"/>
      <c r="G92" s="586"/>
    </row>
    <row r="93" spans="1:7" ht="12">
      <c r="A93" s="592">
        <v>14</v>
      </c>
      <c r="B93" s="586" t="s">
        <v>142</v>
      </c>
      <c r="E93" s="586"/>
      <c r="F93" s="601">
        <f>G26</f>
        <v>0</v>
      </c>
      <c r="G93" s="586"/>
    </row>
    <row r="94" spans="1:7" ht="12">
      <c r="A94" s="592">
        <v>15</v>
      </c>
      <c r="B94" s="586" t="s">
        <v>143</v>
      </c>
      <c r="E94" s="586"/>
      <c r="F94" s="601">
        <f>G27</f>
        <v>0</v>
      </c>
      <c r="G94" s="586"/>
    </row>
    <row r="95" spans="1:7" ht="12">
      <c r="A95" s="592">
        <v>16</v>
      </c>
      <c r="B95" s="586" t="s">
        <v>144</v>
      </c>
      <c r="E95" s="586"/>
      <c r="F95" s="602"/>
      <c r="G95" s="586"/>
    </row>
    <row r="96" spans="1:7" ht="12">
      <c r="A96" s="592">
        <v>17</v>
      </c>
      <c r="B96" s="586" t="s">
        <v>146</v>
      </c>
      <c r="E96" s="586"/>
      <c r="F96" s="601">
        <f>F93+F94+F95</f>
        <v>0</v>
      </c>
      <c r="G96" s="586"/>
    </row>
    <row r="97" spans="1:7" ht="12">
      <c r="A97" s="592">
        <v>18</v>
      </c>
      <c r="B97" s="586" t="s">
        <v>86</v>
      </c>
      <c r="E97" s="586"/>
      <c r="F97" s="601">
        <f>G31</f>
        <v>0</v>
      </c>
      <c r="G97" s="586"/>
    </row>
    <row r="98" spans="1:7" ht="12">
      <c r="A98" s="592">
        <v>19</v>
      </c>
      <c r="B98" s="586" t="s">
        <v>87</v>
      </c>
      <c r="E98" s="586"/>
      <c r="F98" s="601">
        <f>G32</f>
        <v>0</v>
      </c>
      <c r="G98" s="586"/>
    </row>
    <row r="99" spans="1:7" ht="12">
      <c r="A99" s="592">
        <v>20</v>
      </c>
      <c r="B99" s="586" t="s">
        <v>147</v>
      </c>
      <c r="E99" s="586"/>
      <c r="F99" s="601">
        <f>G33</f>
        <v>0</v>
      </c>
      <c r="G99" s="586"/>
    </row>
    <row r="100" spans="1:7" ht="12">
      <c r="A100" s="592"/>
      <c r="B100" s="586" t="s">
        <v>148</v>
      </c>
      <c r="E100" s="586"/>
      <c r="F100" s="601"/>
      <c r="G100" s="586"/>
    </row>
    <row r="101" spans="1:7" ht="12">
      <c r="A101" s="592">
        <v>21</v>
      </c>
      <c r="B101" s="586" t="s">
        <v>142</v>
      </c>
      <c r="E101" s="586"/>
      <c r="F101" s="601">
        <f>G35</f>
        <v>0</v>
      </c>
      <c r="G101" s="586"/>
    </row>
    <row r="102" spans="1:7" ht="12">
      <c r="A102" s="592">
        <v>22</v>
      </c>
      <c r="B102" s="586" t="s">
        <v>143</v>
      </c>
      <c r="E102" s="586"/>
      <c r="F102" s="601">
        <f>G36</f>
        <v>0</v>
      </c>
      <c r="G102" s="586"/>
    </row>
    <row r="103" spans="1:7" ht="12">
      <c r="A103" s="592">
        <v>23</v>
      </c>
      <c r="B103" s="586" t="s">
        <v>144</v>
      </c>
      <c r="E103" s="586"/>
      <c r="F103" s="602">
        <f>G37</f>
        <v>0</v>
      </c>
      <c r="G103" s="586"/>
    </row>
    <row r="104" spans="1:7" ht="12">
      <c r="A104" s="592">
        <v>24</v>
      </c>
      <c r="B104" s="586" t="s">
        <v>149</v>
      </c>
      <c r="E104" s="586"/>
      <c r="F104" s="602">
        <f>F101+F102+F103</f>
        <v>0</v>
      </c>
      <c r="G104" s="586"/>
    </row>
    <row r="105" spans="1:7" ht="12">
      <c r="A105" s="592"/>
      <c r="E105" s="586"/>
      <c r="F105" s="601"/>
      <c r="G105" s="586"/>
    </row>
    <row r="106" spans="1:7" ht="12">
      <c r="A106" s="592">
        <v>25</v>
      </c>
      <c r="B106" s="586" t="s">
        <v>91</v>
      </c>
      <c r="E106" s="586"/>
      <c r="F106" s="602">
        <f>F104+F99+F98+F97+F96+F91+F86+F81</f>
        <v>0</v>
      </c>
      <c r="G106" s="586"/>
    </row>
    <row r="107" spans="1:7" ht="12">
      <c r="A107" s="592"/>
      <c r="E107" s="586"/>
      <c r="F107" s="601"/>
      <c r="G107" s="586"/>
    </row>
    <row r="108" spans="1:7" ht="12">
      <c r="A108" s="592">
        <v>26</v>
      </c>
      <c r="B108" s="586" t="s">
        <v>171</v>
      </c>
      <c r="E108" s="586"/>
      <c r="F108" s="602">
        <f>F78-F106</f>
        <v>0</v>
      </c>
      <c r="G108" s="586"/>
    </row>
    <row r="109" spans="1:7" ht="12">
      <c r="A109" s="592"/>
      <c r="E109" s="586"/>
      <c r="G109" s="586"/>
    </row>
    <row r="110" spans="1:7" ht="12">
      <c r="A110" s="592">
        <v>27</v>
      </c>
      <c r="B110" s="586" t="s">
        <v>172</v>
      </c>
      <c r="G110" s="586"/>
    </row>
    <row r="111" spans="1:7" ht="12.75" thickBot="1">
      <c r="A111" s="592"/>
      <c r="B111" s="611" t="s">
        <v>173</v>
      </c>
      <c r="C111" s="612">
        <f>Inputs!$D$4</f>
        <v>1.1416000000000001E-2</v>
      </c>
      <c r="F111" s="607">
        <f>ROUND(F108*C111,0)</f>
        <v>0</v>
      </c>
      <c r="G111" s="586"/>
    </row>
    <row r="112" spans="1:7" ht="12.75" thickTop="1">
      <c r="A112" s="592"/>
      <c r="G112" s="586"/>
    </row>
  </sheetData>
  <customSheetViews>
    <customSheetView guid="{5BE913A1-B14F-11D2-B0DC-0000832CDFF0}" scale="75" showPageBreaks="1" printArea="1" showRuler="0" topLeftCell="A86">
      <selection activeCell="C111" sqref="C111"/>
      <rowBreaks count="1" manualBreakCount="1">
        <brk id="65" max="65535" man="1"/>
      </rowBreaks>
      <pageMargins left="1.24" right="0.5" top="0.5" bottom="0.5" header="0.5" footer="0.5"/>
      <pageSetup scale="83" orientation="portrait" horizontalDpi="300" verticalDpi="300" r:id="rId1"/>
      <headerFooter alignWithMargins="0"/>
    </customSheetView>
    <customSheetView guid="{A15D1964-B049-11D2-8670-0000832CEEE8}" scale="75" showPageBreaks="1" printArea="1" showRuler="0" topLeftCell="A86">
      <selection activeCell="C111" sqref="C111"/>
      <rowBreaks count="1" manualBreakCount="1">
        <brk id="65" max="65535" man="1"/>
      </rowBreaks>
      <pageMargins left="1.24" right="0.5" top="0.5" bottom="0.5" header="0.5" footer="0.5"/>
      <pageSetup scale="83" orientation="portrait" horizontalDpi="300" verticalDpi="300" r:id="rId2"/>
      <headerFooter alignWithMargins="0"/>
    </customSheetView>
  </customSheetViews>
  <phoneticPr fontId="0" type="noConversion"/>
  <pageMargins left="1" right="0.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/>
  <dimension ref="A1:J148"/>
  <sheetViews>
    <sheetView topLeftCell="A13" zoomScaleNormal="100" workbookViewId="0">
      <selection activeCell="F49" sqref="F49"/>
    </sheetView>
  </sheetViews>
  <sheetFormatPr defaultColWidth="10.7109375" defaultRowHeight="12.75"/>
  <cols>
    <col min="1" max="1" width="4.85546875" style="729" customWidth="1"/>
    <col min="2" max="2" width="18.7109375" style="725" customWidth="1"/>
    <col min="3" max="4" width="10.7109375" style="725" customWidth="1"/>
    <col min="5" max="5" width="10.140625" style="725" customWidth="1"/>
    <col min="6" max="6" width="14.7109375" style="728" customWidth="1"/>
    <col min="7" max="7" width="5.85546875" style="725" customWidth="1"/>
    <col min="8" max="16384" width="10.7109375" style="725"/>
  </cols>
  <sheetData>
    <row r="1" spans="1:10">
      <c r="A1" s="841" t="str">
        <f>Inputs!D6</f>
        <v>AVISTA UTILITIES</v>
      </c>
      <c r="B1" s="723"/>
      <c r="C1" s="724"/>
      <c r="D1" s="724"/>
      <c r="E1" s="723"/>
      <c r="F1" s="724"/>
    </row>
    <row r="2" spans="1:10">
      <c r="A2" s="841" t="s">
        <v>345</v>
      </c>
      <c r="B2" s="723"/>
      <c r="C2" s="724"/>
      <c r="D2" s="724"/>
      <c r="E2" s="723"/>
      <c r="F2" s="724"/>
    </row>
    <row r="3" spans="1:10">
      <c r="A3" s="723" t="s">
        <v>256</v>
      </c>
      <c r="B3" s="723"/>
      <c r="C3" s="724"/>
      <c r="D3" s="724"/>
      <c r="E3" s="723"/>
      <c r="F3" s="724"/>
    </row>
    <row r="4" spans="1:10">
      <c r="A4" s="845" t="s">
        <v>518</v>
      </c>
      <c r="B4" s="723"/>
      <c r="C4" s="724"/>
      <c r="D4" s="724"/>
      <c r="E4" s="726"/>
      <c r="F4" s="724"/>
    </row>
    <row r="5" spans="1:10">
      <c r="A5" s="726" t="s">
        <v>257</v>
      </c>
      <c r="B5" s="723"/>
      <c r="C5" s="724"/>
      <c r="D5" s="724"/>
      <c r="E5" s="727"/>
      <c r="F5" s="724"/>
      <c r="G5" s="728"/>
      <c r="H5" s="728"/>
      <c r="I5" s="728"/>
      <c r="J5" s="728"/>
    </row>
    <row r="6" spans="1:10">
      <c r="C6" s="728"/>
      <c r="D6" s="728"/>
      <c r="E6" s="730"/>
      <c r="F6" s="729" t="s">
        <v>30</v>
      </c>
      <c r="G6" s="730"/>
      <c r="H6" s="728"/>
      <c r="I6" s="728"/>
      <c r="J6" s="728"/>
    </row>
    <row r="7" spans="1:10">
      <c r="B7" s="731" t="s">
        <v>258</v>
      </c>
      <c r="C7" s="728"/>
      <c r="D7" s="728"/>
      <c r="E7" s="730"/>
      <c r="F7" s="732" t="s">
        <v>259</v>
      </c>
      <c r="G7" s="730"/>
      <c r="H7" s="730"/>
      <c r="I7" s="728"/>
      <c r="J7" s="728"/>
    </row>
    <row r="8" spans="1:10">
      <c r="A8" s="823" t="str">
        <f>PFRstmtSheet!A10</f>
        <v>b</v>
      </c>
      <c r="B8" s="824" t="str">
        <f>PFRstmtSheet!B10</f>
        <v>Per Results Report</v>
      </c>
      <c r="C8" s="728"/>
      <c r="D8" s="728"/>
      <c r="E8" s="733"/>
      <c r="F8" s="859">
        <f>PFRstmtSheet!G10</f>
        <v>178717</v>
      </c>
      <c r="G8" s="733"/>
      <c r="H8" s="733"/>
      <c r="I8" s="733"/>
      <c r="J8" s="733"/>
    </row>
    <row r="9" spans="1:10">
      <c r="A9" s="823" t="str">
        <f>PFRstmtSheet!A11</f>
        <v>c</v>
      </c>
      <c r="B9" s="824" t="str">
        <f>PFRstmtSheet!B11</f>
        <v>Deferred FIT Rate Base</v>
      </c>
      <c r="C9" s="728"/>
      <c r="D9" s="728"/>
      <c r="F9" s="856">
        <f>PFRstmtSheet!G11</f>
        <v>-27674</v>
      </c>
    </row>
    <row r="10" spans="1:10">
      <c r="A10" s="823" t="str">
        <f>PFRstmtSheet!A12</f>
        <v>d</v>
      </c>
      <c r="B10" s="824" t="str">
        <f>PFRstmtSheet!B12</f>
        <v>Deferred Gain on Office Building</v>
      </c>
      <c r="C10" s="728"/>
      <c r="D10" s="728"/>
      <c r="F10" s="856">
        <f>PFRstmtSheet!G12</f>
        <v>-42</v>
      </c>
    </row>
    <row r="11" spans="1:10">
      <c r="A11" s="823" t="str">
        <f>PFRstmtSheet!A13</f>
        <v>e</v>
      </c>
      <c r="B11" s="824" t="str">
        <f>PFRstmtSheet!B13</f>
        <v>Gas Inventory</v>
      </c>
      <c r="C11" s="728"/>
      <c r="D11" s="728"/>
      <c r="F11" s="856">
        <f>PFRstmtSheet!G13</f>
        <v>11064</v>
      </c>
    </row>
    <row r="12" spans="1:10">
      <c r="A12" s="823" t="str">
        <f>PFRstmtSheet!A14</f>
        <v>f</v>
      </c>
      <c r="B12" s="824" t="str">
        <f>PFRstmtSheet!B14</f>
        <v>Weatherization and DSM Investment</v>
      </c>
      <c r="C12" s="728"/>
      <c r="D12" s="728"/>
      <c r="F12" s="856">
        <f>PFRstmtSheet!G14</f>
        <v>0</v>
      </c>
    </row>
    <row r="13" spans="1:10">
      <c r="A13" s="823" t="str">
        <f>PFRstmtSheet!A15</f>
        <v>g</v>
      </c>
      <c r="B13" s="824" t="str">
        <f>PFRstmtSheet!B15</f>
        <v>Customer Advances</v>
      </c>
      <c r="C13" s="728"/>
      <c r="D13" s="728"/>
      <c r="F13" s="856">
        <f>PFRstmtSheet!G15</f>
        <v>-52</v>
      </c>
    </row>
    <row r="14" spans="1:10">
      <c r="A14" s="823" t="str">
        <f>PFRstmtSheet!A16</f>
        <v>h</v>
      </c>
      <c r="B14" s="824" t="str">
        <f>PFRstmtSheet!B16</f>
        <v>Depreciation True-up</v>
      </c>
      <c r="C14" s="728"/>
      <c r="D14" s="728"/>
      <c r="F14" s="856">
        <f>PFRstmtSheet!G16</f>
        <v>0</v>
      </c>
    </row>
    <row r="15" spans="1:10">
      <c r="A15" s="823" t="str">
        <f>PFRstmtSheet!A19</f>
        <v>i</v>
      </c>
      <c r="B15" s="824" t="str">
        <f>PFRstmtSheet!B19</f>
        <v>Revenue Normalization &amp; Gas Cost Adjust</v>
      </c>
      <c r="C15" s="728"/>
      <c r="D15" s="728"/>
      <c r="F15" s="856">
        <f>PFRstmtSheet!G19</f>
        <v>0</v>
      </c>
    </row>
    <row r="16" spans="1:10">
      <c r="A16" s="823" t="str">
        <f>PFRstmtSheet!A20</f>
        <v>j</v>
      </c>
      <c r="B16" s="824" t="str">
        <f>PFRstmtSheet!B20</f>
        <v>Eliminate B &amp; O Taxes</v>
      </c>
      <c r="C16" s="728"/>
      <c r="D16" s="728"/>
      <c r="F16" s="856">
        <f>PFRstmtSheet!G20</f>
        <v>0</v>
      </c>
    </row>
    <row r="17" spans="1:6">
      <c r="A17" s="823" t="str">
        <f>PFRstmtSheet!A21</f>
        <v>k</v>
      </c>
      <c r="B17" s="824" t="str">
        <f>PFRstmtSheet!B21</f>
        <v>Property Tax</v>
      </c>
      <c r="C17" s="728"/>
      <c r="D17" s="728"/>
      <c r="F17" s="856">
        <f>PFRstmtSheet!G21</f>
        <v>0</v>
      </c>
    </row>
    <row r="18" spans="1:6">
      <c r="A18" s="823" t="str">
        <f>PFRstmtSheet!A22</f>
        <v>l</v>
      </c>
      <c r="B18" s="824" t="str">
        <f>PFRstmtSheet!B22</f>
        <v>Uncollectible Expense</v>
      </c>
      <c r="C18" s="728"/>
      <c r="D18" s="728"/>
      <c r="F18" s="856">
        <f>PFRstmtSheet!G22</f>
        <v>0</v>
      </c>
    </row>
    <row r="19" spans="1:6">
      <c r="A19" s="823" t="str">
        <f>PFRstmtSheet!A23</f>
        <v>m</v>
      </c>
      <c r="B19" s="824" t="str">
        <f>PFRstmtSheet!B23</f>
        <v>Regulatory Expense Adjustment</v>
      </c>
      <c r="C19" s="728"/>
      <c r="D19" s="728"/>
      <c r="F19" s="856">
        <f>PFRstmtSheet!G23</f>
        <v>0</v>
      </c>
    </row>
    <row r="20" spans="1:6">
      <c r="A20" s="823" t="str">
        <f>PFRstmtSheet!A24</f>
        <v>n</v>
      </c>
      <c r="B20" s="824" t="str">
        <f>PFRstmtSheet!B24</f>
        <v>Injuries and Damages</v>
      </c>
      <c r="C20" s="728"/>
      <c r="D20" s="728"/>
      <c r="F20" s="856">
        <f>PFRstmtSheet!G24</f>
        <v>0</v>
      </c>
    </row>
    <row r="21" spans="1:6">
      <c r="A21" s="823" t="str">
        <f>PFRstmtSheet!A25</f>
        <v>o</v>
      </c>
      <c r="B21" s="824" t="str">
        <f>PFRstmtSheet!B25</f>
        <v>FIT</v>
      </c>
      <c r="C21" s="728"/>
      <c r="D21" s="728"/>
      <c r="F21" s="856">
        <f>PFRstmtSheet!G25</f>
        <v>0</v>
      </c>
    </row>
    <row r="22" spans="1:6">
      <c r="A22" s="823" t="str">
        <f>PFRstmtSheet!A26</f>
        <v>p</v>
      </c>
      <c r="B22" s="824" t="str">
        <f>PFRstmtSheet!B26</f>
        <v>Net Gains/losses</v>
      </c>
      <c r="C22" s="728"/>
      <c r="D22" s="728"/>
      <c r="F22" s="856">
        <f>PFRstmtSheet!G26</f>
        <v>0</v>
      </c>
    </row>
    <row r="23" spans="1:6">
      <c r="A23" s="823" t="str">
        <f>PFRstmtSheet!A27</f>
        <v>q</v>
      </c>
      <c r="B23" s="824" t="str">
        <f>PFRstmtSheet!B27</f>
        <v>Eliminate A/R Expenses</v>
      </c>
      <c r="C23" s="728"/>
      <c r="D23" s="728"/>
      <c r="F23" s="856">
        <f>PFRstmtSheet!G27</f>
        <v>0</v>
      </c>
    </row>
    <row r="24" spans="1:6">
      <c r="A24" s="823" t="str">
        <f>PFRstmtSheet!A28</f>
        <v>r</v>
      </c>
      <c r="B24" s="824" t="str">
        <f>PFRstmtSheet!B28</f>
        <v>Office Space Charges to Subs</v>
      </c>
      <c r="C24" s="728"/>
      <c r="D24" s="728"/>
      <c r="F24" s="856">
        <f>PFRstmtSheet!G28</f>
        <v>0</v>
      </c>
    </row>
    <row r="25" spans="1:6">
      <c r="A25" s="823" t="str">
        <f>PFRstmtSheet!A29</f>
        <v>s</v>
      </c>
      <c r="B25" s="824" t="str">
        <f>PFRstmtSheet!B29</f>
        <v>Restate Excise Taxes</v>
      </c>
      <c r="C25" s="728"/>
      <c r="D25" s="728"/>
      <c r="F25" s="856">
        <f>PFRstmtSheet!G29</f>
        <v>0</v>
      </c>
    </row>
    <row r="26" spans="1:6">
      <c r="A26" s="823" t="str">
        <f>PFRstmtSheet!A30</f>
        <v>t</v>
      </c>
      <c r="B26" s="824" t="str">
        <f>PFRstmtSheet!B30</f>
        <v>Misc Restating Adjustments</v>
      </c>
      <c r="C26" s="728"/>
      <c r="D26" s="728"/>
      <c r="F26" s="856">
        <f>PFRstmtSheet!G30</f>
        <v>0</v>
      </c>
    </row>
    <row r="27" spans="1:6">
      <c r="A27" s="823"/>
      <c r="B27" s="824"/>
      <c r="C27" s="728"/>
      <c r="D27" s="728"/>
      <c r="F27" s="856"/>
    </row>
    <row r="28" spans="1:6">
      <c r="A28" s="823" t="str">
        <f>PFRstmtSheet!A36</f>
        <v>PF1</v>
      </c>
      <c r="B28" s="824" t="str">
        <f>PFRstmtSheet!B36</f>
        <v>Pro Forma Labor Non-Exec</v>
      </c>
      <c r="C28" s="728"/>
      <c r="D28" s="728"/>
      <c r="F28" s="856">
        <f>PFRstmtSheet!G36</f>
        <v>0</v>
      </c>
    </row>
    <row r="29" spans="1:6">
      <c r="A29" s="823" t="str">
        <f>PFRstmtSheet!A37</f>
        <v>PF2</v>
      </c>
      <c r="B29" s="824" t="str">
        <f>PFRstmtSheet!B37</f>
        <v>Pro Forma Labor Exec</v>
      </c>
      <c r="C29" s="728"/>
      <c r="D29" s="728"/>
      <c r="F29" s="856">
        <f>PFRstmtSheet!G37</f>
        <v>0</v>
      </c>
    </row>
    <row r="30" spans="1:6">
      <c r="A30" s="823" t="str">
        <f>PFRstmtSheet!A38</f>
        <v>PF3</v>
      </c>
      <c r="B30" s="824" t="str">
        <f>PFRstmtSheet!B38</f>
        <v>Pro Forma JP Storage</v>
      </c>
      <c r="C30" s="728"/>
      <c r="D30" s="728"/>
      <c r="F30" s="856">
        <f>PFRstmtSheet!G38</f>
        <v>8922</v>
      </c>
    </row>
    <row r="31" spans="1:6">
      <c r="A31" s="823" t="str">
        <f>PFRstmtSheet!A39</f>
        <v>PF4</v>
      </c>
      <c r="B31" s="824" t="str">
        <f>PFRstmtSheet!B39</f>
        <v>Pro Forma Capital Add 2008</v>
      </c>
      <c r="C31" s="728"/>
      <c r="D31" s="728"/>
      <c r="F31" s="856">
        <f>PFRstmtSheet!G39</f>
        <v>1234</v>
      </c>
    </row>
    <row r="32" spans="1:6">
      <c r="A32" s="823" t="str">
        <f>PFRstmtSheet!A40</f>
        <v>PF5</v>
      </c>
      <c r="B32" s="824" t="str">
        <f>PFRstmtSheet!B40</f>
        <v>Pro Forma Capital Add 2009</v>
      </c>
      <c r="C32" s="728"/>
      <c r="D32" s="728"/>
      <c r="F32" s="856">
        <f>PFRstmtSheet!G40</f>
        <v>6094</v>
      </c>
    </row>
    <row r="33" spans="1:10">
      <c r="A33" s="823" t="str">
        <f>PFRstmtSheet!A41</f>
        <v>PF6</v>
      </c>
      <c r="B33" s="824" t="str">
        <f>PFRstmtSheet!B41</f>
        <v>Pro Forma Asset Management</v>
      </c>
      <c r="C33" s="728"/>
      <c r="D33" s="728"/>
      <c r="F33" s="856">
        <f>PFRstmtSheet!G41</f>
        <v>0</v>
      </c>
    </row>
    <row r="34" spans="1:10">
      <c r="A34" s="823" t="str">
        <f>PFRstmtSheet!A42</f>
        <v>PF7</v>
      </c>
      <c r="B34" s="824" t="str">
        <f>PFRstmtSheet!B42</f>
        <v>Pro Forma Incentives</v>
      </c>
      <c r="C34" s="728"/>
      <c r="D34" s="728"/>
      <c r="F34" s="856">
        <f>PFRstmtSheet!G42</f>
        <v>0</v>
      </c>
    </row>
    <row r="35" spans="1:10">
      <c r="A35" s="823" t="str">
        <f>PFRstmtSheet!A43</f>
        <v>PF8</v>
      </c>
      <c r="B35" s="824" t="str">
        <f>PFRstmtSheet!B43</f>
        <v>Pro Forma Information Services</v>
      </c>
      <c r="C35" s="728"/>
      <c r="D35" s="728"/>
      <c r="F35" s="856">
        <f>PFRstmtSheet!G43</f>
        <v>0</v>
      </c>
    </row>
    <row r="36" spans="1:10">
      <c r="A36" s="823" t="str">
        <f>PFRstmtSheet!A44</f>
        <v>PF9</v>
      </c>
      <c r="B36" s="824" t="str">
        <f>PFRstmtSheet!B44</f>
        <v>Pro Forma Employee Benefits</v>
      </c>
      <c r="C36" s="728"/>
      <c r="D36" s="728"/>
      <c r="F36" s="856">
        <f>PFRstmtSheet!G44</f>
        <v>0</v>
      </c>
    </row>
    <row r="37" spans="1:10" ht="15" customHeight="1">
      <c r="A37" s="823" t="str">
        <f>PFRstmtSheet!A45</f>
        <v>PF10</v>
      </c>
      <c r="B37" s="824" t="str">
        <f>PFRstmtSheet!B45</f>
        <v>Pro Forma Insurance</v>
      </c>
      <c r="C37" s="728"/>
      <c r="D37" s="728"/>
      <c r="F37" s="856">
        <f>PFRstmtSheet!G45</f>
        <v>0</v>
      </c>
    </row>
    <row r="38" spans="1:10" hidden="1">
      <c r="A38" s="823"/>
      <c r="B38" s="824"/>
      <c r="C38" s="728"/>
      <c r="D38" s="728"/>
      <c r="F38" s="856"/>
    </row>
    <row r="39" spans="1:10" hidden="1">
      <c r="A39" s="823"/>
      <c r="B39" s="824"/>
      <c r="C39" s="728"/>
      <c r="D39" s="728"/>
      <c r="F39" s="856"/>
    </row>
    <row r="40" spans="1:10" s="1088" customFormat="1" hidden="1">
      <c r="A40" s="1132"/>
      <c r="B40" s="1133"/>
      <c r="C40" s="1134"/>
      <c r="D40" s="1134"/>
      <c r="F40" s="858"/>
    </row>
    <row r="41" spans="1:10">
      <c r="A41" s="730"/>
      <c r="B41" s="728" t="s">
        <v>260</v>
      </c>
      <c r="C41" s="728"/>
      <c r="D41" s="728"/>
      <c r="F41" s="860">
        <f>SUM(F8:F40)</f>
        <v>178263</v>
      </c>
      <c r="G41" s="1135">
        <f>F41-PFRstmtSheet!G50</f>
        <v>0</v>
      </c>
      <c r="H41" s="1034" t="s">
        <v>517</v>
      </c>
    </row>
    <row r="42" spans="1:10">
      <c r="A42" s="730"/>
      <c r="B42" s="728"/>
      <c r="C42" s="728"/>
      <c r="D42" s="728"/>
      <c r="F42" s="725"/>
    </row>
    <row r="43" spans="1:10">
      <c r="C43" s="728"/>
      <c r="D43" s="728"/>
      <c r="E43" s="728"/>
      <c r="F43" s="725"/>
      <c r="G43" s="728"/>
      <c r="H43" s="728"/>
      <c r="I43" s="728"/>
      <c r="J43" s="728"/>
    </row>
    <row r="44" spans="1:10" ht="13.5">
      <c r="B44" s="787" t="s">
        <v>287</v>
      </c>
      <c r="C44" s="788"/>
      <c r="D44" s="788"/>
      <c r="E44" s="789"/>
      <c r="F44" s="826">
        <f>'RevReqEx-WA'!M14</f>
        <v>3.5099999999999999E-2</v>
      </c>
      <c r="G44" s="735"/>
      <c r="H44" s="885"/>
      <c r="I44" s="735"/>
      <c r="J44" s="735"/>
    </row>
    <row r="45" spans="1:10" ht="13.5">
      <c r="C45" s="728"/>
      <c r="D45" s="728"/>
      <c r="F45" s="725"/>
      <c r="H45" s="886"/>
    </row>
    <row r="46" spans="1:10" ht="13.5">
      <c r="B46" s="725" t="s">
        <v>261</v>
      </c>
      <c r="C46" s="728"/>
      <c r="D46" s="728"/>
      <c r="E46" s="733"/>
      <c r="F46" s="861">
        <f>F41*F44</f>
        <v>6257.0312999999996</v>
      </c>
      <c r="G46" s="733"/>
      <c r="H46" s="887"/>
      <c r="I46" s="733"/>
      <c r="J46" s="733"/>
    </row>
    <row r="47" spans="1:10">
      <c r="C47" s="728"/>
      <c r="D47" s="728"/>
      <c r="E47" s="728"/>
      <c r="F47" s="857"/>
      <c r="G47" s="728"/>
      <c r="H47" s="888"/>
      <c r="I47" s="728"/>
      <c r="J47" s="728"/>
    </row>
    <row r="48" spans="1:10">
      <c r="B48" s="725" t="s">
        <v>262</v>
      </c>
      <c r="C48" s="728"/>
      <c r="D48" s="728"/>
      <c r="F48" s="988">
        <v>5724</v>
      </c>
      <c r="G48" s="1034" t="s">
        <v>516</v>
      </c>
    </row>
    <row r="49" spans="2:10">
      <c r="C49" s="728"/>
      <c r="D49" s="728"/>
      <c r="E49" s="728"/>
      <c r="F49" s="857"/>
      <c r="G49" s="728"/>
      <c r="H49" s="728"/>
      <c r="I49" s="728"/>
      <c r="J49" s="728"/>
    </row>
    <row r="50" spans="2:10">
      <c r="B50" s="725" t="s">
        <v>264</v>
      </c>
      <c r="C50" s="728"/>
      <c r="D50" s="728"/>
      <c r="E50" s="733"/>
      <c r="F50" s="861">
        <f>F46-F48</f>
        <v>533.03129999999965</v>
      </c>
      <c r="G50" s="733"/>
      <c r="H50" s="733"/>
      <c r="I50" s="733"/>
      <c r="J50" s="733"/>
    </row>
    <row r="51" spans="2:10">
      <c r="B51" s="725" t="s">
        <v>265</v>
      </c>
      <c r="D51" s="728"/>
      <c r="E51" s="736"/>
      <c r="F51" s="737">
        <v>0.35</v>
      </c>
      <c r="G51" s="736"/>
      <c r="H51" s="736"/>
      <c r="I51" s="736"/>
      <c r="J51" s="736"/>
    </row>
    <row r="52" spans="2:10">
      <c r="D52" s="728"/>
      <c r="E52" s="728"/>
      <c r="F52" s="725"/>
      <c r="G52" s="888"/>
      <c r="H52" s="888"/>
      <c r="I52" s="728"/>
      <c r="J52" s="728"/>
    </row>
    <row r="53" spans="2:10" ht="13.5" thickBot="1">
      <c r="B53" s="725" t="s">
        <v>266</v>
      </c>
      <c r="D53" s="728"/>
      <c r="E53" s="733"/>
      <c r="F53" s="861">
        <f>F50*-F51</f>
        <v>-186.56095499999986</v>
      </c>
      <c r="G53" s="1085"/>
      <c r="H53" s="1086"/>
      <c r="I53" s="733"/>
      <c r="J53" s="733"/>
    </row>
    <row r="54" spans="2:10" ht="13.5" thickTop="1">
      <c r="F54" s="738"/>
      <c r="H54" s="1034"/>
    </row>
    <row r="58" spans="2:10" ht="9" customHeight="1"/>
    <row r="59" spans="2:10" hidden="1"/>
    <row r="60" spans="2:10" hidden="1">
      <c r="B60" s="731" t="s">
        <v>267</v>
      </c>
    </row>
    <row r="61" spans="2:10" hidden="1">
      <c r="B61" s="725" t="s">
        <v>268</v>
      </c>
      <c r="C61" s="818">
        <v>2430</v>
      </c>
      <c r="H61" s="787" t="s">
        <v>374</v>
      </c>
    </row>
    <row r="62" spans="2:10" hidden="1">
      <c r="B62" s="725" t="s">
        <v>269</v>
      </c>
      <c r="C62" s="819">
        <v>2935</v>
      </c>
      <c r="H62" s="787" t="s">
        <v>374</v>
      </c>
    </row>
    <row r="63" spans="2:10" hidden="1">
      <c r="B63" s="725" t="s">
        <v>270</v>
      </c>
      <c r="C63" s="734">
        <f>C61+C62</f>
        <v>5365</v>
      </c>
    </row>
    <row r="64" spans="2:10" hidden="1">
      <c r="C64" s="733"/>
    </row>
    <row r="65" spans="1:8" hidden="1">
      <c r="C65" s="733"/>
    </row>
    <row r="66" spans="1:8" hidden="1">
      <c r="C66" s="739"/>
      <c r="D66" s="729"/>
      <c r="E66" s="729" t="s">
        <v>271</v>
      </c>
    </row>
    <row r="67" spans="1:8" hidden="1">
      <c r="C67" s="732" t="s">
        <v>272</v>
      </c>
      <c r="D67" s="732" t="s">
        <v>273</v>
      </c>
      <c r="E67" s="732" t="s">
        <v>40</v>
      </c>
    </row>
    <row r="68" spans="1:8" hidden="1">
      <c r="B68" s="725" t="s">
        <v>274</v>
      </c>
      <c r="C68" s="733">
        <f>CWIPAlloc!Y8</f>
        <v>63273656.728496328</v>
      </c>
      <c r="D68" s="735">
        <f>ROUND(C68/$C$71,4)</f>
        <v>0.88039999999999996</v>
      </c>
      <c r="E68" s="733">
        <f>D68*E71</f>
        <v>4723.3459999999995</v>
      </c>
      <c r="G68" s="728"/>
      <c r="H68" s="728"/>
    </row>
    <row r="69" spans="1:8" hidden="1">
      <c r="B69" s="725" t="s">
        <v>275</v>
      </c>
      <c r="C69" s="740">
        <f>CWIPAlloc!Y10</f>
        <v>4070675.847244422</v>
      </c>
      <c r="D69" s="735">
        <f>ROUND(C69/$C$71,4)</f>
        <v>5.6599999999999998E-2</v>
      </c>
      <c r="E69" s="740">
        <f>D69*E71</f>
        <v>303.65899999999999</v>
      </c>
      <c r="G69" s="728"/>
      <c r="H69" s="728"/>
    </row>
    <row r="70" spans="1:8" hidden="1">
      <c r="B70" s="725" t="s">
        <v>276</v>
      </c>
      <c r="C70" s="740">
        <f>CWIPAlloc!Y12</f>
        <v>4526181.5242592506</v>
      </c>
      <c r="D70" s="735">
        <f>ROUND(C70/$C$71,4)</f>
        <v>6.3E-2</v>
      </c>
      <c r="E70" s="740">
        <f>E71*D70</f>
        <v>337.995</v>
      </c>
      <c r="G70" s="728"/>
      <c r="H70" s="728"/>
    </row>
    <row r="71" spans="1:8" hidden="1">
      <c r="B71" s="725" t="s">
        <v>277</v>
      </c>
      <c r="C71" s="734">
        <f>C68+C69+C70</f>
        <v>71870514.100000009</v>
      </c>
      <c r="D71" s="741">
        <f>D68+D69+D70</f>
        <v>1</v>
      </c>
      <c r="E71" s="734">
        <f>C63</f>
        <v>5365</v>
      </c>
      <c r="G71" s="728"/>
      <c r="H71" s="728"/>
    </row>
    <row r="72" spans="1:8" hidden="1">
      <c r="G72" s="728"/>
      <c r="H72" s="728"/>
    </row>
    <row r="73" spans="1:8" hidden="1">
      <c r="B73" s="725" t="s">
        <v>278</v>
      </c>
      <c r="C73" s="733">
        <f>CWIPAlloc!Z8</f>
        <v>38434272.276927195</v>
      </c>
      <c r="D73" s="735">
        <f>C73/C75</f>
        <v>0.60742928833474064</v>
      </c>
      <c r="E73" s="733">
        <f>D73*E75</f>
        <v>2869.0986993387437</v>
      </c>
      <c r="G73" s="728"/>
      <c r="H73" s="728"/>
    </row>
    <row r="74" spans="1:8" hidden="1">
      <c r="B74" s="725" t="s">
        <v>279</v>
      </c>
      <c r="C74" s="725">
        <f>CWIPAlloc!AA8</f>
        <v>24839384.451569133</v>
      </c>
      <c r="D74" s="735">
        <f>C74/C75</f>
        <v>0.39257071166525942</v>
      </c>
      <c r="E74" s="725">
        <f>D74*E75</f>
        <v>1854.2473006612563</v>
      </c>
      <c r="G74" s="728"/>
      <c r="H74" s="728"/>
    </row>
    <row r="75" spans="1:8" hidden="1">
      <c r="B75" s="725" t="s">
        <v>277</v>
      </c>
      <c r="C75" s="734">
        <f>C73+C74</f>
        <v>63273656.728496328</v>
      </c>
      <c r="D75" s="741">
        <f>D73+D74</f>
        <v>1</v>
      </c>
      <c r="E75" s="734">
        <f>E68</f>
        <v>4723.3459999999995</v>
      </c>
      <c r="G75" s="728"/>
      <c r="H75" s="728"/>
    </row>
    <row r="76" spans="1:8" hidden="1">
      <c r="G76" s="728"/>
      <c r="H76" s="728"/>
    </row>
    <row r="77" spans="1:8" hidden="1">
      <c r="B77" s="725" t="s">
        <v>280</v>
      </c>
      <c r="C77" s="733">
        <f>CWIPAlloc!Z10</f>
        <v>2228476.6011848957</v>
      </c>
      <c r="D77" s="742">
        <f>C77/C79</f>
        <v>0.54744634178951557</v>
      </c>
      <c r="E77" s="733">
        <f>E79*D77</f>
        <v>166.23700870146251</v>
      </c>
      <c r="G77" s="728"/>
      <c r="H77" s="728"/>
    </row>
    <row r="78" spans="1:8" hidden="1">
      <c r="B78" s="725" t="s">
        <v>281</v>
      </c>
      <c r="C78" s="725">
        <f>CWIPAlloc!AA10</f>
        <v>1842199.2460595262</v>
      </c>
      <c r="D78" s="743">
        <f>C78/C79</f>
        <v>0.45255365821048443</v>
      </c>
      <c r="E78" s="725">
        <f>E79*D78</f>
        <v>137.42199129853748</v>
      </c>
      <c r="G78" s="728"/>
      <c r="H78" s="728"/>
    </row>
    <row r="79" spans="1:8" hidden="1">
      <c r="B79" s="725" t="s">
        <v>277</v>
      </c>
      <c r="C79" s="734">
        <f>SUM(C77:C78)</f>
        <v>4070675.847244422</v>
      </c>
      <c r="D79" s="744">
        <f>SUM(D77:D78)</f>
        <v>1</v>
      </c>
      <c r="E79" s="734">
        <f>E69</f>
        <v>303.65899999999999</v>
      </c>
      <c r="G79" s="728"/>
      <c r="H79" s="728"/>
    </row>
    <row r="80" spans="1:8" s="844" customFormat="1" hidden="1">
      <c r="A80" s="841" t="str">
        <f>A1</f>
        <v>AVISTA UTILITIES</v>
      </c>
      <c r="B80" s="841"/>
      <c r="C80" s="841"/>
      <c r="D80" s="842"/>
      <c r="E80" s="841"/>
      <c r="F80" s="842"/>
      <c r="G80" s="843"/>
    </row>
    <row r="81" spans="1:7" s="844" customFormat="1" hidden="1">
      <c r="A81" s="841" t="str">
        <f>A2</f>
        <v>Restate Debt Interest</v>
      </c>
      <c r="B81" s="841"/>
      <c r="C81" s="841"/>
      <c r="D81" s="842"/>
      <c r="E81" s="841"/>
      <c r="F81" s="842"/>
      <c r="G81" s="843"/>
    </row>
    <row r="82" spans="1:7" hidden="1">
      <c r="A82" s="723" t="s">
        <v>282</v>
      </c>
      <c r="B82" s="723"/>
      <c r="C82" s="723"/>
      <c r="D82" s="724"/>
      <c r="E82" s="723"/>
      <c r="F82" s="724"/>
      <c r="G82" s="728"/>
    </row>
    <row r="83" spans="1:7" hidden="1">
      <c r="A83" s="745" t="str">
        <f>A4</f>
        <v>For the Twelve Months Ended September 30, 2008</v>
      </c>
      <c r="B83" s="723"/>
      <c r="C83" s="726"/>
      <c r="D83" s="724"/>
      <c r="E83" s="726"/>
      <c r="F83" s="724"/>
      <c r="G83" s="728"/>
    </row>
    <row r="84" spans="1:7" hidden="1">
      <c r="A84" s="723" t="s">
        <v>257</v>
      </c>
      <c r="B84" s="723"/>
      <c r="C84" s="723"/>
      <c r="D84" s="723"/>
      <c r="E84" s="724"/>
      <c r="F84" s="724"/>
      <c r="G84" s="728"/>
    </row>
    <row r="85" spans="1:7" hidden="1">
      <c r="C85" s="728"/>
      <c r="D85" s="728"/>
      <c r="E85" s="730"/>
      <c r="F85" s="729" t="s">
        <v>30</v>
      </c>
      <c r="G85" s="728"/>
    </row>
    <row r="86" spans="1:7" hidden="1">
      <c r="B86" s="731" t="s">
        <v>258</v>
      </c>
      <c r="C86" s="728"/>
      <c r="D86" s="728"/>
      <c r="E86" s="730"/>
      <c r="F86" s="732" t="s">
        <v>259</v>
      </c>
      <c r="G86" s="728"/>
    </row>
    <row r="87" spans="1:7" hidden="1">
      <c r="A87" s="729" t="str">
        <f>PFRstmtSheet!A74</f>
        <v>b</v>
      </c>
      <c r="B87" s="825" t="str">
        <f>PFRstmtSheet!B74</f>
        <v>Per Results Report</v>
      </c>
      <c r="C87" s="728"/>
      <c r="D87" s="728"/>
      <c r="E87" s="733"/>
      <c r="F87" s="862">
        <f>PFRstmtSheet!G74</f>
        <v>90536</v>
      </c>
      <c r="G87" s="728"/>
    </row>
    <row r="88" spans="1:7" hidden="1">
      <c r="A88" s="729" t="str">
        <f>PFRstmtSheet!A75</f>
        <v>c</v>
      </c>
      <c r="B88" s="825" t="str">
        <f>PFRstmtSheet!B75</f>
        <v>Deferred FIT Rate Base</v>
      </c>
      <c r="C88" s="728"/>
      <c r="D88" s="728"/>
      <c r="F88" s="858">
        <f>PFRstmtSheet!G75</f>
        <v>-14220</v>
      </c>
      <c r="G88" s="728"/>
    </row>
    <row r="89" spans="1:7" hidden="1">
      <c r="A89" s="729" t="str">
        <f>PFRstmtSheet!A76</f>
        <v>d</v>
      </c>
      <c r="B89" s="825" t="str">
        <f>PFRstmtSheet!B76</f>
        <v>Deferred Gain on Office Building</v>
      </c>
      <c r="C89" s="728"/>
      <c r="D89" s="728"/>
      <c r="F89" s="858">
        <f>PFRstmtSheet!G76</f>
        <v>0</v>
      </c>
      <c r="G89" s="728"/>
    </row>
    <row r="90" spans="1:7" hidden="1">
      <c r="A90" s="729" t="str">
        <f>PFRstmtSheet!A77</f>
        <v>e</v>
      </c>
      <c r="B90" s="825" t="str">
        <f>PFRstmtSheet!B77</f>
        <v>Gas Inventory</v>
      </c>
      <c r="C90" s="728"/>
      <c r="D90" s="728"/>
      <c r="F90" s="858">
        <f>PFRstmtSheet!G77</f>
        <v>0</v>
      </c>
      <c r="G90" s="728"/>
    </row>
    <row r="91" spans="1:7" hidden="1">
      <c r="A91" s="729" t="str">
        <f>PFRstmtSheet!A78</f>
        <v>f</v>
      </c>
      <c r="B91" s="825" t="str">
        <f>PFRstmtSheet!B78</f>
        <v>Weatherization and DSM Investment</v>
      </c>
      <c r="C91" s="728"/>
      <c r="D91" s="728"/>
      <c r="F91" s="858">
        <f>PFRstmtSheet!G78</f>
        <v>0</v>
      </c>
      <c r="G91" s="728"/>
    </row>
    <row r="92" spans="1:7" hidden="1">
      <c r="A92" s="729" t="str">
        <f>PFRstmtSheet!A79</f>
        <v>g</v>
      </c>
      <c r="B92" s="825" t="str">
        <f>PFRstmtSheet!B79</f>
        <v>Customer Advances</v>
      </c>
      <c r="C92" s="728"/>
      <c r="D92" s="728"/>
      <c r="F92" s="858">
        <f>PFRstmtSheet!G79</f>
        <v>0</v>
      </c>
      <c r="G92" s="728"/>
    </row>
    <row r="93" spans="1:7" hidden="1">
      <c r="A93" s="729" t="str">
        <f>PFRstmtSheet!A83</f>
        <v>h</v>
      </c>
      <c r="B93" s="825" t="str">
        <f>PFRstmtSheet!B83</f>
        <v>Depreciation True-up</v>
      </c>
      <c r="C93" s="728"/>
      <c r="D93" s="728"/>
      <c r="F93" s="858">
        <f>PFRstmtSheet!G83</f>
        <v>0</v>
      </c>
      <c r="G93" s="728"/>
    </row>
    <row r="94" spans="1:7" hidden="1">
      <c r="A94" s="729" t="str">
        <f>PFRstmtSheet!A84</f>
        <v>i</v>
      </c>
      <c r="B94" s="825" t="str">
        <f>PFRstmtSheet!B84</f>
        <v>Weather Normalization &amp; Gas Cost Adjust</v>
      </c>
      <c r="C94" s="728"/>
      <c r="D94" s="728"/>
      <c r="F94" s="858">
        <f>PFRstmtSheet!G84</f>
        <v>0</v>
      </c>
      <c r="G94" s="728"/>
    </row>
    <row r="95" spans="1:7" hidden="1">
      <c r="A95" s="729" t="str">
        <f>PFRstmtSheet!A85</f>
        <v>j</v>
      </c>
      <c r="B95" s="825" t="str">
        <f>PFRstmtSheet!B85</f>
        <v>Eliminate B &amp; O Taxes</v>
      </c>
      <c r="C95" s="728"/>
      <c r="D95" s="728"/>
      <c r="F95" s="858">
        <f>PFRstmtSheet!G85</f>
        <v>0</v>
      </c>
      <c r="G95" s="728"/>
    </row>
    <row r="96" spans="1:7" hidden="1">
      <c r="A96" s="729" t="str">
        <f>PFRstmtSheet!A86</f>
        <v>k</v>
      </c>
      <c r="B96" s="825" t="str">
        <f>PFRstmtSheet!B86</f>
        <v>Property Tax</v>
      </c>
      <c r="C96" s="728"/>
      <c r="D96" s="728"/>
      <c r="F96" s="858">
        <f>PFRstmtSheet!G86</f>
        <v>0</v>
      </c>
      <c r="G96" s="728"/>
    </row>
    <row r="97" spans="1:7" hidden="1">
      <c r="A97" s="729" t="str">
        <f>PFRstmtSheet!A87</f>
        <v>l</v>
      </c>
      <c r="B97" s="825" t="str">
        <f>PFRstmtSheet!B87</f>
        <v>Uncollectible Expense</v>
      </c>
      <c r="C97" s="728"/>
      <c r="D97" s="728"/>
      <c r="F97" s="858">
        <f>PFRstmtSheet!G87</f>
        <v>0</v>
      </c>
      <c r="G97" s="728"/>
    </row>
    <row r="98" spans="1:7" hidden="1">
      <c r="A98" s="729" t="str">
        <f>PFRstmtSheet!A88</f>
        <v>m</v>
      </c>
      <c r="B98" s="825" t="str">
        <f>PFRstmtSheet!B88</f>
        <v>Regulatory Expense Adjustment</v>
      </c>
      <c r="C98" s="728"/>
      <c r="D98" s="728"/>
      <c r="F98" s="858">
        <f>PFRstmtSheet!G88</f>
        <v>0</v>
      </c>
      <c r="G98" s="728"/>
    </row>
    <row r="99" spans="1:7" hidden="1">
      <c r="A99" s="729" t="str">
        <f>PFRstmtSheet!A89</f>
        <v>n</v>
      </c>
      <c r="B99" s="825" t="str">
        <f>PFRstmtSheet!B89</f>
        <v>Injuries and Damages</v>
      </c>
      <c r="C99" s="728"/>
      <c r="D99" s="728"/>
      <c r="F99" s="858">
        <f>PFRstmtSheet!G89</f>
        <v>0</v>
      </c>
      <c r="G99" s="728"/>
    </row>
    <row r="100" spans="1:7" hidden="1">
      <c r="A100" s="729" t="str">
        <f>PFRstmtSheet!A90</f>
        <v>o</v>
      </c>
      <c r="B100" s="825" t="str">
        <f>PFRstmtSheet!B90</f>
        <v>FIT</v>
      </c>
      <c r="C100" s="728"/>
      <c r="D100" s="728"/>
      <c r="F100" s="858">
        <f>PFRstmtSheet!G90</f>
        <v>0</v>
      </c>
      <c r="G100" s="728"/>
    </row>
    <row r="101" spans="1:7" hidden="1">
      <c r="A101" s="729" t="str">
        <f>PFRstmtSheet!A91</f>
        <v>p</v>
      </c>
      <c r="B101" s="825" t="str">
        <f>PFRstmtSheet!B91</f>
        <v>Eliminate A/R Expenses</v>
      </c>
      <c r="C101" s="728"/>
      <c r="D101" s="728"/>
      <c r="F101" s="858">
        <f>PFRstmtSheet!G91</f>
        <v>0</v>
      </c>
      <c r="G101" s="728"/>
    </row>
    <row r="102" spans="1:7" hidden="1">
      <c r="A102" s="729" t="str">
        <f>PFRstmtSheet!A92</f>
        <v>q</v>
      </c>
      <c r="B102" s="825" t="str">
        <f>PFRstmtSheet!B92</f>
        <v>Restate Debt Interest</v>
      </c>
      <c r="C102" s="728"/>
      <c r="D102" s="728"/>
      <c r="F102" s="858">
        <f>PFRstmtSheet!G92</f>
        <v>0</v>
      </c>
      <c r="G102" s="728"/>
    </row>
    <row r="103" spans="1:7" hidden="1">
      <c r="A103" s="729" t="str">
        <f>PFRstmtSheet!A98</f>
        <v>PF1</v>
      </c>
      <c r="B103" s="825" t="str">
        <f>PFRstmtSheet!B98</f>
        <v>Pro Forma Labor Non-Exec</v>
      </c>
      <c r="C103" s="728"/>
      <c r="D103" s="728"/>
      <c r="F103" s="858">
        <f>PFRstmtSheet!G98</f>
        <v>0</v>
      </c>
      <c r="G103" s="728"/>
    </row>
    <row r="104" spans="1:7" hidden="1">
      <c r="A104" s="729" t="str">
        <f>PFRstmtSheet!A99</f>
        <v>PF2</v>
      </c>
      <c r="B104" s="825" t="str">
        <f>PFRstmtSheet!B99</f>
        <v>Pro Forma Labor Exec</v>
      </c>
      <c r="C104" s="728"/>
      <c r="D104" s="728"/>
      <c r="F104" s="858">
        <f>PFRstmtSheet!G99</f>
        <v>0</v>
      </c>
      <c r="G104" s="728"/>
    </row>
    <row r="105" spans="1:7" hidden="1">
      <c r="A105" s="729" t="str">
        <f>PFRstmtSheet!A100</f>
        <v>PF3</v>
      </c>
      <c r="B105" s="825" t="str">
        <f>PFRstmtSheet!B100</f>
        <v>Pro Forma JP Storage Contract</v>
      </c>
      <c r="C105" s="728"/>
      <c r="D105" s="728"/>
      <c r="F105" s="858">
        <f>PFRstmtSheet!G100</f>
        <v>0</v>
      </c>
      <c r="G105" s="728"/>
    </row>
    <row r="106" spans="1:7" hidden="1">
      <c r="A106" s="729" t="str">
        <f>PFRstmtSheet!A101</f>
        <v>PF4</v>
      </c>
      <c r="B106" s="825" t="str">
        <f>PFRstmtSheet!B101</f>
        <v>Pro Forma Capital Add 2007</v>
      </c>
      <c r="C106" s="728"/>
      <c r="D106" s="728"/>
      <c r="F106" s="858">
        <f>PFRstmtSheet!G101</f>
        <v>0</v>
      </c>
      <c r="G106" s="728"/>
    </row>
    <row r="107" spans="1:7" hidden="1">
      <c r="A107" s="729" t="str">
        <f>PFRstmtSheet!A102</f>
        <v>PF5</v>
      </c>
      <c r="B107" s="825" t="str">
        <f>PFRstmtSheet!B102</f>
        <v>Pro Forma Capital Add 2008</v>
      </c>
      <c r="C107" s="728"/>
      <c r="D107" s="728"/>
      <c r="F107" s="858">
        <f>PFRstmtSheet!G102</f>
        <v>0</v>
      </c>
      <c r="G107" s="728"/>
    </row>
    <row r="108" spans="1:7" hidden="1">
      <c r="A108" s="729" t="str">
        <f>PFRstmtSheet!A103</f>
        <v>PF6</v>
      </c>
      <c r="B108" s="825" t="str">
        <f>PFRstmtSheet!B103</f>
        <v>Pro Forma Incentives</v>
      </c>
      <c r="C108" s="728"/>
      <c r="D108" s="728"/>
      <c r="F108" s="858">
        <f>PFRstmtSheet!G103</f>
        <v>0</v>
      </c>
      <c r="G108" s="728"/>
    </row>
    <row r="109" spans="1:7" hidden="1">
      <c r="A109" s="729" t="str">
        <f>PFRstmtSheet!A104</f>
        <v>PF7</v>
      </c>
      <c r="B109" s="825" t="str">
        <f>PFRstmtSheet!B104</f>
        <v>Pro Forma AMR</v>
      </c>
      <c r="C109" s="728"/>
      <c r="D109" s="728"/>
      <c r="F109" s="858">
        <f>PFRstmtSheet!G104</f>
        <v>0</v>
      </c>
      <c r="G109" s="728"/>
    </row>
    <row r="110" spans="1:7" ht="0.75" hidden="1" customHeight="1">
      <c r="A110" s="729" t="str">
        <f>PFRstmtSheet!A105</f>
        <v>PF9</v>
      </c>
      <c r="B110" s="825" t="str">
        <f>PFRstmtSheet!B105</f>
        <v>Pro Forma Open</v>
      </c>
      <c r="C110" s="728"/>
      <c r="D110" s="728"/>
      <c r="F110" s="858">
        <f>PFRstmtSheet!G105</f>
        <v>0</v>
      </c>
      <c r="G110" s="728"/>
    </row>
    <row r="111" spans="1:7" hidden="1">
      <c r="B111" s="825"/>
      <c r="C111" s="728"/>
      <c r="D111" s="728"/>
      <c r="F111" s="858"/>
      <c r="G111" s="728"/>
    </row>
    <row r="112" spans="1:7" hidden="1">
      <c r="B112" s="825"/>
      <c r="C112" s="728"/>
      <c r="D112" s="728"/>
      <c r="F112" s="858"/>
      <c r="G112" s="728"/>
    </row>
    <row r="113" spans="1:8" customFormat="1" hidden="1">
      <c r="A113" s="729"/>
      <c r="B113" s="825"/>
      <c r="C113" s="728"/>
      <c r="D113" s="728"/>
      <c r="E113" s="725"/>
      <c r="F113" s="858"/>
    </row>
    <row r="114" spans="1:8" hidden="1">
      <c r="A114" s="730"/>
      <c r="B114" s="728" t="s">
        <v>260</v>
      </c>
      <c r="C114" s="728"/>
      <c r="D114" s="728"/>
      <c r="F114" s="860">
        <f>SUM(F87:F113)</f>
        <v>76316</v>
      </c>
      <c r="G114" s="728"/>
    </row>
    <row r="115" spans="1:8" hidden="1">
      <c r="A115" s="730"/>
      <c r="B115" s="728"/>
      <c r="C115" s="728"/>
      <c r="D115" s="728"/>
      <c r="F115" s="746"/>
      <c r="G115" s="728"/>
    </row>
    <row r="116" spans="1:8" hidden="1">
      <c r="C116" s="728"/>
      <c r="D116" s="728"/>
      <c r="E116" s="728"/>
      <c r="F116" s="725"/>
      <c r="G116" s="728"/>
    </row>
    <row r="117" spans="1:8" hidden="1">
      <c r="B117" s="787" t="s">
        <v>287</v>
      </c>
      <c r="C117" s="728"/>
      <c r="D117" s="728"/>
      <c r="E117" s="735"/>
      <c r="F117" s="871">
        <f>'RevReqEx-WA'!M14</f>
        <v>3.5099999999999999E-2</v>
      </c>
      <c r="G117" s="1087"/>
      <c r="H117" s="1088"/>
    </row>
    <row r="118" spans="1:8" hidden="1">
      <c r="C118" s="728"/>
      <c r="D118" s="728"/>
      <c r="F118" s="725"/>
      <c r="G118" s="728"/>
    </row>
    <row r="119" spans="1:8" hidden="1">
      <c r="B119" s="725" t="s">
        <v>261</v>
      </c>
      <c r="C119" s="728"/>
      <c r="D119" s="728"/>
      <c r="E119" s="733"/>
      <c r="F119" s="861">
        <f>F114*F117</f>
        <v>2678.6916000000001</v>
      </c>
      <c r="G119" s="728"/>
    </row>
    <row r="120" spans="1:8" hidden="1">
      <c r="C120" s="728"/>
      <c r="D120" s="728"/>
      <c r="E120" s="728"/>
      <c r="F120" s="857"/>
      <c r="G120" s="728"/>
    </row>
    <row r="121" spans="1:8" hidden="1">
      <c r="B121" s="725" t="s">
        <v>262</v>
      </c>
      <c r="C121" s="728"/>
      <c r="D121" s="728"/>
      <c r="F121" s="988">
        <v>3124</v>
      </c>
      <c r="G121" s="888" t="s">
        <v>471</v>
      </c>
    </row>
    <row r="122" spans="1:8" hidden="1">
      <c r="C122" s="728"/>
      <c r="D122" s="728"/>
      <c r="E122" s="728"/>
      <c r="F122" s="857"/>
      <c r="G122" s="728"/>
    </row>
    <row r="123" spans="1:8" hidden="1">
      <c r="B123" s="725" t="s">
        <v>264</v>
      </c>
      <c r="C123" s="728"/>
      <c r="D123" s="728"/>
      <c r="E123" s="733"/>
      <c r="F123" s="861">
        <f>F119-F121</f>
        <v>-445.30839999999989</v>
      </c>
      <c r="G123" s="728"/>
    </row>
    <row r="124" spans="1:8" hidden="1">
      <c r="B124" s="725" t="s">
        <v>265</v>
      </c>
      <c r="D124" s="728"/>
      <c r="E124" s="736"/>
      <c r="F124" s="737">
        <v>0.35</v>
      </c>
      <c r="G124" s="728"/>
    </row>
    <row r="125" spans="1:8" hidden="1">
      <c r="D125" s="728"/>
      <c r="E125" s="728"/>
      <c r="F125" s="725"/>
      <c r="G125" s="728"/>
    </row>
    <row r="126" spans="1:8" ht="13.5" hidden="1" thickBot="1">
      <c r="B126" s="725" t="s">
        <v>266</v>
      </c>
      <c r="D126" s="728"/>
      <c r="E126" s="733"/>
      <c r="F126" s="861">
        <f>F123*-F124</f>
        <v>155.85793999999996</v>
      </c>
      <c r="G126" s="728"/>
    </row>
    <row r="127" spans="1:8" ht="13.5" hidden="1" thickTop="1">
      <c r="F127" s="738"/>
      <c r="G127" s="728"/>
    </row>
    <row r="128" spans="1:8">
      <c r="G128" s="728"/>
    </row>
    <row r="129" spans="2:7" hidden="1">
      <c r="B129" s="731" t="s">
        <v>263</v>
      </c>
      <c r="G129" s="728"/>
    </row>
    <row r="130" spans="2:7" hidden="1">
      <c r="B130" s="725" t="s">
        <v>268</v>
      </c>
      <c r="C130" s="733">
        <f>$C$61</f>
        <v>2430</v>
      </c>
      <c r="G130" s="728"/>
    </row>
    <row r="131" spans="2:7" hidden="1">
      <c r="B131" s="725" t="s">
        <v>269</v>
      </c>
      <c r="C131" s="725">
        <f>$C$62</f>
        <v>2935</v>
      </c>
      <c r="G131" s="728"/>
    </row>
    <row r="132" spans="2:7" hidden="1">
      <c r="B132" s="725" t="s">
        <v>270</v>
      </c>
      <c r="C132" s="734">
        <f>C130+C131</f>
        <v>5365</v>
      </c>
      <c r="G132" s="728"/>
    </row>
    <row r="133" spans="2:7" hidden="1">
      <c r="C133" s="733"/>
      <c r="G133" s="728"/>
    </row>
    <row r="134" spans="2:7" hidden="1">
      <c r="C134" s="733"/>
      <c r="G134" s="728"/>
    </row>
    <row r="135" spans="2:7" hidden="1">
      <c r="C135" s="739"/>
      <c r="D135" s="729"/>
      <c r="E135" s="729" t="s">
        <v>271</v>
      </c>
      <c r="G135" s="728"/>
    </row>
    <row r="136" spans="2:7" hidden="1">
      <c r="C136" s="732" t="s">
        <v>272</v>
      </c>
      <c r="D136" s="732" t="s">
        <v>273</v>
      </c>
      <c r="E136" s="732" t="s">
        <v>40</v>
      </c>
      <c r="G136" s="728"/>
    </row>
    <row r="137" spans="2:7" hidden="1">
      <c r="B137" s="725" t="str">
        <f>B68</f>
        <v>Electric CWIP</v>
      </c>
      <c r="C137" s="733">
        <f>$C$68</f>
        <v>63273656.728496328</v>
      </c>
      <c r="D137" s="735">
        <f>C137/C140</f>
        <v>0.88038408408290936</v>
      </c>
      <c r="E137" s="733">
        <f>D137*E140</f>
        <v>4723.260611104809</v>
      </c>
      <c r="G137" s="728"/>
    </row>
    <row r="138" spans="2:7" hidden="1">
      <c r="B138" s="725" t="str">
        <f>B69</f>
        <v>Gas CWIP</v>
      </c>
      <c r="C138" s="725">
        <f>$C$69</f>
        <v>4070675.847244422</v>
      </c>
      <c r="D138" s="747">
        <f>C138/C140</f>
        <v>5.6639025032999189E-2</v>
      </c>
      <c r="E138" s="740">
        <f>D138*E140</f>
        <v>303.86836930204066</v>
      </c>
      <c r="G138" s="728"/>
    </row>
    <row r="139" spans="2:7" hidden="1">
      <c r="B139" s="725" t="str">
        <f>B70</f>
        <v>WPNG CWIP</v>
      </c>
      <c r="C139" s="725">
        <f>$C$70</f>
        <v>4526181.5242592506</v>
      </c>
      <c r="D139" s="747">
        <f>C139/C140</f>
        <v>6.2976890884091363E-2</v>
      </c>
      <c r="E139" s="740">
        <f>E140*D139</f>
        <v>337.87101959315015</v>
      </c>
      <c r="G139" s="728"/>
    </row>
    <row r="140" spans="2:7" hidden="1">
      <c r="B140" s="725" t="str">
        <f>B71</f>
        <v xml:space="preserve">   Total</v>
      </c>
      <c r="C140" s="734">
        <f>C137+C138+C139</f>
        <v>71870514.100000009</v>
      </c>
      <c r="D140" s="741">
        <f>D137+D138+D139</f>
        <v>1</v>
      </c>
      <c r="E140" s="734">
        <f>C132</f>
        <v>5365</v>
      </c>
      <c r="G140" s="728"/>
    </row>
    <row r="141" spans="2:7" hidden="1">
      <c r="G141" s="728"/>
    </row>
    <row r="142" spans="2:7" hidden="1">
      <c r="B142" s="725" t="str">
        <f>B73</f>
        <v>WA Electric CWIP</v>
      </c>
      <c r="C142" s="733">
        <f>$C$73</f>
        <v>38434272.276927195</v>
      </c>
      <c r="D142" s="735">
        <f>C142/C144</f>
        <v>0.60742928833474064</v>
      </c>
      <c r="E142" s="733">
        <f>D142*E144</f>
        <v>2869.0468316229062</v>
      </c>
      <c r="G142" s="728"/>
    </row>
    <row r="143" spans="2:7" hidden="1">
      <c r="B143" s="725" t="str">
        <f>B74</f>
        <v>ID Electric CWIP</v>
      </c>
      <c r="C143" s="725">
        <f>$C$74</f>
        <v>24839384.451569133</v>
      </c>
      <c r="D143" s="735">
        <f>C143/C144</f>
        <v>0.39257071166525942</v>
      </c>
      <c r="E143" s="725">
        <f>D143*E144</f>
        <v>1854.213779481903</v>
      </c>
      <c r="G143" s="728"/>
    </row>
    <row r="144" spans="2:7" hidden="1">
      <c r="B144" s="725" t="str">
        <f>B75</f>
        <v xml:space="preserve">   Total</v>
      </c>
      <c r="C144" s="734">
        <f>C142+C143</f>
        <v>63273656.728496328</v>
      </c>
      <c r="D144" s="741">
        <f>D142+D143</f>
        <v>1</v>
      </c>
      <c r="E144" s="734">
        <f>E137</f>
        <v>4723.260611104809</v>
      </c>
      <c r="G144" s="728"/>
    </row>
    <row r="145" spans="2:7" hidden="1">
      <c r="G145" s="728"/>
    </row>
    <row r="146" spans="2:7" hidden="1">
      <c r="B146" s="725" t="str">
        <f>B77</f>
        <v>WA Gas CWIP</v>
      </c>
      <c r="C146" s="733">
        <f>$C$77</f>
        <v>2228476.6011848957</v>
      </c>
      <c r="D146" s="742">
        <f>C146/C148</f>
        <v>0.54744634178951557</v>
      </c>
      <c r="E146" s="733">
        <f>E148*D146</f>
        <v>166.3516271599477</v>
      </c>
      <c r="G146" s="728"/>
    </row>
    <row r="147" spans="2:7" hidden="1">
      <c r="B147" s="725" t="str">
        <f>B78</f>
        <v>ID Gas CWIP</v>
      </c>
      <c r="C147" s="725">
        <f>C$78</f>
        <v>1842199.2460595262</v>
      </c>
      <c r="D147" s="743">
        <f>C147/C148</f>
        <v>0.45255365821048443</v>
      </c>
      <c r="E147" s="725">
        <f>E148*D147</f>
        <v>137.51674214209297</v>
      </c>
      <c r="G147" s="728"/>
    </row>
    <row r="148" spans="2:7" hidden="1">
      <c r="B148" s="725" t="str">
        <f>B79</f>
        <v xml:space="preserve">   Total</v>
      </c>
      <c r="C148" s="734">
        <f>SUM(C146:C147)</f>
        <v>4070675.847244422</v>
      </c>
      <c r="D148" s="744">
        <f>SUM(D146:D147)</f>
        <v>1</v>
      </c>
      <c r="E148" s="734">
        <f>E138</f>
        <v>303.86836930204066</v>
      </c>
      <c r="G148" s="728"/>
    </row>
  </sheetData>
  <phoneticPr fontId="0" type="noConversion"/>
  <printOptions horizontalCentered="1"/>
  <pageMargins left="0.75" right="0.75" top="0.5" bottom="0.5" header="0.5" footer="0.25"/>
  <pageSetup scale="97" orientation="portrait" horizontalDpi="300" verticalDpi="300" r:id="rId1"/>
  <headerFooter alignWithMargins="0">
    <oddFooter>&amp;Lfile:  &amp;F&amp;RLMA &amp;D</oddFooter>
  </headerFooter>
  <rowBreaks count="2" manualBreakCount="2">
    <brk id="58" max="5" man="1"/>
    <brk id="79" max="16383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H130"/>
  <sheetViews>
    <sheetView topLeftCell="A13" workbookViewId="0">
      <selection activeCell="F32" sqref="F32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840" t="s">
        <v>339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437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96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/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45</v>
      </c>
      <c r="F17" s="391">
        <v>33</v>
      </c>
      <c r="G17" s="391">
        <v>12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45</v>
      </c>
      <c r="F19" s="391">
        <f>SUM(F16:F18)</f>
        <v>33</v>
      </c>
      <c r="G19" s="391">
        <f>SUM(G16:G18)</f>
        <v>12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1</v>
      </c>
      <c r="F21" s="391">
        <v>1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1</v>
      </c>
      <c r="F24" s="391">
        <f>SUM(F21:F23)</f>
        <v>1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468</v>
      </c>
      <c r="F26" s="391">
        <v>329</v>
      </c>
      <c r="G26" s="391">
        <v>139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-3</v>
      </c>
      <c r="F28" s="392"/>
      <c r="G28" s="828">
        <f>F113</f>
        <v>-3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465</v>
      </c>
      <c r="F29" s="391">
        <f>SUM(F26:F28)</f>
        <v>329</v>
      </c>
      <c r="G29" s="391">
        <f>SUM(G26:G28)</f>
        <v>136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257</v>
      </c>
      <c r="F31" s="391">
        <v>205</v>
      </c>
      <c r="G31" s="391">
        <v>52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16</v>
      </c>
      <c r="F32" s="391">
        <v>12</v>
      </c>
      <c r="G32" s="391">
        <v>4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23</v>
      </c>
      <c r="F33" s="391">
        <v>19</v>
      </c>
      <c r="G33" s="391">
        <v>4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254</v>
      </c>
      <c r="F35" s="391">
        <v>187</v>
      </c>
      <c r="G35" s="391">
        <v>67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254</v>
      </c>
      <c r="F38" s="392">
        <f>SUM(F35:F37)</f>
        <v>187</v>
      </c>
      <c r="G38" s="392">
        <f>SUM(G35:G37)</f>
        <v>67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1061</v>
      </c>
      <c r="F39" s="392">
        <f>F19+F24+F29+F31+F32+F33+F38+F14</f>
        <v>786</v>
      </c>
      <c r="G39" s="392">
        <f>G19+G24+G29+G31+G32+G33+G38+G14</f>
        <v>275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-1061</v>
      </c>
      <c r="F41" s="391">
        <f>F11-F39</f>
        <v>-786</v>
      </c>
      <c r="G41" s="391">
        <f>G11-G39</f>
        <v>-275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-371</v>
      </c>
      <c r="F44" s="391">
        <f>ROUND(F41*D44,0)</f>
        <v>-275</v>
      </c>
      <c r="G44" s="391">
        <f>ROUND(G41*D44,0)</f>
        <v>-96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-690</v>
      </c>
      <c r="F48" s="398">
        <f>F41-F44+F45+F46</f>
        <v>-511</v>
      </c>
      <c r="G48" s="398">
        <f>G41-SUM(G44:G46)</f>
        <v>-179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F68" s="840" t="s">
        <v>339</v>
      </c>
      <c r="G68" s="376"/>
    </row>
    <row r="69" spans="1:8" ht="12" customHeight="1">
      <c r="A69" s="375" t="s">
        <v>169</v>
      </c>
      <c r="B69" s="375"/>
      <c r="C69" s="375"/>
      <c r="F69" s="840" t="s">
        <v>437</v>
      </c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96" t="s">
        <v>174</v>
      </c>
      <c r="G70" s="376"/>
    </row>
    <row r="71" spans="1:8" ht="12" customHeight="1">
      <c r="A71" s="375" t="s">
        <v>170</v>
      </c>
      <c r="B71" s="375"/>
      <c r="C71" s="375"/>
      <c r="E71" s="968"/>
      <c r="F71" s="381" t="s">
        <v>129</v>
      </c>
      <c r="G71" s="969"/>
    </row>
    <row r="72" spans="1:8" ht="12" customHeight="1">
      <c r="E72" s="968"/>
      <c r="F72" s="970"/>
      <c r="G72" s="969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12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12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139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139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52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4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4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67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67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278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-278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-3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G57"/>
  <sheetViews>
    <sheetView workbookViewId="0">
      <selection activeCell="D44" sqref="D44"/>
    </sheetView>
  </sheetViews>
  <sheetFormatPr defaultRowHeight="12.75"/>
  <cols>
    <col min="1" max="1" width="9.140625" style="191"/>
    <col min="2" max="2" width="6.5703125" style="191" customWidth="1"/>
    <col min="3" max="3" width="42" style="191" customWidth="1"/>
    <col min="4" max="4" width="9.140625" style="191"/>
    <col min="5" max="5" width="20.140625" style="966" customWidth="1"/>
    <col min="6" max="6" width="9.140625" style="191"/>
    <col min="7" max="7" width="19.85546875" style="191" bestFit="1" customWidth="1"/>
    <col min="8" max="16384" width="9.140625" style="191"/>
  </cols>
  <sheetData>
    <row r="1" spans="1:7" s="953" customFormat="1">
      <c r="A1" s="191"/>
      <c r="B1" s="191"/>
      <c r="C1" s="950" t="s">
        <v>197</v>
      </c>
      <c r="D1" s="951"/>
      <c r="E1" s="952"/>
      <c r="G1" s="191"/>
    </row>
    <row r="2" spans="1:7" s="953" customFormat="1">
      <c r="B2" s="191"/>
      <c r="C2" s="950" t="s">
        <v>404</v>
      </c>
      <c r="D2" s="951"/>
      <c r="E2" s="954"/>
      <c r="G2" s="191"/>
    </row>
    <row r="3" spans="1:7" s="953" customFormat="1">
      <c r="B3" s="191"/>
      <c r="C3" s="950" t="s">
        <v>405</v>
      </c>
      <c r="D3" s="951"/>
      <c r="E3" s="954"/>
      <c r="G3" s="191"/>
    </row>
    <row r="4" spans="1:7">
      <c r="A4" s="215"/>
      <c r="C4" s="950" t="str">
        <f>Inputs!D2</f>
        <v>TWELVE MONTHS ENDED SEPTEMBER 30, 2008</v>
      </c>
      <c r="D4" s="955"/>
      <c r="E4" s="951"/>
    </row>
    <row r="5" spans="1:7">
      <c r="A5" s="215"/>
      <c r="C5" s="956"/>
      <c r="D5" s="955"/>
      <c r="E5" s="951"/>
    </row>
    <row r="6" spans="1:7">
      <c r="A6" s="215"/>
      <c r="C6" s="956"/>
      <c r="D6" s="955"/>
      <c r="E6" s="951"/>
    </row>
    <row r="7" spans="1:7">
      <c r="A7" s="215"/>
      <c r="C7" s="956"/>
      <c r="D7" s="955"/>
      <c r="E7" s="951"/>
    </row>
    <row r="8" spans="1:7">
      <c r="A8" s="215"/>
      <c r="C8" s="955"/>
      <c r="D8" s="955"/>
      <c r="E8" s="955"/>
    </row>
    <row r="9" spans="1:7">
      <c r="A9" s="215" t="s">
        <v>376</v>
      </c>
      <c r="C9" s="215"/>
      <c r="D9" s="955"/>
      <c r="E9" s="215"/>
      <c r="G9" s="978" t="s">
        <v>444</v>
      </c>
    </row>
    <row r="10" spans="1:7">
      <c r="A10" s="220" t="s">
        <v>27</v>
      </c>
      <c r="C10" s="220" t="s">
        <v>113</v>
      </c>
      <c r="D10" s="955"/>
      <c r="E10" s="220" t="s">
        <v>406</v>
      </c>
    </row>
    <row r="11" spans="1:7">
      <c r="A11" s="215"/>
      <c r="C11" s="955"/>
      <c r="D11" s="955"/>
      <c r="E11" s="955"/>
    </row>
    <row r="12" spans="1:7">
      <c r="A12" s="192">
        <v>1</v>
      </c>
      <c r="C12" s="957" t="s">
        <v>407</v>
      </c>
      <c r="D12" s="955"/>
      <c r="E12" s="955">
        <v>1</v>
      </c>
      <c r="G12" s="958">
        <f>'RevReqEx-WA'!F24</f>
        <v>3626</v>
      </c>
    </row>
    <row r="13" spans="1:7">
      <c r="A13" s="192"/>
      <c r="C13" s="957"/>
      <c r="D13" s="955"/>
      <c r="E13" s="955"/>
    </row>
    <row r="14" spans="1:7">
      <c r="A14" s="192"/>
      <c r="C14" s="957" t="s">
        <v>408</v>
      </c>
      <c r="D14" s="955"/>
      <c r="E14" s="955"/>
    </row>
    <row r="15" spans="1:7">
      <c r="A15" s="192">
        <v>2</v>
      </c>
      <c r="B15" s="205"/>
      <c r="C15" s="955" t="s">
        <v>409</v>
      </c>
      <c r="D15" s="955"/>
      <c r="E15" s="977">
        <v>2.5179999999999998E-3</v>
      </c>
      <c r="G15" s="959">
        <f>ROUND($G$12*E15,0)</f>
        <v>9</v>
      </c>
    </row>
    <row r="16" spans="1:7">
      <c r="A16" s="192"/>
      <c r="C16" s="955"/>
      <c r="D16" s="955"/>
      <c r="E16" s="977"/>
    </row>
    <row r="17" spans="1:7">
      <c r="A17" s="192">
        <v>3</v>
      </c>
      <c r="C17" s="955" t="s">
        <v>410</v>
      </c>
      <c r="D17" s="955"/>
      <c r="E17" s="977">
        <v>2E-3</v>
      </c>
      <c r="G17" s="959">
        <f>ROUND($G$12*E17,0)</f>
        <v>7</v>
      </c>
    </row>
    <row r="18" spans="1:7">
      <c r="A18" s="192"/>
      <c r="C18" s="955"/>
      <c r="D18" s="955"/>
      <c r="E18" s="977"/>
    </row>
    <row r="19" spans="1:7">
      <c r="A19" s="192">
        <v>4</v>
      </c>
      <c r="C19" s="955" t="s">
        <v>411</v>
      </c>
      <c r="D19" s="955"/>
      <c r="E19" s="977">
        <v>3.8422999999999999E-2</v>
      </c>
      <c r="G19" s="959">
        <f>ROUND($G$12*E19,0)</f>
        <v>139</v>
      </c>
    </row>
    <row r="20" spans="1:7">
      <c r="A20" s="192"/>
      <c r="C20" s="955"/>
      <c r="D20" s="955"/>
      <c r="E20" s="977"/>
    </row>
    <row r="21" spans="1:7">
      <c r="A21" s="192">
        <v>5</v>
      </c>
      <c r="C21" s="955" t="s">
        <v>412</v>
      </c>
      <c r="D21" s="955"/>
      <c r="E21" s="977">
        <v>0</v>
      </c>
      <c r="G21" s="959">
        <f>ROUND($G$12*E21,0)</f>
        <v>0</v>
      </c>
    </row>
    <row r="22" spans="1:7">
      <c r="A22" s="192"/>
      <c r="C22" s="955"/>
      <c r="D22" s="955"/>
      <c r="E22" s="977"/>
    </row>
    <row r="23" spans="1:7">
      <c r="A23" s="192">
        <v>6</v>
      </c>
      <c r="C23" s="955" t="s">
        <v>413</v>
      </c>
      <c r="D23" s="955"/>
      <c r="E23" s="979">
        <f>SUM(E15:E21)</f>
        <v>4.2941E-2</v>
      </c>
      <c r="G23" s="961">
        <f>SUM(G15:G22)</f>
        <v>155</v>
      </c>
    </row>
    <row r="24" spans="1:7">
      <c r="A24" s="192"/>
      <c r="C24" s="955"/>
      <c r="D24" s="955"/>
      <c r="E24" s="977"/>
      <c r="G24" s="962"/>
    </row>
    <row r="25" spans="1:7">
      <c r="A25" s="192">
        <v>7</v>
      </c>
      <c r="C25" s="955" t="s">
        <v>414</v>
      </c>
      <c r="D25" s="955"/>
      <c r="E25" s="977">
        <f>E12-E23</f>
        <v>0.95705899999999999</v>
      </c>
      <c r="G25" s="962">
        <f>G12-G23</f>
        <v>3471</v>
      </c>
    </row>
    <row r="26" spans="1:7">
      <c r="A26" s="192"/>
      <c r="C26" s="955"/>
      <c r="D26" s="955"/>
      <c r="E26" s="977"/>
    </row>
    <row r="27" spans="1:7">
      <c r="A27" s="192">
        <v>8</v>
      </c>
      <c r="C27" s="955" t="s">
        <v>415</v>
      </c>
      <c r="D27" s="963"/>
      <c r="E27" s="977">
        <f>E25*0.35</f>
        <v>0.33497064999999998</v>
      </c>
      <c r="G27" s="964">
        <f>ROUND(G25*0.35,0)</f>
        <v>1215</v>
      </c>
    </row>
    <row r="28" spans="1:7">
      <c r="C28" s="955"/>
      <c r="D28" s="955"/>
      <c r="E28" s="977"/>
    </row>
    <row r="29" spans="1:7" ht="13.5" thickBot="1">
      <c r="A29" s="192">
        <v>9</v>
      </c>
      <c r="C29" s="955" t="s">
        <v>416</v>
      </c>
      <c r="D29" s="955"/>
      <c r="E29" s="1164">
        <f>E25-E27</f>
        <v>0.62208835000000007</v>
      </c>
      <c r="G29" s="965">
        <f>G25-G27</f>
        <v>2256</v>
      </c>
    </row>
    <row r="30" spans="1:7" ht="13.5" thickTop="1">
      <c r="C30" s="955"/>
      <c r="D30" s="955"/>
    </row>
    <row r="31" spans="1:7">
      <c r="C31" s="955" t="s">
        <v>417</v>
      </c>
      <c r="D31" s="955"/>
    </row>
    <row r="32" spans="1:7">
      <c r="C32" s="955" t="s">
        <v>418</v>
      </c>
      <c r="D32" s="955"/>
    </row>
    <row r="33" spans="3:7">
      <c r="C33" s="955" t="s">
        <v>419</v>
      </c>
      <c r="D33" s="955"/>
    </row>
    <row r="34" spans="3:7">
      <c r="C34" s="955" t="s">
        <v>420</v>
      </c>
      <c r="D34" s="955"/>
    </row>
    <row r="35" spans="3:7">
      <c r="C35" s="955" t="s">
        <v>421</v>
      </c>
      <c r="D35" s="955"/>
    </row>
    <row r="36" spans="3:7">
      <c r="C36" s="955" t="s">
        <v>422</v>
      </c>
      <c r="D36" s="955"/>
      <c r="E36" s="966">
        <v>3.1686354434833129E-3</v>
      </c>
    </row>
    <row r="37" spans="3:7">
      <c r="C37" s="955" t="s">
        <v>423</v>
      </c>
      <c r="D37" s="955"/>
      <c r="G37" s="191">
        <v>190386</v>
      </c>
    </row>
    <row r="38" spans="3:7">
      <c r="C38" s="955" t="s">
        <v>424</v>
      </c>
      <c r="D38" s="955"/>
    </row>
    <row r="39" spans="3:7">
      <c r="C39" s="955"/>
      <c r="D39" s="955"/>
      <c r="G39" s="191">
        <v>60181224</v>
      </c>
    </row>
    <row r="40" spans="3:7">
      <c r="C40" s="960" t="s">
        <v>425</v>
      </c>
      <c r="D40" s="955"/>
    </row>
    <row r="41" spans="3:7">
      <c r="C41" s="955"/>
      <c r="D41" s="955"/>
    </row>
    <row r="42" spans="3:7">
      <c r="C42" s="955" t="s">
        <v>426</v>
      </c>
      <c r="D42" s="955"/>
    </row>
    <row r="43" spans="3:7">
      <c r="C43" s="955" t="s">
        <v>427</v>
      </c>
      <c r="D43" s="955"/>
    </row>
    <row r="44" spans="3:7">
      <c r="C44" s="955" t="s">
        <v>428</v>
      </c>
      <c r="D44" s="955"/>
    </row>
    <row r="45" spans="3:7">
      <c r="C45" s="955" t="s">
        <v>429</v>
      </c>
      <c r="D45" s="955"/>
    </row>
    <row r="46" spans="3:7">
      <c r="C46" s="955" t="s">
        <v>430</v>
      </c>
    </row>
    <row r="47" spans="3:7">
      <c r="C47" s="955" t="s">
        <v>431</v>
      </c>
      <c r="G47" s="191">
        <v>0.142655</v>
      </c>
    </row>
    <row r="48" spans="3:7">
      <c r="C48" s="955" t="s">
        <v>432</v>
      </c>
      <c r="D48" s="955"/>
      <c r="E48" s="966">
        <v>3.8397944162717024E-2</v>
      </c>
    </row>
    <row r="49" spans="3:7">
      <c r="C49" s="955" t="s">
        <v>433</v>
      </c>
      <c r="D49" s="955"/>
      <c r="G49" s="191">
        <v>7.5999999999999998E-2</v>
      </c>
    </row>
    <row r="50" spans="3:7">
      <c r="C50" s="955"/>
      <c r="D50" s="955"/>
      <c r="G50" s="191">
        <v>1.0841780000000001E-2</v>
      </c>
    </row>
    <row r="51" spans="3:7">
      <c r="C51" s="955" t="s">
        <v>434</v>
      </c>
      <c r="D51" s="955"/>
    </row>
    <row r="52" spans="3:7">
      <c r="C52" s="955" t="s">
        <v>435</v>
      </c>
      <c r="D52" s="955"/>
      <c r="G52" s="191">
        <v>5.7405448291978911E-3</v>
      </c>
    </row>
    <row r="53" spans="3:7">
      <c r="C53" s="955" t="s">
        <v>420</v>
      </c>
      <c r="D53" s="955"/>
    </row>
    <row r="54" spans="3:7">
      <c r="C54" s="955" t="s">
        <v>421</v>
      </c>
      <c r="D54" s="955"/>
    </row>
    <row r="55" spans="3:7">
      <c r="C55" s="191" t="s">
        <v>432</v>
      </c>
      <c r="D55" s="955"/>
      <c r="E55" s="966">
        <v>0</v>
      </c>
    </row>
    <row r="56" spans="3:7">
      <c r="C56" s="955" t="s">
        <v>436</v>
      </c>
      <c r="D56" s="955"/>
    </row>
    <row r="57" spans="3:7">
      <c r="C57" s="955" t="s">
        <v>424</v>
      </c>
      <c r="D57" s="955"/>
    </row>
  </sheetData>
  <phoneticPr fontId="0" type="noConversion"/>
  <pageMargins left="0.75" right="0.75" top="1" bottom="1" header="0.5" footer="0.5"/>
  <pageSetup orientation="portrait" r:id="rId1"/>
  <headerFooter alignWithMargins="0">
    <oddHeader>&amp;RExhibit No. _____(EMA-3)</oddHeader>
    <oddFooter xml:space="preserve">&amp;RPage 3 of 8                     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H130"/>
  <sheetViews>
    <sheetView topLeftCell="A10" workbookViewId="0">
      <selection activeCell="G39" sqref="G39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840" t="s">
        <v>339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438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96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/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4</v>
      </c>
      <c r="F17" s="391">
        <v>3</v>
      </c>
      <c r="G17" s="391">
        <v>1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4</v>
      </c>
      <c r="F19" s="391">
        <f>SUM(F16:F18)</f>
        <v>3</v>
      </c>
      <c r="G19" s="391">
        <f>SUM(G16:G18)</f>
        <v>1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95</v>
      </c>
      <c r="F35" s="391">
        <v>64</v>
      </c>
      <c r="G35" s="391">
        <v>31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95</v>
      </c>
      <c r="F38" s="392">
        <f>SUM(F35:F37)</f>
        <v>64</v>
      </c>
      <c r="G38" s="392">
        <f>SUM(G35:G37)</f>
        <v>31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99</v>
      </c>
      <c r="F39" s="392">
        <f>F19+F24+F29+F31+F32+F33+F38+F14</f>
        <v>67</v>
      </c>
      <c r="G39" s="392">
        <f>G19+G24+G29+G31+G32+G33+G38+G14</f>
        <v>32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-99</v>
      </c>
      <c r="F41" s="391">
        <f>F11-F39</f>
        <v>-67</v>
      </c>
      <c r="G41" s="391">
        <f>G11-G39</f>
        <v>-32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-34</v>
      </c>
      <c r="F44" s="391">
        <f>ROUND(F41*D44,0)</f>
        <v>-23</v>
      </c>
      <c r="G44" s="391">
        <f>ROUND(G41*D44,0)</f>
        <v>-11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-65</v>
      </c>
      <c r="F48" s="398">
        <f>F41-F44+F45+F46</f>
        <v>-44</v>
      </c>
      <c r="G48" s="398">
        <f>G41-SUM(G44:G46)</f>
        <v>-21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F68" s="840" t="s">
        <v>339</v>
      </c>
      <c r="G68" s="376"/>
    </row>
    <row r="69" spans="1:8" ht="12" customHeight="1">
      <c r="A69" s="375" t="s">
        <v>169</v>
      </c>
      <c r="B69" s="375"/>
      <c r="C69" s="375"/>
      <c r="F69" s="840" t="s">
        <v>438</v>
      </c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96" t="s">
        <v>174</v>
      </c>
      <c r="G70" s="376"/>
    </row>
    <row r="71" spans="1:8" ht="12" customHeight="1">
      <c r="A71" s="375" t="s">
        <v>170</v>
      </c>
      <c r="B71" s="375"/>
      <c r="C71" s="375"/>
      <c r="F71" s="381" t="s">
        <v>129</v>
      </c>
      <c r="G71" s="376"/>
    </row>
    <row r="72" spans="1:8" ht="12" customHeight="1">
      <c r="E72" s="968"/>
      <c r="F72" s="970"/>
      <c r="G72" s="969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1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1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31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31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32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-32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0"/>
  <dimension ref="A1:H114"/>
  <sheetViews>
    <sheetView zoomScaleNormal="100" workbookViewId="0"/>
  </sheetViews>
  <sheetFormatPr defaultRowHeight="12" customHeight="1"/>
  <cols>
    <col min="1" max="1" width="5.5703125" style="524" customWidth="1"/>
    <col min="2" max="2" width="26.140625" style="524" customWidth="1"/>
    <col min="3" max="3" width="12.42578125" style="524" customWidth="1"/>
    <col min="4" max="4" width="6.7109375" style="524" customWidth="1"/>
    <col min="5" max="5" width="12.42578125" style="543" customWidth="1"/>
    <col min="6" max="6" width="12.42578125" style="544" customWidth="1"/>
    <col min="7" max="7" width="12.42578125" style="543" customWidth="1"/>
    <col min="8" max="8" width="12.42578125" style="524" customWidth="1"/>
    <col min="9" max="16384" width="9.140625" style="527"/>
  </cols>
  <sheetData>
    <row r="1" spans="1:8" ht="12" customHeight="1">
      <c r="A1" s="523" t="str">
        <f>Inputs!$D$6</f>
        <v>AVISTA UTILITIES</v>
      </c>
      <c r="B1" s="523"/>
      <c r="C1" s="523"/>
      <c r="E1" s="525"/>
      <c r="G1" s="525"/>
    </row>
    <row r="2" spans="1:8" ht="12" customHeight="1">
      <c r="A2" s="523" t="s">
        <v>125</v>
      </c>
      <c r="B2" s="523"/>
      <c r="C2" s="523"/>
      <c r="E2" s="525"/>
      <c r="F2" s="528" t="s">
        <v>466</v>
      </c>
      <c r="G2" s="525"/>
    </row>
    <row r="3" spans="1:8" ht="12" customHeight="1">
      <c r="A3" s="523" t="str">
        <f>Inputs!$D$2</f>
        <v>TWELVE MONTHS ENDED SEPTEMBER 30, 2008</v>
      </c>
      <c r="B3" s="523"/>
      <c r="C3" s="523"/>
      <c r="E3" s="525"/>
      <c r="F3" s="379" t="s">
        <v>289</v>
      </c>
      <c r="G3" s="524"/>
    </row>
    <row r="4" spans="1:8" ht="12" customHeight="1">
      <c r="A4" s="523" t="s">
        <v>128</v>
      </c>
      <c r="B4" s="523"/>
      <c r="C4" s="523"/>
      <c r="E4" s="529"/>
      <c r="F4" s="530" t="s">
        <v>129</v>
      </c>
      <c r="G4" s="529"/>
    </row>
    <row r="5" spans="1:8" ht="12" customHeight="1">
      <c r="A5" s="531" t="s">
        <v>10</v>
      </c>
      <c r="E5" s="525"/>
      <c r="F5" s="528"/>
      <c r="G5" s="525"/>
    </row>
    <row r="6" spans="1:8" ht="12" customHeight="1">
      <c r="A6" s="532" t="s">
        <v>27</v>
      </c>
      <c r="B6" s="533" t="s">
        <v>113</v>
      </c>
      <c r="C6" s="533"/>
      <c r="E6" s="534" t="s">
        <v>130</v>
      </c>
      <c r="F6" s="535" t="s">
        <v>131</v>
      </c>
      <c r="G6" s="534" t="s">
        <v>132</v>
      </c>
      <c r="H6" s="536" t="s">
        <v>133</v>
      </c>
    </row>
    <row r="7" spans="1:8" ht="12" customHeight="1">
      <c r="A7" s="531"/>
      <c r="B7" s="524" t="s">
        <v>68</v>
      </c>
      <c r="E7" s="537"/>
      <c r="F7" s="528"/>
      <c r="G7" s="537"/>
    </row>
    <row r="8" spans="1:8" ht="12" customHeight="1">
      <c r="A8" s="531">
        <v>1</v>
      </c>
      <c r="B8" s="524" t="s">
        <v>134</v>
      </c>
      <c r="E8" s="538"/>
      <c r="F8" s="538"/>
      <c r="G8" s="538"/>
      <c r="H8" s="539" t="str">
        <f>IF(E8=F8+G8," ","ERROR")</f>
        <v xml:space="preserve"> </v>
      </c>
    </row>
    <row r="9" spans="1:8" ht="12" customHeight="1">
      <c r="A9" s="531">
        <v>2</v>
      </c>
      <c r="B9" s="524" t="s">
        <v>135</v>
      </c>
      <c r="E9" s="540"/>
      <c r="F9" s="540"/>
      <c r="G9" s="540"/>
      <c r="H9" s="539" t="str">
        <f>IF(E9=F9+G9," ","ERROR")</f>
        <v xml:space="preserve"> </v>
      </c>
    </row>
    <row r="10" spans="1:8" ht="12" customHeight="1">
      <c r="A10" s="531">
        <v>3</v>
      </c>
      <c r="B10" s="524" t="s">
        <v>71</v>
      </c>
      <c r="E10" s="541">
        <f>F10+G10</f>
        <v>-2561</v>
      </c>
      <c r="F10" s="1109">
        <v>-2561</v>
      </c>
      <c r="G10" s="541"/>
      <c r="H10" s="539" t="str">
        <f>IF(E10=F10+G10," ","ERROR")</f>
        <v xml:space="preserve"> </v>
      </c>
    </row>
    <row r="11" spans="1:8" ht="12" customHeight="1">
      <c r="A11" s="531">
        <v>4</v>
      </c>
      <c r="B11" s="524" t="s">
        <v>136</v>
      </c>
      <c r="E11" s="540">
        <f>SUM(E8:E10)</f>
        <v>-2561</v>
      </c>
      <c r="F11" s="540">
        <f>SUM(F8:F10)</f>
        <v>-2561</v>
      </c>
      <c r="G11" s="540">
        <f>SUM(G8:G10)</f>
        <v>0</v>
      </c>
      <c r="H11" s="539" t="str">
        <f>IF(E11=F11+G11," ","ERROR")</f>
        <v xml:space="preserve"> </v>
      </c>
    </row>
    <row r="12" spans="1:8" ht="12" customHeight="1">
      <c r="A12" s="531"/>
      <c r="E12" s="540"/>
      <c r="F12" s="540"/>
      <c r="G12" s="540"/>
      <c r="H12" s="539"/>
    </row>
    <row r="13" spans="1:8" ht="12" customHeight="1">
      <c r="A13" s="531"/>
      <c r="B13" s="524" t="s">
        <v>73</v>
      </c>
      <c r="E13" s="540"/>
      <c r="F13" s="540"/>
      <c r="G13" s="540"/>
      <c r="H13" s="539"/>
    </row>
    <row r="14" spans="1:8" ht="12" customHeight="1">
      <c r="A14" s="531">
        <v>5</v>
      </c>
      <c r="B14" s="524" t="s">
        <v>137</v>
      </c>
      <c r="E14" s="540"/>
      <c r="F14" s="540"/>
      <c r="G14" s="540"/>
      <c r="H14" s="539" t="str">
        <f>IF(E14=F14+G14," ","ERROR")</f>
        <v xml:space="preserve"> </v>
      </c>
    </row>
    <row r="15" spans="1:8" ht="12" customHeight="1">
      <c r="A15" s="531"/>
      <c r="B15" s="524" t="s">
        <v>75</v>
      </c>
      <c r="E15" s="540"/>
      <c r="F15" s="540"/>
      <c r="G15" s="540"/>
      <c r="H15" s="539"/>
    </row>
    <row r="16" spans="1:8" ht="12" customHeight="1">
      <c r="A16" s="531">
        <v>6</v>
      </c>
      <c r="B16" s="524" t="s">
        <v>138</v>
      </c>
      <c r="E16" s="540"/>
      <c r="F16" s="540"/>
      <c r="G16" s="540"/>
      <c r="H16" s="539" t="str">
        <f>IF(E16=F16+G16," ","ERROR")</f>
        <v xml:space="preserve"> </v>
      </c>
    </row>
    <row r="17" spans="1:8" ht="12" customHeight="1">
      <c r="A17" s="531">
        <v>7</v>
      </c>
      <c r="B17" s="524" t="s">
        <v>139</v>
      </c>
      <c r="E17" s="540"/>
      <c r="F17" s="540"/>
      <c r="G17" s="540"/>
      <c r="H17" s="539" t="str">
        <f>IF(E17=F17+G17," ","ERROR")</f>
        <v xml:space="preserve"> </v>
      </c>
    </row>
    <row r="18" spans="1:8" ht="12" customHeight="1">
      <c r="A18" s="531">
        <v>8</v>
      </c>
      <c r="B18" s="524" t="s">
        <v>140</v>
      </c>
      <c r="E18" s="541"/>
      <c r="F18" s="541"/>
      <c r="G18" s="541"/>
      <c r="H18" s="539" t="str">
        <f>IF(E18=F18+G18," ","ERROR")</f>
        <v xml:space="preserve"> </v>
      </c>
    </row>
    <row r="19" spans="1:8" ht="12" customHeight="1">
      <c r="A19" s="531">
        <v>9</v>
      </c>
      <c r="B19" s="524" t="s">
        <v>141</v>
      </c>
      <c r="E19" s="540">
        <f>SUM(E16:E18)</f>
        <v>0</v>
      </c>
      <c r="F19" s="540">
        <f>SUM(F16:F18)</f>
        <v>0</v>
      </c>
      <c r="G19" s="540">
        <f>SUM(G16:G18)</f>
        <v>0</v>
      </c>
      <c r="H19" s="539" t="str">
        <f>IF(E19=F19+G19," ","ERROR")</f>
        <v xml:space="preserve"> </v>
      </c>
    </row>
    <row r="20" spans="1:8" ht="12" customHeight="1">
      <c r="A20" s="531"/>
      <c r="B20" s="524" t="s">
        <v>80</v>
      </c>
      <c r="E20" s="540"/>
      <c r="F20" s="540"/>
      <c r="G20" s="540"/>
      <c r="H20" s="539"/>
    </row>
    <row r="21" spans="1:8" ht="12" customHeight="1">
      <c r="A21" s="531">
        <v>10</v>
      </c>
      <c r="B21" s="524" t="s">
        <v>142</v>
      </c>
      <c r="E21" s="540"/>
      <c r="F21" s="540"/>
      <c r="G21" s="540"/>
      <c r="H21" s="539" t="str">
        <f>IF(E21=F21+G21," ","ERROR")</f>
        <v xml:space="preserve"> </v>
      </c>
    </row>
    <row r="22" spans="1:8" ht="12" customHeight="1">
      <c r="A22" s="531">
        <v>11</v>
      </c>
      <c r="B22" s="524" t="s">
        <v>143</v>
      </c>
      <c r="E22" s="1053">
        <f>F22+G22</f>
        <v>155</v>
      </c>
      <c r="F22" s="1110">
        <v>155</v>
      </c>
      <c r="G22" s="540"/>
      <c r="H22" s="539" t="str">
        <f>IF(E22=F22+G22," ","ERROR")</f>
        <v xml:space="preserve"> </v>
      </c>
    </row>
    <row r="23" spans="1:8" ht="12" customHeight="1">
      <c r="A23" s="531">
        <v>12</v>
      </c>
      <c r="B23" s="524" t="s">
        <v>144</v>
      </c>
      <c r="E23" s="541">
        <f>F23+G23</f>
        <v>129</v>
      </c>
      <c r="F23" s="1109">
        <v>129</v>
      </c>
      <c r="G23" s="541"/>
      <c r="H23" s="539" t="str">
        <f>IF(E23=F23+G23," ","ERROR")</f>
        <v xml:space="preserve"> </v>
      </c>
    </row>
    <row r="24" spans="1:8" ht="12" customHeight="1">
      <c r="A24" s="531">
        <v>13</v>
      </c>
      <c r="B24" s="524" t="s">
        <v>145</v>
      </c>
      <c r="E24" s="540">
        <f>SUM(E21:E23)</f>
        <v>284</v>
      </c>
      <c r="F24" s="540">
        <f>SUM(F21:F23)</f>
        <v>284</v>
      </c>
      <c r="G24" s="540">
        <f>SUM(G21:G23)</f>
        <v>0</v>
      </c>
      <c r="H24" s="539" t="str">
        <f>IF(E24=F24+G24," ","ERROR")</f>
        <v xml:space="preserve"> </v>
      </c>
    </row>
    <row r="25" spans="1:8" ht="12" customHeight="1">
      <c r="A25" s="531"/>
      <c r="B25" s="524" t="s">
        <v>84</v>
      </c>
      <c r="E25" s="540"/>
      <c r="F25" s="540"/>
      <c r="G25" s="540"/>
      <c r="H25" s="539"/>
    </row>
    <row r="26" spans="1:8" ht="12" customHeight="1">
      <c r="A26" s="531">
        <v>14</v>
      </c>
      <c r="B26" s="524" t="s">
        <v>142</v>
      </c>
      <c r="E26" s="540"/>
      <c r="F26" s="540"/>
      <c r="G26" s="540"/>
      <c r="H26" s="539" t="str">
        <f>IF(E26=F26+G26," ","ERROR")</f>
        <v xml:space="preserve"> </v>
      </c>
    </row>
    <row r="27" spans="1:8" ht="12" customHeight="1">
      <c r="A27" s="531">
        <v>15</v>
      </c>
      <c r="B27" s="524" t="s">
        <v>143</v>
      </c>
      <c r="E27" s="540"/>
      <c r="F27" s="540"/>
      <c r="G27" s="540"/>
      <c r="H27" s="539" t="str">
        <f>IF(E27=F27+G27," ","ERROR")</f>
        <v xml:space="preserve"> </v>
      </c>
    </row>
    <row r="28" spans="1:8" ht="12" customHeight="1">
      <c r="A28" s="531">
        <v>16</v>
      </c>
      <c r="B28" s="524" t="s">
        <v>144</v>
      </c>
      <c r="E28" s="541">
        <f>F28+G28</f>
        <v>-98</v>
      </c>
      <c r="F28" s="1109">
        <v>-98</v>
      </c>
      <c r="G28" s="541">
        <f>F113</f>
        <v>0</v>
      </c>
      <c r="H28" s="539" t="str">
        <f>IF(E28=F28+G28," ","ERROR")</f>
        <v xml:space="preserve"> </v>
      </c>
    </row>
    <row r="29" spans="1:8" ht="12" customHeight="1">
      <c r="A29" s="531">
        <v>17</v>
      </c>
      <c r="B29" s="524" t="s">
        <v>146</v>
      </c>
      <c r="E29" s="540">
        <f>SUM(E26:E28)</f>
        <v>-98</v>
      </c>
      <c r="F29" s="540">
        <f>SUM(F26:F28)</f>
        <v>-98</v>
      </c>
      <c r="G29" s="540">
        <f>SUM(G26:G28)</f>
        <v>0</v>
      </c>
      <c r="H29" s="539" t="str">
        <f>IF(E29=F29+G29," ","ERROR")</f>
        <v xml:space="preserve"> </v>
      </c>
    </row>
    <row r="30" spans="1:8" ht="12" customHeight="1">
      <c r="A30" s="531"/>
      <c r="E30" s="540"/>
      <c r="F30" s="540"/>
      <c r="G30" s="540"/>
      <c r="H30" s="539"/>
    </row>
    <row r="31" spans="1:8" ht="12" customHeight="1">
      <c r="A31" s="531">
        <v>18</v>
      </c>
      <c r="B31" s="524" t="s">
        <v>86</v>
      </c>
      <c r="E31" s="540">
        <f>F31+G31</f>
        <v>-7</v>
      </c>
      <c r="F31" s="1110">
        <v>-7</v>
      </c>
      <c r="G31" s="540"/>
      <c r="H31" s="539" t="str">
        <f>IF(E31=F31+G31," ","ERROR")</f>
        <v xml:space="preserve"> </v>
      </c>
    </row>
    <row r="32" spans="1:8" ht="12" customHeight="1">
      <c r="A32" s="531">
        <v>19</v>
      </c>
      <c r="B32" s="524" t="s">
        <v>87</v>
      </c>
      <c r="E32" s="540"/>
      <c r="F32" s="540"/>
      <c r="G32" s="540"/>
      <c r="H32" s="539" t="str">
        <f>IF(E32=F32+G32," ","ERROR")</f>
        <v xml:space="preserve"> </v>
      </c>
    </row>
    <row r="33" spans="1:8" ht="12" customHeight="1">
      <c r="A33" s="531">
        <v>20</v>
      </c>
      <c r="B33" s="524" t="s">
        <v>147</v>
      </c>
      <c r="E33" s="540"/>
      <c r="F33" s="540"/>
      <c r="G33" s="540"/>
      <c r="H33" s="539" t="str">
        <f>IF(E33=F33+G33," ","ERROR")</f>
        <v xml:space="preserve"> </v>
      </c>
    </row>
    <row r="34" spans="1:8" ht="12" customHeight="1">
      <c r="A34" s="531"/>
      <c r="B34" s="524" t="s">
        <v>148</v>
      </c>
      <c r="E34" s="540"/>
      <c r="F34" s="540"/>
      <c r="G34" s="540"/>
      <c r="H34" s="539"/>
    </row>
    <row r="35" spans="1:8" ht="12" customHeight="1">
      <c r="A35" s="531">
        <v>21</v>
      </c>
      <c r="B35" s="524" t="s">
        <v>142</v>
      </c>
      <c r="E35" s="540">
        <f>F35+G35</f>
        <v>-5</v>
      </c>
      <c r="F35" s="1110">
        <v>-5</v>
      </c>
      <c r="G35" s="540"/>
      <c r="H35" s="539" t="str">
        <f>IF(E35=F35+G35," ","ERROR")</f>
        <v xml:space="preserve"> </v>
      </c>
    </row>
    <row r="36" spans="1:8" ht="12" customHeight="1">
      <c r="A36" s="531">
        <v>22</v>
      </c>
      <c r="B36" s="524" t="s">
        <v>143</v>
      </c>
      <c r="E36" s="540"/>
      <c r="F36" s="540"/>
      <c r="G36" s="540"/>
      <c r="H36" s="539" t="str">
        <f>IF(E36=F36+G36," ","ERROR")</f>
        <v xml:space="preserve"> </v>
      </c>
    </row>
    <row r="37" spans="1:8" ht="12" customHeight="1">
      <c r="A37" s="531">
        <v>23</v>
      </c>
      <c r="B37" s="524" t="s">
        <v>144</v>
      </c>
      <c r="E37" s="541"/>
      <c r="F37" s="541"/>
      <c r="G37" s="541"/>
      <c r="H37" s="539" t="str">
        <f>IF(E37=F37+G37," ","ERROR")</f>
        <v xml:space="preserve"> </v>
      </c>
    </row>
    <row r="38" spans="1:8" ht="12" customHeight="1">
      <c r="A38" s="531">
        <v>24</v>
      </c>
      <c r="B38" s="524" t="s">
        <v>149</v>
      </c>
      <c r="E38" s="541">
        <f>SUM(E35:E37)</f>
        <v>-5</v>
      </c>
      <c r="F38" s="541">
        <f>SUM(F35:F37)</f>
        <v>-5</v>
      </c>
      <c r="G38" s="541">
        <f>SUM(G35:G37)</f>
        <v>0</v>
      </c>
      <c r="H38" s="539" t="str">
        <f>IF(E38=F38+G38," ","ERROR")</f>
        <v xml:space="preserve"> </v>
      </c>
    </row>
    <row r="39" spans="1:8" ht="12" customHeight="1">
      <c r="A39" s="531">
        <v>25</v>
      </c>
      <c r="B39" s="524" t="s">
        <v>91</v>
      </c>
      <c r="E39" s="541">
        <f>E19+E24+E29+E31+E32+E33+E38+E14</f>
        <v>174</v>
      </c>
      <c r="F39" s="541">
        <f>F19+F24+F29+F31+F32+F33+F38+F14</f>
        <v>174</v>
      </c>
      <c r="G39" s="541">
        <f>G19+G24+G29+G31+G32+G33+G38+G14</f>
        <v>0</v>
      </c>
      <c r="H39" s="539" t="str">
        <f>IF(E39=F39+G39," ","ERROR")</f>
        <v xml:space="preserve"> </v>
      </c>
    </row>
    <row r="40" spans="1:8" ht="12" customHeight="1">
      <c r="A40" s="531"/>
      <c r="E40" s="540"/>
      <c r="F40" s="540"/>
      <c r="G40" s="540"/>
      <c r="H40" s="539"/>
    </row>
    <row r="41" spans="1:8" ht="12" customHeight="1">
      <c r="A41" s="531">
        <v>26</v>
      </c>
      <c r="B41" s="524" t="s">
        <v>150</v>
      </c>
      <c r="E41" s="540">
        <f>E11-E39</f>
        <v>-2735</v>
      </c>
      <c r="F41" s="540">
        <f>F11-F39</f>
        <v>-2735</v>
      </c>
      <c r="G41" s="540">
        <f>G11-G39</f>
        <v>0</v>
      </c>
      <c r="H41" s="539" t="str">
        <f>IF(E41=F41+G41," ","ERROR")</f>
        <v xml:space="preserve"> </v>
      </c>
    </row>
    <row r="42" spans="1:8" ht="12" customHeight="1">
      <c r="A42" s="531"/>
      <c r="E42" s="540"/>
      <c r="F42" s="540"/>
      <c r="G42" s="540"/>
      <c r="H42" s="539"/>
    </row>
    <row r="43" spans="1:8" ht="12" customHeight="1">
      <c r="A43" s="531"/>
      <c r="B43" s="524" t="s">
        <v>151</v>
      </c>
      <c r="E43" s="540"/>
      <c r="F43" s="540"/>
      <c r="G43" s="540"/>
      <c r="H43" s="539"/>
    </row>
    <row r="44" spans="1:8" ht="12" customHeight="1">
      <c r="A44" s="531">
        <v>27</v>
      </c>
      <c r="B44" s="542" t="s">
        <v>165</v>
      </c>
      <c r="E44" s="540">
        <f>F44+G44</f>
        <v>-957</v>
      </c>
      <c r="F44" s="540">
        <f>ROUND(F41*0.35,0)</f>
        <v>-957</v>
      </c>
      <c r="G44" s="540">
        <f>ROUND(G41*0.35,0)</f>
        <v>0</v>
      </c>
      <c r="H44" s="539" t="str">
        <f>IF(E44=F44+G44," ","ERROR")</f>
        <v xml:space="preserve"> </v>
      </c>
    </row>
    <row r="45" spans="1:8" ht="12" customHeight="1">
      <c r="A45" s="531">
        <v>28</v>
      </c>
      <c r="B45" s="524" t="s">
        <v>154</v>
      </c>
      <c r="E45" s="540"/>
      <c r="F45" s="540"/>
      <c r="G45" s="540"/>
      <c r="H45" s="539" t="str">
        <f>IF(E45=F45+G45," ","ERROR")</f>
        <v xml:space="preserve"> </v>
      </c>
    </row>
    <row r="46" spans="1:8" ht="12" customHeight="1">
      <c r="A46" s="531">
        <v>29</v>
      </c>
      <c r="B46" s="524" t="s">
        <v>153</v>
      </c>
      <c r="E46" s="541"/>
      <c r="F46" s="541"/>
      <c r="G46" s="541"/>
      <c r="H46" s="539" t="str">
        <f>IF(E46=F46+G46," ","ERROR")</f>
        <v xml:space="preserve"> </v>
      </c>
    </row>
    <row r="47" spans="1:8" ht="12" customHeight="1">
      <c r="A47" s="531"/>
      <c r="H47" s="539"/>
    </row>
    <row r="48" spans="1:8" ht="12" customHeight="1">
      <c r="A48" s="531">
        <v>30</v>
      </c>
      <c r="B48" s="545" t="s">
        <v>97</v>
      </c>
      <c r="E48" s="538">
        <f>E41-(+E44+E45+E46)</f>
        <v>-1778</v>
      </c>
      <c r="F48" s="538">
        <f>F41-F44+F45+F46</f>
        <v>-1778</v>
      </c>
      <c r="G48" s="538">
        <f>G41-SUM(G44:G46)</f>
        <v>0</v>
      </c>
      <c r="H48" s="539" t="str">
        <f>IF(E48=F48+G48," ","ERROR")</f>
        <v xml:space="preserve"> </v>
      </c>
    </row>
    <row r="49" spans="1:8" ht="12" customHeight="1">
      <c r="A49" s="531"/>
      <c r="H49" s="539"/>
    </row>
    <row r="50" spans="1:8" ht="12" customHeight="1">
      <c r="A50" s="531"/>
      <c r="B50" s="542" t="s">
        <v>155</v>
      </c>
      <c r="H50" s="539"/>
    </row>
    <row r="51" spans="1:8" ht="12" customHeight="1">
      <c r="A51" s="531"/>
      <c r="B51" s="542" t="s">
        <v>156</v>
      </c>
      <c r="H51" s="539"/>
    </row>
    <row r="52" spans="1:8" ht="12" customHeight="1">
      <c r="A52" s="531">
        <v>31</v>
      </c>
      <c r="B52" s="524" t="s">
        <v>157</v>
      </c>
      <c r="E52" s="538">
        <f>F52+G52</f>
        <v>8614</v>
      </c>
      <c r="F52" s="1111">
        <v>8614</v>
      </c>
      <c r="G52" s="538"/>
      <c r="H52" s="539" t="str">
        <f t="shared" ref="H52:H63" si="0">IF(E52=F52+G52," ","ERROR")</f>
        <v xml:space="preserve"> </v>
      </c>
    </row>
    <row r="53" spans="1:8" ht="12" customHeight="1">
      <c r="A53" s="531">
        <v>32</v>
      </c>
      <c r="B53" s="524" t="s">
        <v>158</v>
      </c>
      <c r="E53" s="540"/>
      <c r="F53" s="540"/>
      <c r="G53" s="540"/>
      <c r="H53" s="539" t="str">
        <f t="shared" si="0"/>
        <v xml:space="preserve"> </v>
      </c>
    </row>
    <row r="54" spans="1:8" ht="12" customHeight="1">
      <c r="A54" s="531">
        <v>33</v>
      </c>
      <c r="B54" s="524" t="s">
        <v>166</v>
      </c>
      <c r="E54" s="541"/>
      <c r="F54" s="541"/>
      <c r="G54" s="541"/>
      <c r="H54" s="539" t="str">
        <f t="shared" si="0"/>
        <v xml:space="preserve"> </v>
      </c>
    </row>
    <row r="55" spans="1:8" ht="12" customHeight="1">
      <c r="A55" s="531">
        <v>34</v>
      </c>
      <c r="B55" s="524" t="s">
        <v>160</v>
      </c>
      <c r="E55" s="540">
        <f>SUM(E52:E54)</f>
        <v>8614</v>
      </c>
      <c r="F55" s="540">
        <f>SUM(F52:F54)</f>
        <v>8614</v>
      </c>
      <c r="G55" s="540">
        <f>SUM(G52:G54)</f>
        <v>0</v>
      </c>
      <c r="H55" s="539" t="str">
        <f t="shared" si="0"/>
        <v xml:space="preserve"> </v>
      </c>
    </row>
    <row r="56" spans="1:8" ht="12" customHeight="1">
      <c r="A56" s="531"/>
      <c r="B56" s="524" t="s">
        <v>102</v>
      </c>
      <c r="E56" s="540"/>
      <c r="F56" s="540"/>
      <c r="G56" s="540"/>
      <c r="H56" s="539" t="str">
        <f t="shared" si="0"/>
        <v xml:space="preserve"> </v>
      </c>
    </row>
    <row r="57" spans="1:8" ht="12" customHeight="1">
      <c r="A57" s="531">
        <v>35</v>
      </c>
      <c r="B57" s="524" t="s">
        <v>157</v>
      </c>
      <c r="E57" s="540">
        <f>F57+G57</f>
        <v>266</v>
      </c>
      <c r="F57" s="1110">
        <v>266</v>
      </c>
      <c r="G57" s="540"/>
      <c r="H57" s="539" t="str">
        <f t="shared" si="0"/>
        <v xml:space="preserve"> </v>
      </c>
    </row>
    <row r="58" spans="1:8" ht="12" customHeight="1">
      <c r="A58" s="531">
        <v>36</v>
      </c>
      <c r="B58" s="524" t="s">
        <v>158</v>
      </c>
      <c r="E58" s="540"/>
      <c r="F58" s="540"/>
      <c r="G58" s="540"/>
      <c r="H58" s="539" t="str">
        <f t="shared" si="0"/>
        <v xml:space="preserve"> </v>
      </c>
    </row>
    <row r="59" spans="1:8" ht="12" customHeight="1">
      <c r="A59" s="531">
        <v>37</v>
      </c>
      <c r="B59" s="524" t="s">
        <v>166</v>
      </c>
      <c r="E59" s="541"/>
      <c r="F59" s="541"/>
      <c r="G59" s="541"/>
      <c r="H59" s="539" t="str">
        <f t="shared" si="0"/>
        <v xml:space="preserve"> </v>
      </c>
    </row>
    <row r="60" spans="1:8" ht="12" customHeight="1">
      <c r="A60" s="531">
        <v>38</v>
      </c>
      <c r="B60" s="524" t="s">
        <v>161</v>
      </c>
      <c r="E60" s="540">
        <f>SUM(E57:E59)</f>
        <v>266</v>
      </c>
      <c r="F60" s="540">
        <f>SUM(F57:F59)</f>
        <v>266</v>
      </c>
      <c r="G60" s="540">
        <f>SUM(G57:G59)</f>
        <v>0</v>
      </c>
      <c r="H60" s="539" t="str">
        <f t="shared" si="0"/>
        <v xml:space="preserve"> </v>
      </c>
    </row>
    <row r="61" spans="1:8" ht="12" customHeight="1">
      <c r="A61" s="531">
        <v>39</v>
      </c>
      <c r="B61" s="542" t="s">
        <v>162</v>
      </c>
      <c r="E61" s="540">
        <f>F61+G61</f>
        <v>-473</v>
      </c>
      <c r="F61" s="1110">
        <v>-473</v>
      </c>
      <c r="G61" s="540"/>
      <c r="H61" s="539" t="str">
        <f t="shared" si="0"/>
        <v xml:space="preserve"> </v>
      </c>
    </row>
    <row r="62" spans="1:8" ht="12" customHeight="1">
      <c r="A62" s="531">
        <v>40</v>
      </c>
      <c r="B62" s="524" t="s">
        <v>105</v>
      </c>
      <c r="E62" s="540">
        <f>F62+G62</f>
        <v>1047</v>
      </c>
      <c r="F62" s="1110">
        <v>1047</v>
      </c>
      <c r="G62" s="540"/>
      <c r="H62" s="539" t="str">
        <f t="shared" si="0"/>
        <v xml:space="preserve"> </v>
      </c>
    </row>
    <row r="63" spans="1:8" ht="12" customHeight="1">
      <c r="A63" s="531">
        <v>41</v>
      </c>
      <c r="B63" s="542" t="s">
        <v>106</v>
      </c>
      <c r="E63" s="541"/>
      <c r="F63" s="541"/>
      <c r="G63" s="541"/>
      <c r="H63" s="539" t="str">
        <f t="shared" si="0"/>
        <v xml:space="preserve"> </v>
      </c>
    </row>
    <row r="64" spans="1:8" ht="12" customHeight="1">
      <c r="A64" s="531"/>
      <c r="B64" s="524" t="s">
        <v>163</v>
      </c>
      <c r="H64" s="539"/>
    </row>
    <row r="65" spans="1:8" ht="12" customHeight="1" thickBot="1">
      <c r="A65" s="531">
        <v>42</v>
      </c>
      <c r="B65" s="545" t="s">
        <v>107</v>
      </c>
      <c r="E65" s="546">
        <f>E55-E60+E61+E62+E63</f>
        <v>8922</v>
      </c>
      <c r="F65" s="546">
        <f>F55-F60+F61+F62+F63</f>
        <v>8922</v>
      </c>
      <c r="G65" s="546">
        <f>G55-G60+G61+G62+G63</f>
        <v>0</v>
      </c>
      <c r="H65" s="539" t="str">
        <f>IF(E65=F65+G65," ","ERROR")</f>
        <v xml:space="preserve"> </v>
      </c>
    </row>
    <row r="66" spans="1:8" ht="12" customHeight="1" thickTop="1">
      <c r="A66" s="531"/>
      <c r="B66" s="545"/>
      <c r="E66" s="547"/>
      <c r="F66" s="547"/>
      <c r="G66" s="547"/>
      <c r="H66" s="539"/>
    </row>
    <row r="67" spans="1:8" ht="12" customHeight="1">
      <c r="A67" s="531"/>
      <c r="B67" s="545"/>
      <c r="E67" s="547"/>
      <c r="F67" s="547"/>
      <c r="G67" s="547"/>
      <c r="H67" s="539"/>
    </row>
    <row r="68" spans="1:8" ht="12" customHeight="1">
      <c r="A68" s="523" t="str">
        <f>Inputs!$D$6</f>
        <v>AVISTA UTILITIES</v>
      </c>
      <c r="B68" s="523"/>
      <c r="C68" s="523"/>
      <c r="G68" s="524"/>
    </row>
    <row r="69" spans="1:8" ht="12" customHeight="1">
      <c r="A69" s="523" t="s">
        <v>169</v>
      </c>
      <c r="B69" s="523"/>
      <c r="C69" s="523"/>
      <c r="G69" s="524"/>
    </row>
    <row r="70" spans="1:8" ht="12" customHeight="1">
      <c r="A70" s="523" t="str">
        <f>A3</f>
        <v>TWELVE MONTHS ENDED SEPTEMBER 30, 2008</v>
      </c>
      <c r="B70" s="523"/>
      <c r="C70" s="523"/>
      <c r="F70" s="528" t="str">
        <f>F2</f>
        <v>JP STORAGE</v>
      </c>
      <c r="G70" s="524"/>
    </row>
    <row r="71" spans="1:8" ht="12" customHeight="1">
      <c r="A71" s="523" t="s">
        <v>170</v>
      </c>
      <c r="B71" s="523"/>
      <c r="C71" s="523"/>
      <c r="F71" s="528" t="str">
        <f>F3</f>
        <v>PRO FORMA ADJUSTMENT</v>
      </c>
      <c r="G71" s="524"/>
    </row>
    <row r="72" spans="1:8" ht="12" customHeight="1">
      <c r="E72" s="548"/>
      <c r="F72" s="535" t="str">
        <f>F4</f>
        <v>GAS</v>
      </c>
      <c r="G72" s="549"/>
    </row>
    <row r="73" spans="1:8" ht="12" customHeight="1">
      <c r="A73" s="531" t="s">
        <v>10</v>
      </c>
      <c r="F73" s="528"/>
    </row>
    <row r="74" spans="1:8" ht="12" customHeight="1">
      <c r="A74" s="550" t="s">
        <v>27</v>
      </c>
      <c r="B74" s="533" t="s">
        <v>113</v>
      </c>
      <c r="C74" s="533"/>
      <c r="F74" s="535" t="s">
        <v>132</v>
      </c>
    </row>
    <row r="75" spans="1:8" ht="12" customHeight="1">
      <c r="A75" s="531"/>
      <c r="B75" s="524" t="s">
        <v>68</v>
      </c>
      <c r="E75" s="524"/>
      <c r="G75" s="524"/>
    </row>
    <row r="76" spans="1:8" ht="12" customHeight="1">
      <c r="A76" s="531">
        <v>1</v>
      </c>
      <c r="B76" s="524" t="s">
        <v>134</v>
      </c>
      <c r="E76" s="524"/>
      <c r="F76" s="538">
        <f>G8</f>
        <v>0</v>
      </c>
      <c r="G76" s="524"/>
    </row>
    <row r="77" spans="1:8" ht="12" customHeight="1">
      <c r="A77" s="531">
        <v>2</v>
      </c>
      <c r="B77" s="524" t="s">
        <v>135</v>
      </c>
      <c r="E77" s="524"/>
      <c r="F77" s="540">
        <f>G9</f>
        <v>0</v>
      </c>
      <c r="G77" s="524"/>
    </row>
    <row r="78" spans="1:8" ht="12" customHeight="1">
      <c r="A78" s="531">
        <v>3</v>
      </c>
      <c r="B78" s="524" t="s">
        <v>71</v>
      </c>
      <c r="E78" s="524"/>
      <c r="F78" s="541">
        <f>G10</f>
        <v>0</v>
      </c>
      <c r="G78" s="524"/>
    </row>
    <row r="79" spans="1:8" ht="12" customHeight="1">
      <c r="A79" s="531"/>
      <c r="E79" s="524"/>
      <c r="F79" s="540"/>
      <c r="G79" s="524"/>
    </row>
    <row r="80" spans="1:8" ht="12" customHeight="1">
      <c r="A80" s="531">
        <v>4</v>
      </c>
      <c r="B80" s="524" t="s">
        <v>136</v>
      </c>
      <c r="E80" s="524"/>
      <c r="F80" s="540">
        <f>F76+F77+F78</f>
        <v>0</v>
      </c>
      <c r="G80" s="524"/>
    </row>
    <row r="81" spans="1:7" ht="12" customHeight="1">
      <c r="A81" s="531"/>
      <c r="E81" s="524"/>
      <c r="F81" s="540"/>
      <c r="G81" s="524"/>
    </row>
    <row r="82" spans="1:7" ht="12" customHeight="1">
      <c r="A82" s="531"/>
      <c r="B82" s="524" t="s">
        <v>73</v>
      </c>
      <c r="E82" s="524"/>
      <c r="F82" s="540"/>
      <c r="G82" s="524"/>
    </row>
    <row r="83" spans="1:7" ht="12" customHeight="1">
      <c r="A83" s="531">
        <v>5</v>
      </c>
      <c r="B83" s="524" t="s">
        <v>137</v>
      </c>
      <c r="E83" s="524"/>
      <c r="F83" s="540">
        <f>G14</f>
        <v>0</v>
      </c>
      <c r="G83" s="524"/>
    </row>
    <row r="84" spans="1:7" ht="12" customHeight="1">
      <c r="A84" s="531"/>
      <c r="B84" s="524" t="s">
        <v>75</v>
      </c>
      <c r="E84" s="524"/>
      <c r="F84" s="540"/>
      <c r="G84" s="524"/>
    </row>
    <row r="85" spans="1:7" ht="12" customHeight="1">
      <c r="A85" s="531">
        <v>6</v>
      </c>
      <c r="B85" s="524" t="s">
        <v>138</v>
      </c>
      <c r="E85" s="524"/>
      <c r="F85" s="540">
        <f>G16</f>
        <v>0</v>
      </c>
      <c r="G85" s="524"/>
    </row>
    <row r="86" spans="1:7" ht="12" customHeight="1">
      <c r="A86" s="531">
        <v>7</v>
      </c>
      <c r="B86" s="524" t="s">
        <v>139</v>
      </c>
      <c r="E86" s="524"/>
      <c r="F86" s="540">
        <f>G17</f>
        <v>0</v>
      </c>
      <c r="G86" s="524"/>
    </row>
    <row r="87" spans="1:7" ht="12" customHeight="1">
      <c r="A87" s="531">
        <v>8</v>
      </c>
      <c r="B87" s="524" t="s">
        <v>140</v>
      </c>
      <c r="E87" s="524"/>
      <c r="F87" s="541">
        <f>G18</f>
        <v>0</v>
      </c>
      <c r="G87" s="524"/>
    </row>
    <row r="88" spans="1:7" ht="12" customHeight="1">
      <c r="A88" s="531">
        <v>9</v>
      </c>
      <c r="B88" s="524" t="s">
        <v>141</v>
      </c>
      <c r="E88" s="524"/>
      <c r="F88" s="540">
        <f>F85+F86+F87</f>
        <v>0</v>
      </c>
      <c r="G88" s="524"/>
    </row>
    <row r="89" spans="1:7" ht="12" customHeight="1">
      <c r="A89" s="531"/>
      <c r="B89" s="524" t="s">
        <v>80</v>
      </c>
      <c r="E89" s="524"/>
      <c r="F89" s="540"/>
      <c r="G89" s="524"/>
    </row>
    <row r="90" spans="1:7" ht="12" customHeight="1">
      <c r="A90" s="531">
        <v>10</v>
      </c>
      <c r="B90" s="524" t="s">
        <v>142</v>
      </c>
      <c r="E90" s="524"/>
      <c r="F90" s="540">
        <f>G21</f>
        <v>0</v>
      </c>
      <c r="G90" s="524"/>
    </row>
    <row r="91" spans="1:7" ht="12" customHeight="1">
      <c r="A91" s="531">
        <v>11</v>
      </c>
      <c r="B91" s="524" t="s">
        <v>143</v>
      </c>
      <c r="E91" s="524"/>
      <c r="F91" s="540">
        <f>G22</f>
        <v>0</v>
      </c>
      <c r="G91" s="524"/>
    </row>
    <row r="92" spans="1:7" ht="12" customHeight="1">
      <c r="A92" s="531">
        <v>12</v>
      </c>
      <c r="B92" s="524" t="s">
        <v>144</v>
      </c>
      <c r="E92" s="524"/>
      <c r="F92" s="541">
        <f>G23</f>
        <v>0</v>
      </c>
      <c r="G92" s="524"/>
    </row>
    <row r="93" spans="1:7" ht="12" customHeight="1">
      <c r="A93" s="531">
        <v>13</v>
      </c>
      <c r="B93" s="524" t="s">
        <v>145</v>
      </c>
      <c r="E93" s="524"/>
      <c r="F93" s="540">
        <f>F90+F91+F92</f>
        <v>0</v>
      </c>
      <c r="G93" s="524"/>
    </row>
    <row r="94" spans="1:7" ht="12" customHeight="1">
      <c r="A94" s="531"/>
      <c r="B94" s="524" t="s">
        <v>84</v>
      </c>
      <c r="E94" s="524"/>
      <c r="F94" s="540"/>
      <c r="G94" s="524"/>
    </row>
    <row r="95" spans="1:7" ht="12" customHeight="1">
      <c r="A95" s="531">
        <v>14</v>
      </c>
      <c r="B95" s="524" t="s">
        <v>142</v>
      </c>
      <c r="E95" s="524"/>
      <c r="F95" s="540">
        <f>G26</f>
        <v>0</v>
      </c>
      <c r="G95" s="524"/>
    </row>
    <row r="96" spans="1:7" ht="12" customHeight="1">
      <c r="A96" s="531">
        <v>15</v>
      </c>
      <c r="B96" s="524" t="s">
        <v>143</v>
      </c>
      <c r="E96" s="524"/>
      <c r="F96" s="540">
        <f>G27</f>
        <v>0</v>
      </c>
      <c r="G96" s="524"/>
    </row>
    <row r="97" spans="1:7" ht="12" customHeight="1">
      <c r="A97" s="531">
        <v>16</v>
      </c>
      <c r="B97" s="524" t="s">
        <v>144</v>
      </c>
      <c r="E97" s="524"/>
      <c r="F97" s="541"/>
      <c r="G97" s="524"/>
    </row>
    <row r="98" spans="1:7" ht="12" customHeight="1">
      <c r="A98" s="531">
        <v>17</v>
      </c>
      <c r="B98" s="524" t="s">
        <v>146</v>
      </c>
      <c r="E98" s="524"/>
      <c r="F98" s="540">
        <f>F95+F96+F97</f>
        <v>0</v>
      </c>
      <c r="G98" s="524"/>
    </row>
    <row r="99" spans="1:7" ht="12" customHeight="1">
      <c r="A99" s="531">
        <v>18</v>
      </c>
      <c r="B99" s="524" t="s">
        <v>86</v>
      </c>
      <c r="E99" s="524"/>
      <c r="F99" s="540">
        <f>G31</f>
        <v>0</v>
      </c>
      <c r="G99" s="524"/>
    </row>
    <row r="100" spans="1:7" ht="12" customHeight="1">
      <c r="A100" s="531">
        <v>19</v>
      </c>
      <c r="B100" s="524" t="s">
        <v>87</v>
      </c>
      <c r="E100" s="524"/>
      <c r="F100" s="540">
        <f>G32</f>
        <v>0</v>
      </c>
      <c r="G100" s="524"/>
    </row>
    <row r="101" spans="1:7" ht="12" customHeight="1">
      <c r="A101" s="531">
        <v>20</v>
      </c>
      <c r="B101" s="524" t="s">
        <v>147</v>
      </c>
      <c r="E101" s="524"/>
      <c r="F101" s="540">
        <f>G33</f>
        <v>0</v>
      </c>
      <c r="G101" s="524"/>
    </row>
    <row r="102" spans="1:7" ht="12" customHeight="1">
      <c r="A102" s="531"/>
      <c r="B102" s="524" t="s">
        <v>148</v>
      </c>
      <c r="E102" s="524"/>
      <c r="F102" s="540"/>
      <c r="G102" s="524"/>
    </row>
    <row r="103" spans="1:7" ht="12" customHeight="1">
      <c r="A103" s="531">
        <v>21</v>
      </c>
      <c r="B103" s="524" t="s">
        <v>142</v>
      </c>
      <c r="E103" s="524"/>
      <c r="F103" s="540">
        <f>G35</f>
        <v>0</v>
      </c>
      <c r="G103" s="524"/>
    </row>
    <row r="104" spans="1:7" ht="12" customHeight="1">
      <c r="A104" s="531">
        <v>22</v>
      </c>
      <c r="B104" s="524" t="s">
        <v>143</v>
      </c>
      <c r="E104" s="524"/>
      <c r="F104" s="540">
        <f>G36</f>
        <v>0</v>
      </c>
      <c r="G104" s="524"/>
    </row>
    <row r="105" spans="1:7" ht="12" customHeight="1">
      <c r="A105" s="531">
        <v>23</v>
      </c>
      <c r="B105" s="524" t="s">
        <v>144</v>
      </c>
      <c r="E105" s="524"/>
      <c r="F105" s="541">
        <f>G37</f>
        <v>0</v>
      </c>
      <c r="G105" s="524"/>
    </row>
    <row r="106" spans="1:7" ht="12" customHeight="1">
      <c r="A106" s="531">
        <v>24</v>
      </c>
      <c r="B106" s="524" t="s">
        <v>149</v>
      </c>
      <c r="E106" s="524"/>
      <c r="F106" s="541">
        <f>F103+F104+F105</f>
        <v>0</v>
      </c>
      <c r="G106" s="524"/>
    </row>
    <row r="107" spans="1:7" ht="12" customHeight="1">
      <c r="A107" s="531"/>
      <c r="E107" s="524"/>
      <c r="F107" s="540"/>
      <c r="G107" s="524"/>
    </row>
    <row r="108" spans="1:7" ht="12" customHeight="1">
      <c r="A108" s="531">
        <v>25</v>
      </c>
      <c r="B108" s="524" t="s">
        <v>91</v>
      </c>
      <c r="E108" s="524"/>
      <c r="F108" s="541">
        <f>F106+F101+F100+F99+F98+F93+F88+F83</f>
        <v>0</v>
      </c>
      <c r="G108" s="524"/>
    </row>
    <row r="109" spans="1:7" ht="12" customHeight="1">
      <c r="A109" s="531"/>
      <c r="E109" s="524"/>
      <c r="F109" s="540"/>
      <c r="G109" s="524"/>
    </row>
    <row r="110" spans="1:7" ht="12" customHeight="1">
      <c r="A110" s="531">
        <v>26</v>
      </c>
      <c r="B110" s="524" t="s">
        <v>171</v>
      </c>
      <c r="E110" s="524"/>
      <c r="F110" s="541">
        <f>F80-F108</f>
        <v>0</v>
      </c>
      <c r="G110" s="524"/>
    </row>
    <row r="111" spans="1:7" ht="12" customHeight="1">
      <c r="A111" s="531"/>
      <c r="E111" s="524"/>
      <c r="G111" s="524"/>
    </row>
    <row r="112" spans="1:7" ht="12" customHeight="1">
      <c r="A112" s="531">
        <v>27</v>
      </c>
      <c r="B112" s="524" t="s">
        <v>172</v>
      </c>
      <c r="G112" s="524"/>
    </row>
    <row r="113" spans="1:7" ht="12" customHeight="1" thickBot="1">
      <c r="A113" s="531"/>
      <c r="B113" s="551" t="s">
        <v>173</v>
      </c>
      <c r="C113" s="552">
        <f>Inputs!$D$4</f>
        <v>1.1416000000000001E-2</v>
      </c>
      <c r="F113" s="546">
        <f>ROUND(F110*C113,0)</f>
        <v>0</v>
      </c>
      <c r="G113" s="524"/>
    </row>
    <row r="114" spans="1:7" ht="12" customHeight="1" thickTop="1">
      <c r="A114" s="531"/>
      <c r="G114" s="524"/>
    </row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/>
  <rowBreaks count="1" manualBreakCount="1">
    <brk id="6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9"/>
  <dimension ref="A1:H130"/>
  <sheetViews>
    <sheetView workbookViewId="0">
      <selection activeCell="F2" sqref="F2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7" t="s">
        <v>467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-107</v>
      </c>
      <c r="F22" s="391">
        <v>-107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-107</v>
      </c>
      <c r="F24" s="391">
        <f>SUM(F21:F23)</f>
        <v>-107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-564</v>
      </c>
      <c r="F27" s="391">
        <v>-564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-564</v>
      </c>
      <c r="F29" s="391">
        <f>SUM(F26:F28)</f>
        <v>-564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218</v>
      </c>
      <c r="F36" s="391">
        <f>110+108</f>
        <v>218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218</v>
      </c>
      <c r="F38" s="392">
        <f>SUM(F35:F37)</f>
        <v>218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-453</v>
      </c>
      <c r="F39" s="392">
        <f>F19+F24+F29+F31+F32+F33+F38+F14</f>
        <v>-453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453</v>
      </c>
      <c r="F41" s="391">
        <f>F11-F39</f>
        <v>453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159</v>
      </c>
      <c r="F44" s="391">
        <f>ROUND(F41*D44,0)</f>
        <v>159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294</v>
      </c>
      <c r="F48" s="398">
        <f>F41-F44+F45+F46</f>
        <v>294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91">
        <f>F52+G52</f>
        <v>520</v>
      </c>
      <c r="F52" s="389">
        <v>520</v>
      </c>
      <c r="G52" s="389">
        <v>0</v>
      </c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5289</v>
      </c>
      <c r="F53" s="391">
        <v>5289</v>
      </c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1">
        <f>F54+G54</f>
        <v>2110</v>
      </c>
      <c r="F54" s="392">
        <f>7+2103</f>
        <v>2110</v>
      </c>
      <c r="G54" s="392">
        <v>0</v>
      </c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1054">
        <f>SUM(E52:E54)</f>
        <v>7919</v>
      </c>
      <c r="F55" s="391">
        <f>SUM(F52:F54)</f>
        <v>7919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246</v>
      </c>
      <c r="F57" s="391">
        <v>246</v>
      </c>
      <c r="G57" s="391">
        <v>0</v>
      </c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3900</v>
      </c>
      <c r="F58" s="391">
        <v>3900</v>
      </c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>
        <f>F59+G59</f>
        <v>1239</v>
      </c>
      <c r="F59" s="392">
        <f>397+842</f>
        <v>1239</v>
      </c>
      <c r="G59" s="392">
        <v>0</v>
      </c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5385</v>
      </c>
      <c r="F60" s="391">
        <f>SUM(F57:F59)</f>
        <v>5385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-1300</v>
      </c>
      <c r="F61" s="391">
        <v>-1300</v>
      </c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1234</v>
      </c>
      <c r="F65" s="398">
        <f>F55-F60+F61+F62+F63</f>
        <v>1234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PRO FORMA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CAPITAL ADDITIONS 2008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horizontalDpi="4294967292" r:id="rId1"/>
  <headerFooter alignWithMargins="0"/>
  <rowBreaks count="1" manualBreakCount="1">
    <brk id="67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H114"/>
  <sheetViews>
    <sheetView zoomScaleNormal="100" workbookViewId="0">
      <selection activeCell="F2" sqref="F2"/>
    </sheetView>
  </sheetViews>
  <sheetFormatPr defaultColWidth="12.42578125" defaultRowHeight="11.1" customHeight="1"/>
  <cols>
    <col min="1" max="1" width="5.5703125" style="662" customWidth="1"/>
    <col min="2" max="2" width="26.140625" style="662" customWidth="1"/>
    <col min="3" max="3" width="12.42578125" style="662" customWidth="1"/>
    <col min="4" max="4" width="6.7109375" style="662" customWidth="1"/>
    <col min="5" max="5" width="12.42578125" style="680" customWidth="1"/>
    <col min="6" max="6" width="12.42578125" style="681" customWidth="1"/>
    <col min="7" max="7" width="12.42578125" style="680" customWidth="1"/>
    <col min="8" max="16384" width="12.42578125" style="662"/>
  </cols>
  <sheetData>
    <row r="1" spans="1:8" ht="12">
      <c r="A1" s="661" t="str">
        <f>Inputs!$D$6</f>
        <v>AVISTA UTILITIES</v>
      </c>
      <c r="B1" s="661"/>
      <c r="C1" s="661"/>
      <c r="E1" s="663"/>
      <c r="F1" s="664"/>
      <c r="G1" s="663"/>
    </row>
    <row r="2" spans="1:8" ht="12">
      <c r="A2" s="661" t="s">
        <v>125</v>
      </c>
      <c r="B2" s="661"/>
      <c r="C2" s="661"/>
      <c r="E2" s="663"/>
      <c r="F2" s="840" t="s">
        <v>339</v>
      </c>
      <c r="G2" s="663"/>
    </row>
    <row r="3" spans="1:8" ht="12">
      <c r="A3" s="661" t="str">
        <f>Inputs!$D$2</f>
        <v>TWELVE MONTHS ENDED SEPTEMBER 30, 2008</v>
      </c>
      <c r="B3" s="661"/>
      <c r="C3" s="661"/>
      <c r="E3" s="663"/>
      <c r="F3" s="967" t="s">
        <v>468</v>
      </c>
      <c r="G3" s="662"/>
    </row>
    <row r="4" spans="1:8" ht="12">
      <c r="A4" s="661" t="s">
        <v>128</v>
      </c>
      <c r="B4" s="661"/>
      <c r="C4" s="661"/>
      <c r="E4" s="666"/>
      <c r="F4" s="381" t="s">
        <v>129</v>
      </c>
      <c r="G4" s="666"/>
    </row>
    <row r="5" spans="1:8" ht="12">
      <c r="A5" s="667" t="s">
        <v>10</v>
      </c>
      <c r="E5" s="663"/>
      <c r="F5" s="665"/>
      <c r="G5" s="663"/>
    </row>
    <row r="6" spans="1:8" ht="12">
      <c r="A6" s="668" t="s">
        <v>27</v>
      </c>
      <c r="B6" s="669" t="s">
        <v>113</v>
      </c>
      <c r="C6" s="669"/>
      <c r="E6" s="670" t="s">
        <v>130</v>
      </c>
      <c r="F6" s="671" t="s">
        <v>131</v>
      </c>
      <c r="G6" s="670" t="s">
        <v>132</v>
      </c>
      <c r="H6" s="672" t="s">
        <v>133</v>
      </c>
    </row>
    <row r="7" spans="1:8" ht="12">
      <c r="A7" s="667"/>
      <c r="B7" s="662" t="s">
        <v>68</v>
      </c>
      <c r="E7" s="673"/>
      <c r="F7" s="665"/>
      <c r="G7" s="673"/>
    </row>
    <row r="8" spans="1:8" ht="12">
      <c r="A8" s="667">
        <v>1</v>
      </c>
      <c r="B8" s="662" t="s">
        <v>134</v>
      </c>
      <c r="E8" s="674"/>
      <c r="F8" s="674"/>
      <c r="G8" s="674"/>
      <c r="H8" s="675" t="str">
        <f>IF(E8=F8+G8," ","ERROR")</f>
        <v xml:space="preserve"> </v>
      </c>
    </row>
    <row r="9" spans="1:8" ht="12">
      <c r="A9" s="667">
        <v>2</v>
      </c>
      <c r="B9" s="662" t="s">
        <v>135</v>
      </c>
      <c r="E9" s="676"/>
      <c r="F9" s="676"/>
      <c r="G9" s="676"/>
      <c r="H9" s="675" t="str">
        <f>IF(E9=F9+G9," ","ERROR")</f>
        <v xml:space="preserve"> </v>
      </c>
    </row>
    <row r="10" spans="1:8" ht="12">
      <c r="A10" s="667">
        <v>3</v>
      </c>
      <c r="B10" s="662" t="s">
        <v>71</v>
      </c>
      <c r="E10" s="677"/>
      <c r="F10" s="677"/>
      <c r="G10" s="677"/>
      <c r="H10" s="675" t="str">
        <f>IF(E10=F10+G10," ","ERROR")</f>
        <v xml:space="preserve"> </v>
      </c>
    </row>
    <row r="11" spans="1:8" ht="12">
      <c r="A11" s="667">
        <v>4</v>
      </c>
      <c r="B11" s="662" t="s">
        <v>136</v>
      </c>
      <c r="E11" s="676">
        <f>SUM(E8:E10)</f>
        <v>0</v>
      </c>
      <c r="F11" s="676">
        <f>SUM(F8:F10)</f>
        <v>0</v>
      </c>
      <c r="G11" s="676">
        <f>SUM(G8:G10)</f>
        <v>0</v>
      </c>
      <c r="H11" s="675" t="str">
        <f>IF(E11=F11+G11," ","ERROR")</f>
        <v xml:space="preserve"> </v>
      </c>
    </row>
    <row r="12" spans="1:8" ht="12">
      <c r="A12" s="667"/>
      <c r="E12" s="676"/>
      <c r="F12" s="676"/>
      <c r="G12" s="676"/>
      <c r="H12" s="675"/>
    </row>
    <row r="13" spans="1:8" ht="12">
      <c r="A13" s="667"/>
      <c r="B13" s="662" t="s">
        <v>73</v>
      </c>
      <c r="E13" s="676"/>
      <c r="F13" s="676"/>
      <c r="G13" s="676"/>
      <c r="H13" s="675"/>
    </row>
    <row r="14" spans="1:8" ht="12">
      <c r="A14" s="667">
        <v>5</v>
      </c>
      <c r="B14" s="662" t="s">
        <v>137</v>
      </c>
      <c r="E14" s="676"/>
      <c r="F14" s="676"/>
      <c r="G14" s="676"/>
      <c r="H14" s="675" t="str">
        <f>IF(E14=F14+G14," ","ERROR")</f>
        <v xml:space="preserve"> </v>
      </c>
    </row>
    <row r="15" spans="1:8" ht="12">
      <c r="A15" s="667"/>
      <c r="B15" s="662" t="s">
        <v>75</v>
      </c>
      <c r="E15" s="676"/>
      <c r="F15" s="676"/>
      <c r="G15" s="676"/>
      <c r="H15" s="675"/>
    </row>
    <row r="16" spans="1:8" ht="12">
      <c r="A16" s="667">
        <v>6</v>
      </c>
      <c r="B16" s="662" t="s">
        <v>138</v>
      </c>
      <c r="E16" s="676"/>
      <c r="F16" s="676"/>
      <c r="G16" s="676"/>
      <c r="H16" s="675" t="str">
        <f>IF(E16=F16+G16," ","ERROR")</f>
        <v xml:space="preserve"> </v>
      </c>
    </row>
    <row r="17" spans="1:8" ht="12">
      <c r="A17" s="667">
        <v>7</v>
      </c>
      <c r="B17" s="662" t="s">
        <v>139</v>
      </c>
      <c r="E17" s="676"/>
      <c r="F17" s="676"/>
      <c r="G17" s="676"/>
      <c r="H17" s="675" t="str">
        <f>IF(E17=F17+G17," ","ERROR")</f>
        <v xml:space="preserve"> </v>
      </c>
    </row>
    <row r="18" spans="1:8" ht="12">
      <c r="A18" s="667">
        <v>8</v>
      </c>
      <c r="B18" s="662" t="s">
        <v>140</v>
      </c>
      <c r="E18" s="677"/>
      <c r="F18" s="677"/>
      <c r="G18" s="677"/>
      <c r="H18" s="675" t="str">
        <f>IF(E18=F18+G18," ","ERROR")</f>
        <v xml:space="preserve"> </v>
      </c>
    </row>
    <row r="19" spans="1:8" ht="12">
      <c r="A19" s="667">
        <v>9</v>
      </c>
      <c r="B19" s="662" t="s">
        <v>141</v>
      </c>
      <c r="E19" s="676">
        <f>SUM(E16:E18)</f>
        <v>0</v>
      </c>
      <c r="F19" s="676">
        <f>SUM(F16:F18)</f>
        <v>0</v>
      </c>
      <c r="G19" s="676">
        <f>SUM(G16:G18)</f>
        <v>0</v>
      </c>
      <c r="H19" s="675" t="str">
        <f>IF(E19=F19+G19," ","ERROR")</f>
        <v xml:space="preserve"> </v>
      </c>
    </row>
    <row r="20" spans="1:8" ht="12">
      <c r="A20" s="667"/>
      <c r="B20" s="662" t="s">
        <v>80</v>
      </c>
      <c r="E20" s="676"/>
      <c r="F20" s="676"/>
      <c r="G20" s="676"/>
      <c r="H20" s="675"/>
    </row>
    <row r="21" spans="1:8" ht="12">
      <c r="A21" s="667">
        <v>10</v>
      </c>
      <c r="B21" s="662" t="s">
        <v>142</v>
      </c>
      <c r="E21" s="676"/>
      <c r="F21" s="676"/>
      <c r="G21" s="676"/>
      <c r="H21" s="675" t="str">
        <f>IF(E21=F21+G21," ","ERROR")</f>
        <v xml:space="preserve"> </v>
      </c>
    </row>
    <row r="22" spans="1:8" ht="12">
      <c r="A22" s="667">
        <v>11</v>
      </c>
      <c r="B22" s="662" t="s">
        <v>143</v>
      </c>
      <c r="E22" s="1055">
        <f>F22+G22</f>
        <v>6</v>
      </c>
      <c r="F22" s="676">
        <v>6</v>
      </c>
      <c r="G22" s="676"/>
      <c r="H22" s="675" t="str">
        <f>IF(E22=F22+G22," ","ERROR")</f>
        <v xml:space="preserve"> </v>
      </c>
    </row>
    <row r="23" spans="1:8" ht="12">
      <c r="A23" s="667">
        <v>12</v>
      </c>
      <c r="B23" s="662" t="s">
        <v>144</v>
      </c>
      <c r="E23" s="677">
        <f>F23+G23</f>
        <v>2</v>
      </c>
      <c r="F23" s="677">
        <v>2</v>
      </c>
      <c r="G23" s="677"/>
      <c r="H23" s="675" t="str">
        <f>IF(E23=F23+G23," ","ERROR")</f>
        <v xml:space="preserve"> </v>
      </c>
    </row>
    <row r="24" spans="1:8" ht="12">
      <c r="A24" s="667">
        <v>13</v>
      </c>
      <c r="B24" s="662" t="s">
        <v>145</v>
      </c>
      <c r="E24" s="676">
        <f>SUM(E21:E23)</f>
        <v>8</v>
      </c>
      <c r="F24" s="676">
        <f>SUM(F21:F23)</f>
        <v>8</v>
      </c>
      <c r="G24" s="676">
        <f>SUM(G21:G23)</f>
        <v>0</v>
      </c>
      <c r="H24" s="675" t="str">
        <f>IF(E24=F24+G24," ","ERROR")</f>
        <v xml:space="preserve"> </v>
      </c>
    </row>
    <row r="25" spans="1:8" ht="12">
      <c r="A25" s="667"/>
      <c r="B25" s="662" t="s">
        <v>84</v>
      </c>
      <c r="E25" s="676"/>
      <c r="F25" s="676"/>
      <c r="G25" s="676"/>
      <c r="H25" s="675"/>
    </row>
    <row r="26" spans="1:8" ht="12">
      <c r="A26" s="667">
        <v>14</v>
      </c>
      <c r="B26" s="662" t="s">
        <v>142</v>
      </c>
      <c r="E26" s="676"/>
      <c r="F26" s="676"/>
      <c r="G26" s="676"/>
      <c r="H26" s="675" t="str">
        <f>IF(E26=F26+G26," ","ERROR")</f>
        <v xml:space="preserve"> </v>
      </c>
    </row>
    <row r="27" spans="1:8" ht="12">
      <c r="A27" s="667">
        <v>15</v>
      </c>
      <c r="B27" s="662" t="s">
        <v>143</v>
      </c>
      <c r="E27" s="1055">
        <f>F27+G27</f>
        <v>226</v>
      </c>
      <c r="F27" s="676">
        <v>226</v>
      </c>
      <c r="G27" s="676">
        <v>0</v>
      </c>
      <c r="H27" s="675" t="str">
        <f>IF(E27=F27+G27," ","ERROR")</f>
        <v xml:space="preserve"> </v>
      </c>
    </row>
    <row r="28" spans="1:8" ht="12">
      <c r="A28" s="667">
        <v>16</v>
      </c>
      <c r="B28" s="662" t="s">
        <v>144</v>
      </c>
      <c r="E28" s="677">
        <f>F28+G28</f>
        <v>153</v>
      </c>
      <c r="F28" s="677">
        <v>153</v>
      </c>
      <c r="G28" s="1083">
        <f>F113</f>
        <v>0</v>
      </c>
      <c r="H28" s="675" t="str">
        <f>IF(E28=F28+G28," ","ERROR")</f>
        <v xml:space="preserve"> </v>
      </c>
    </row>
    <row r="29" spans="1:8" ht="12">
      <c r="A29" s="667">
        <v>17</v>
      </c>
      <c r="B29" s="662" t="s">
        <v>146</v>
      </c>
      <c r="E29" s="676">
        <f>SUM(E26:E28)</f>
        <v>379</v>
      </c>
      <c r="F29" s="676">
        <f>SUM(F26:F28)</f>
        <v>379</v>
      </c>
      <c r="G29" s="676">
        <f>SUM(G26:G28)</f>
        <v>0</v>
      </c>
      <c r="H29" s="675" t="str">
        <f>IF(E29=F29+G29," ","ERROR")</f>
        <v xml:space="preserve"> </v>
      </c>
    </row>
    <row r="30" spans="1:8" ht="12">
      <c r="A30" s="667"/>
      <c r="E30" s="676"/>
      <c r="F30" s="676"/>
      <c r="G30" s="676"/>
      <c r="H30" s="675"/>
    </row>
    <row r="31" spans="1:8" ht="12">
      <c r="A31" s="667">
        <v>18</v>
      </c>
      <c r="B31" s="662" t="s">
        <v>86</v>
      </c>
      <c r="E31" s="676"/>
      <c r="F31" s="676"/>
      <c r="G31" s="676"/>
      <c r="H31" s="675" t="str">
        <f>IF(E31=F31+G31," ","ERROR")</f>
        <v xml:space="preserve"> </v>
      </c>
    </row>
    <row r="32" spans="1:8" ht="12">
      <c r="A32" s="667">
        <v>19</v>
      </c>
      <c r="B32" s="662" t="s">
        <v>87</v>
      </c>
      <c r="E32" s="676"/>
      <c r="F32" s="676"/>
      <c r="G32" s="676"/>
      <c r="H32" s="675" t="str">
        <f>IF(E32=F32+G32," ","ERROR")</f>
        <v xml:space="preserve"> </v>
      </c>
    </row>
    <row r="33" spans="1:8" ht="12">
      <c r="A33" s="667">
        <v>20</v>
      </c>
      <c r="B33" s="662" t="s">
        <v>147</v>
      </c>
      <c r="E33" s="676"/>
      <c r="F33" s="676"/>
      <c r="G33" s="676"/>
      <c r="H33" s="675" t="str">
        <f>IF(E33=F33+G33," ","ERROR")</f>
        <v xml:space="preserve"> </v>
      </c>
    </row>
    <row r="34" spans="1:8" ht="12">
      <c r="A34" s="667"/>
      <c r="B34" s="662" t="s">
        <v>148</v>
      </c>
      <c r="E34" s="676"/>
      <c r="F34" s="676"/>
      <c r="G34" s="676"/>
      <c r="H34" s="675"/>
    </row>
    <row r="35" spans="1:8" ht="12">
      <c r="A35" s="667">
        <v>21</v>
      </c>
      <c r="B35" s="662" t="s">
        <v>142</v>
      </c>
      <c r="E35" s="676">
        <f>F35+G35</f>
        <v>0</v>
      </c>
      <c r="F35" s="676"/>
      <c r="G35" s="676"/>
      <c r="H35" s="675" t="str">
        <f>IF(E35=F35+G35," ","ERROR")</f>
        <v xml:space="preserve"> </v>
      </c>
    </row>
    <row r="36" spans="1:8" ht="12">
      <c r="A36" s="667">
        <v>22</v>
      </c>
      <c r="B36" s="662" t="s">
        <v>143</v>
      </c>
      <c r="E36" s="676">
        <f>F36+G36</f>
        <v>466</v>
      </c>
      <c r="F36" s="676">
        <f>288+178</f>
        <v>466</v>
      </c>
      <c r="G36" s="676">
        <v>0</v>
      </c>
      <c r="H36" s="675" t="str">
        <f>IF(E36=F36+G36," ","ERROR")</f>
        <v xml:space="preserve"> </v>
      </c>
    </row>
    <row r="37" spans="1:8" ht="12">
      <c r="A37" s="667">
        <v>23</v>
      </c>
      <c r="B37" s="662" t="s">
        <v>144</v>
      </c>
      <c r="E37" s="676">
        <f>F37+G37</f>
        <v>64</v>
      </c>
      <c r="F37" s="677">
        <f>19+45</f>
        <v>64</v>
      </c>
      <c r="G37" s="677">
        <v>0</v>
      </c>
      <c r="H37" s="675" t="str">
        <f>IF(E37=F37+G37," ","ERROR")</f>
        <v xml:space="preserve"> </v>
      </c>
    </row>
    <row r="38" spans="1:8" ht="12">
      <c r="A38" s="667">
        <v>24</v>
      </c>
      <c r="B38" s="662" t="s">
        <v>149</v>
      </c>
      <c r="E38" s="1056">
        <f>SUM(E35:E37)</f>
        <v>530</v>
      </c>
      <c r="F38" s="677">
        <f>SUM(F35:F37)</f>
        <v>530</v>
      </c>
      <c r="G38" s="677">
        <f>SUM(G35:G37)</f>
        <v>0</v>
      </c>
      <c r="H38" s="675" t="str">
        <f>IF(E38=F38+G38," ","ERROR")</f>
        <v xml:space="preserve"> </v>
      </c>
    </row>
    <row r="39" spans="1:8" ht="12">
      <c r="A39" s="667">
        <v>25</v>
      </c>
      <c r="B39" s="662" t="s">
        <v>91</v>
      </c>
      <c r="E39" s="677">
        <f>E19+E24+E29+E31+E32+E33+E38+E14</f>
        <v>917</v>
      </c>
      <c r="F39" s="677">
        <f>F19+F24+F29+F31+F32+F33+F38+F14</f>
        <v>917</v>
      </c>
      <c r="G39" s="677">
        <f>G19+G24+G29+G31+G32+G33+G38+G14</f>
        <v>0</v>
      </c>
      <c r="H39" s="675" t="str">
        <f>IF(E39=F39+G39," ","ERROR")</f>
        <v xml:space="preserve"> </v>
      </c>
    </row>
    <row r="40" spans="1:8" ht="12">
      <c r="A40" s="667"/>
      <c r="E40" s="676"/>
      <c r="F40" s="676"/>
      <c r="G40" s="676"/>
      <c r="H40" s="675"/>
    </row>
    <row r="41" spans="1:8" ht="12">
      <c r="A41" s="667">
        <v>26</v>
      </c>
      <c r="B41" s="662" t="s">
        <v>150</v>
      </c>
      <c r="E41" s="676">
        <f>E11-E39</f>
        <v>-917</v>
      </c>
      <c r="F41" s="676">
        <f>F11-F39</f>
        <v>-917</v>
      </c>
      <c r="G41" s="676">
        <f>G11-G39</f>
        <v>0</v>
      </c>
      <c r="H41" s="675" t="str">
        <f>IF(E41=F41+G41," ","ERROR")</f>
        <v xml:space="preserve"> </v>
      </c>
    </row>
    <row r="42" spans="1:8" ht="12">
      <c r="A42" s="667"/>
      <c r="E42" s="676"/>
      <c r="F42" s="676"/>
      <c r="G42" s="676"/>
      <c r="H42" s="675"/>
    </row>
    <row r="43" spans="1:8" ht="12">
      <c r="A43" s="667"/>
      <c r="B43" s="662" t="s">
        <v>151</v>
      </c>
      <c r="E43" s="676"/>
      <c r="F43" s="676"/>
      <c r="G43" s="676"/>
      <c r="H43" s="675"/>
    </row>
    <row r="44" spans="1:8" ht="12">
      <c r="A44" s="667">
        <v>27</v>
      </c>
      <c r="B44" s="678" t="s">
        <v>152</v>
      </c>
      <c r="D44" s="679">
        <v>0.35</v>
      </c>
      <c r="E44" s="676">
        <f>F44+G44</f>
        <v>-321</v>
      </c>
      <c r="F44" s="676">
        <f>ROUND(F41*D44,0)</f>
        <v>-321</v>
      </c>
      <c r="G44" s="676">
        <f>ROUND(G41*D44,0)</f>
        <v>0</v>
      </c>
      <c r="H44" s="675" t="str">
        <f>IF(E44=F44+G44," ","ERROR")</f>
        <v xml:space="preserve"> </v>
      </c>
    </row>
    <row r="45" spans="1:8" ht="12">
      <c r="A45" s="667">
        <v>28</v>
      </c>
      <c r="B45" s="662" t="s">
        <v>154</v>
      </c>
      <c r="E45" s="676"/>
      <c r="F45" s="676"/>
      <c r="G45" s="676"/>
      <c r="H45" s="675" t="str">
        <f>IF(E45=F45+G45," ","ERROR")</f>
        <v xml:space="preserve"> </v>
      </c>
    </row>
    <row r="46" spans="1:8" ht="12">
      <c r="A46" s="667">
        <v>29</v>
      </c>
      <c r="B46" s="662" t="s">
        <v>153</v>
      </c>
      <c r="E46" s="677"/>
      <c r="F46" s="677"/>
      <c r="G46" s="677"/>
      <c r="H46" s="675" t="str">
        <f>IF(E46=F46+G46," ","ERROR")</f>
        <v xml:space="preserve"> </v>
      </c>
    </row>
    <row r="47" spans="1:8" ht="12">
      <c r="A47" s="667"/>
      <c r="H47" s="675"/>
    </row>
    <row r="48" spans="1:8" ht="12.75" thickBot="1">
      <c r="A48" s="667">
        <v>30</v>
      </c>
      <c r="B48" s="682" t="s">
        <v>97</v>
      </c>
      <c r="E48" s="683">
        <f>E41-(+E44+E45+E46)</f>
        <v>-596</v>
      </c>
      <c r="F48" s="683">
        <f>F41-F44+F45+F46</f>
        <v>-596</v>
      </c>
      <c r="G48" s="683">
        <f>G41-SUM(G44:G46)</f>
        <v>0</v>
      </c>
      <c r="H48" s="675" t="str">
        <f>IF(E48=F48+G48," ","ERROR")</f>
        <v xml:space="preserve"> </v>
      </c>
    </row>
    <row r="49" spans="1:8" ht="12.75" thickTop="1">
      <c r="A49" s="667"/>
      <c r="H49" s="675"/>
    </row>
    <row r="50" spans="1:8" ht="12">
      <c r="A50" s="667"/>
      <c r="B50" s="678" t="s">
        <v>155</v>
      </c>
      <c r="H50" s="675"/>
    </row>
    <row r="51" spans="1:8" ht="12">
      <c r="A51" s="667"/>
      <c r="B51" s="678" t="s">
        <v>156</v>
      </c>
      <c r="H51" s="675"/>
    </row>
    <row r="52" spans="1:8" ht="12">
      <c r="A52" s="667">
        <v>31</v>
      </c>
      <c r="B52" s="662" t="s">
        <v>157</v>
      </c>
      <c r="E52" s="674">
        <f>F52+G52</f>
        <v>153</v>
      </c>
      <c r="F52" s="674">
        <v>153</v>
      </c>
      <c r="G52" s="674">
        <v>0</v>
      </c>
      <c r="H52" s="675" t="str">
        <f t="shared" ref="H52:H63" si="0">IF(E52=F52+G52," ","ERROR")</f>
        <v xml:space="preserve"> </v>
      </c>
    </row>
    <row r="53" spans="1:8" ht="12">
      <c r="A53" s="667">
        <v>32</v>
      </c>
      <c r="B53" s="662" t="s">
        <v>158</v>
      </c>
      <c r="E53" s="676">
        <f>F53+G53</f>
        <v>10281</v>
      </c>
      <c r="F53" s="676">
        <v>10281</v>
      </c>
      <c r="G53" s="676">
        <v>0</v>
      </c>
      <c r="H53" s="675" t="str">
        <f t="shared" si="0"/>
        <v xml:space="preserve"> </v>
      </c>
    </row>
    <row r="54" spans="1:8" ht="12">
      <c r="A54" s="667">
        <v>33</v>
      </c>
      <c r="B54" s="662" t="s">
        <v>166</v>
      </c>
      <c r="E54" s="676">
        <f>F54+G54</f>
        <v>4526</v>
      </c>
      <c r="F54" s="677">
        <f>1433+3093</f>
        <v>4526</v>
      </c>
      <c r="G54" s="677">
        <v>0</v>
      </c>
      <c r="H54" s="675" t="str">
        <f t="shared" si="0"/>
        <v xml:space="preserve"> </v>
      </c>
    </row>
    <row r="55" spans="1:8" ht="12">
      <c r="A55" s="667">
        <v>34</v>
      </c>
      <c r="B55" s="662" t="s">
        <v>160</v>
      </c>
      <c r="E55" s="1057">
        <f>SUM(E52:E54)</f>
        <v>14960</v>
      </c>
      <c r="F55" s="676">
        <f>SUM(F52:F54)</f>
        <v>14960</v>
      </c>
      <c r="G55" s="676">
        <f>SUM(G52:G54)</f>
        <v>0</v>
      </c>
      <c r="H55" s="675" t="str">
        <f t="shared" si="0"/>
        <v xml:space="preserve"> </v>
      </c>
    </row>
    <row r="56" spans="1:8" ht="12">
      <c r="A56" s="667"/>
      <c r="B56" s="662" t="s">
        <v>102</v>
      </c>
      <c r="E56" s="676"/>
      <c r="F56" s="676"/>
      <c r="G56" s="676"/>
      <c r="H56" s="675" t="str">
        <f t="shared" si="0"/>
        <v xml:space="preserve"> </v>
      </c>
    </row>
    <row r="57" spans="1:8" ht="12">
      <c r="A57" s="667">
        <v>35</v>
      </c>
      <c r="B57" s="662" t="s">
        <v>157</v>
      </c>
      <c r="E57" s="676">
        <f>F57+G57</f>
        <v>139</v>
      </c>
      <c r="F57" s="676">
        <f>137+2</f>
        <v>139</v>
      </c>
      <c r="G57" s="676">
        <v>0</v>
      </c>
      <c r="H57" s="675" t="str">
        <f t="shared" si="0"/>
        <v xml:space="preserve"> </v>
      </c>
    </row>
    <row r="58" spans="1:8" ht="12">
      <c r="A58" s="667">
        <v>36</v>
      </c>
      <c r="B58" s="662" t="s">
        <v>158</v>
      </c>
      <c r="E58" s="676">
        <f>F58+G58</f>
        <v>5139</v>
      </c>
      <c r="F58" s="676">
        <f>5049+90</f>
        <v>5139</v>
      </c>
      <c r="G58" s="676">
        <v>0</v>
      </c>
      <c r="H58" s="675" t="str">
        <f t="shared" si="0"/>
        <v xml:space="preserve"> </v>
      </c>
    </row>
    <row r="59" spans="1:8" ht="12">
      <c r="A59" s="667">
        <v>37</v>
      </c>
      <c r="B59" s="662" t="s">
        <v>166</v>
      </c>
      <c r="E59" s="676">
        <f>F59+G59</f>
        <v>2203</v>
      </c>
      <c r="F59" s="677">
        <f>745+1246+135+77</f>
        <v>2203</v>
      </c>
      <c r="G59" s="677">
        <v>0</v>
      </c>
      <c r="H59" s="675" t="str">
        <f t="shared" si="0"/>
        <v xml:space="preserve"> </v>
      </c>
    </row>
    <row r="60" spans="1:8" ht="12">
      <c r="A60" s="667">
        <v>38</v>
      </c>
      <c r="B60" s="662" t="s">
        <v>161</v>
      </c>
      <c r="E60" s="1057">
        <f>SUM(E57:E59)</f>
        <v>7481</v>
      </c>
      <c r="F60" s="676">
        <f>SUM(F57:F59)</f>
        <v>7481</v>
      </c>
      <c r="G60" s="676">
        <f>SUM(G57:G59)</f>
        <v>0</v>
      </c>
      <c r="H60" s="675" t="str">
        <f t="shared" si="0"/>
        <v xml:space="preserve"> </v>
      </c>
    </row>
    <row r="61" spans="1:8" ht="12">
      <c r="A61" s="667">
        <v>39</v>
      </c>
      <c r="B61" s="678" t="s">
        <v>162</v>
      </c>
      <c r="E61" s="676">
        <f>F61+G61</f>
        <v>-1385</v>
      </c>
      <c r="F61" s="676">
        <f>-1077-308</f>
        <v>-1385</v>
      </c>
      <c r="G61" s="676">
        <v>0</v>
      </c>
      <c r="H61" s="675" t="str">
        <f t="shared" si="0"/>
        <v xml:space="preserve"> </v>
      </c>
    </row>
    <row r="62" spans="1:8" ht="12">
      <c r="A62" s="667">
        <v>40</v>
      </c>
      <c r="B62" s="662" t="s">
        <v>105</v>
      </c>
      <c r="E62" s="676"/>
      <c r="F62" s="676"/>
      <c r="G62" s="676"/>
      <c r="H62" s="675" t="str">
        <f t="shared" si="0"/>
        <v xml:space="preserve"> </v>
      </c>
    </row>
    <row r="63" spans="1:8" ht="12">
      <c r="A63" s="667">
        <v>41</v>
      </c>
      <c r="B63" s="678" t="s">
        <v>106</v>
      </c>
      <c r="E63" s="677"/>
      <c r="F63" s="677"/>
      <c r="G63" s="677"/>
      <c r="H63" s="675" t="str">
        <f t="shared" si="0"/>
        <v xml:space="preserve"> </v>
      </c>
    </row>
    <row r="64" spans="1:8" ht="9" customHeight="1">
      <c r="A64" s="667"/>
      <c r="B64" s="662" t="s">
        <v>163</v>
      </c>
      <c r="H64" s="675"/>
    </row>
    <row r="65" spans="1:8" ht="12.75" thickBot="1">
      <c r="A65" s="667">
        <v>42</v>
      </c>
      <c r="B65" s="682" t="s">
        <v>107</v>
      </c>
      <c r="E65" s="683">
        <f>E55-E60+E61+E62+E63</f>
        <v>6094</v>
      </c>
      <c r="F65" s="683">
        <f>F55-F60+F61+F62+F63</f>
        <v>6094</v>
      </c>
      <c r="G65" s="683">
        <f>G55-G60+G61+G62+G63</f>
        <v>0</v>
      </c>
      <c r="H65" s="675" t="str">
        <f>IF(E65=F65+G65," ","ERROR")</f>
        <v xml:space="preserve"> </v>
      </c>
    </row>
    <row r="66" spans="1:8" ht="11.1" customHeight="1" thickTop="1">
      <c r="A66" s="684"/>
      <c r="B66" s="684"/>
      <c r="C66" s="684"/>
      <c r="D66" s="685"/>
    </row>
    <row r="67" spans="1:8" ht="11.1" customHeight="1">
      <c r="A67" s="684"/>
      <c r="B67" s="684"/>
      <c r="C67" s="684"/>
      <c r="D67" s="685"/>
    </row>
    <row r="68" spans="1:8" ht="11.1" customHeight="1">
      <c r="A68" s="375" t="str">
        <f>Inputs!$D$6</f>
        <v>AVISTA UTILITIES</v>
      </c>
      <c r="B68" s="375"/>
      <c r="C68" s="375"/>
      <c r="D68" s="376"/>
      <c r="E68" s="395"/>
      <c r="F68" s="396"/>
      <c r="G68" s="376"/>
    </row>
    <row r="69" spans="1:8" ht="11.1" customHeight="1">
      <c r="A69" s="375" t="s">
        <v>169</v>
      </c>
      <c r="B69" s="375"/>
      <c r="C69" s="375"/>
      <c r="D69" s="376"/>
      <c r="E69" s="395"/>
      <c r="F69" s="396"/>
      <c r="G69" s="376"/>
    </row>
    <row r="70" spans="1:8" ht="11.1" customHeight="1">
      <c r="A70" s="375" t="str">
        <f>A3</f>
        <v>TWELVE MONTHS ENDED SEPTEMBER 30, 2008</v>
      </c>
      <c r="B70" s="375"/>
      <c r="C70" s="375"/>
      <c r="D70" s="376"/>
      <c r="E70" s="395"/>
      <c r="F70" s="379" t="str">
        <f>F2</f>
        <v>PRO FORMA</v>
      </c>
      <c r="G70" s="376"/>
    </row>
    <row r="71" spans="1:8" ht="11.1" customHeight="1">
      <c r="A71" s="375" t="s">
        <v>170</v>
      </c>
      <c r="B71" s="375"/>
      <c r="C71" s="375"/>
      <c r="D71" s="376"/>
      <c r="E71" s="395"/>
      <c r="F71" s="379" t="str">
        <f>F3</f>
        <v>CAPITAL ADDITIONS 2009</v>
      </c>
      <c r="G71" s="376"/>
    </row>
    <row r="72" spans="1:8" ht="11.1" customHeight="1">
      <c r="A72" s="376"/>
      <c r="B72" s="376"/>
      <c r="C72" s="376"/>
      <c r="D72" s="376"/>
      <c r="E72" s="400"/>
      <c r="F72" s="386" t="str">
        <f>F4</f>
        <v>GAS</v>
      </c>
      <c r="G72" s="401"/>
    </row>
    <row r="73" spans="1:8" ht="11.1" customHeight="1">
      <c r="A73" s="382" t="s">
        <v>10</v>
      </c>
      <c r="B73" s="376"/>
      <c r="C73" s="376"/>
      <c r="D73" s="376"/>
      <c r="E73" s="395"/>
      <c r="F73" s="379"/>
      <c r="G73" s="395"/>
    </row>
    <row r="74" spans="1:8" ht="11.1" customHeight="1">
      <c r="A74" s="402" t="s">
        <v>27</v>
      </c>
      <c r="B74" s="384" t="s">
        <v>113</v>
      </c>
      <c r="C74" s="384"/>
      <c r="D74" s="376"/>
      <c r="E74" s="395"/>
      <c r="F74" s="386" t="s">
        <v>132</v>
      </c>
      <c r="G74" s="395"/>
    </row>
    <row r="75" spans="1:8" ht="11.1" customHeight="1">
      <c r="A75" s="382"/>
      <c r="B75" s="376" t="s">
        <v>68</v>
      </c>
      <c r="C75" s="376"/>
      <c r="D75" s="376"/>
      <c r="E75" s="376"/>
      <c r="F75" s="396"/>
      <c r="G75" s="376"/>
    </row>
    <row r="76" spans="1:8" ht="11.1" customHeight="1">
      <c r="A76" s="382">
        <v>1</v>
      </c>
      <c r="B76" s="376" t="s">
        <v>134</v>
      </c>
      <c r="C76" s="376"/>
      <c r="D76" s="376"/>
      <c r="E76" s="376"/>
      <c r="F76" s="389">
        <f>G8</f>
        <v>0</v>
      </c>
      <c r="G76" s="376"/>
    </row>
    <row r="77" spans="1:8" ht="11.1" customHeight="1">
      <c r="A77" s="382">
        <v>2</v>
      </c>
      <c r="B77" s="376" t="s">
        <v>135</v>
      </c>
      <c r="C77" s="376"/>
      <c r="D77" s="376"/>
      <c r="E77" s="376"/>
      <c r="F77" s="391">
        <f>G9</f>
        <v>0</v>
      </c>
      <c r="G77" s="376"/>
    </row>
    <row r="78" spans="1:8" ht="11.1" customHeight="1">
      <c r="A78" s="382">
        <v>3</v>
      </c>
      <c r="B78" s="376" t="s">
        <v>71</v>
      </c>
      <c r="C78" s="376"/>
      <c r="D78" s="376"/>
      <c r="E78" s="376"/>
      <c r="F78" s="392">
        <f>G10</f>
        <v>0</v>
      </c>
      <c r="G78" s="376"/>
    </row>
    <row r="79" spans="1:8" ht="11.1" customHeight="1">
      <c r="A79" s="382"/>
      <c r="B79" s="376"/>
      <c r="C79" s="376"/>
      <c r="D79" s="376"/>
      <c r="E79" s="376"/>
      <c r="F79" s="391"/>
      <c r="G79" s="376"/>
    </row>
    <row r="80" spans="1:8" ht="11.1" customHeight="1">
      <c r="A80" s="382">
        <v>4</v>
      </c>
      <c r="B80" s="376" t="s">
        <v>136</v>
      </c>
      <c r="C80" s="376"/>
      <c r="D80" s="376"/>
      <c r="E80" s="376"/>
      <c r="F80" s="391">
        <f>F76+F77+F78</f>
        <v>0</v>
      </c>
      <c r="G80" s="376"/>
    </row>
    <row r="81" spans="1:7" ht="11.1" customHeight="1">
      <c r="A81" s="382"/>
      <c r="B81" s="376"/>
      <c r="C81" s="376"/>
      <c r="D81" s="376"/>
      <c r="E81" s="376"/>
      <c r="F81" s="391"/>
      <c r="G81" s="376"/>
    </row>
    <row r="82" spans="1:7" ht="11.1" customHeight="1">
      <c r="A82" s="382"/>
      <c r="B82" s="376" t="s">
        <v>73</v>
      </c>
      <c r="C82" s="376"/>
      <c r="D82" s="376"/>
      <c r="E82" s="376"/>
      <c r="F82" s="391"/>
      <c r="G82" s="376"/>
    </row>
    <row r="83" spans="1:7" ht="11.1" customHeight="1">
      <c r="A83" s="382">
        <v>5</v>
      </c>
      <c r="B83" s="376" t="s">
        <v>137</v>
      </c>
      <c r="C83" s="376"/>
      <c r="D83" s="376"/>
      <c r="E83" s="376"/>
      <c r="F83" s="391">
        <f>G14</f>
        <v>0</v>
      </c>
      <c r="G83" s="376"/>
    </row>
    <row r="84" spans="1:7" ht="11.1" customHeight="1">
      <c r="A84" s="382"/>
      <c r="B84" s="376" t="s">
        <v>75</v>
      </c>
      <c r="C84" s="376"/>
      <c r="D84" s="376"/>
      <c r="E84" s="376"/>
      <c r="F84" s="391"/>
      <c r="G84" s="376"/>
    </row>
    <row r="85" spans="1:7" ht="11.1" customHeight="1">
      <c r="A85" s="382">
        <v>6</v>
      </c>
      <c r="B85" s="376" t="s">
        <v>138</v>
      </c>
      <c r="C85" s="376"/>
      <c r="D85" s="376"/>
      <c r="E85" s="376"/>
      <c r="F85" s="391">
        <f>G16</f>
        <v>0</v>
      </c>
      <c r="G85" s="376"/>
    </row>
    <row r="86" spans="1:7" ht="11.1" customHeight="1">
      <c r="A86" s="382">
        <v>7</v>
      </c>
      <c r="B86" s="376" t="s">
        <v>139</v>
      </c>
      <c r="C86" s="376"/>
      <c r="D86" s="376"/>
      <c r="E86" s="376"/>
      <c r="F86" s="391">
        <f>G17</f>
        <v>0</v>
      </c>
      <c r="G86" s="376"/>
    </row>
    <row r="87" spans="1:7" ht="11.1" customHeight="1">
      <c r="A87" s="382">
        <v>8</v>
      </c>
      <c r="B87" s="376" t="s">
        <v>140</v>
      </c>
      <c r="C87" s="376"/>
      <c r="D87" s="376"/>
      <c r="E87" s="376"/>
      <c r="F87" s="392">
        <f>G18</f>
        <v>0</v>
      </c>
      <c r="G87" s="376"/>
    </row>
    <row r="88" spans="1:7" ht="11.1" customHeight="1">
      <c r="A88" s="382">
        <v>9</v>
      </c>
      <c r="B88" s="376" t="s">
        <v>141</v>
      </c>
      <c r="C88" s="376"/>
      <c r="D88" s="376"/>
      <c r="E88" s="376"/>
      <c r="F88" s="391">
        <f>F85+F86+F87</f>
        <v>0</v>
      </c>
      <c r="G88" s="376"/>
    </row>
    <row r="89" spans="1:7" ht="11.1" customHeight="1">
      <c r="A89" s="382"/>
      <c r="B89" s="376" t="s">
        <v>80</v>
      </c>
      <c r="C89" s="376"/>
      <c r="D89" s="376"/>
      <c r="E89" s="376"/>
      <c r="F89" s="391"/>
      <c r="G89" s="376"/>
    </row>
    <row r="90" spans="1:7" ht="11.1" customHeight="1">
      <c r="A90" s="382">
        <v>10</v>
      </c>
      <c r="B90" s="376" t="s">
        <v>142</v>
      </c>
      <c r="C90" s="376"/>
      <c r="D90" s="376"/>
      <c r="E90" s="376"/>
      <c r="F90" s="391">
        <f>G21</f>
        <v>0</v>
      </c>
      <c r="G90" s="376"/>
    </row>
    <row r="91" spans="1:7" ht="11.1" customHeight="1">
      <c r="A91" s="382">
        <v>11</v>
      </c>
      <c r="B91" s="376" t="s">
        <v>143</v>
      </c>
      <c r="C91" s="376"/>
      <c r="D91" s="376"/>
      <c r="E91" s="376"/>
      <c r="F91" s="391">
        <f>G22</f>
        <v>0</v>
      </c>
      <c r="G91" s="376"/>
    </row>
    <row r="92" spans="1:7" ht="11.1" customHeight="1">
      <c r="A92" s="382">
        <v>12</v>
      </c>
      <c r="B92" s="376" t="s">
        <v>144</v>
      </c>
      <c r="C92" s="376"/>
      <c r="D92" s="376"/>
      <c r="E92" s="376"/>
      <c r="F92" s="392">
        <f>G23</f>
        <v>0</v>
      </c>
      <c r="G92" s="376"/>
    </row>
    <row r="93" spans="1:7" ht="11.1" customHeight="1">
      <c r="A93" s="382">
        <v>13</v>
      </c>
      <c r="B93" s="376" t="s">
        <v>145</v>
      </c>
      <c r="C93" s="376"/>
      <c r="D93" s="376"/>
      <c r="E93" s="376"/>
      <c r="F93" s="391">
        <f>F90+F91+F92</f>
        <v>0</v>
      </c>
      <c r="G93" s="376"/>
    </row>
    <row r="94" spans="1:7" ht="11.1" customHeight="1">
      <c r="A94" s="382"/>
      <c r="B94" s="376" t="s">
        <v>84</v>
      </c>
      <c r="C94" s="376"/>
      <c r="D94" s="376"/>
      <c r="E94" s="376"/>
      <c r="F94" s="391"/>
      <c r="G94" s="376"/>
    </row>
    <row r="95" spans="1:7" ht="11.1" customHeight="1">
      <c r="A95" s="382">
        <v>14</v>
      </c>
      <c r="B95" s="376" t="s">
        <v>142</v>
      </c>
      <c r="C95" s="376"/>
      <c r="D95" s="376"/>
      <c r="E95" s="376"/>
      <c r="F95" s="391">
        <f>G26</f>
        <v>0</v>
      </c>
      <c r="G95" s="376"/>
    </row>
    <row r="96" spans="1:7" ht="11.1" customHeight="1">
      <c r="A96" s="382">
        <v>15</v>
      </c>
      <c r="B96" s="376" t="s">
        <v>143</v>
      </c>
      <c r="C96" s="376"/>
      <c r="D96" s="376"/>
      <c r="E96" s="376"/>
      <c r="F96" s="391">
        <f>G27</f>
        <v>0</v>
      </c>
      <c r="G96" s="376"/>
    </row>
    <row r="97" spans="1:7" ht="11.1" customHeight="1">
      <c r="A97" s="382">
        <v>16</v>
      </c>
      <c r="B97" s="376" t="s">
        <v>144</v>
      </c>
      <c r="C97" s="376"/>
      <c r="D97" s="376"/>
      <c r="E97" s="376"/>
      <c r="F97" s="392"/>
      <c r="G97" s="376"/>
    </row>
    <row r="98" spans="1:7" ht="11.1" customHeight="1">
      <c r="A98" s="382">
        <v>17</v>
      </c>
      <c r="B98" s="376" t="s">
        <v>146</v>
      </c>
      <c r="C98" s="376"/>
      <c r="D98" s="376"/>
      <c r="E98" s="376"/>
      <c r="F98" s="391">
        <f>F95+F96+F97</f>
        <v>0</v>
      </c>
      <c r="G98" s="376"/>
    </row>
    <row r="99" spans="1:7" ht="11.1" customHeight="1">
      <c r="A99" s="382">
        <v>18</v>
      </c>
      <c r="B99" s="376" t="s">
        <v>86</v>
      </c>
      <c r="C99" s="376"/>
      <c r="D99" s="376"/>
      <c r="E99" s="376"/>
      <c r="F99" s="391">
        <f>G31</f>
        <v>0</v>
      </c>
      <c r="G99" s="376"/>
    </row>
    <row r="100" spans="1:7" ht="11.1" customHeight="1">
      <c r="A100" s="382">
        <v>19</v>
      </c>
      <c r="B100" s="376" t="s">
        <v>87</v>
      </c>
      <c r="C100" s="376"/>
      <c r="D100" s="376"/>
      <c r="E100" s="376"/>
      <c r="F100" s="391">
        <f>G32</f>
        <v>0</v>
      </c>
      <c r="G100" s="376"/>
    </row>
    <row r="101" spans="1:7" ht="11.1" customHeight="1">
      <c r="A101" s="382">
        <v>20</v>
      </c>
      <c r="B101" s="376" t="s">
        <v>147</v>
      </c>
      <c r="C101" s="376"/>
      <c r="D101" s="376"/>
      <c r="E101" s="376"/>
      <c r="F101" s="391">
        <f>G33</f>
        <v>0</v>
      </c>
      <c r="G101" s="376"/>
    </row>
    <row r="102" spans="1:7" ht="11.1" customHeight="1">
      <c r="A102" s="382"/>
      <c r="B102" s="376" t="s">
        <v>148</v>
      </c>
      <c r="C102" s="376"/>
      <c r="D102" s="376"/>
      <c r="E102" s="376"/>
      <c r="F102" s="391"/>
      <c r="G102" s="376"/>
    </row>
    <row r="103" spans="1:7" ht="11.1" customHeight="1">
      <c r="A103" s="382">
        <v>21</v>
      </c>
      <c r="B103" s="376" t="s">
        <v>142</v>
      </c>
      <c r="C103" s="376"/>
      <c r="D103" s="376"/>
      <c r="E103" s="376"/>
      <c r="F103" s="391">
        <f>G35</f>
        <v>0</v>
      </c>
      <c r="G103" s="376"/>
    </row>
    <row r="104" spans="1:7" ht="11.1" customHeight="1">
      <c r="A104" s="382">
        <v>22</v>
      </c>
      <c r="B104" s="376" t="s">
        <v>143</v>
      </c>
      <c r="C104" s="376"/>
      <c r="D104" s="376"/>
      <c r="E104" s="376"/>
      <c r="F104" s="391">
        <f>G36</f>
        <v>0</v>
      </c>
      <c r="G104" s="376"/>
    </row>
    <row r="105" spans="1:7" ht="11.1" customHeight="1">
      <c r="A105" s="382">
        <v>23</v>
      </c>
      <c r="B105" s="376" t="s">
        <v>144</v>
      </c>
      <c r="C105" s="376"/>
      <c r="D105" s="376"/>
      <c r="E105" s="376"/>
      <c r="F105" s="392">
        <f>G37</f>
        <v>0</v>
      </c>
      <c r="G105" s="376"/>
    </row>
    <row r="106" spans="1:7" ht="11.1" customHeight="1">
      <c r="A106" s="382">
        <v>24</v>
      </c>
      <c r="B106" s="376" t="s">
        <v>149</v>
      </c>
      <c r="C106" s="376"/>
      <c r="D106" s="376"/>
      <c r="E106" s="376"/>
      <c r="F106" s="392">
        <f>F103+F104+F105</f>
        <v>0</v>
      </c>
      <c r="G106" s="376"/>
    </row>
    <row r="107" spans="1:7" ht="11.1" customHeight="1">
      <c r="A107" s="382"/>
      <c r="B107" s="376"/>
      <c r="C107" s="376"/>
      <c r="D107" s="376"/>
      <c r="E107" s="376"/>
      <c r="F107" s="391"/>
      <c r="G107" s="376"/>
    </row>
    <row r="108" spans="1:7" ht="11.1" customHeight="1">
      <c r="A108" s="382">
        <v>25</v>
      </c>
      <c r="B108" s="376" t="s">
        <v>91</v>
      </c>
      <c r="C108" s="376"/>
      <c r="D108" s="376"/>
      <c r="E108" s="376"/>
      <c r="F108" s="392">
        <f>F106+F101+F100+F99+F98+F93+F88+F83</f>
        <v>0</v>
      </c>
      <c r="G108" s="376"/>
    </row>
    <row r="109" spans="1:7" ht="11.1" customHeight="1">
      <c r="A109" s="382"/>
      <c r="B109" s="376"/>
      <c r="C109" s="376"/>
      <c r="D109" s="376"/>
      <c r="E109" s="376"/>
      <c r="F109" s="391"/>
      <c r="G109" s="376"/>
    </row>
    <row r="110" spans="1:7" ht="11.1" customHeight="1">
      <c r="A110" s="382">
        <v>26</v>
      </c>
      <c r="B110" s="376" t="s">
        <v>171</v>
      </c>
      <c r="C110" s="376"/>
      <c r="D110" s="376"/>
      <c r="E110" s="376"/>
      <c r="F110" s="392">
        <f>F80-F108</f>
        <v>0</v>
      </c>
      <c r="G110" s="376"/>
    </row>
    <row r="111" spans="1:7" ht="11.1" customHeight="1">
      <c r="A111" s="382"/>
      <c r="B111" s="376"/>
      <c r="C111" s="376"/>
      <c r="D111" s="376"/>
      <c r="E111" s="376"/>
      <c r="F111" s="396"/>
      <c r="G111" s="376"/>
    </row>
    <row r="112" spans="1:7" ht="11.1" customHeight="1">
      <c r="A112" s="382">
        <v>27</v>
      </c>
      <c r="B112" s="376" t="s">
        <v>172</v>
      </c>
      <c r="C112" s="376"/>
      <c r="D112" s="376"/>
      <c r="E112" s="395"/>
      <c r="F112" s="396"/>
      <c r="G112" s="376"/>
    </row>
    <row r="113" spans="1:7" ht="11.1" customHeight="1" thickBot="1">
      <c r="A113" s="382"/>
      <c r="B113" s="403" t="s">
        <v>173</v>
      </c>
      <c r="C113" s="404">
        <f>Inputs!$D$4</f>
        <v>1.1416000000000001E-2</v>
      </c>
      <c r="D113" s="376"/>
      <c r="E113" s="395"/>
      <c r="F113" s="398">
        <f>ROUND(F110*C113,0)</f>
        <v>0</v>
      </c>
      <c r="G113" s="376"/>
    </row>
    <row r="114" spans="1:7" ht="11.1" customHeight="1" thickTop="1"/>
  </sheetData>
  <phoneticPr fontId="0" type="noConversion"/>
  <pageMargins left="1" right="0.5" top="0.5" bottom="0.5" header="0.5" footer="0.5"/>
  <pageSetup scale="92" fitToWidth="2" fitToHeight="2" orientation="portrait" horizontalDpi="300" verticalDpi="300" r:id="rId1"/>
  <headerFooter alignWithMargins="0"/>
  <rowBreaks count="1" manualBreakCount="1">
    <brk id="67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2"/>
  <dimension ref="A1:H130"/>
  <sheetViews>
    <sheetView workbookViewId="0">
      <selection activeCell="F27" sqref="F2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967" t="s">
        <v>520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>
        <f>SUM(F22:G22)</f>
        <v>0</v>
      </c>
      <c r="F22" s="391">
        <v>0</v>
      </c>
      <c r="G22" s="391">
        <v>0</v>
      </c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88</v>
      </c>
      <c r="F26" s="391">
        <v>88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0</v>
      </c>
      <c r="F27" s="391">
        <v>0</v>
      </c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88</v>
      </c>
      <c r="F29" s="391">
        <f>SUM(F26:F28)</f>
        <v>88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>
        <v>0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>
        <f>SUM(F36:G36)</f>
        <v>0</v>
      </c>
      <c r="F36" s="391">
        <v>0</v>
      </c>
      <c r="G36" s="391">
        <v>0</v>
      </c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88</v>
      </c>
      <c r="F39" s="392">
        <f>F19+F24+F29+F31+F32+F33+F38+F14</f>
        <v>88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-88</v>
      </c>
      <c r="F41" s="391">
        <f>F11-F39</f>
        <v>-88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-31</v>
      </c>
      <c r="F44" s="391">
        <f>ROUND(F41*D44,0)</f>
        <v>-31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-57</v>
      </c>
      <c r="F48" s="398">
        <f>F41-F44+F45+F46</f>
        <v>-57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>
        <f>F52+G52</f>
        <v>0</v>
      </c>
      <c r="F52" s="389">
        <v>0</v>
      </c>
      <c r="G52" s="389">
        <v>0</v>
      </c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0</v>
      </c>
      <c r="F53" s="391">
        <v>0</v>
      </c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1">
        <f>F54+G54</f>
        <v>0</v>
      </c>
      <c r="F54" s="392">
        <v>0</v>
      </c>
      <c r="G54" s="392">
        <v>0</v>
      </c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1054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>
        <f>F57+G57</f>
        <v>0</v>
      </c>
      <c r="F57" s="391">
        <v>0</v>
      </c>
      <c r="G57" s="391">
        <v>0</v>
      </c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>
        <v>0</v>
      </c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1">
        <f>F59+G59</f>
        <v>0</v>
      </c>
      <c r="F59" s="392">
        <v>0</v>
      </c>
      <c r="G59" s="392">
        <v>0</v>
      </c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1054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>
        <v>0</v>
      </c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F2</f>
        <v>PRO FORMA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ASSET MANAGEMENT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>
    <oddFooter>Page &amp;P</oddFooter>
  </headerFooter>
  <rowBreaks count="1" manualBreakCount="1">
    <brk id="6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3"/>
  <dimension ref="A1:H130"/>
  <sheetViews>
    <sheetView workbookViewId="0">
      <selection activeCell="F3" sqref="F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469</v>
      </c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152</v>
      </c>
      <c r="F35" s="391">
        <v>152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152</v>
      </c>
      <c r="F38" s="392">
        <f>SUM(F35:F37)</f>
        <v>152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152</v>
      </c>
      <c r="F39" s="392">
        <f>F19+F24+F29+F31+F32+F33+F38+F14</f>
        <v>152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-152</v>
      </c>
      <c r="F41" s="391">
        <f>F11-F39</f>
        <v>-152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-53</v>
      </c>
      <c r="F44" s="391">
        <f>ROUND(F41*D44,0)</f>
        <v>-53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-99</v>
      </c>
      <c r="F48" s="398">
        <f>F41-F44+F45+F46</f>
        <v>-99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INCENTIVES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A15D1964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0.75" top="0.5" bottom="0.5" header="0.5" footer="0.5"/>
  <pageSetup scale="90" orientation="portrait" r:id="rId1"/>
  <headerFooter alignWithMargins="0">
    <oddFooter>Page &amp;P</oddFooter>
  </headerFooter>
  <rowBreaks count="1" manualBreakCount="1">
    <brk id="6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1"/>
  <dimension ref="A1:H130"/>
  <sheetViews>
    <sheetView zoomScaleNormal="100" workbookViewId="0"/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515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450</v>
      </c>
      <c r="F35" s="391">
        <v>450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450</v>
      </c>
      <c r="F38" s="392">
        <f>SUM(F35:F37)</f>
        <v>450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450</v>
      </c>
      <c r="F39" s="392">
        <f>F19+F24+F29+F31+F32+F33+F38+F14</f>
        <v>450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-450</v>
      </c>
      <c r="F41" s="391">
        <f>F11-F39</f>
        <v>-450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-158</v>
      </c>
      <c r="F44" s="391">
        <f>ROUND(F41*D44,0)</f>
        <v>-158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-292</v>
      </c>
      <c r="F48" s="398">
        <f>F41-F44+F45+F46</f>
        <v>-292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5"/>
  <dimension ref="A1:H130"/>
  <sheetViews>
    <sheetView workbookViewId="0">
      <selection activeCell="D27" sqref="D27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9" t="s">
        <v>503</v>
      </c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502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53</v>
      </c>
      <c r="F17" s="391">
        <f>34+19</f>
        <v>53</v>
      </c>
      <c r="G17" s="391">
        <v>0</v>
      </c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53</v>
      </c>
      <c r="F19" s="391">
        <f>SUM(F16:F18)</f>
        <v>53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1</v>
      </c>
      <c r="F21" s="391">
        <v>1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1</v>
      </c>
      <c r="F24" s="391">
        <f>SUM(F21:F23)</f>
        <v>1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304</v>
      </c>
      <c r="F26" s="391">
        <v>304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>
        <f>SUM(F27:G27)</f>
        <v>0</v>
      </c>
      <c r="F27" s="391"/>
      <c r="G27" s="391">
        <v>0</v>
      </c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-1</v>
      </c>
      <c r="F28" s="392"/>
      <c r="G28" s="828">
        <f>F113</f>
        <v>-1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303</v>
      </c>
      <c r="F29" s="391">
        <f>SUM(F26:F28)</f>
        <v>304</v>
      </c>
      <c r="G29" s="391">
        <f>SUM(G26:G28)</f>
        <v>-1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194</v>
      </c>
      <c r="F31" s="391">
        <v>194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12</v>
      </c>
      <c r="F32" s="391">
        <v>12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18</v>
      </c>
      <c r="F33" s="391">
        <v>18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465</v>
      </c>
      <c r="F35" s="391">
        <f>212+253</f>
        <v>465</v>
      </c>
      <c r="G35" s="391">
        <v>0</v>
      </c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465</v>
      </c>
      <c r="F38" s="392">
        <f>SUM(F35:F37)</f>
        <v>465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1046</v>
      </c>
      <c r="F39" s="392">
        <f>F19+F24+F29+F31+F32+F33+F38+F14</f>
        <v>1047</v>
      </c>
      <c r="G39" s="392">
        <f>G19+G24+G29+G31+G32+G33+G38+G14</f>
        <v>-1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-1046</v>
      </c>
      <c r="F41" s="391">
        <f>F11-F39</f>
        <v>-1047</v>
      </c>
      <c r="G41" s="391">
        <f>G11-G39</f>
        <v>1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-366</v>
      </c>
      <c r="F44" s="391">
        <f>ROUND(F41*D44,0)</f>
        <v>-366</v>
      </c>
      <c r="G44" s="391"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-680</v>
      </c>
      <c r="F48" s="398">
        <f>F41-F44+F45+F46</f>
        <v>-681</v>
      </c>
      <c r="G48" s="398">
        <f>G41-SUM(G44:G46)</f>
        <v>1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>
        <f>F53+G53</f>
        <v>0</v>
      </c>
      <c r="F53" s="391"/>
      <c r="G53" s="391">
        <v>0</v>
      </c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>
        <f>F58+G58</f>
        <v>0</v>
      </c>
      <c r="F58" s="391"/>
      <c r="G58" s="391">
        <v>0</v>
      </c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>
        <f>F61+G61</f>
        <v>0</v>
      </c>
      <c r="F61" s="391"/>
      <c r="G61" s="391">
        <v>0</v>
      </c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EMPLOYEE BENEFITS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>
        <v>101</v>
      </c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101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101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-101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-1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0"/>
  <dimension ref="A1:H130"/>
  <sheetViews>
    <sheetView workbookViewId="0">
      <selection activeCell="F3" sqref="F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840" t="s">
        <v>504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78</v>
      </c>
      <c r="F35" s="391">
        <v>78</v>
      </c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78</v>
      </c>
      <c r="F38" s="392">
        <f>SUM(F35:F37)</f>
        <v>78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78</v>
      </c>
      <c r="F39" s="392">
        <f>F19+F24+F29+F31+F32+F33+F38+F14</f>
        <v>78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-78</v>
      </c>
      <c r="F41" s="391">
        <f>F11-F39</f>
        <v>-78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-27</v>
      </c>
      <c r="F44" s="391">
        <f>ROUND(F41*D44,0)</f>
        <v>-27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-51</v>
      </c>
      <c r="F48" s="398">
        <f>F41-F44+F45+F46</f>
        <v>-51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str">
        <f>F3</f>
        <v>INSURANCE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/>
  <dimension ref="A2:G6"/>
  <sheetViews>
    <sheetView workbookViewId="0">
      <selection activeCell="O47" sqref="O47"/>
    </sheetView>
  </sheetViews>
  <sheetFormatPr defaultRowHeight="12.75"/>
  <cols>
    <col min="1" max="1" width="18" style="196" customWidth="1"/>
    <col min="2" max="2" width="9.140625" style="196"/>
    <col min="3" max="3" width="9.28515625" style="196" customWidth="1"/>
    <col min="4" max="16384" width="9.140625" style="196"/>
  </cols>
  <sheetData>
    <row r="2" spans="1:7">
      <c r="A2" s="195" t="s">
        <v>194</v>
      </c>
      <c r="D2" s="199" t="s">
        <v>496</v>
      </c>
    </row>
    <row r="4" spans="1:7">
      <c r="A4" s="195" t="s">
        <v>195</v>
      </c>
      <c r="B4" s="195"/>
      <c r="D4" s="987">
        <v>1.1416000000000001E-2</v>
      </c>
      <c r="G4" s="986" t="s">
        <v>478</v>
      </c>
    </row>
    <row r="5" spans="1:7">
      <c r="A5" s="197"/>
    </row>
    <row r="6" spans="1:7">
      <c r="A6" s="198" t="s">
        <v>196</v>
      </c>
      <c r="D6" s="200" t="s">
        <v>197</v>
      </c>
    </row>
  </sheetData>
  <customSheetViews>
    <customSheetView guid="{5BE913A1-B14F-11D2-B0DC-0000832CDFF0}" showRuler="0">
      <selection activeCell="D6" sqref="D6"/>
      <pageMargins left="0.75" right="0.75" top="1" bottom="1" header="0.5" footer="0.5"/>
      <pageSetup orientation="portrait" horizontalDpi="4294967292" verticalDpi="0" r:id="rId1"/>
      <headerFooter alignWithMargins="0">
        <oddHeader>&amp;A</oddHeader>
        <oddFooter>Page &amp;P</oddFooter>
      </headerFooter>
    </customSheetView>
    <customSheetView guid="{A15D1964-B049-11D2-8670-0000832CEEE8}" showRuler="0">
      <selection activeCell="D6" sqref="D6"/>
      <pageMargins left="0.75" right="0.75" top="1" bottom="1" header="0.5" footer="0.5"/>
      <pageSetup orientation="portrait" horizontalDpi="4294967292" verticalDpi="0" r:id="rId2"/>
      <headerFooter alignWithMargins="0">
        <oddHeader>&amp;A</oddHeader>
        <oddFooter>Page &amp;P</oddFooter>
      </headerFooter>
    </customSheetView>
  </customSheetViews>
  <phoneticPr fontId="0" type="noConversion"/>
  <pageMargins left="0.75" right="0.75" top="1" bottom="1" header="0.5" footer="0.5"/>
  <pageSetup orientation="portrait" horizontalDpi="4294967292" r:id="rId3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S86"/>
  <sheetViews>
    <sheetView showGridLines="0" zoomScale="75" workbookViewId="0">
      <pane xSplit="6" ySplit="11" topLeftCell="W47" activePane="bottomRight" state="frozen"/>
      <selection activeCell="Y24" sqref="Y24"/>
      <selection pane="topRight" activeCell="Y24" sqref="Y24"/>
      <selection pane="bottomLeft" activeCell="Y24" sqref="Y24"/>
      <selection pane="bottomRight" activeCell="AD86" sqref="AD86"/>
    </sheetView>
  </sheetViews>
  <sheetFormatPr defaultColWidth="10.7109375" defaultRowHeight="12.75"/>
  <cols>
    <col min="1" max="1" width="11.5703125" style="18" customWidth="1"/>
    <col min="2" max="4" width="1.7109375" style="2" customWidth="1"/>
    <col min="5" max="5" width="36.140625" style="2" customWidth="1"/>
    <col min="6" max="6" width="11.7109375" style="809" customWidth="1"/>
    <col min="7" max="7" width="11" style="809" customWidth="1"/>
    <col min="8" max="8" width="13.42578125" style="809" customWidth="1"/>
    <col min="9" max="9" width="9.5703125" style="809" customWidth="1"/>
    <col min="10" max="10" width="14" style="809" customWidth="1"/>
    <col min="11" max="11" width="10.42578125" style="809" customWidth="1"/>
    <col min="12" max="12" width="12.7109375" style="809" customWidth="1"/>
    <col min="13" max="13" width="10.7109375" style="809" customWidth="1"/>
    <col min="14" max="14" width="15.140625" style="809" customWidth="1"/>
    <col min="15" max="15" width="11.140625" style="809" customWidth="1"/>
    <col min="16" max="16" width="10.7109375" style="809" customWidth="1"/>
    <col min="17" max="17" width="12.28515625" style="809" customWidth="1"/>
    <col min="18" max="18" width="11.7109375" style="809" customWidth="1"/>
    <col min="19" max="19" width="10.42578125" style="809" customWidth="1"/>
    <col min="20" max="20" width="10.28515625" style="809" customWidth="1"/>
    <col min="21" max="21" width="15.42578125" style="868" customWidth="1"/>
    <col min="22" max="22" width="10.85546875" style="809" customWidth="1"/>
    <col min="23" max="23" width="12.5703125" style="809" customWidth="1"/>
    <col min="24" max="24" width="12.42578125" style="809" customWidth="1"/>
    <col min="25" max="25" width="14" style="809" customWidth="1"/>
    <col min="26" max="26" width="12.140625" style="809" customWidth="1"/>
    <col min="27" max="27" width="12.28515625" style="809" hidden="1" customWidth="1"/>
    <col min="28" max="28" width="12.28515625" style="809" customWidth="1"/>
    <col min="29" max="29" width="10.85546875" style="809" customWidth="1"/>
    <col min="30" max="30" width="11.28515625" style="809" customWidth="1"/>
    <col min="31" max="31" width="11.42578125" style="809" customWidth="1"/>
    <col min="32" max="32" width="12.7109375" style="809" customWidth="1"/>
    <col min="33" max="33" width="13.140625" style="809" bestFit="1" customWidth="1"/>
    <col min="34" max="34" width="12" style="809" customWidth="1"/>
    <col min="35" max="37" width="12.140625" style="809" bestFit="1" customWidth="1"/>
    <col min="38" max="38" width="11.5703125" style="809" customWidth="1"/>
    <col min="39" max="39" width="12.140625" style="809" hidden="1" customWidth="1"/>
    <col min="40" max="40" width="12" style="809" hidden="1" customWidth="1"/>
    <col min="41" max="41" width="9.7109375" style="809" hidden="1" customWidth="1"/>
    <col min="42" max="42" width="12.140625" style="809" bestFit="1" customWidth="1"/>
    <col min="43" max="43" width="11.7109375" style="185" customWidth="1"/>
    <col min="44" max="44" width="10.7109375" style="2" customWidth="1"/>
    <col min="45" max="45" width="9.140625" style="1180" customWidth="1"/>
    <col min="46" max="51" width="10.7109375" style="2" customWidth="1"/>
    <col min="52" max="16384" width="10.7109375" style="2"/>
  </cols>
  <sheetData>
    <row r="1" spans="1:43">
      <c r="A1" s="1" t="str">
        <f>Inputs!$D$6</f>
        <v>AVISTA UTILITIES</v>
      </c>
      <c r="F1" s="868"/>
      <c r="Z1" s="1178"/>
    </row>
    <row r="2" spans="1:43" ht="20.25">
      <c r="A2" s="1" t="s">
        <v>0</v>
      </c>
      <c r="F2" s="868"/>
      <c r="G2" s="1181"/>
      <c r="H2" s="1181"/>
      <c r="I2" s="1181"/>
      <c r="J2" s="1181"/>
      <c r="K2" s="1181"/>
      <c r="L2" s="1182"/>
      <c r="M2" s="1099"/>
      <c r="N2" s="1099"/>
      <c r="Z2" s="1178"/>
    </row>
    <row r="3" spans="1:43">
      <c r="A3" s="1" t="s">
        <v>1</v>
      </c>
      <c r="G3" s="868"/>
      <c r="Z3" s="1178"/>
    </row>
    <row r="4" spans="1:43">
      <c r="A4" s="1" t="str">
        <f>Inputs!$D$2</f>
        <v>TWELVE MONTHS ENDED SEPTEMBER 30, 2008</v>
      </c>
      <c r="G4" s="868"/>
      <c r="Z4" s="1178"/>
    </row>
    <row r="5" spans="1:43">
      <c r="A5" s="1" t="s">
        <v>2</v>
      </c>
      <c r="Z5" s="1178"/>
    </row>
    <row r="6" spans="1:43" s="4" customFormat="1">
      <c r="A6" s="3"/>
      <c r="F6" s="810"/>
      <c r="G6" s="810"/>
      <c r="H6" s="810"/>
      <c r="I6" s="810"/>
      <c r="J6" s="810"/>
      <c r="K6" s="810"/>
      <c r="L6" s="810"/>
      <c r="M6" s="810"/>
      <c r="N6" s="1180"/>
      <c r="O6" s="810"/>
      <c r="P6" s="810"/>
      <c r="Q6" s="810"/>
      <c r="R6" s="810"/>
      <c r="S6" s="810"/>
      <c r="T6" s="814"/>
      <c r="U6" s="810"/>
      <c r="V6" s="810"/>
      <c r="W6" s="810"/>
      <c r="X6" s="810"/>
      <c r="Y6" s="810"/>
      <c r="Z6" s="1183"/>
      <c r="AA6" s="810"/>
      <c r="AB6" s="810"/>
      <c r="AC6" s="810"/>
      <c r="AD6" s="810"/>
      <c r="AE6" s="810"/>
      <c r="AF6" s="810"/>
      <c r="AG6" s="814"/>
      <c r="AH6" s="814"/>
      <c r="AI6" s="814"/>
      <c r="AJ6" s="814"/>
      <c r="AK6" s="814"/>
      <c r="AL6" s="814"/>
      <c r="AM6" s="814"/>
      <c r="AN6" s="814"/>
      <c r="AO6" s="810"/>
      <c r="AP6" s="810"/>
      <c r="AQ6" s="188"/>
    </row>
    <row r="7" spans="1:43" s="4" customFormat="1" ht="12" customHeight="1">
      <c r="A7" s="5"/>
      <c r="B7" s="6"/>
      <c r="C7" s="7"/>
      <c r="D7" s="7"/>
      <c r="E7" s="8"/>
      <c r="F7" s="811" t="s">
        <v>3</v>
      </c>
      <c r="G7" s="811" t="s">
        <v>4</v>
      </c>
      <c r="H7" s="811" t="s">
        <v>201</v>
      </c>
      <c r="I7" s="1184"/>
      <c r="J7" s="811" t="s">
        <v>203</v>
      </c>
      <c r="K7" s="811"/>
      <c r="L7" s="811"/>
      <c r="M7" s="811"/>
      <c r="N7" s="811" t="s">
        <v>446</v>
      </c>
      <c r="O7" s="811" t="s">
        <v>5</v>
      </c>
      <c r="P7" s="811"/>
      <c r="Q7" s="811"/>
      <c r="R7" s="811" t="s">
        <v>6</v>
      </c>
      <c r="S7" s="811" t="s">
        <v>7</v>
      </c>
      <c r="T7" s="1185"/>
      <c r="U7" s="811"/>
      <c r="V7" s="811" t="s">
        <v>5</v>
      </c>
      <c r="W7" s="1184" t="s">
        <v>9</v>
      </c>
      <c r="X7" s="811" t="s">
        <v>8</v>
      </c>
      <c r="Y7" s="1184" t="s">
        <v>499</v>
      </c>
      <c r="Z7" s="1186" t="s">
        <v>8</v>
      </c>
      <c r="AA7" s="811"/>
      <c r="AB7" s="811"/>
      <c r="AC7" s="1184" t="s">
        <v>26</v>
      </c>
      <c r="AD7" s="1184" t="s">
        <v>26</v>
      </c>
      <c r="AE7" s="1184" t="s">
        <v>26</v>
      </c>
      <c r="AF7" s="1184" t="s">
        <v>26</v>
      </c>
      <c r="AG7" s="1184" t="s">
        <v>26</v>
      </c>
      <c r="AH7" s="1184" t="s">
        <v>26</v>
      </c>
      <c r="AI7" s="1184" t="s">
        <v>26</v>
      </c>
      <c r="AJ7" s="1184" t="s">
        <v>26</v>
      </c>
      <c r="AK7" s="1184" t="s">
        <v>26</v>
      </c>
      <c r="AL7" s="1184" t="s">
        <v>26</v>
      </c>
      <c r="AM7" s="1184" t="s">
        <v>26</v>
      </c>
      <c r="AN7" s="1184" t="s">
        <v>26</v>
      </c>
      <c r="AO7" s="989" t="s">
        <v>340</v>
      </c>
      <c r="AP7" s="811"/>
      <c r="AQ7" s="185"/>
    </row>
    <row r="8" spans="1:43" s="4" customFormat="1">
      <c r="A8" s="9" t="s">
        <v>10</v>
      </c>
      <c r="B8" s="10"/>
      <c r="C8" s="11"/>
      <c r="D8" s="11"/>
      <c r="E8" s="12"/>
      <c r="F8" s="812" t="s">
        <v>11</v>
      </c>
      <c r="G8" s="812" t="s">
        <v>12</v>
      </c>
      <c r="H8" s="812" t="s">
        <v>13</v>
      </c>
      <c r="I8" s="1187" t="s">
        <v>14</v>
      </c>
      <c r="J8" s="812" t="s">
        <v>15</v>
      </c>
      <c r="K8" s="812" t="s">
        <v>16</v>
      </c>
      <c r="L8" s="812" t="s">
        <v>82</v>
      </c>
      <c r="M8" s="812" t="s">
        <v>17</v>
      </c>
      <c r="N8" s="812" t="s">
        <v>204</v>
      </c>
      <c r="O8" s="812" t="s">
        <v>18</v>
      </c>
      <c r="P8" s="812" t="s">
        <v>19</v>
      </c>
      <c r="Q8" s="812" t="s">
        <v>202</v>
      </c>
      <c r="R8" s="812" t="s">
        <v>20</v>
      </c>
      <c r="S8" s="812" t="s">
        <v>21</v>
      </c>
      <c r="T8" s="1188"/>
      <c r="U8" s="990" t="s">
        <v>364</v>
      </c>
      <c r="V8" s="812" t="s">
        <v>23</v>
      </c>
      <c r="W8" s="1187" t="s">
        <v>24</v>
      </c>
      <c r="X8" s="812" t="s">
        <v>367</v>
      </c>
      <c r="Y8" s="1187" t="s">
        <v>509</v>
      </c>
      <c r="Z8" s="1189" t="s">
        <v>22</v>
      </c>
      <c r="AA8" s="812"/>
      <c r="AB8" s="812" t="s">
        <v>25</v>
      </c>
      <c r="AC8" s="990" t="s">
        <v>349</v>
      </c>
      <c r="AD8" s="990" t="s">
        <v>349</v>
      </c>
      <c r="AE8" s="1187" t="s">
        <v>465</v>
      </c>
      <c r="AF8" s="1187" t="s">
        <v>455</v>
      </c>
      <c r="AG8" s="1187" t="s">
        <v>455</v>
      </c>
      <c r="AH8" s="1187" t="s">
        <v>521</v>
      </c>
      <c r="AI8" s="1187" t="s">
        <v>348</v>
      </c>
      <c r="AJ8" s="1187" t="s">
        <v>513</v>
      </c>
      <c r="AK8" s="1187" t="s">
        <v>505</v>
      </c>
      <c r="AL8" s="1187" t="s">
        <v>507</v>
      </c>
      <c r="AM8" s="1187" t="s">
        <v>462</v>
      </c>
      <c r="AN8" s="1187" t="s">
        <v>462</v>
      </c>
      <c r="AO8" s="990"/>
      <c r="AP8" s="812" t="s">
        <v>26</v>
      </c>
      <c r="AQ8" s="185"/>
    </row>
    <row r="9" spans="1:43" s="4" customFormat="1">
      <c r="A9" s="13" t="s">
        <v>27</v>
      </c>
      <c r="B9" s="14"/>
      <c r="C9" s="15"/>
      <c r="D9" s="15"/>
      <c r="E9" s="16" t="s">
        <v>28</v>
      </c>
      <c r="F9" s="813" t="s">
        <v>29</v>
      </c>
      <c r="G9" s="813" t="s">
        <v>30</v>
      </c>
      <c r="H9" s="813" t="s">
        <v>31</v>
      </c>
      <c r="I9" s="1190" t="s">
        <v>32</v>
      </c>
      <c r="J9" s="813" t="s">
        <v>33</v>
      </c>
      <c r="K9" s="813" t="s">
        <v>34</v>
      </c>
      <c r="L9" s="813" t="s">
        <v>453</v>
      </c>
      <c r="M9" s="813" t="s">
        <v>35</v>
      </c>
      <c r="N9" s="813" t="s">
        <v>205</v>
      </c>
      <c r="O9" s="813" t="s">
        <v>37</v>
      </c>
      <c r="P9" s="813" t="s">
        <v>38</v>
      </c>
      <c r="Q9" s="813" t="s">
        <v>20</v>
      </c>
      <c r="R9" s="813" t="s">
        <v>36</v>
      </c>
      <c r="S9" s="813" t="s">
        <v>39</v>
      </c>
      <c r="T9" s="1190" t="s">
        <v>12</v>
      </c>
      <c r="U9" s="991" t="s">
        <v>365</v>
      </c>
      <c r="V9" s="813" t="s">
        <v>42</v>
      </c>
      <c r="W9" s="1190" t="s">
        <v>43</v>
      </c>
      <c r="X9" s="813" t="s">
        <v>37</v>
      </c>
      <c r="Y9" s="1190" t="s">
        <v>259</v>
      </c>
      <c r="Z9" s="1191" t="s">
        <v>40</v>
      </c>
      <c r="AA9" s="813"/>
      <c r="AB9" s="813" t="s">
        <v>44</v>
      </c>
      <c r="AC9" s="991" t="s">
        <v>350</v>
      </c>
      <c r="AD9" s="991" t="s">
        <v>351</v>
      </c>
      <c r="AE9" s="1190"/>
      <c r="AF9" s="1192" t="s">
        <v>457</v>
      </c>
      <c r="AG9" s="1192" t="s">
        <v>458</v>
      </c>
      <c r="AH9" s="1190" t="s">
        <v>519</v>
      </c>
      <c r="AI9" s="1192"/>
      <c r="AJ9" s="1190" t="s">
        <v>514</v>
      </c>
      <c r="AK9" s="1190" t="s">
        <v>506</v>
      </c>
      <c r="AL9" s="1192"/>
      <c r="AM9" s="1190"/>
      <c r="AN9" s="1192"/>
      <c r="AO9" s="991" t="s">
        <v>41</v>
      </c>
      <c r="AP9" s="813" t="s">
        <v>44</v>
      </c>
      <c r="AQ9" s="185"/>
    </row>
    <row r="10" spans="1:43" s="17" customFormat="1">
      <c r="A10" s="18"/>
      <c r="E10" s="17" t="s">
        <v>45</v>
      </c>
      <c r="F10" s="814" t="s">
        <v>46</v>
      </c>
      <c r="G10" s="814" t="s">
        <v>47</v>
      </c>
      <c r="H10" s="814" t="s">
        <v>48</v>
      </c>
      <c r="I10" s="814" t="s">
        <v>49</v>
      </c>
      <c r="J10" s="814" t="s">
        <v>50</v>
      </c>
      <c r="K10" s="814" t="s">
        <v>51</v>
      </c>
      <c r="L10" s="814" t="s">
        <v>53</v>
      </c>
      <c r="M10" s="814" t="s">
        <v>52</v>
      </c>
      <c r="N10" s="814" t="s">
        <v>121</v>
      </c>
      <c r="O10" s="814" t="s">
        <v>54</v>
      </c>
      <c r="P10" s="814" t="s">
        <v>55</v>
      </c>
      <c r="Q10" s="814" t="s">
        <v>122</v>
      </c>
      <c r="R10" s="814" t="s">
        <v>56</v>
      </c>
      <c r="S10" s="814" t="s">
        <v>57</v>
      </c>
      <c r="T10" s="814" t="s">
        <v>58</v>
      </c>
      <c r="U10" s="814" t="s">
        <v>59</v>
      </c>
      <c r="V10" s="814" t="s">
        <v>60</v>
      </c>
      <c r="W10" s="814" t="s">
        <v>61</v>
      </c>
      <c r="X10" s="814" t="s">
        <v>62</v>
      </c>
      <c r="Y10" s="870" t="s">
        <v>63</v>
      </c>
      <c r="Z10" s="1193" t="s">
        <v>64</v>
      </c>
      <c r="AA10" s="814"/>
      <c r="AB10" s="814" t="s">
        <v>52</v>
      </c>
      <c r="AC10" s="870" t="s">
        <v>66</v>
      </c>
      <c r="AD10" s="870" t="s">
        <v>67</v>
      </c>
      <c r="AE10" s="870" t="s">
        <v>337</v>
      </c>
      <c r="AF10" s="870" t="s">
        <v>338</v>
      </c>
      <c r="AG10" s="814" t="s">
        <v>341</v>
      </c>
      <c r="AH10" s="870" t="s">
        <v>459</v>
      </c>
      <c r="AI10" s="814" t="s">
        <v>347</v>
      </c>
      <c r="AJ10" s="870" t="s">
        <v>460</v>
      </c>
      <c r="AK10" s="870" t="s">
        <v>461</v>
      </c>
      <c r="AL10" s="814" t="s">
        <v>500</v>
      </c>
      <c r="AM10" s="870" t="s">
        <v>511</v>
      </c>
      <c r="AN10" s="870" t="s">
        <v>512</v>
      </c>
      <c r="AO10" s="870"/>
      <c r="AP10" s="814" t="s">
        <v>52</v>
      </c>
      <c r="AQ10" s="185"/>
    </row>
    <row r="11" spans="1:43">
      <c r="T11" s="1194"/>
      <c r="U11" s="809"/>
      <c r="Z11" s="1178"/>
    </row>
    <row r="12" spans="1:43">
      <c r="B12" s="2" t="s">
        <v>68</v>
      </c>
      <c r="T12" s="1194"/>
      <c r="U12" s="809"/>
      <c r="Z12" s="1178"/>
    </row>
    <row r="13" spans="1:43" s="19" customFormat="1">
      <c r="A13" s="18">
        <v>1</v>
      </c>
      <c r="C13" s="19" t="s">
        <v>69</v>
      </c>
      <c r="F13" s="827">
        <f>ResultSumGas!$F8</f>
        <v>220020</v>
      </c>
      <c r="G13" s="97">
        <f>DFIT!$F8</f>
        <v>0</v>
      </c>
      <c r="H13" s="97">
        <f>BldGain!$F8</f>
        <v>0</v>
      </c>
      <c r="I13" s="97">
        <f>GasInv!$F8</f>
        <v>0</v>
      </c>
      <c r="J13" s="97">
        <f>WznDSM!$F8</f>
        <v>0</v>
      </c>
      <c r="K13" s="97">
        <f>CustAdv!$F8</f>
        <v>0</v>
      </c>
      <c r="L13" s="97">
        <f>'DeprTrue-up'!$F8</f>
        <v>0</v>
      </c>
      <c r="M13" s="827">
        <f>SUM(F13:L13)</f>
        <v>220020</v>
      </c>
      <c r="N13" s="89">
        <f>WeatherGas!$F8</f>
        <v>1695</v>
      </c>
      <c r="O13" s="827">
        <f>BandO!$F8</f>
        <v>-7839</v>
      </c>
      <c r="P13" s="97">
        <f>PropTax!$F8</f>
        <v>0</v>
      </c>
      <c r="Q13" s="97">
        <f>UncollExp!$F8</f>
        <v>0</v>
      </c>
      <c r="R13" s="97">
        <f>RegExp!$F8</f>
        <v>0</v>
      </c>
      <c r="S13" s="97">
        <f>InjDam!$F8</f>
        <v>0</v>
      </c>
      <c r="T13" s="97">
        <f>FIT!$F8</f>
        <v>0</v>
      </c>
      <c r="U13" s="97">
        <f>GainsLosses!$F8</f>
        <v>0</v>
      </c>
      <c r="V13" s="97">
        <f>ElimAR!$F8</f>
        <v>0</v>
      </c>
      <c r="W13" s="97">
        <f>SubSpace!$F8</f>
        <v>0</v>
      </c>
      <c r="X13" s="97">
        <f>ExciseTax!$F8</f>
        <v>0</v>
      </c>
      <c r="Y13" s="97">
        <f>MiscReState!$F8</f>
        <v>0</v>
      </c>
      <c r="Z13" s="1195">
        <f>DebtInt!$F8</f>
        <v>0</v>
      </c>
      <c r="AA13" s="97"/>
      <c r="AB13" s="827">
        <f>SUM(M13:AA13)</f>
        <v>213876</v>
      </c>
      <c r="AC13" s="97">
        <f>'PFNon-Exec'!$F8</f>
        <v>0</v>
      </c>
      <c r="AD13" s="97">
        <f>'PF-Exec'!$F8</f>
        <v>0</v>
      </c>
      <c r="AE13" s="97">
        <f>PFJPStorage!F8</f>
        <v>0</v>
      </c>
      <c r="AF13" s="97">
        <f>PFCapx2008!$F8</f>
        <v>0</v>
      </c>
      <c r="AG13" s="97">
        <f>PFCapx2009!$F8</f>
        <v>0</v>
      </c>
      <c r="AH13" s="97">
        <f>PFAssetMgt!$F8</f>
        <v>0</v>
      </c>
      <c r="AI13" s="97">
        <f>PFIncentives!$F8</f>
        <v>0</v>
      </c>
      <c r="AJ13" s="97">
        <f>PFInfoServ!$F8</f>
        <v>0</v>
      </c>
      <c r="AK13" s="97">
        <f>PFEmpBen!$F8</f>
        <v>0</v>
      </c>
      <c r="AL13" s="97">
        <f>PFInsur!$F8</f>
        <v>0</v>
      </c>
      <c r="AM13" s="97">
        <f>'PFJP11-open'!$F8</f>
        <v>0</v>
      </c>
      <c r="AN13" s="97">
        <f>'PF12-Open'!$F8</f>
        <v>0</v>
      </c>
      <c r="AO13" s="97"/>
      <c r="AP13" s="827">
        <f>SUM(AB13:AO13)</f>
        <v>213876</v>
      </c>
      <c r="AQ13" s="185"/>
    </row>
    <row r="14" spans="1:43">
      <c r="A14" s="18">
        <v>2</v>
      </c>
      <c r="C14" s="20" t="s">
        <v>70</v>
      </c>
      <c r="D14" s="20"/>
      <c r="E14" s="20"/>
      <c r="F14" s="20">
        <f>ResultSumGas!$F9</f>
        <v>3486</v>
      </c>
      <c r="G14" s="89">
        <f>DFIT!$F9</f>
        <v>0</v>
      </c>
      <c r="H14" s="89">
        <f>BldGain!$F9</f>
        <v>0</v>
      </c>
      <c r="I14" s="89">
        <f>GasInv!$F9</f>
        <v>0</v>
      </c>
      <c r="J14" s="89">
        <f>WznDSM!$F9</f>
        <v>0</v>
      </c>
      <c r="K14" s="89">
        <f>CustAdv!$F9</f>
        <v>0</v>
      </c>
      <c r="L14" s="89">
        <f>'DeprTrue-up'!$F9</f>
        <v>0</v>
      </c>
      <c r="M14" s="20">
        <f>SUM(F14:L14)</f>
        <v>3486</v>
      </c>
      <c r="N14" s="89">
        <f>WeatherGas!$F9</f>
        <v>-1700</v>
      </c>
      <c r="O14" s="89">
        <f>BandO!$F9</f>
        <v>-75</v>
      </c>
      <c r="P14" s="89">
        <f>PropTax!$F9</f>
        <v>0</v>
      </c>
      <c r="Q14" s="89">
        <f>UncollExp!$F9</f>
        <v>0</v>
      </c>
      <c r="R14" s="89">
        <f>RegExp!$F9</f>
        <v>0</v>
      </c>
      <c r="S14" s="89">
        <f>InjDam!$F9</f>
        <v>0</v>
      </c>
      <c r="T14" s="89">
        <f>FIT!$F9</f>
        <v>0</v>
      </c>
      <c r="U14" s="89">
        <f>GainsLosses!$F9</f>
        <v>0</v>
      </c>
      <c r="V14" s="89">
        <f>ElimAR!$F9</f>
        <v>0</v>
      </c>
      <c r="W14" s="89">
        <f>SubSpace!$F9</f>
        <v>0</v>
      </c>
      <c r="X14" s="89">
        <f>ExciseTax!$F9</f>
        <v>0</v>
      </c>
      <c r="Y14" s="89">
        <f>MiscReState!$F9</f>
        <v>0</v>
      </c>
      <c r="Z14" s="1196">
        <f>DebtInt!$F9</f>
        <v>0</v>
      </c>
      <c r="AA14" s="89"/>
      <c r="AB14" s="20">
        <f>SUM(M14:AA14)</f>
        <v>1711</v>
      </c>
      <c r="AC14" s="89">
        <f>'PFNon-Exec'!$F9</f>
        <v>0</v>
      </c>
      <c r="AD14" s="89">
        <f>'PF-Exec'!$F9</f>
        <v>0</v>
      </c>
      <c r="AE14" s="97">
        <f>PFJPStorage!F9</f>
        <v>0</v>
      </c>
      <c r="AF14" s="89">
        <f>PFCapx2008!$F9</f>
        <v>0</v>
      </c>
      <c r="AG14" s="89">
        <f>PFCapx2009!$F9</f>
        <v>0</v>
      </c>
      <c r="AH14" s="89">
        <f>PFAssetMgt!$F9</f>
        <v>0</v>
      </c>
      <c r="AI14" s="89">
        <f>PFIncentives!$F9</f>
        <v>0</v>
      </c>
      <c r="AJ14" s="89">
        <f>PFInfoServ!$F9</f>
        <v>0</v>
      </c>
      <c r="AK14" s="89">
        <f>PFEmpBen!$F9</f>
        <v>0</v>
      </c>
      <c r="AL14" s="89">
        <f>PFInsur!$F9</f>
        <v>0</v>
      </c>
      <c r="AM14" s="89">
        <f>'PFJP11-open'!$F9</f>
        <v>0</v>
      </c>
      <c r="AN14" s="89">
        <f>'PF12-Open'!$F9</f>
        <v>0</v>
      </c>
      <c r="AO14" s="89"/>
      <c r="AP14" s="20">
        <f>SUM(AB14:AO14)</f>
        <v>1711</v>
      </c>
    </row>
    <row r="15" spans="1:43">
      <c r="A15" s="18">
        <v>3</v>
      </c>
      <c r="C15" s="20" t="s">
        <v>71</v>
      </c>
      <c r="D15" s="20"/>
      <c r="E15" s="20"/>
      <c r="F15" s="815">
        <f>ResultSumGas!$F10</f>
        <v>135812</v>
      </c>
      <c r="G15" s="90">
        <f>DFIT!$F10</f>
        <v>0</v>
      </c>
      <c r="H15" s="90">
        <f>BldGain!$F10</f>
        <v>0</v>
      </c>
      <c r="I15" s="90">
        <f>GasInv!$F10</f>
        <v>0</v>
      </c>
      <c r="J15" s="90">
        <f>WznDSM!$F10</f>
        <v>0</v>
      </c>
      <c r="K15" s="90">
        <f>CustAdv!$F10</f>
        <v>0</v>
      </c>
      <c r="L15" s="90">
        <f>'DeprTrue-up'!$F10</f>
        <v>0</v>
      </c>
      <c r="M15" s="815">
        <f>SUM(F15:L15)</f>
        <v>135812</v>
      </c>
      <c r="N15" s="90">
        <f>WeatherGas!$F10</f>
        <v>-131399</v>
      </c>
      <c r="O15" s="90">
        <f>BandO!$F10</f>
        <v>0</v>
      </c>
      <c r="P15" s="90">
        <f>PropTax!$F10</f>
        <v>0</v>
      </c>
      <c r="Q15" s="90">
        <f>UncollExp!$F10</f>
        <v>0</v>
      </c>
      <c r="R15" s="90">
        <f>RegExp!$F10</f>
        <v>0</v>
      </c>
      <c r="S15" s="90">
        <f>InjDam!$F10</f>
        <v>0</v>
      </c>
      <c r="T15" s="90">
        <f>FIT!$F10</f>
        <v>0</v>
      </c>
      <c r="U15" s="90">
        <f>GainsLosses!$F10</f>
        <v>0</v>
      </c>
      <c r="V15" s="90">
        <f>ElimAR!$F10</f>
        <v>0</v>
      </c>
      <c r="W15" s="90">
        <f>SubSpace!$F10</f>
        <v>0</v>
      </c>
      <c r="X15" s="90">
        <f>ExciseTax!$F10</f>
        <v>0</v>
      </c>
      <c r="Y15" s="90">
        <f>MiscReState!$F10</f>
        <v>0</v>
      </c>
      <c r="Z15" s="1197">
        <f>DebtInt!$F10</f>
        <v>0</v>
      </c>
      <c r="AA15" s="90"/>
      <c r="AB15" s="815">
        <f>SUM(M15:AA15)</f>
        <v>4413</v>
      </c>
      <c r="AC15" s="90">
        <f>'PFNon-Exec'!$F10</f>
        <v>0</v>
      </c>
      <c r="AD15" s="90">
        <f>'PF-Exec'!$F10</f>
        <v>0</v>
      </c>
      <c r="AE15" s="90">
        <f>PFJPStorage!$F10</f>
        <v>-2561</v>
      </c>
      <c r="AF15" s="90">
        <f>PFCapx2008!$F10</f>
        <v>0</v>
      </c>
      <c r="AG15" s="90">
        <f>PFCapx2009!$F10</f>
        <v>0</v>
      </c>
      <c r="AH15" s="90">
        <f>PFAssetMgt!$F10</f>
        <v>0</v>
      </c>
      <c r="AI15" s="90">
        <f>PFIncentives!$F10</f>
        <v>0</v>
      </c>
      <c r="AJ15" s="90">
        <f>PFInfoServ!$F10</f>
        <v>0</v>
      </c>
      <c r="AK15" s="90">
        <f>PFEmpBen!$F10</f>
        <v>0</v>
      </c>
      <c r="AL15" s="90">
        <f>PFInsur!$F10</f>
        <v>0</v>
      </c>
      <c r="AM15" s="90">
        <f>'PFJP11-open'!$F10</f>
        <v>0</v>
      </c>
      <c r="AN15" s="90">
        <f>'PF12-Open'!$F10</f>
        <v>0</v>
      </c>
      <c r="AO15" s="90"/>
      <c r="AP15" s="815">
        <f>SUM(AB15:AO15)</f>
        <v>1852</v>
      </c>
    </row>
    <row r="16" spans="1:43">
      <c r="A16" s="18">
        <v>4</v>
      </c>
      <c r="B16" s="2" t="s">
        <v>72</v>
      </c>
      <c r="C16" s="20"/>
      <c r="D16" s="20"/>
      <c r="E16" s="20"/>
      <c r="F16" s="20">
        <f t="shared" ref="F16:T16" si="0">SUM(F13:F15)</f>
        <v>359318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359318</v>
      </c>
      <c r="N16" s="20">
        <f t="shared" si="0"/>
        <v>-131404</v>
      </c>
      <c r="O16" s="20">
        <f t="shared" si="0"/>
        <v>-7914</v>
      </c>
      <c r="P16" s="20">
        <f t="shared" si="0"/>
        <v>0</v>
      </c>
      <c r="Q16" s="20">
        <f t="shared" si="0"/>
        <v>0</v>
      </c>
      <c r="R16" s="20">
        <f t="shared" si="0"/>
        <v>0</v>
      </c>
      <c r="S16" s="20">
        <f t="shared" si="0"/>
        <v>0</v>
      </c>
      <c r="T16" s="20">
        <f t="shared" si="0"/>
        <v>0</v>
      </c>
      <c r="U16" s="20">
        <f>SUM(U13:U15)</f>
        <v>0</v>
      </c>
      <c r="V16" s="20">
        <f t="shared" ref="V16:AP16" si="1">SUM(V13:V15)</f>
        <v>0</v>
      </c>
      <c r="W16" s="20">
        <f t="shared" si="1"/>
        <v>0</v>
      </c>
      <c r="X16" s="20">
        <f t="shared" si="1"/>
        <v>0</v>
      </c>
      <c r="Y16" s="20">
        <f>SUM(Y13:Y15)</f>
        <v>0</v>
      </c>
      <c r="Z16" s="1198">
        <f>SUM(Z13:Z15)</f>
        <v>0</v>
      </c>
      <c r="AA16" s="20"/>
      <c r="AB16" s="20">
        <f t="shared" si="1"/>
        <v>220000</v>
      </c>
      <c r="AC16" s="20">
        <f>SUM(AC13:AC15)</f>
        <v>0</v>
      </c>
      <c r="AD16" s="20">
        <f>SUM(AD13:AD15)</f>
        <v>0</v>
      </c>
      <c r="AE16" s="20">
        <f>SUM(AE13:AE15)</f>
        <v>-2561</v>
      </c>
      <c r="AF16" s="20">
        <f t="shared" si="1"/>
        <v>0</v>
      </c>
      <c r="AG16" s="20">
        <f t="shared" si="1"/>
        <v>0</v>
      </c>
      <c r="AH16" s="20">
        <f>SUM(AH13:AH15)</f>
        <v>0</v>
      </c>
      <c r="AI16" s="20">
        <f t="shared" si="1"/>
        <v>0</v>
      </c>
      <c r="AJ16" s="20">
        <f t="shared" si="1"/>
        <v>0</v>
      </c>
      <c r="AK16" s="20">
        <f t="shared" si="1"/>
        <v>0</v>
      </c>
      <c r="AL16" s="20">
        <f t="shared" si="1"/>
        <v>0</v>
      </c>
      <c r="AM16" s="20">
        <f t="shared" si="1"/>
        <v>0</v>
      </c>
      <c r="AN16" s="20">
        <f t="shared" si="1"/>
        <v>0</v>
      </c>
      <c r="AO16" s="20"/>
      <c r="AP16" s="20">
        <f t="shared" si="1"/>
        <v>217439</v>
      </c>
    </row>
    <row r="17" spans="1:42">
      <c r="C17" s="20"/>
      <c r="D17" s="20"/>
      <c r="E17" s="20"/>
      <c r="F17" s="20"/>
      <c r="G17" s="89"/>
      <c r="H17" s="89"/>
      <c r="I17" s="89"/>
      <c r="J17" s="89"/>
      <c r="K17" s="89"/>
      <c r="L17" s="89"/>
      <c r="M17" s="20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1196"/>
      <c r="AA17" s="89"/>
      <c r="AB17" s="20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20"/>
    </row>
    <row r="18" spans="1:42">
      <c r="B18" s="2" t="s">
        <v>73</v>
      </c>
      <c r="C18" s="20"/>
      <c r="D18" s="20"/>
      <c r="E18" s="20"/>
      <c r="F18" s="20"/>
      <c r="G18" s="89"/>
      <c r="H18" s="89"/>
      <c r="I18" s="89"/>
      <c r="J18" s="89"/>
      <c r="K18" s="89"/>
      <c r="L18" s="89"/>
      <c r="M18" s="20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1196"/>
      <c r="AA18" s="89"/>
      <c r="AB18" s="20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20"/>
    </row>
    <row r="19" spans="1:42">
      <c r="A19" s="18">
        <v>5</v>
      </c>
      <c r="C19" s="20" t="s">
        <v>74</v>
      </c>
      <c r="D19" s="20"/>
      <c r="E19" s="20"/>
      <c r="F19" s="20">
        <f>ResultSumGas!$F14</f>
        <v>0</v>
      </c>
      <c r="G19" s="89">
        <f>DFIT!$F14</f>
        <v>0</v>
      </c>
      <c r="H19" s="89">
        <f>BldGain!$F14</f>
        <v>0</v>
      </c>
      <c r="I19" s="89">
        <f>GasInv!$F14</f>
        <v>0</v>
      </c>
      <c r="J19" s="89">
        <f>WznDSM!$F14</f>
        <v>0</v>
      </c>
      <c r="K19" s="89">
        <f>CustAdv!$F14</f>
        <v>0</v>
      </c>
      <c r="L19" s="89">
        <f>'DeprTrue-up'!$F14</f>
        <v>0</v>
      </c>
      <c r="M19" s="20">
        <f>SUM(F19:L19)</f>
        <v>0</v>
      </c>
      <c r="N19" s="89">
        <f>WeatherGas!$F14</f>
        <v>0</v>
      </c>
      <c r="O19" s="89">
        <f>BandO!$F14</f>
        <v>0</v>
      </c>
      <c r="P19" s="89">
        <f>PropTax!$F14</f>
        <v>0</v>
      </c>
      <c r="Q19" s="89">
        <f>UncollExp!$F14</f>
        <v>0</v>
      </c>
      <c r="R19" s="89">
        <f>RegExp!$F14</f>
        <v>0</v>
      </c>
      <c r="S19" s="89">
        <f>InjDam!$F14</f>
        <v>0</v>
      </c>
      <c r="T19" s="89">
        <f>FIT!$F14</f>
        <v>0</v>
      </c>
      <c r="U19" s="89">
        <f>GainsLosses!$F14</f>
        <v>0</v>
      </c>
      <c r="V19" s="89">
        <f>ElimAR!$F14</f>
        <v>0</v>
      </c>
      <c r="W19" s="89">
        <f>SubSpace!$F14</f>
        <v>0</v>
      </c>
      <c r="X19" s="89">
        <f>ExciseTax!$F14</f>
        <v>0</v>
      </c>
      <c r="Y19" s="89">
        <f>MiscReState!$F14</f>
        <v>0</v>
      </c>
      <c r="Z19" s="1196">
        <f>DebtInt!$F14</f>
        <v>0</v>
      </c>
      <c r="AA19" s="89"/>
      <c r="AB19" s="20">
        <f>SUM(M19:AA19)</f>
        <v>0</v>
      </c>
      <c r="AC19" s="89">
        <f>'PFNon-Exec'!$F14</f>
        <v>0</v>
      </c>
      <c r="AD19" s="89">
        <f>'PF-Exec'!$F14</f>
        <v>0</v>
      </c>
      <c r="AE19" s="97">
        <f>PFJPStorage!F14</f>
        <v>0</v>
      </c>
      <c r="AF19" s="89">
        <f>PFCapx2008!$F14</f>
        <v>0</v>
      </c>
      <c r="AG19" s="89">
        <f>PFCapx2009!$F14</f>
        <v>0</v>
      </c>
      <c r="AH19" s="89">
        <f>PFAssetMgt!$F14</f>
        <v>0</v>
      </c>
      <c r="AI19" s="89">
        <f>PFIncentives!$F14</f>
        <v>0</v>
      </c>
      <c r="AJ19" s="89">
        <f>PFInfoServ!$F14</f>
        <v>0</v>
      </c>
      <c r="AK19" s="89">
        <f>PFEmpBen!$F14</f>
        <v>0</v>
      </c>
      <c r="AL19" s="89">
        <f>PFInsur!$F14</f>
        <v>0</v>
      </c>
      <c r="AM19" s="89">
        <f>'PFJP11-open'!$F14</f>
        <v>0</v>
      </c>
      <c r="AN19" s="89">
        <f>'PF12-Open'!$F14</f>
        <v>0</v>
      </c>
      <c r="AO19" s="89"/>
      <c r="AP19" s="20">
        <f>SUM(AB19:AO19)</f>
        <v>0</v>
      </c>
    </row>
    <row r="20" spans="1:42">
      <c r="C20" s="20" t="s">
        <v>75</v>
      </c>
      <c r="D20" s="20"/>
      <c r="E20" s="20"/>
      <c r="F20" s="20"/>
      <c r="G20" s="89"/>
      <c r="H20" s="89"/>
      <c r="I20" s="89"/>
      <c r="J20" s="89"/>
      <c r="K20" s="89"/>
      <c r="L20" s="89"/>
      <c r="M20" s="20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1196"/>
      <c r="AA20" s="89"/>
      <c r="AB20" s="20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20"/>
    </row>
    <row r="21" spans="1:42">
      <c r="A21" s="18">
        <v>6</v>
      </c>
      <c r="C21" s="20"/>
      <c r="D21" s="20" t="s">
        <v>76</v>
      </c>
      <c r="E21" s="20"/>
      <c r="F21" s="20">
        <f>ResultSumGas!$F16</f>
        <v>309146</v>
      </c>
      <c r="G21" s="89">
        <f>DFIT!$F16</f>
        <v>0</v>
      </c>
      <c r="H21" s="89">
        <f>BldGain!$F16</f>
        <v>0</v>
      </c>
      <c r="I21" s="89">
        <f>GasInv!$F16</f>
        <v>0</v>
      </c>
      <c r="J21" s="89">
        <f>WznDSM!$F16</f>
        <v>0</v>
      </c>
      <c r="K21" s="89">
        <f>CustAdv!$F16</f>
        <v>0</v>
      </c>
      <c r="L21" s="89">
        <f>'DeprTrue-up'!$F16</f>
        <v>0</v>
      </c>
      <c r="M21" s="20">
        <f>SUM(F21:L21)</f>
        <v>309146</v>
      </c>
      <c r="N21" s="89">
        <f>WeatherGas!$F16</f>
        <v>-151865</v>
      </c>
      <c r="O21" s="89">
        <f>BandO!$F16</f>
        <v>0</v>
      </c>
      <c r="P21" s="89">
        <f>PropTax!$F16</f>
        <v>0</v>
      </c>
      <c r="Q21" s="89">
        <f>UncollExp!$F16</f>
        <v>0</v>
      </c>
      <c r="R21" s="89">
        <f>RegExp!$F16</f>
        <v>0</v>
      </c>
      <c r="S21" s="89">
        <f>InjDam!$F16</f>
        <v>0</v>
      </c>
      <c r="T21" s="89">
        <f>FIT!$F16</f>
        <v>0</v>
      </c>
      <c r="U21" s="89">
        <f>GainsLosses!$F16</f>
        <v>0</v>
      </c>
      <c r="V21" s="89">
        <f>ElimAR!$F16</f>
        <v>0</v>
      </c>
      <c r="W21" s="89">
        <f>SubSpace!$F16</f>
        <v>0</v>
      </c>
      <c r="X21" s="89">
        <f>ExciseTax!$F16</f>
        <v>0</v>
      </c>
      <c r="Y21" s="89">
        <f>MiscReState!$F16</f>
        <v>0</v>
      </c>
      <c r="Z21" s="1196">
        <f>DebtInt!$F16</f>
        <v>0</v>
      </c>
      <c r="AA21" s="89"/>
      <c r="AB21" s="20">
        <f>SUM(M21:AA21)</f>
        <v>157281</v>
      </c>
      <c r="AC21" s="89">
        <f>'PFNon-Exec'!$F16</f>
        <v>0</v>
      </c>
      <c r="AD21" s="89">
        <f>'PF-Exec'!$F16</f>
        <v>0</v>
      </c>
      <c r="AE21" s="97">
        <f>PFJPStorage!F16</f>
        <v>0</v>
      </c>
      <c r="AF21" s="89">
        <f>PFCapx2008!$F16</f>
        <v>0</v>
      </c>
      <c r="AG21" s="89">
        <f>PFCapx2009!$F16</f>
        <v>0</v>
      </c>
      <c r="AH21" s="89">
        <f>PFAssetMgt!$F16</f>
        <v>0</v>
      </c>
      <c r="AI21" s="89">
        <f>PFIncentives!$F16</f>
        <v>0</v>
      </c>
      <c r="AJ21" s="89">
        <f>PFInfoServ!$F16</f>
        <v>0</v>
      </c>
      <c r="AK21" s="89">
        <f>PFEmpBen!$F16</f>
        <v>0</v>
      </c>
      <c r="AL21" s="89">
        <f>PFInsur!$F16</f>
        <v>0</v>
      </c>
      <c r="AM21" s="89">
        <f>'PFJP11-open'!$F16</f>
        <v>0</v>
      </c>
      <c r="AN21" s="89">
        <f>'PF12-Open'!$F16</f>
        <v>0</v>
      </c>
      <c r="AO21" s="89"/>
      <c r="AP21" s="20">
        <f>SUM(AB21:AO21)</f>
        <v>157281</v>
      </c>
    </row>
    <row r="22" spans="1:42">
      <c r="A22" s="18">
        <v>7</v>
      </c>
      <c r="C22" s="20"/>
      <c r="D22" s="20" t="s">
        <v>77</v>
      </c>
      <c r="E22" s="20"/>
      <c r="F22" s="20">
        <f>ResultSumGas!$F17</f>
        <v>737</v>
      </c>
      <c r="G22" s="89">
        <f>DFIT!$F17</f>
        <v>0</v>
      </c>
      <c r="H22" s="89">
        <f>BldGain!$F17</f>
        <v>0</v>
      </c>
      <c r="I22" s="89">
        <f>GasInv!$F17</f>
        <v>0</v>
      </c>
      <c r="J22" s="89">
        <f>WznDSM!$F17</f>
        <v>0</v>
      </c>
      <c r="K22" s="89">
        <f>CustAdv!$F17</f>
        <v>0</v>
      </c>
      <c r="L22" s="89">
        <f>'DeprTrue-up'!$F17</f>
        <v>0</v>
      </c>
      <c r="M22" s="20">
        <f>SUM(F22:L22)</f>
        <v>737</v>
      </c>
      <c r="N22" s="89">
        <f>WeatherGas!$F17</f>
        <v>0</v>
      </c>
      <c r="O22" s="89">
        <f>BandO!$F17</f>
        <v>0</v>
      </c>
      <c r="P22" s="89">
        <f>PropTax!$F17</f>
        <v>0</v>
      </c>
      <c r="Q22" s="89">
        <f>UncollExp!$F17</f>
        <v>0</v>
      </c>
      <c r="R22" s="89">
        <f>RegExp!$F17</f>
        <v>0</v>
      </c>
      <c r="S22" s="89">
        <f>InjDam!$F17</f>
        <v>0</v>
      </c>
      <c r="T22" s="89">
        <f>FIT!$F17</f>
        <v>0</v>
      </c>
      <c r="U22" s="89">
        <f>GainsLosses!$F17</f>
        <v>0</v>
      </c>
      <c r="V22" s="89">
        <f>ElimAR!$F17</f>
        <v>0</v>
      </c>
      <c r="W22" s="89">
        <f>SubSpace!$F17</f>
        <v>0</v>
      </c>
      <c r="X22" s="89">
        <f>ExciseTax!$F17</f>
        <v>0</v>
      </c>
      <c r="Y22" s="89">
        <f>MiscReState!$F17</f>
        <v>0</v>
      </c>
      <c r="Z22" s="1196">
        <f>DebtInt!$F17</f>
        <v>0</v>
      </c>
      <c r="AA22" s="89"/>
      <c r="AB22" s="20">
        <f>SUM(M22:AA22)</f>
        <v>737</v>
      </c>
      <c r="AC22" s="89">
        <f>'PFNon-Exec'!$F17</f>
        <v>33</v>
      </c>
      <c r="AD22" s="89">
        <f>'PF-Exec'!$F17</f>
        <v>3</v>
      </c>
      <c r="AE22" s="97">
        <f>PFJPStorage!F17</f>
        <v>0</v>
      </c>
      <c r="AF22" s="89">
        <f>PFCapx2008!$F17</f>
        <v>0</v>
      </c>
      <c r="AG22" s="89">
        <f>PFCapx2009!$F17</f>
        <v>0</v>
      </c>
      <c r="AH22" s="89">
        <f>PFAssetMgt!$F17</f>
        <v>0</v>
      </c>
      <c r="AI22" s="89">
        <f>PFIncentives!$F17</f>
        <v>0</v>
      </c>
      <c r="AJ22" s="89">
        <f>PFInfoServ!$F17</f>
        <v>0</v>
      </c>
      <c r="AK22" s="89">
        <f>PFEmpBen!$F17</f>
        <v>53</v>
      </c>
      <c r="AL22" s="89">
        <f>PFInsur!$F17</f>
        <v>0</v>
      </c>
      <c r="AM22" s="89">
        <f>'PFJP11-open'!$F17</f>
        <v>0</v>
      </c>
      <c r="AN22" s="89">
        <f>'PF12-Open'!$F17</f>
        <v>0</v>
      </c>
      <c r="AO22" s="89"/>
      <c r="AP22" s="20">
        <f>SUM(AB22:AO22)</f>
        <v>826</v>
      </c>
    </row>
    <row r="23" spans="1:42">
      <c r="A23" s="18">
        <v>8</v>
      </c>
      <c r="C23" s="20"/>
      <c r="D23" s="20" t="s">
        <v>78</v>
      </c>
      <c r="E23" s="20"/>
      <c r="F23" s="815">
        <f>ResultSumGas!$F18</f>
        <v>-18687</v>
      </c>
      <c r="G23" s="90">
        <f>DFIT!$F18</f>
        <v>0</v>
      </c>
      <c r="H23" s="90">
        <f>BldGain!$F18</f>
        <v>0</v>
      </c>
      <c r="I23" s="90">
        <f>GasInv!$F18</f>
        <v>0</v>
      </c>
      <c r="J23" s="90">
        <f>WznDSM!$F18</f>
        <v>0</v>
      </c>
      <c r="K23" s="90">
        <f>CustAdv!$F18</f>
        <v>0</v>
      </c>
      <c r="L23" s="90">
        <f>'DeprTrue-up'!$F18</f>
        <v>0</v>
      </c>
      <c r="M23" s="815">
        <f>SUM(F23:L23)</f>
        <v>-18687</v>
      </c>
      <c r="N23" s="90">
        <f>WeatherGas!$F18</f>
        <v>18687</v>
      </c>
      <c r="O23" s="90">
        <f>BandO!$F18</f>
        <v>0</v>
      </c>
      <c r="P23" s="90">
        <f>PropTax!$F18</f>
        <v>0</v>
      </c>
      <c r="Q23" s="90">
        <f>UncollExp!$F18</f>
        <v>0</v>
      </c>
      <c r="R23" s="90">
        <f>RegExp!$F18</f>
        <v>0</v>
      </c>
      <c r="S23" s="90">
        <f>InjDam!$F18</f>
        <v>0</v>
      </c>
      <c r="T23" s="90">
        <f>FIT!$F18</f>
        <v>0</v>
      </c>
      <c r="U23" s="90">
        <f>GainsLosses!$F18</f>
        <v>0</v>
      </c>
      <c r="V23" s="90">
        <f>ElimAR!$F18</f>
        <v>0</v>
      </c>
      <c r="W23" s="90">
        <f>SubSpace!$F18</f>
        <v>0</v>
      </c>
      <c r="X23" s="90">
        <f>ExciseTax!$F18</f>
        <v>0</v>
      </c>
      <c r="Y23" s="90">
        <f>MiscReState!$F18</f>
        <v>0</v>
      </c>
      <c r="Z23" s="1197">
        <f>DebtInt!$F18</f>
        <v>0</v>
      </c>
      <c r="AA23" s="90"/>
      <c r="AB23" s="815">
        <f>SUM(M23:AA23)</f>
        <v>0</v>
      </c>
      <c r="AC23" s="90">
        <f>'PFNon-Exec'!$F18</f>
        <v>0</v>
      </c>
      <c r="AD23" s="90">
        <f>'PF-Exec'!$F18</f>
        <v>0</v>
      </c>
      <c r="AE23" s="1199">
        <f>PFJPStorage!F18</f>
        <v>0</v>
      </c>
      <c r="AF23" s="90">
        <f>PFCapx2008!$F18</f>
        <v>0</v>
      </c>
      <c r="AG23" s="90">
        <f>PFCapx2009!$F18</f>
        <v>0</v>
      </c>
      <c r="AH23" s="90">
        <f>PFAssetMgt!$F18</f>
        <v>0</v>
      </c>
      <c r="AI23" s="90">
        <f>PFIncentives!$F18</f>
        <v>0</v>
      </c>
      <c r="AJ23" s="90">
        <f>PFInfoServ!$F18</f>
        <v>0</v>
      </c>
      <c r="AK23" s="90">
        <f>PFEmpBen!$F18</f>
        <v>0</v>
      </c>
      <c r="AL23" s="90">
        <f>PFInsur!$F18</f>
        <v>0</v>
      </c>
      <c r="AM23" s="90">
        <f>'PFJP11-open'!$F18</f>
        <v>0</v>
      </c>
      <c r="AN23" s="90">
        <f>'PF12-Open'!$F18</f>
        <v>0</v>
      </c>
      <c r="AO23" s="90"/>
      <c r="AP23" s="815">
        <f>SUM(AB23:AO23)</f>
        <v>0</v>
      </c>
    </row>
    <row r="24" spans="1:42">
      <c r="A24" s="18">
        <v>9</v>
      </c>
      <c r="C24" s="20"/>
      <c r="D24" s="20"/>
      <c r="E24" s="20" t="s">
        <v>79</v>
      </c>
      <c r="F24" s="20">
        <f t="shared" ref="F24:T24" si="2">SUM(F20:F23)</f>
        <v>291196</v>
      </c>
      <c r="G24" s="20">
        <f t="shared" si="2"/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 t="shared" si="2"/>
        <v>291196</v>
      </c>
      <c r="N24" s="20">
        <f t="shared" si="2"/>
        <v>-133178</v>
      </c>
      <c r="O24" s="20">
        <f t="shared" si="2"/>
        <v>0</v>
      </c>
      <c r="P24" s="20">
        <f t="shared" si="2"/>
        <v>0</v>
      </c>
      <c r="Q24" s="20">
        <f t="shared" si="2"/>
        <v>0</v>
      </c>
      <c r="R24" s="20">
        <f t="shared" si="2"/>
        <v>0</v>
      </c>
      <c r="S24" s="20">
        <f t="shared" si="2"/>
        <v>0</v>
      </c>
      <c r="T24" s="20">
        <f t="shared" si="2"/>
        <v>0</v>
      </c>
      <c r="U24" s="20">
        <f>SUM(U20:U23)</f>
        <v>0</v>
      </c>
      <c r="V24" s="20">
        <f t="shared" ref="V24:AP24" si="3">SUM(V20:V23)</f>
        <v>0</v>
      </c>
      <c r="W24" s="20">
        <f t="shared" si="3"/>
        <v>0</v>
      </c>
      <c r="X24" s="20">
        <f t="shared" si="3"/>
        <v>0</v>
      </c>
      <c r="Y24" s="20">
        <f>SUM(Y20:Y23)</f>
        <v>0</v>
      </c>
      <c r="Z24" s="1198">
        <f>SUM(Z20:Z23)</f>
        <v>0</v>
      </c>
      <c r="AA24" s="20"/>
      <c r="AB24" s="20">
        <f t="shared" si="3"/>
        <v>158018</v>
      </c>
      <c r="AC24" s="20">
        <f>SUM(AC20:AC23)</f>
        <v>33</v>
      </c>
      <c r="AD24" s="20">
        <f>SUM(AD20:AD23)</f>
        <v>3</v>
      </c>
      <c r="AE24" s="20">
        <f>SUM(AE20:AE23)</f>
        <v>0</v>
      </c>
      <c r="AF24" s="20">
        <f t="shared" si="3"/>
        <v>0</v>
      </c>
      <c r="AG24" s="20">
        <f t="shared" si="3"/>
        <v>0</v>
      </c>
      <c r="AH24" s="20">
        <f>SUM(AH20:AH23)</f>
        <v>0</v>
      </c>
      <c r="AI24" s="20">
        <f t="shared" si="3"/>
        <v>0</v>
      </c>
      <c r="AJ24" s="20">
        <f t="shared" si="3"/>
        <v>0</v>
      </c>
      <c r="AK24" s="20">
        <f t="shared" si="3"/>
        <v>53</v>
      </c>
      <c r="AL24" s="20">
        <f t="shared" si="3"/>
        <v>0</v>
      </c>
      <c r="AM24" s="20">
        <f t="shared" si="3"/>
        <v>0</v>
      </c>
      <c r="AN24" s="20">
        <f t="shared" si="3"/>
        <v>0</v>
      </c>
      <c r="AO24" s="20"/>
      <c r="AP24" s="20">
        <f t="shared" si="3"/>
        <v>158107</v>
      </c>
    </row>
    <row r="25" spans="1:42">
      <c r="C25" s="20" t="s">
        <v>80</v>
      </c>
      <c r="D25" s="20"/>
      <c r="E25" s="20"/>
      <c r="F25" s="20"/>
      <c r="G25" s="89"/>
      <c r="H25" s="89"/>
      <c r="I25" s="89"/>
      <c r="J25" s="89"/>
      <c r="K25" s="89"/>
      <c r="L25" s="89"/>
      <c r="M25" s="20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1196"/>
      <c r="AA25" s="89"/>
      <c r="AB25" s="20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20"/>
    </row>
    <row r="26" spans="1:42">
      <c r="A26" s="18">
        <v>10</v>
      </c>
      <c r="C26" s="20"/>
      <c r="D26" s="20" t="s">
        <v>81</v>
      </c>
      <c r="E26" s="20"/>
      <c r="F26" s="20">
        <f>ResultSumGas!$F21</f>
        <v>408</v>
      </c>
      <c r="G26" s="89">
        <f>DFIT!$F21</f>
        <v>0</v>
      </c>
      <c r="H26" s="89">
        <f>BldGain!$F21</f>
        <v>0</v>
      </c>
      <c r="I26" s="89">
        <f>GasInv!$F21</f>
        <v>0</v>
      </c>
      <c r="J26" s="89">
        <f>WznDSM!$F21</f>
        <v>0</v>
      </c>
      <c r="K26" s="89">
        <f>CustAdv!$F21</f>
        <v>0</v>
      </c>
      <c r="L26" s="89">
        <f>'DeprTrue-up'!$F21</f>
        <v>0</v>
      </c>
      <c r="M26" s="20">
        <f>SUM(F26:L26)</f>
        <v>408</v>
      </c>
      <c r="N26" s="89">
        <f>WeatherGas!$F21</f>
        <v>0</v>
      </c>
      <c r="O26" s="89">
        <f>BandO!$F21</f>
        <v>0</v>
      </c>
      <c r="P26" s="89">
        <f>PropTax!$F21</f>
        <v>0</v>
      </c>
      <c r="Q26" s="89">
        <f>UncollExp!$F21</f>
        <v>0</v>
      </c>
      <c r="R26" s="89">
        <f>RegExp!$F21</f>
        <v>0</v>
      </c>
      <c r="S26" s="89">
        <f>InjDam!$F21</f>
        <v>0</v>
      </c>
      <c r="T26" s="89">
        <f>FIT!$F21</f>
        <v>0</v>
      </c>
      <c r="U26" s="89">
        <f>GainsLosses!$F21</f>
        <v>0</v>
      </c>
      <c r="V26" s="89">
        <f>ElimAR!$F21</f>
        <v>0</v>
      </c>
      <c r="W26" s="89">
        <f>SubSpace!$F21</f>
        <v>0</v>
      </c>
      <c r="X26" s="89">
        <f>ExciseTax!$F21</f>
        <v>0</v>
      </c>
      <c r="Y26" s="89">
        <f>MiscReState!$F21</f>
        <v>0</v>
      </c>
      <c r="Z26" s="1196">
        <f>DebtInt!$F21</f>
        <v>0</v>
      </c>
      <c r="AA26" s="89"/>
      <c r="AB26" s="20">
        <f>SUM(M26:AA26)</f>
        <v>408</v>
      </c>
      <c r="AC26" s="89">
        <f>'PFNon-Exec'!$F21</f>
        <v>1</v>
      </c>
      <c r="AD26" s="89">
        <f>'PF-Exec'!$F21</f>
        <v>0</v>
      </c>
      <c r="AE26" s="97">
        <f>PFJPStorage!F21</f>
        <v>0</v>
      </c>
      <c r="AF26" s="89">
        <f>PFCapx2008!$F21</f>
        <v>0</v>
      </c>
      <c r="AG26" s="89">
        <f>PFCapx2009!$F21</f>
        <v>0</v>
      </c>
      <c r="AH26" s="89">
        <f>PFAssetMgt!$F21</f>
        <v>0</v>
      </c>
      <c r="AI26" s="89">
        <f>PFIncentives!$F21</f>
        <v>0</v>
      </c>
      <c r="AJ26" s="89">
        <f>PFInfoServ!$F21</f>
        <v>0</v>
      </c>
      <c r="AK26" s="89">
        <f>PFEmpBen!$F21</f>
        <v>1</v>
      </c>
      <c r="AL26" s="89">
        <f>PFInsur!$F21</f>
        <v>0</v>
      </c>
      <c r="AM26" s="89">
        <f>'PFJP11-open'!$F21</f>
        <v>0</v>
      </c>
      <c r="AN26" s="89">
        <f>'PF12-Open'!$F21</f>
        <v>0</v>
      </c>
      <c r="AO26" s="89"/>
      <c r="AP26" s="20">
        <f>SUM(AB26:AO26)</f>
        <v>410</v>
      </c>
    </row>
    <row r="27" spans="1:42">
      <c r="A27" s="18">
        <v>11</v>
      </c>
      <c r="C27" s="20"/>
      <c r="D27" s="20" t="s">
        <v>82</v>
      </c>
      <c r="E27" s="20"/>
      <c r="F27" s="20">
        <f>ResultSumGas!$F22</f>
        <v>260</v>
      </c>
      <c r="G27" s="89">
        <f>DFIT!$F22</f>
        <v>0</v>
      </c>
      <c r="H27" s="89">
        <f>BldGain!$F22</f>
        <v>0</v>
      </c>
      <c r="I27" s="89">
        <f>GasInv!$F22</f>
        <v>0</v>
      </c>
      <c r="J27" s="89">
        <f>WznDSM!$F22</f>
        <v>0</v>
      </c>
      <c r="K27" s="89">
        <f>CustAdv!$F22</f>
        <v>0</v>
      </c>
      <c r="L27" s="89">
        <f>'DeprTrue-up'!$F22</f>
        <v>-15</v>
      </c>
      <c r="M27" s="20">
        <f>SUM(F27:L27)</f>
        <v>245</v>
      </c>
      <c r="N27" s="89">
        <f>WeatherGas!$F22</f>
        <v>0</v>
      </c>
      <c r="O27" s="89">
        <f>BandO!$F22</f>
        <v>0</v>
      </c>
      <c r="P27" s="89">
        <f>PropTax!$F22</f>
        <v>0</v>
      </c>
      <c r="Q27" s="89">
        <f>UncollExp!$F22</f>
        <v>0</v>
      </c>
      <c r="R27" s="89">
        <f>RegExp!$F22</f>
        <v>0</v>
      </c>
      <c r="S27" s="89">
        <f>InjDam!$F22</f>
        <v>0</v>
      </c>
      <c r="T27" s="89">
        <f>FIT!$F22</f>
        <v>0</v>
      </c>
      <c r="U27" s="89">
        <f>GainsLosses!$F22</f>
        <v>0</v>
      </c>
      <c r="V27" s="89">
        <f>ElimAR!$F22</f>
        <v>0</v>
      </c>
      <c r="W27" s="89">
        <f>SubSpace!$F22</f>
        <v>0</v>
      </c>
      <c r="X27" s="89">
        <f>ExciseTax!$F22</f>
        <v>0</v>
      </c>
      <c r="Y27" s="89">
        <f>MiscReState!$F22</f>
        <v>0</v>
      </c>
      <c r="Z27" s="1196">
        <f>DebtInt!$F22</f>
        <v>0</v>
      </c>
      <c r="AA27" s="89"/>
      <c r="AB27" s="20">
        <f>SUM(M27:AA27)</f>
        <v>245</v>
      </c>
      <c r="AC27" s="89">
        <f>'PFNon-Exec'!$F22</f>
        <v>0</v>
      </c>
      <c r="AD27" s="89">
        <f>'PF-Exec'!$F22</f>
        <v>0</v>
      </c>
      <c r="AE27" s="97">
        <f>PFJPStorage!F22</f>
        <v>155</v>
      </c>
      <c r="AF27" s="89">
        <f>PFCapx2008!$F22</f>
        <v>-107</v>
      </c>
      <c r="AG27" s="89">
        <f>PFCapx2009!$F22</f>
        <v>6</v>
      </c>
      <c r="AH27" s="89">
        <f>PFAssetMgt!$F22</f>
        <v>0</v>
      </c>
      <c r="AI27" s="89">
        <f>PFIncentives!$F22</f>
        <v>0</v>
      </c>
      <c r="AJ27" s="89">
        <f>PFInfoServ!$F22</f>
        <v>0</v>
      </c>
      <c r="AK27" s="89">
        <f>PFEmpBen!$F22</f>
        <v>0</v>
      </c>
      <c r="AL27" s="89">
        <f>PFInsur!$F22</f>
        <v>0</v>
      </c>
      <c r="AM27" s="89">
        <f>'PFJP11-open'!$F22</f>
        <v>0</v>
      </c>
      <c r="AN27" s="89">
        <f>'PF12-Open'!$F22</f>
        <v>0</v>
      </c>
      <c r="AO27" s="89"/>
      <c r="AP27" s="20">
        <f>SUM(AB27:AO27)</f>
        <v>299</v>
      </c>
    </row>
    <row r="28" spans="1:42">
      <c r="A28" s="18">
        <v>12</v>
      </c>
      <c r="C28" s="20"/>
      <c r="D28" s="20" t="s">
        <v>37</v>
      </c>
      <c r="E28" s="20"/>
      <c r="F28" s="815">
        <f>ResultSumGas!$F23</f>
        <v>113</v>
      </c>
      <c r="G28" s="90">
        <f>DFIT!$F23</f>
        <v>0</v>
      </c>
      <c r="H28" s="90">
        <f>BldGain!$F23</f>
        <v>0</v>
      </c>
      <c r="I28" s="90">
        <f>GasInv!$F23</f>
        <v>0</v>
      </c>
      <c r="J28" s="90">
        <f>WznDSM!$F23</f>
        <v>0</v>
      </c>
      <c r="K28" s="90">
        <f>CustAdv!$F23</f>
        <v>0</v>
      </c>
      <c r="L28" s="90">
        <f>'DeprTrue-up'!$F23</f>
        <v>0</v>
      </c>
      <c r="M28" s="815">
        <f>SUM(F28:L28)</f>
        <v>113</v>
      </c>
      <c r="N28" s="90">
        <f>WeatherGas!$F23</f>
        <v>0</v>
      </c>
      <c r="O28" s="90">
        <f>BandO!$F23</f>
        <v>0</v>
      </c>
      <c r="P28" s="90">
        <f>PropTax!$F23</f>
        <v>-16</v>
      </c>
      <c r="Q28" s="90">
        <f>UncollExp!$F23</f>
        <v>0</v>
      </c>
      <c r="R28" s="90">
        <f>RegExp!$F23</f>
        <v>0</v>
      </c>
      <c r="S28" s="90">
        <f>InjDam!$F23</f>
        <v>0</v>
      </c>
      <c r="T28" s="90">
        <f>FIT!$F23</f>
        <v>0</v>
      </c>
      <c r="U28" s="90">
        <f>GainsLosses!$F23</f>
        <v>0</v>
      </c>
      <c r="V28" s="90">
        <f>ElimAR!$F23</f>
        <v>0</v>
      </c>
      <c r="W28" s="90">
        <f>SubSpace!$F23</f>
        <v>0</v>
      </c>
      <c r="X28" s="90">
        <f>ExciseTax!$F23</f>
        <v>0</v>
      </c>
      <c r="Y28" s="90">
        <f>MiscReState!$F23</f>
        <v>0</v>
      </c>
      <c r="Z28" s="1197">
        <f>DebtInt!$F23</f>
        <v>0</v>
      </c>
      <c r="AA28" s="90"/>
      <c r="AB28" s="815">
        <f>SUM(M28:AA28)</f>
        <v>97</v>
      </c>
      <c r="AC28" s="90">
        <f>'PFNon-Exec'!$F23</f>
        <v>0</v>
      </c>
      <c r="AD28" s="90">
        <f>'PF-Exec'!$F23</f>
        <v>0</v>
      </c>
      <c r="AE28" s="1199">
        <f>PFJPStorage!F23</f>
        <v>129</v>
      </c>
      <c r="AF28" s="90">
        <f>PFCapx2008!$F23</f>
        <v>0</v>
      </c>
      <c r="AG28" s="90">
        <f>PFCapx2009!$F23</f>
        <v>2</v>
      </c>
      <c r="AH28" s="90">
        <f>PFAssetMgt!$F23</f>
        <v>0</v>
      </c>
      <c r="AI28" s="90">
        <f>PFIncentives!$F23</f>
        <v>0</v>
      </c>
      <c r="AJ28" s="90">
        <f>PFInfoServ!$F23</f>
        <v>0</v>
      </c>
      <c r="AK28" s="90">
        <f>PFEmpBen!$F23</f>
        <v>0</v>
      </c>
      <c r="AL28" s="90">
        <f>PFInsur!$F23</f>
        <v>0</v>
      </c>
      <c r="AM28" s="90">
        <f>'PFJP11-open'!$F23</f>
        <v>0</v>
      </c>
      <c r="AN28" s="90">
        <f>'PF12-Open'!$F23</f>
        <v>0</v>
      </c>
      <c r="AO28" s="90"/>
      <c r="AP28" s="815">
        <f>SUM(AB28:AO28)</f>
        <v>228</v>
      </c>
    </row>
    <row r="29" spans="1:42">
      <c r="A29" s="18">
        <v>13</v>
      </c>
      <c r="C29" s="20"/>
      <c r="D29" s="20"/>
      <c r="E29" s="20" t="s">
        <v>83</v>
      </c>
      <c r="F29" s="20">
        <f t="shared" ref="F29:T29" si="4">SUM(F26:F28)</f>
        <v>781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 t="shared" si="4"/>
        <v>0</v>
      </c>
      <c r="L29" s="20">
        <f t="shared" si="4"/>
        <v>-15</v>
      </c>
      <c r="M29" s="20">
        <f t="shared" si="4"/>
        <v>766</v>
      </c>
      <c r="N29" s="20">
        <f t="shared" si="4"/>
        <v>0</v>
      </c>
      <c r="O29" s="20">
        <f t="shared" si="4"/>
        <v>0</v>
      </c>
      <c r="P29" s="20">
        <f t="shared" si="4"/>
        <v>-16</v>
      </c>
      <c r="Q29" s="20">
        <f t="shared" si="4"/>
        <v>0</v>
      </c>
      <c r="R29" s="20">
        <f t="shared" si="4"/>
        <v>0</v>
      </c>
      <c r="S29" s="20">
        <f t="shared" si="4"/>
        <v>0</v>
      </c>
      <c r="T29" s="20">
        <f t="shared" si="4"/>
        <v>0</v>
      </c>
      <c r="U29" s="20">
        <f>SUM(U26:U28)</f>
        <v>0</v>
      </c>
      <c r="V29" s="20">
        <f t="shared" ref="V29:AP29" si="5">SUM(V26:V28)</f>
        <v>0</v>
      </c>
      <c r="W29" s="20">
        <f t="shared" si="5"/>
        <v>0</v>
      </c>
      <c r="X29" s="20">
        <f t="shared" si="5"/>
        <v>0</v>
      </c>
      <c r="Y29" s="20">
        <f>SUM(Y26:Y28)</f>
        <v>0</v>
      </c>
      <c r="Z29" s="1198">
        <f>SUM(Z26:Z28)</f>
        <v>0</v>
      </c>
      <c r="AA29" s="20"/>
      <c r="AB29" s="20">
        <f t="shared" si="5"/>
        <v>750</v>
      </c>
      <c r="AC29" s="20">
        <f>SUM(AC26:AC28)</f>
        <v>1</v>
      </c>
      <c r="AD29" s="20">
        <f>SUM(AD26:AD28)</f>
        <v>0</v>
      </c>
      <c r="AE29" s="20">
        <f>SUM(AE26:AE28)</f>
        <v>284</v>
      </c>
      <c r="AF29" s="20">
        <f t="shared" si="5"/>
        <v>-107</v>
      </c>
      <c r="AG29" s="20">
        <f t="shared" si="5"/>
        <v>8</v>
      </c>
      <c r="AH29" s="20">
        <f>SUM(AH26:AH28)</f>
        <v>0</v>
      </c>
      <c r="AI29" s="20">
        <f t="shared" si="5"/>
        <v>0</v>
      </c>
      <c r="AJ29" s="20">
        <f t="shared" si="5"/>
        <v>0</v>
      </c>
      <c r="AK29" s="20">
        <f t="shared" si="5"/>
        <v>1</v>
      </c>
      <c r="AL29" s="20">
        <f t="shared" si="5"/>
        <v>0</v>
      </c>
      <c r="AM29" s="20">
        <f t="shared" si="5"/>
        <v>0</v>
      </c>
      <c r="AN29" s="20">
        <f t="shared" si="5"/>
        <v>0</v>
      </c>
      <c r="AO29" s="20"/>
      <c r="AP29" s="20">
        <f t="shared" si="5"/>
        <v>937</v>
      </c>
    </row>
    <row r="30" spans="1:42">
      <c r="C30" s="20" t="s">
        <v>84</v>
      </c>
      <c r="D30" s="20"/>
      <c r="E30" s="20"/>
      <c r="F30" s="20"/>
      <c r="G30" s="89"/>
      <c r="H30" s="89"/>
      <c r="I30" s="89"/>
      <c r="J30" s="89"/>
      <c r="K30" s="89"/>
      <c r="L30" s="89"/>
      <c r="M30" s="20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196"/>
      <c r="AA30" s="89"/>
      <c r="AB30" s="20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20"/>
    </row>
    <row r="31" spans="1:42">
      <c r="A31" s="18">
        <v>14</v>
      </c>
      <c r="C31" s="20"/>
      <c r="D31" s="20" t="s">
        <v>81</v>
      </c>
      <c r="E31" s="20"/>
      <c r="F31" s="20">
        <f>ResultSumGas!$F26</f>
        <v>6260</v>
      </c>
      <c r="G31" s="89">
        <f>DFIT!$F26</f>
        <v>0</v>
      </c>
      <c r="H31" s="89">
        <f>BldGain!$F26</f>
        <v>0</v>
      </c>
      <c r="I31" s="89">
        <f>GasInv!$F26</f>
        <v>0</v>
      </c>
      <c r="J31" s="89">
        <f>WznDSM!$F26</f>
        <v>0</v>
      </c>
      <c r="K31" s="89">
        <f>CustAdv!$F26</f>
        <v>0</v>
      </c>
      <c r="L31" s="89">
        <f>'DeprTrue-up'!$F26</f>
        <v>0</v>
      </c>
      <c r="M31" s="20">
        <f>SUM(F31:L31)</f>
        <v>6260</v>
      </c>
      <c r="N31" s="89">
        <f>WeatherGas!$F26</f>
        <v>0</v>
      </c>
      <c r="O31" s="89">
        <f>BandO!$F26</f>
        <v>0</v>
      </c>
      <c r="P31" s="89">
        <f>PropTax!$F26</f>
        <v>0</v>
      </c>
      <c r="Q31" s="89">
        <f>UncollExp!$F26</f>
        <v>0</v>
      </c>
      <c r="R31" s="89">
        <f>RegExp!$F26</f>
        <v>0</v>
      </c>
      <c r="S31" s="89">
        <f>InjDam!$F26</f>
        <v>0</v>
      </c>
      <c r="T31" s="89">
        <f>FIT!$F26</f>
        <v>0</v>
      </c>
      <c r="U31" s="89">
        <f>GainsLosses!$F26</f>
        <v>0</v>
      </c>
      <c r="V31" s="89">
        <f>ElimAR!$F26</f>
        <v>0</v>
      </c>
      <c r="W31" s="89">
        <f>SubSpace!$F26</f>
        <v>0</v>
      </c>
      <c r="X31" s="89">
        <f>ExciseTax!$F26</f>
        <v>0</v>
      </c>
      <c r="Y31" s="89">
        <f>MiscReState!$F26</f>
        <v>0</v>
      </c>
      <c r="Z31" s="1196">
        <f>DebtInt!$F26</f>
        <v>0</v>
      </c>
      <c r="AA31" s="89"/>
      <c r="AB31" s="20">
        <f>SUM(M31:AA31)</f>
        <v>6260</v>
      </c>
      <c r="AC31" s="89">
        <f>'PFNon-Exec'!$F26</f>
        <v>329</v>
      </c>
      <c r="AD31" s="89">
        <f>'PF-Exec'!$F26</f>
        <v>0</v>
      </c>
      <c r="AE31" s="97">
        <f>PFJPStorage!F26</f>
        <v>0</v>
      </c>
      <c r="AF31" s="89">
        <f>PFCapx2008!$F26</f>
        <v>0</v>
      </c>
      <c r="AG31" s="89">
        <f>PFCapx2009!$F26</f>
        <v>0</v>
      </c>
      <c r="AH31" s="89">
        <f>PFAssetMgt!$F26</f>
        <v>88</v>
      </c>
      <c r="AI31" s="89">
        <f>PFIncentives!$F26</f>
        <v>0</v>
      </c>
      <c r="AJ31" s="89">
        <f>PFInfoServ!$F26</f>
        <v>0</v>
      </c>
      <c r="AK31" s="89">
        <f>PFEmpBen!$F26</f>
        <v>304</v>
      </c>
      <c r="AL31" s="89">
        <f>PFInsur!$F26</f>
        <v>0</v>
      </c>
      <c r="AM31" s="89">
        <f>'PFJP11-open'!$F26</f>
        <v>0</v>
      </c>
      <c r="AN31" s="89">
        <f>'PF12-Open'!$F26</f>
        <v>0</v>
      </c>
      <c r="AO31" s="89"/>
      <c r="AP31" s="20">
        <f>SUM(AB31:AO31)</f>
        <v>6981</v>
      </c>
    </row>
    <row r="32" spans="1:42">
      <c r="A32" s="18">
        <v>15</v>
      </c>
      <c r="C32" s="20"/>
      <c r="D32" s="20" t="s">
        <v>82</v>
      </c>
      <c r="E32" s="20"/>
      <c r="F32" s="20">
        <f>ResultSumGas!$F27</f>
        <v>5659</v>
      </c>
      <c r="G32" s="89">
        <f>DFIT!$F27</f>
        <v>0</v>
      </c>
      <c r="H32" s="89">
        <f>BldGain!$F27</f>
        <v>0</v>
      </c>
      <c r="I32" s="89">
        <f>GasInv!$F27</f>
        <v>0</v>
      </c>
      <c r="J32" s="89">
        <f>WznDSM!$F27</f>
        <v>0</v>
      </c>
      <c r="K32" s="89">
        <f>CustAdv!$F27</f>
        <v>0</v>
      </c>
      <c r="L32" s="89">
        <f>'DeprTrue-up'!$F27</f>
        <v>-53</v>
      </c>
      <c r="M32" s="20">
        <f>SUM(F32:L32)</f>
        <v>5606</v>
      </c>
      <c r="N32" s="89">
        <f>WeatherGas!$F27</f>
        <v>0</v>
      </c>
      <c r="O32" s="89">
        <f>BandO!$F27</f>
        <v>0</v>
      </c>
      <c r="P32" s="89">
        <f>PropTax!$F27</f>
        <v>0</v>
      </c>
      <c r="Q32" s="89">
        <f>UncollExp!$F27</f>
        <v>0</v>
      </c>
      <c r="R32" s="89">
        <f>RegExp!$F27</f>
        <v>0</v>
      </c>
      <c r="S32" s="89">
        <f>InjDam!$F27</f>
        <v>0</v>
      </c>
      <c r="T32" s="89">
        <f>FIT!$F27</f>
        <v>0</v>
      </c>
      <c r="U32" s="89">
        <f>GainsLosses!$F27</f>
        <v>-13</v>
      </c>
      <c r="V32" s="89">
        <f>ElimAR!$F27</f>
        <v>0</v>
      </c>
      <c r="W32" s="89">
        <f>SubSpace!$F27</f>
        <v>0</v>
      </c>
      <c r="X32" s="89">
        <f>ExciseTax!$F27</f>
        <v>0</v>
      </c>
      <c r="Y32" s="89">
        <f>MiscReState!$F27</f>
        <v>0</v>
      </c>
      <c r="Z32" s="1196">
        <f>DebtInt!$F27</f>
        <v>0</v>
      </c>
      <c r="AA32" s="89"/>
      <c r="AB32" s="20">
        <f>SUM(M32:AA32)</f>
        <v>5593</v>
      </c>
      <c r="AC32" s="89">
        <f>'PFNon-Exec'!$F27</f>
        <v>0</v>
      </c>
      <c r="AD32" s="89">
        <f>'PF-Exec'!$F27</f>
        <v>0</v>
      </c>
      <c r="AE32" s="97">
        <f>PFJPStorage!F27</f>
        <v>0</v>
      </c>
      <c r="AF32" s="89">
        <f>PFCapx2008!$F27</f>
        <v>-564</v>
      </c>
      <c r="AG32" s="89">
        <f>PFCapx2009!$F27</f>
        <v>226</v>
      </c>
      <c r="AH32" s="89">
        <f>PFAssetMgt!$F27</f>
        <v>0</v>
      </c>
      <c r="AI32" s="89">
        <f>PFIncentives!$F27</f>
        <v>0</v>
      </c>
      <c r="AJ32" s="89">
        <f>PFInfoServ!$F27</f>
        <v>0</v>
      </c>
      <c r="AK32" s="89">
        <f>PFEmpBen!$F27</f>
        <v>0</v>
      </c>
      <c r="AL32" s="89">
        <f>PFInsur!$F27</f>
        <v>0</v>
      </c>
      <c r="AM32" s="89">
        <f>'PFJP11-open'!$F27</f>
        <v>0</v>
      </c>
      <c r="AN32" s="89">
        <f>'PF12-Open'!$F27</f>
        <v>0</v>
      </c>
      <c r="AO32" s="89"/>
      <c r="AP32" s="20">
        <f>SUM(AB32:AO32)</f>
        <v>5255</v>
      </c>
    </row>
    <row r="33" spans="1:42">
      <c r="A33" s="18">
        <v>16</v>
      </c>
      <c r="C33" s="20"/>
      <c r="D33" s="20" t="s">
        <v>37</v>
      </c>
      <c r="E33" s="20"/>
      <c r="F33" s="815">
        <f>ResultSumGas!$F28</f>
        <v>18282</v>
      </c>
      <c r="G33" s="90">
        <f>DFIT!$F28</f>
        <v>0</v>
      </c>
      <c r="H33" s="90">
        <f>BldGain!$F28</f>
        <v>0</v>
      </c>
      <c r="I33" s="90">
        <f>GasInv!$F28</f>
        <v>0</v>
      </c>
      <c r="J33" s="90">
        <f>WznDSM!$F28</f>
        <v>0</v>
      </c>
      <c r="K33" s="90">
        <f>CustAdv!$F28</f>
        <v>0</v>
      </c>
      <c r="L33" s="90">
        <f>'DeprTrue-up'!$F28</f>
        <v>0</v>
      </c>
      <c r="M33" s="815">
        <f>SUM(F33:L33)</f>
        <v>18282</v>
      </c>
      <c r="N33" s="90">
        <f>WeatherGas!$F28</f>
        <v>67</v>
      </c>
      <c r="O33" s="90">
        <f>BandO!$F28</f>
        <v>-7908</v>
      </c>
      <c r="P33" s="90">
        <f>PropTax!$F28</f>
        <v>-280</v>
      </c>
      <c r="Q33" s="90">
        <f>UncollExp!$F28</f>
        <v>0</v>
      </c>
      <c r="R33" s="90">
        <f>RegExp!$F28</f>
        <v>0</v>
      </c>
      <c r="S33" s="90">
        <f>InjDam!$F28</f>
        <v>0</v>
      </c>
      <c r="T33" s="90">
        <f>FIT!$F28</f>
        <v>0</v>
      </c>
      <c r="U33" s="90">
        <f>GainsLosses!$F28</f>
        <v>0</v>
      </c>
      <c r="V33" s="90">
        <f>ElimAR!$F28</f>
        <v>0</v>
      </c>
      <c r="W33" s="90">
        <f>SubSpace!$F28</f>
        <v>0</v>
      </c>
      <c r="X33" s="90">
        <f>ExciseTax!$F28</f>
        <v>79</v>
      </c>
      <c r="Y33" s="90">
        <f>MiscReState!$F28</f>
        <v>0</v>
      </c>
      <c r="Z33" s="1197">
        <f>DebtInt!$F28</f>
        <v>0</v>
      </c>
      <c r="AA33" s="90"/>
      <c r="AB33" s="815">
        <f>SUM(M33:AA33)</f>
        <v>10240</v>
      </c>
      <c r="AC33" s="90">
        <f>'PFNon-Exec'!$F28</f>
        <v>0</v>
      </c>
      <c r="AD33" s="90">
        <f>'PF-Exec'!$F28</f>
        <v>0</v>
      </c>
      <c r="AE33" s="1199">
        <f>PFJPStorage!F28</f>
        <v>-98</v>
      </c>
      <c r="AF33" s="90">
        <f>PFCapx2008!$F28</f>
        <v>0</v>
      </c>
      <c r="AG33" s="90">
        <f>PFCapx2009!$F28</f>
        <v>153</v>
      </c>
      <c r="AH33" s="90">
        <f>PFAssetMgt!$F28</f>
        <v>0</v>
      </c>
      <c r="AI33" s="90">
        <f>PFIncentives!$F28</f>
        <v>0</v>
      </c>
      <c r="AJ33" s="90">
        <f>PFInfoServ!$F28</f>
        <v>0</v>
      </c>
      <c r="AK33" s="90">
        <f>PFEmpBen!$F28</f>
        <v>0</v>
      </c>
      <c r="AL33" s="90">
        <f>PFInsur!$F28</f>
        <v>0</v>
      </c>
      <c r="AM33" s="90">
        <f>'PFJP11-open'!$F28</f>
        <v>0</v>
      </c>
      <c r="AN33" s="90">
        <f>'PF12-Open'!$F28</f>
        <v>0</v>
      </c>
      <c r="AO33" s="90"/>
      <c r="AP33" s="815">
        <f>SUM(AB33:AO33)</f>
        <v>10295</v>
      </c>
    </row>
    <row r="34" spans="1:42" ht="12.95" customHeight="1">
      <c r="A34" s="18">
        <v>17</v>
      </c>
      <c r="C34" s="20"/>
      <c r="D34" s="20"/>
      <c r="E34" s="20" t="s">
        <v>85</v>
      </c>
      <c r="F34" s="20">
        <f t="shared" ref="F34:T34" si="6">SUM(F31:F33)</f>
        <v>30201</v>
      </c>
      <c r="G34" s="20">
        <f t="shared" si="6"/>
        <v>0</v>
      </c>
      <c r="H34" s="20">
        <f t="shared" si="6"/>
        <v>0</v>
      </c>
      <c r="I34" s="20">
        <f t="shared" si="6"/>
        <v>0</v>
      </c>
      <c r="J34" s="20">
        <f t="shared" si="6"/>
        <v>0</v>
      </c>
      <c r="K34" s="20">
        <f t="shared" si="6"/>
        <v>0</v>
      </c>
      <c r="L34" s="20">
        <f t="shared" si="6"/>
        <v>-53</v>
      </c>
      <c r="M34" s="20">
        <f t="shared" si="6"/>
        <v>30148</v>
      </c>
      <c r="N34" s="20">
        <f t="shared" si="6"/>
        <v>67</v>
      </c>
      <c r="O34" s="20">
        <f t="shared" si="6"/>
        <v>-7908</v>
      </c>
      <c r="P34" s="20">
        <f t="shared" si="6"/>
        <v>-280</v>
      </c>
      <c r="Q34" s="20">
        <f t="shared" si="6"/>
        <v>0</v>
      </c>
      <c r="R34" s="20">
        <f t="shared" si="6"/>
        <v>0</v>
      </c>
      <c r="S34" s="20">
        <f t="shared" si="6"/>
        <v>0</v>
      </c>
      <c r="T34" s="20">
        <f t="shared" si="6"/>
        <v>0</v>
      </c>
      <c r="U34" s="20">
        <f t="shared" ref="U34:Z34" si="7">SUM(U31:U33)</f>
        <v>-13</v>
      </c>
      <c r="V34" s="20">
        <f t="shared" si="7"/>
        <v>0</v>
      </c>
      <c r="W34" s="20">
        <f t="shared" si="7"/>
        <v>0</v>
      </c>
      <c r="X34" s="20">
        <f t="shared" si="7"/>
        <v>79</v>
      </c>
      <c r="Y34" s="20">
        <f t="shared" si="7"/>
        <v>0</v>
      </c>
      <c r="Z34" s="1198">
        <f t="shared" si="7"/>
        <v>0</v>
      </c>
      <c r="AA34" s="20"/>
      <c r="AB34" s="20">
        <f t="shared" ref="AB34:AN34" si="8">SUM(AB31:AB33)</f>
        <v>22093</v>
      </c>
      <c r="AC34" s="20">
        <f t="shared" si="8"/>
        <v>329</v>
      </c>
      <c r="AD34" s="20">
        <f t="shared" si="8"/>
        <v>0</v>
      </c>
      <c r="AE34" s="20">
        <f>SUM(AE31:AE33)</f>
        <v>-98</v>
      </c>
      <c r="AF34" s="20">
        <f t="shared" si="8"/>
        <v>-564</v>
      </c>
      <c r="AG34" s="20">
        <f t="shared" si="8"/>
        <v>379</v>
      </c>
      <c r="AH34" s="20">
        <f>SUM(AH31:AH33)</f>
        <v>88</v>
      </c>
      <c r="AI34" s="20">
        <f t="shared" si="8"/>
        <v>0</v>
      </c>
      <c r="AJ34" s="20">
        <f t="shared" si="8"/>
        <v>0</v>
      </c>
      <c r="AK34" s="20">
        <f t="shared" si="8"/>
        <v>304</v>
      </c>
      <c r="AL34" s="20">
        <f t="shared" si="8"/>
        <v>0</v>
      </c>
      <c r="AM34" s="20">
        <f t="shared" si="8"/>
        <v>0</v>
      </c>
      <c r="AN34" s="20">
        <f t="shared" si="8"/>
        <v>0</v>
      </c>
      <c r="AO34" s="20"/>
      <c r="AP34" s="20">
        <f>SUM(AP31:AP33)</f>
        <v>22531</v>
      </c>
    </row>
    <row r="35" spans="1:42" ht="12.95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1198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2.95" customHeight="1">
      <c r="A36" s="18">
        <v>18</v>
      </c>
      <c r="B36" s="2" t="s">
        <v>86</v>
      </c>
      <c r="C36" s="20"/>
      <c r="D36" s="20"/>
      <c r="E36" s="20"/>
      <c r="F36" s="20">
        <f>ResultSumGas!$F31</f>
        <v>4884</v>
      </c>
      <c r="G36" s="92">
        <f>DFIT!$F31</f>
        <v>0</v>
      </c>
      <c r="H36" s="92">
        <f>BldGain!$F31</f>
        <v>0</v>
      </c>
      <c r="I36" s="20">
        <f>GasInv!$F31</f>
        <v>0</v>
      </c>
      <c r="J36" s="20">
        <f>WznDSM!$F31</f>
        <v>0</v>
      </c>
      <c r="K36" s="92">
        <f>CustAdv!$F31</f>
        <v>0</v>
      </c>
      <c r="L36" s="92">
        <f>'DeprTrue-up'!$F31</f>
        <v>0</v>
      </c>
      <c r="M36" s="20">
        <f>SUM(F36:L36)</f>
        <v>4884</v>
      </c>
      <c r="N36" s="20">
        <f>WeatherGas!$F31</f>
        <v>5</v>
      </c>
      <c r="O36" s="20">
        <f>BandO!$F31</f>
        <v>0</v>
      </c>
      <c r="P36" s="20"/>
      <c r="Q36" s="20">
        <f>UncollExp!$F31</f>
        <v>-143</v>
      </c>
      <c r="R36" s="20">
        <f>RegExp!$F31</f>
        <v>0</v>
      </c>
      <c r="S36" s="92">
        <f>InjDam!$F31</f>
        <v>0</v>
      </c>
      <c r="T36" s="92">
        <f>FIT!$F31</f>
        <v>0</v>
      </c>
      <c r="U36" s="20">
        <f>GainsLosses!$F31</f>
        <v>0</v>
      </c>
      <c r="V36" s="20">
        <f>ElimAR!$F31</f>
        <v>-85</v>
      </c>
      <c r="W36" s="20">
        <f>SubSpace!$F31</f>
        <v>0</v>
      </c>
      <c r="X36" s="20">
        <f>ExciseTax!$F31</f>
        <v>0</v>
      </c>
      <c r="Y36" s="92">
        <f>MiscReState!$F31</f>
        <v>0</v>
      </c>
      <c r="Z36" s="1200">
        <f>DebtInt!$F31</f>
        <v>0</v>
      </c>
      <c r="AA36" s="20"/>
      <c r="AB36" s="20">
        <f>SUM(M36:AA36)</f>
        <v>4661</v>
      </c>
      <c r="AC36" s="92">
        <f>'PFNon-Exec'!$F31</f>
        <v>205</v>
      </c>
      <c r="AD36" s="92">
        <f>'PF-Exec'!$F31</f>
        <v>0</v>
      </c>
      <c r="AE36" s="97">
        <f>PFJPStorage!F31</f>
        <v>-7</v>
      </c>
      <c r="AF36" s="92">
        <f>PFCapx2008!$F31</f>
        <v>0</v>
      </c>
      <c r="AG36" s="20">
        <f>PFCapx2009!$F31</f>
        <v>0</v>
      </c>
      <c r="AH36" s="20">
        <f>PFAssetMgt!$F31</f>
        <v>0</v>
      </c>
      <c r="AI36" s="20">
        <f>PFIncentives!$F31</f>
        <v>0</v>
      </c>
      <c r="AJ36" s="20">
        <f>PFInfoServ!$F31</f>
        <v>0</v>
      </c>
      <c r="AK36" s="20">
        <f>PFEmpBen!$F31</f>
        <v>194</v>
      </c>
      <c r="AL36" s="20">
        <f>PFInsur!$F31</f>
        <v>0</v>
      </c>
      <c r="AM36" s="20">
        <f>'PFJP11-open'!$F31</f>
        <v>0</v>
      </c>
      <c r="AN36" s="20">
        <f>'PF12-Open'!$F31</f>
        <v>0</v>
      </c>
      <c r="AO36" s="92"/>
      <c r="AP36" s="20">
        <f>SUM(AB36:AO36)</f>
        <v>5053</v>
      </c>
    </row>
    <row r="37" spans="1:42">
      <c r="A37" s="18">
        <v>19</v>
      </c>
      <c r="B37" s="2" t="s">
        <v>87</v>
      </c>
      <c r="C37" s="20"/>
      <c r="D37" s="20"/>
      <c r="E37" s="20"/>
      <c r="F37" s="20">
        <f>ResultSumGas!$F32</f>
        <v>5002</v>
      </c>
      <c r="G37" s="89">
        <f>DFIT!$F32</f>
        <v>0</v>
      </c>
      <c r="H37" s="89">
        <f>BldGain!$F32</f>
        <v>0</v>
      </c>
      <c r="I37" s="89">
        <f>GasInv!$F32</f>
        <v>0</v>
      </c>
      <c r="J37" s="89">
        <f>WznDSM!$F32</f>
        <v>0</v>
      </c>
      <c r="K37" s="89">
        <f>CustAdv!$F32</f>
        <v>0</v>
      </c>
      <c r="L37" s="89">
        <f>'DeprTrue-up'!$F32</f>
        <v>0</v>
      </c>
      <c r="M37" s="20">
        <f>SUM(F37:L37)</f>
        <v>5002</v>
      </c>
      <c r="N37" s="89">
        <f>WeatherGas!$F32</f>
        <v>-4270</v>
      </c>
      <c r="O37" s="89">
        <f>BandO!$F32</f>
        <v>0</v>
      </c>
      <c r="P37" s="89">
        <f>PropTax!$F32</f>
        <v>0</v>
      </c>
      <c r="Q37" s="89">
        <f>UncollExp!$F32</f>
        <v>0</v>
      </c>
      <c r="R37" s="89">
        <f>RegExp!$F32</f>
        <v>0</v>
      </c>
      <c r="S37" s="89">
        <f>InjDam!$F32</f>
        <v>0</v>
      </c>
      <c r="T37" s="89">
        <f>FIT!$F32</f>
        <v>0</v>
      </c>
      <c r="U37" s="89">
        <f>GainsLosses!$F32</f>
        <v>0</v>
      </c>
      <c r="V37" s="89">
        <f>ElimAR!$F32</f>
        <v>0</v>
      </c>
      <c r="W37" s="89">
        <f>SubSpace!$F32</f>
        <v>0</v>
      </c>
      <c r="X37" s="89">
        <f>ExciseTax!$F32</f>
        <v>0</v>
      </c>
      <c r="Y37" s="89">
        <f>MiscReState!$F32</f>
        <v>0</v>
      </c>
      <c r="Z37" s="1196">
        <f>DebtInt!$F32</f>
        <v>0</v>
      </c>
      <c r="AA37" s="89"/>
      <c r="AB37" s="20">
        <f>SUM(M37:AA37)</f>
        <v>732</v>
      </c>
      <c r="AC37" s="89">
        <f>'PFNon-Exec'!$F32</f>
        <v>12</v>
      </c>
      <c r="AD37" s="89">
        <f>'PF-Exec'!$F32</f>
        <v>0</v>
      </c>
      <c r="AE37" s="97">
        <f>PFJPStorage!F32</f>
        <v>0</v>
      </c>
      <c r="AF37" s="89">
        <f>PFCapx2008!$F32</f>
        <v>0</v>
      </c>
      <c r="AG37" s="89">
        <f>PFCapx2009!$F32</f>
        <v>0</v>
      </c>
      <c r="AH37" s="89">
        <f>PFAssetMgt!$F32</f>
        <v>0</v>
      </c>
      <c r="AI37" s="89">
        <f>PFIncentives!$F32</f>
        <v>0</v>
      </c>
      <c r="AJ37" s="89">
        <f>PFInfoServ!$F32</f>
        <v>0</v>
      </c>
      <c r="AK37" s="89">
        <f>PFEmpBen!$F32</f>
        <v>12</v>
      </c>
      <c r="AL37" s="89">
        <f>PFInsur!$F32</f>
        <v>0</v>
      </c>
      <c r="AM37" s="89">
        <f>'PFJP11-open'!$F32</f>
        <v>0</v>
      </c>
      <c r="AN37" s="89">
        <f>'PF12-Open'!$F32</f>
        <v>0</v>
      </c>
      <c r="AO37" s="89"/>
      <c r="AP37" s="20">
        <f>SUM(AB37:AO37)</f>
        <v>756</v>
      </c>
    </row>
    <row r="38" spans="1:42">
      <c r="A38" s="18">
        <v>20</v>
      </c>
      <c r="B38" s="2" t="s">
        <v>88</v>
      </c>
      <c r="C38" s="20"/>
      <c r="D38" s="20"/>
      <c r="E38" s="20"/>
      <c r="F38" s="20">
        <f>ResultSumGas!$F33</f>
        <v>545</v>
      </c>
      <c r="G38" s="89">
        <f>DFIT!$F33</f>
        <v>0</v>
      </c>
      <c r="H38" s="89">
        <f>BldGain!$F33</f>
        <v>0</v>
      </c>
      <c r="I38" s="89">
        <f>GasInv!$F33</f>
        <v>0</v>
      </c>
      <c r="J38" s="89">
        <f>WznDSM!$F33</f>
        <v>0</v>
      </c>
      <c r="K38" s="89">
        <f>CustAdv!$F33</f>
        <v>0</v>
      </c>
      <c r="L38" s="89">
        <f>'DeprTrue-up'!$F33</f>
        <v>0</v>
      </c>
      <c r="M38" s="20">
        <f>SUM(F38:L38)</f>
        <v>545</v>
      </c>
      <c r="N38" s="89">
        <f>WeatherGas!$F33</f>
        <v>0</v>
      </c>
      <c r="O38" s="89">
        <f>BandO!$F33</f>
        <v>0</v>
      </c>
      <c r="P38" s="89">
        <f>PropTax!$F33</f>
        <v>0</v>
      </c>
      <c r="Q38" s="89">
        <f>UncollExp!$F33</f>
        <v>0</v>
      </c>
      <c r="R38" s="89">
        <f>RegExp!$F33</f>
        <v>0</v>
      </c>
      <c r="S38" s="89">
        <f>InjDam!$F33</f>
        <v>0</v>
      </c>
      <c r="T38" s="89">
        <f>FIT!$F33</f>
        <v>0</v>
      </c>
      <c r="U38" s="89">
        <f>GainsLosses!$F33</f>
        <v>0</v>
      </c>
      <c r="V38" s="89">
        <f>ElimAR!$F33</f>
        <v>0</v>
      </c>
      <c r="W38" s="89">
        <f>SubSpace!$F33</f>
        <v>0</v>
      </c>
      <c r="X38" s="89">
        <f>ExciseTax!$F33</f>
        <v>0</v>
      </c>
      <c r="Y38" s="89">
        <f>MiscReState!$F33</f>
        <v>0</v>
      </c>
      <c r="Z38" s="1196">
        <f>DebtInt!$F33</f>
        <v>0</v>
      </c>
      <c r="AA38" s="89"/>
      <c r="AB38" s="20">
        <f>SUM(M38:AA38)</f>
        <v>545</v>
      </c>
      <c r="AC38" s="89">
        <f>'PFNon-Exec'!$F33</f>
        <v>19</v>
      </c>
      <c r="AD38" s="89">
        <f>'PF-Exec'!$F33</f>
        <v>0</v>
      </c>
      <c r="AE38" s="97">
        <f>PFJPStorage!F33</f>
        <v>0</v>
      </c>
      <c r="AF38" s="89">
        <f>PFCapx2008!$F33</f>
        <v>0</v>
      </c>
      <c r="AG38" s="89">
        <f>PFCapx2009!$F33</f>
        <v>0</v>
      </c>
      <c r="AH38" s="89">
        <f>PFAssetMgt!$F33</f>
        <v>0</v>
      </c>
      <c r="AI38" s="89">
        <f>PFIncentives!$F33</f>
        <v>0</v>
      </c>
      <c r="AJ38" s="89">
        <f>PFInfoServ!$F33</f>
        <v>0</v>
      </c>
      <c r="AK38" s="89">
        <f>PFEmpBen!$F33</f>
        <v>18</v>
      </c>
      <c r="AL38" s="89">
        <f>PFInsur!$F33</f>
        <v>0</v>
      </c>
      <c r="AM38" s="89">
        <f>'PFJP11-open'!$F33</f>
        <v>0</v>
      </c>
      <c r="AN38" s="89">
        <f>'PF12-Open'!$F33</f>
        <v>0</v>
      </c>
      <c r="AO38" s="89"/>
      <c r="AP38" s="20">
        <f>SUM(AB38:AO38)</f>
        <v>582</v>
      </c>
    </row>
    <row r="39" spans="1:42">
      <c r="B39" s="2" t="s">
        <v>89</v>
      </c>
      <c r="C39" s="20"/>
      <c r="D39" s="20"/>
      <c r="E39" s="20"/>
      <c r="F39" s="20"/>
      <c r="G39" s="89"/>
      <c r="H39" s="89"/>
      <c r="I39" s="89"/>
      <c r="J39" s="89"/>
      <c r="K39" s="89"/>
      <c r="L39" s="89"/>
      <c r="M39" s="20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1196"/>
      <c r="AA39" s="89"/>
      <c r="AB39" s="20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20"/>
    </row>
    <row r="40" spans="1:42">
      <c r="A40" s="18">
        <v>21</v>
      </c>
      <c r="C40" s="20" t="s">
        <v>81</v>
      </c>
      <c r="D40" s="20"/>
      <c r="E40" s="20"/>
      <c r="F40" s="20">
        <f>ResultSumGas!$F35</f>
        <v>9202</v>
      </c>
      <c r="G40" s="89">
        <f>DFIT!$F35</f>
        <v>0</v>
      </c>
      <c r="H40" s="89">
        <f>BldGain!$F35</f>
        <v>0</v>
      </c>
      <c r="I40" s="89">
        <f>GasInv!$F35</f>
        <v>0</v>
      </c>
      <c r="J40" s="89">
        <f>WznDSM!$F35</f>
        <v>0</v>
      </c>
      <c r="K40" s="89">
        <f>CustAdv!$F35</f>
        <v>0</v>
      </c>
      <c r="L40" s="89">
        <f>'DeprTrue-up'!$F35</f>
        <v>0</v>
      </c>
      <c r="M40" s="20">
        <f>SUM(F40:L40)</f>
        <v>9202</v>
      </c>
      <c r="N40" s="89">
        <f>WeatherGas!$F35</f>
        <v>3</v>
      </c>
      <c r="O40" s="89">
        <f>BandO!$F35</f>
        <v>0</v>
      </c>
      <c r="P40" s="89">
        <f>PropTax!$F35</f>
        <v>0</v>
      </c>
      <c r="Q40" s="89">
        <f>UncollExp!$F35</f>
        <v>0</v>
      </c>
      <c r="R40" s="89">
        <f>RegExp!$F35</f>
        <v>14</v>
      </c>
      <c r="S40" s="89">
        <f>InjDam!$F35</f>
        <v>-65</v>
      </c>
      <c r="T40" s="89">
        <f>FIT!$F35</f>
        <v>0</v>
      </c>
      <c r="U40" s="89">
        <f>GainsLosses!$F35</f>
        <v>0</v>
      </c>
      <c r="V40" s="89">
        <f>ElimAR!$F35</f>
        <v>0</v>
      </c>
      <c r="W40" s="89">
        <f>SubSpace!$F35</f>
        <v>-2</v>
      </c>
      <c r="X40" s="89">
        <f>ExciseTax!$F35</f>
        <v>0</v>
      </c>
      <c r="Y40" s="89">
        <f>MiscReState!$F35</f>
        <v>-86</v>
      </c>
      <c r="Z40" s="1196">
        <f>DebtInt!$F35</f>
        <v>0</v>
      </c>
      <c r="AA40" s="89"/>
      <c r="AB40" s="20">
        <f>SUM(M40:AA40)</f>
        <v>9066</v>
      </c>
      <c r="AC40" s="89">
        <f>'PFNon-Exec'!$F35</f>
        <v>187</v>
      </c>
      <c r="AD40" s="89">
        <f>'PF-Exec'!$F35</f>
        <v>64</v>
      </c>
      <c r="AE40" s="97">
        <f>PFJPStorage!F35</f>
        <v>-5</v>
      </c>
      <c r="AF40" s="89">
        <f>PFCapx2008!$F35</f>
        <v>0</v>
      </c>
      <c r="AG40" s="89">
        <f>PFCapx2009!$F35</f>
        <v>0</v>
      </c>
      <c r="AH40" s="89">
        <f>PFAssetMgt!$F35</f>
        <v>0</v>
      </c>
      <c r="AI40" s="89">
        <f>PFIncentives!$F35</f>
        <v>152</v>
      </c>
      <c r="AJ40" s="89">
        <f>PFInfoServ!$F35</f>
        <v>450</v>
      </c>
      <c r="AK40" s="89">
        <f>PFEmpBen!$F35</f>
        <v>465</v>
      </c>
      <c r="AL40" s="89">
        <f>PFInsur!$F35</f>
        <v>78</v>
      </c>
      <c r="AM40" s="89">
        <f>'PFJP11-open'!$F35</f>
        <v>0</v>
      </c>
      <c r="AN40" s="89">
        <f>'PF12-Open'!$F35</f>
        <v>0</v>
      </c>
      <c r="AO40" s="89"/>
      <c r="AP40" s="20">
        <f>SUM(AB40:AO40)</f>
        <v>10457</v>
      </c>
    </row>
    <row r="41" spans="1:42">
      <c r="A41" s="18">
        <v>22</v>
      </c>
      <c r="C41" s="20" t="s">
        <v>82</v>
      </c>
      <c r="D41" s="20"/>
      <c r="E41" s="20"/>
      <c r="F41" s="20">
        <f>ResultSumGas!$F36</f>
        <v>1414</v>
      </c>
      <c r="G41" s="89">
        <f>DFIT!$F36</f>
        <v>0</v>
      </c>
      <c r="H41" s="89">
        <f>BldGain!$F36</f>
        <v>0</v>
      </c>
      <c r="I41" s="89">
        <f>GasInv!$F36</f>
        <v>0</v>
      </c>
      <c r="J41" s="89">
        <f>WznDSM!$F36</f>
        <v>0</v>
      </c>
      <c r="K41" s="89">
        <f>CustAdv!$F36</f>
        <v>0</v>
      </c>
      <c r="L41" s="89">
        <f>'DeprTrue-up'!$F36</f>
        <v>-15</v>
      </c>
      <c r="M41" s="20">
        <f>SUM(F41:L41)</f>
        <v>1399</v>
      </c>
      <c r="N41" s="89">
        <f>WeatherGas!$F36</f>
        <v>356</v>
      </c>
      <c r="O41" s="89">
        <f>BandO!$F36</f>
        <v>0</v>
      </c>
      <c r="P41" s="89">
        <f>PropTax!$F36</f>
        <v>0</v>
      </c>
      <c r="Q41" s="89">
        <f>UncollExp!$F36</f>
        <v>0</v>
      </c>
      <c r="R41" s="89">
        <f>RegExp!$F36</f>
        <v>0</v>
      </c>
      <c r="S41" s="89">
        <f>InjDam!$F36</f>
        <v>0</v>
      </c>
      <c r="T41" s="89">
        <f>FIT!$F36</f>
        <v>0</v>
      </c>
      <c r="U41" s="89">
        <f>GainsLosses!$F36</f>
        <v>0</v>
      </c>
      <c r="V41" s="89">
        <f>ElimAR!$F36</f>
        <v>0</v>
      </c>
      <c r="W41" s="89">
        <f>SubSpace!$F36</f>
        <v>0</v>
      </c>
      <c r="X41" s="89">
        <f>ExciseTax!$F36</f>
        <v>0</v>
      </c>
      <c r="Y41" s="89">
        <f>MiscReState!$F36</f>
        <v>0</v>
      </c>
      <c r="Z41" s="1196">
        <f>DebtInt!$F36</f>
        <v>0</v>
      </c>
      <c r="AA41" s="89"/>
      <c r="AB41" s="20">
        <f>SUM(M41:AA41)</f>
        <v>1755</v>
      </c>
      <c r="AC41" s="89">
        <f>'PFNon-Exec'!$F36</f>
        <v>0</v>
      </c>
      <c r="AD41" s="89">
        <f>'PF-Exec'!$F36</f>
        <v>0</v>
      </c>
      <c r="AE41" s="97">
        <f>PFJPStorage!F36</f>
        <v>0</v>
      </c>
      <c r="AF41" s="89">
        <f>PFCapx2008!$F36</f>
        <v>218</v>
      </c>
      <c r="AG41" s="89">
        <f>PFCapx2009!$F36</f>
        <v>466</v>
      </c>
      <c r="AH41" s="89">
        <f>PFAssetMgt!$F36</f>
        <v>0</v>
      </c>
      <c r="AI41" s="89">
        <f>PFIncentives!$F36</f>
        <v>0</v>
      </c>
      <c r="AJ41" s="89">
        <f>PFInfoServ!$F36</f>
        <v>0</v>
      </c>
      <c r="AK41" s="89">
        <f>PFEmpBen!$F36</f>
        <v>0</v>
      </c>
      <c r="AL41" s="89">
        <f>PFInsur!$F36</f>
        <v>0</v>
      </c>
      <c r="AM41" s="89">
        <f>'PFJP11-open'!$F36</f>
        <v>0</v>
      </c>
      <c r="AN41" s="89">
        <f>'PF12-Open'!$F36</f>
        <v>0</v>
      </c>
      <c r="AO41" s="89"/>
      <c r="AP41" s="20">
        <f>SUM(AB41:AO41)</f>
        <v>2439</v>
      </c>
    </row>
    <row r="42" spans="1:42">
      <c r="A42" s="18">
        <v>23</v>
      </c>
      <c r="C42" s="20" t="s">
        <v>37</v>
      </c>
      <c r="D42" s="20"/>
      <c r="E42" s="20"/>
      <c r="F42" s="815">
        <f>ResultSumGas!$F37</f>
        <v>23</v>
      </c>
      <c r="G42" s="90">
        <f>DFIT!$F37</f>
        <v>0</v>
      </c>
      <c r="H42" s="90">
        <f>BldGain!$F37</f>
        <v>0</v>
      </c>
      <c r="I42" s="90">
        <f>GasInv!$F37</f>
        <v>0</v>
      </c>
      <c r="J42" s="90">
        <f>WznDSM!$F37</f>
        <v>0</v>
      </c>
      <c r="K42" s="90">
        <f>CustAdv!$F37</f>
        <v>0</v>
      </c>
      <c r="L42" s="90">
        <f>'DeprTrue-up'!$F37</f>
        <v>0</v>
      </c>
      <c r="M42" s="815">
        <f>SUM(F42:L42)</f>
        <v>23</v>
      </c>
      <c r="N42" s="90">
        <f>WeatherGas!$F37</f>
        <v>0</v>
      </c>
      <c r="O42" s="90">
        <f>BandO!$F37</f>
        <v>0</v>
      </c>
      <c r="P42" s="90">
        <f>PropTax!$F37</f>
        <v>-1</v>
      </c>
      <c r="Q42" s="90">
        <f>UncollExp!$F37</f>
        <v>0</v>
      </c>
      <c r="R42" s="90">
        <f>RegExp!$F37</f>
        <v>0</v>
      </c>
      <c r="S42" s="90">
        <f>InjDam!$F37</f>
        <v>0</v>
      </c>
      <c r="T42" s="90">
        <f>FIT!$F37</f>
        <v>0</v>
      </c>
      <c r="U42" s="90">
        <f>GainsLosses!$F37</f>
        <v>0</v>
      </c>
      <c r="V42" s="90">
        <f>ElimAR!$F37</f>
        <v>0</v>
      </c>
      <c r="W42" s="90">
        <f>SubSpace!$F37</f>
        <v>0</v>
      </c>
      <c r="X42" s="90">
        <f>ExciseTax!$F37</f>
        <v>0</v>
      </c>
      <c r="Y42" s="90">
        <f>MiscReState!$F37</f>
        <v>0</v>
      </c>
      <c r="Z42" s="1197">
        <f>DebtInt!$F37</f>
        <v>0</v>
      </c>
      <c r="AA42" s="90"/>
      <c r="AB42" s="815">
        <f>SUM(M42:AA42)</f>
        <v>22</v>
      </c>
      <c r="AC42" s="90">
        <f>'PFNon-Exec'!$F37</f>
        <v>0</v>
      </c>
      <c r="AD42" s="90">
        <f>'PF-Exec'!$F37</f>
        <v>0</v>
      </c>
      <c r="AE42" s="1199">
        <f>PFJPStorage!F37</f>
        <v>0</v>
      </c>
      <c r="AF42" s="90">
        <f>PFCapx2008!$F37</f>
        <v>0</v>
      </c>
      <c r="AG42" s="90">
        <f>PFCapx2009!$F37</f>
        <v>64</v>
      </c>
      <c r="AH42" s="90">
        <f>PFAssetMgt!$F37</f>
        <v>0</v>
      </c>
      <c r="AI42" s="90">
        <f>PFIncentives!$F37</f>
        <v>0</v>
      </c>
      <c r="AJ42" s="90">
        <f>PFInfoServ!$F37</f>
        <v>0</v>
      </c>
      <c r="AK42" s="90">
        <f>PFEmpBen!$F37</f>
        <v>0</v>
      </c>
      <c r="AL42" s="90">
        <f>PFInsur!$F37</f>
        <v>0</v>
      </c>
      <c r="AM42" s="90">
        <f>'PFJP11-open'!$F37</f>
        <v>0</v>
      </c>
      <c r="AN42" s="90">
        <f>'PF12-Open'!$F37</f>
        <v>0</v>
      </c>
      <c r="AO42" s="90"/>
      <c r="AP42" s="815">
        <f>SUM(AB42:AO42)</f>
        <v>86</v>
      </c>
    </row>
    <row r="43" spans="1:42">
      <c r="A43" s="18">
        <v>24</v>
      </c>
      <c r="C43" s="20"/>
      <c r="D43" s="20"/>
      <c r="E43" s="20" t="s">
        <v>90</v>
      </c>
      <c r="F43" s="815">
        <f t="shared" ref="F43:T43" si="9">SUM(F40:F42)</f>
        <v>10639</v>
      </c>
      <c r="G43" s="815">
        <f t="shared" si="9"/>
        <v>0</v>
      </c>
      <c r="H43" s="815">
        <f t="shared" si="9"/>
        <v>0</v>
      </c>
      <c r="I43" s="815">
        <f t="shared" si="9"/>
        <v>0</v>
      </c>
      <c r="J43" s="815">
        <f t="shared" si="9"/>
        <v>0</v>
      </c>
      <c r="K43" s="815">
        <f t="shared" si="9"/>
        <v>0</v>
      </c>
      <c r="L43" s="815">
        <f t="shared" si="9"/>
        <v>-15</v>
      </c>
      <c r="M43" s="815">
        <f t="shared" si="9"/>
        <v>10624</v>
      </c>
      <c r="N43" s="815">
        <f t="shared" si="9"/>
        <v>359</v>
      </c>
      <c r="O43" s="815">
        <f t="shared" si="9"/>
        <v>0</v>
      </c>
      <c r="P43" s="815">
        <f t="shared" si="9"/>
        <v>-1</v>
      </c>
      <c r="Q43" s="815">
        <f t="shared" si="9"/>
        <v>0</v>
      </c>
      <c r="R43" s="815">
        <f t="shared" si="9"/>
        <v>14</v>
      </c>
      <c r="S43" s="815">
        <f t="shared" si="9"/>
        <v>-65</v>
      </c>
      <c r="T43" s="815">
        <f t="shared" si="9"/>
        <v>0</v>
      </c>
      <c r="U43" s="815">
        <f>SUM(U40:U42)</f>
        <v>0</v>
      </c>
      <c r="V43" s="815">
        <f t="shared" ref="V43:AP43" si="10">SUM(V40:V42)</f>
        <v>0</v>
      </c>
      <c r="W43" s="815">
        <f t="shared" si="10"/>
        <v>-2</v>
      </c>
      <c r="X43" s="815">
        <f t="shared" si="10"/>
        <v>0</v>
      </c>
      <c r="Y43" s="815">
        <f>SUM(Y40:Y42)</f>
        <v>-86</v>
      </c>
      <c r="Z43" s="1201">
        <f>SUM(Z40:Z42)</f>
        <v>0</v>
      </c>
      <c r="AA43" s="815"/>
      <c r="AB43" s="815">
        <f t="shared" si="10"/>
        <v>10843</v>
      </c>
      <c r="AC43" s="815">
        <f>SUM(AC40:AC42)</f>
        <v>187</v>
      </c>
      <c r="AD43" s="815">
        <f>SUM(AD40:AD42)</f>
        <v>64</v>
      </c>
      <c r="AE43" s="815">
        <f>SUM(AE40:AE42)</f>
        <v>-5</v>
      </c>
      <c r="AF43" s="815">
        <f t="shared" si="10"/>
        <v>218</v>
      </c>
      <c r="AG43" s="815">
        <f t="shared" si="10"/>
        <v>530</v>
      </c>
      <c r="AH43" s="815">
        <f>SUM(AH40:AH42)</f>
        <v>0</v>
      </c>
      <c r="AI43" s="815">
        <f t="shared" si="10"/>
        <v>152</v>
      </c>
      <c r="AJ43" s="815">
        <f t="shared" si="10"/>
        <v>450</v>
      </c>
      <c r="AK43" s="815">
        <f t="shared" si="10"/>
        <v>465</v>
      </c>
      <c r="AL43" s="815">
        <f t="shared" si="10"/>
        <v>78</v>
      </c>
      <c r="AM43" s="815">
        <f t="shared" si="10"/>
        <v>0</v>
      </c>
      <c r="AN43" s="815">
        <f t="shared" si="10"/>
        <v>0</v>
      </c>
      <c r="AO43" s="815"/>
      <c r="AP43" s="815">
        <f t="shared" si="10"/>
        <v>12982</v>
      </c>
    </row>
    <row r="44" spans="1:42">
      <c r="A44" s="18">
        <v>25</v>
      </c>
      <c r="B44" s="2" t="s">
        <v>91</v>
      </c>
      <c r="C44" s="20"/>
      <c r="D44" s="20"/>
      <c r="E44" s="20"/>
      <c r="F44" s="815">
        <f t="shared" ref="F44:T44" si="11">F19+F24+F29+F34+F36+F37+F38+F43</f>
        <v>343248</v>
      </c>
      <c r="G44" s="815">
        <f t="shared" si="11"/>
        <v>0</v>
      </c>
      <c r="H44" s="815">
        <f t="shared" si="11"/>
        <v>0</v>
      </c>
      <c r="I44" s="815">
        <f t="shared" si="11"/>
        <v>0</v>
      </c>
      <c r="J44" s="815">
        <f t="shared" si="11"/>
        <v>0</v>
      </c>
      <c r="K44" s="815">
        <f t="shared" si="11"/>
        <v>0</v>
      </c>
      <c r="L44" s="815">
        <f t="shared" si="11"/>
        <v>-83</v>
      </c>
      <c r="M44" s="815">
        <f t="shared" si="11"/>
        <v>343165</v>
      </c>
      <c r="N44" s="815">
        <f t="shared" si="11"/>
        <v>-137017</v>
      </c>
      <c r="O44" s="815">
        <f t="shared" si="11"/>
        <v>-7908</v>
      </c>
      <c r="P44" s="815">
        <f t="shared" si="11"/>
        <v>-297</v>
      </c>
      <c r="Q44" s="815">
        <f t="shared" si="11"/>
        <v>-143</v>
      </c>
      <c r="R44" s="815">
        <f t="shared" si="11"/>
        <v>14</v>
      </c>
      <c r="S44" s="815">
        <f t="shared" si="11"/>
        <v>-65</v>
      </c>
      <c r="T44" s="815">
        <f t="shared" si="11"/>
        <v>0</v>
      </c>
      <c r="U44" s="815">
        <f>U19+U24+U29+U34+U36+U37+U38+U43</f>
        <v>-13</v>
      </c>
      <c r="V44" s="815">
        <f t="shared" ref="V44:AP44" si="12">V19+V24+V29+V34+V36+V37+V38+V43</f>
        <v>-85</v>
      </c>
      <c r="W44" s="815">
        <f t="shared" si="12"/>
        <v>-2</v>
      </c>
      <c r="X44" s="815">
        <f t="shared" si="12"/>
        <v>79</v>
      </c>
      <c r="Y44" s="815">
        <f>Y19+Y24+Y29+Y34+Y36+Y37+Y38+Y43</f>
        <v>-86</v>
      </c>
      <c r="Z44" s="1201">
        <f>Z19+Z24+Z29+Z34+Z36+Z37+Z38+Z43</f>
        <v>0</v>
      </c>
      <c r="AA44" s="815"/>
      <c r="AB44" s="815">
        <f t="shared" si="12"/>
        <v>197642</v>
      </c>
      <c r="AC44" s="815">
        <f>AC19+AC24+AC29+AC34+AC36+AC37+AC38+AC43</f>
        <v>786</v>
      </c>
      <c r="AD44" s="815">
        <f>AD19+AD24+AD29+AD34+AD36+AD37+AD38+AD43</f>
        <v>67</v>
      </c>
      <c r="AE44" s="815">
        <f>AE19+AE24+AE29+AE34+AE36+AE37+AE38+AE43</f>
        <v>174</v>
      </c>
      <c r="AF44" s="815">
        <f t="shared" si="12"/>
        <v>-453</v>
      </c>
      <c r="AG44" s="815">
        <f t="shared" si="12"/>
        <v>917</v>
      </c>
      <c r="AH44" s="815">
        <f>AH19+AH24+AH29+AH34+AH36+AH37+AH38+AH43</f>
        <v>88</v>
      </c>
      <c r="AI44" s="815">
        <f t="shared" si="12"/>
        <v>152</v>
      </c>
      <c r="AJ44" s="815">
        <f t="shared" si="12"/>
        <v>450</v>
      </c>
      <c r="AK44" s="815">
        <f t="shared" si="12"/>
        <v>1047</v>
      </c>
      <c r="AL44" s="815">
        <f t="shared" si="12"/>
        <v>78</v>
      </c>
      <c r="AM44" s="815">
        <f t="shared" si="12"/>
        <v>0</v>
      </c>
      <c r="AN44" s="815">
        <f t="shared" si="12"/>
        <v>0</v>
      </c>
      <c r="AO44" s="815"/>
      <c r="AP44" s="815">
        <f t="shared" si="12"/>
        <v>200948</v>
      </c>
    </row>
    <row r="45" spans="1:4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198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2.95" customHeight="1">
      <c r="A46" s="18">
        <v>26</v>
      </c>
      <c r="B46" s="2" t="s">
        <v>92</v>
      </c>
      <c r="C46" s="20"/>
      <c r="D46" s="20"/>
      <c r="E46" s="20"/>
      <c r="F46" s="20">
        <f t="shared" ref="F46:T46" si="13">F16-F44</f>
        <v>16070</v>
      </c>
      <c r="G46" s="20">
        <f t="shared" si="13"/>
        <v>0</v>
      </c>
      <c r="H46" s="20">
        <f t="shared" si="13"/>
        <v>0</v>
      </c>
      <c r="I46" s="20">
        <f t="shared" si="13"/>
        <v>0</v>
      </c>
      <c r="J46" s="20">
        <f t="shared" si="13"/>
        <v>0</v>
      </c>
      <c r="K46" s="20">
        <f>K16-K44</f>
        <v>0</v>
      </c>
      <c r="L46" s="20">
        <f t="shared" si="13"/>
        <v>83</v>
      </c>
      <c r="M46" s="20">
        <f t="shared" si="13"/>
        <v>16153</v>
      </c>
      <c r="N46" s="20">
        <f t="shared" si="13"/>
        <v>5613</v>
      </c>
      <c r="O46" s="20">
        <f t="shared" si="13"/>
        <v>-6</v>
      </c>
      <c r="P46" s="20">
        <f t="shared" si="13"/>
        <v>297</v>
      </c>
      <c r="Q46" s="20">
        <f t="shared" si="13"/>
        <v>143</v>
      </c>
      <c r="R46" s="20">
        <f t="shared" si="13"/>
        <v>-14</v>
      </c>
      <c r="S46" s="20">
        <f t="shared" si="13"/>
        <v>65</v>
      </c>
      <c r="T46" s="20">
        <f t="shared" si="13"/>
        <v>0</v>
      </c>
      <c r="U46" s="20">
        <f t="shared" ref="U46:AD46" si="14">U16-U44</f>
        <v>13</v>
      </c>
      <c r="V46" s="20">
        <f t="shared" si="14"/>
        <v>85</v>
      </c>
      <c r="W46" s="20">
        <f t="shared" si="14"/>
        <v>2</v>
      </c>
      <c r="X46" s="20">
        <f>X16-X44</f>
        <v>-79</v>
      </c>
      <c r="Y46" s="20">
        <f>Y16-Y44</f>
        <v>86</v>
      </c>
      <c r="Z46" s="1198">
        <f>Z16-Z44</f>
        <v>0</v>
      </c>
      <c r="AA46" s="20"/>
      <c r="AB46" s="20">
        <f t="shared" si="14"/>
        <v>22358</v>
      </c>
      <c r="AC46" s="20">
        <f t="shared" si="14"/>
        <v>-786</v>
      </c>
      <c r="AD46" s="20">
        <f t="shared" si="14"/>
        <v>-67</v>
      </c>
      <c r="AE46" s="20">
        <f t="shared" ref="AE46:AL46" si="15">AE16-AE44</f>
        <v>-2735</v>
      </c>
      <c r="AF46" s="20">
        <f t="shared" si="15"/>
        <v>453</v>
      </c>
      <c r="AG46" s="20">
        <f t="shared" si="15"/>
        <v>-917</v>
      </c>
      <c r="AH46" s="20">
        <f>AH16-AH44</f>
        <v>-88</v>
      </c>
      <c r="AI46" s="20">
        <f t="shared" si="15"/>
        <v>-152</v>
      </c>
      <c r="AJ46" s="20">
        <f>AJ16-AJ44</f>
        <v>-450</v>
      </c>
      <c r="AK46" s="20">
        <f t="shared" si="15"/>
        <v>-1047</v>
      </c>
      <c r="AL46" s="20">
        <f t="shared" si="15"/>
        <v>-78</v>
      </c>
      <c r="AM46" s="20">
        <f>AM16-AM44</f>
        <v>0</v>
      </c>
      <c r="AN46" s="20">
        <f>AN16-AN44</f>
        <v>0</v>
      </c>
      <c r="AO46" s="20"/>
      <c r="AP46" s="20">
        <f>AP16-AP44</f>
        <v>16491</v>
      </c>
    </row>
    <row r="47" spans="1:42" ht="12.95" customHeight="1">
      <c r="B47" s="2" t="s">
        <v>93</v>
      </c>
      <c r="C47" s="20"/>
      <c r="D47" s="20"/>
      <c r="E47" s="20"/>
      <c r="F47" s="20"/>
      <c r="G47" s="89">
        <f>DFIT!$F43</f>
        <v>0</v>
      </c>
      <c r="H47" s="89">
        <f>BldGain!$F43</f>
        <v>0</v>
      </c>
      <c r="I47" s="89">
        <f>GasInv!$F43</f>
        <v>0</v>
      </c>
      <c r="J47" s="89">
        <f>WznDSM!$F43</f>
        <v>0</v>
      </c>
      <c r="K47" s="89">
        <f>CustAdv!$F43</f>
        <v>0</v>
      </c>
      <c r="L47" s="89">
        <f>'DeprTrue-up'!$F43</f>
        <v>0</v>
      </c>
      <c r="M47" s="20"/>
      <c r="N47" s="89"/>
      <c r="O47" s="89"/>
      <c r="P47" s="89"/>
      <c r="Q47" s="89"/>
      <c r="R47" s="89"/>
      <c r="S47" s="89">
        <f>InjDam!$F43</f>
        <v>0</v>
      </c>
      <c r="T47" s="89">
        <f>FIT!$F43</f>
        <v>0</v>
      </c>
      <c r="U47" s="89"/>
      <c r="V47" s="89"/>
      <c r="W47" s="89"/>
      <c r="X47" s="89"/>
      <c r="Y47" s="89">
        <f>MiscReState!$F43</f>
        <v>0</v>
      </c>
      <c r="Z47" s="1196">
        <f>DebtInt!$F43</f>
        <v>0</v>
      </c>
      <c r="AA47" s="89"/>
      <c r="AB47" s="20"/>
      <c r="AC47" s="89">
        <f>'PFNon-Exec'!$F43</f>
        <v>0</v>
      </c>
      <c r="AD47" s="89">
        <f>'PF-Exec'!$F43</f>
        <v>0</v>
      </c>
      <c r="AE47" s="89">
        <f>PFJPStorage!$F43</f>
        <v>0</v>
      </c>
      <c r="AF47" s="89">
        <f>PFCapx2008!$F43</f>
        <v>0</v>
      </c>
      <c r="AG47" s="89"/>
      <c r="AH47" s="89"/>
      <c r="AI47" s="89"/>
      <c r="AJ47" s="89"/>
      <c r="AK47" s="89"/>
      <c r="AL47" s="89"/>
      <c r="AM47" s="89"/>
      <c r="AN47" s="89"/>
      <c r="AO47" s="89"/>
      <c r="AP47" s="20"/>
    </row>
    <row r="48" spans="1:42">
      <c r="A48" s="18">
        <v>27</v>
      </c>
      <c r="C48" s="20" t="s">
        <v>94</v>
      </c>
      <c r="D48" s="20"/>
      <c r="E48" s="20"/>
      <c r="F48" s="20">
        <f>ResultSumGas!$F44</f>
        <v>5138</v>
      </c>
      <c r="G48" s="89">
        <f>DFIT!$F44</f>
        <v>0</v>
      </c>
      <c r="H48" s="89">
        <f>BldGain!$F44</f>
        <v>0</v>
      </c>
      <c r="I48" s="89">
        <f>GasInv!$F44</f>
        <v>0</v>
      </c>
      <c r="J48" s="89">
        <f>WznDSM!$F44</f>
        <v>0</v>
      </c>
      <c r="K48" s="89">
        <f>CustAdv!$F44</f>
        <v>0</v>
      </c>
      <c r="L48" s="89">
        <f>'DeprTrue-up'!$F44</f>
        <v>29</v>
      </c>
      <c r="M48" s="20">
        <f>SUM(F48:L48)</f>
        <v>5167</v>
      </c>
      <c r="N48" s="89">
        <f>WeatherGas!$F44</f>
        <v>1965</v>
      </c>
      <c r="O48" s="89">
        <f>BandO!$F44</f>
        <v>-2</v>
      </c>
      <c r="P48" s="89">
        <f>PropTax!$F44</f>
        <v>104</v>
      </c>
      <c r="Q48" s="89">
        <f>UncollExp!$F44</f>
        <v>50</v>
      </c>
      <c r="R48" s="89">
        <f>RegExp!$F44</f>
        <v>-5</v>
      </c>
      <c r="S48" s="89">
        <f>InjDam!$F44</f>
        <v>23</v>
      </c>
      <c r="T48" s="89">
        <f>FIT!F44</f>
        <v>3</v>
      </c>
      <c r="U48" s="89">
        <f>GainsLosses!$F44</f>
        <v>5</v>
      </c>
      <c r="V48" s="89">
        <f>ElimAR!$F44</f>
        <v>30</v>
      </c>
      <c r="W48" s="89">
        <f>SubSpace!$F44</f>
        <v>1</v>
      </c>
      <c r="X48" s="89">
        <f>ExciseTax!$F44</f>
        <v>-28</v>
      </c>
      <c r="Y48" s="89">
        <f>MiscReState!$F44</f>
        <v>30</v>
      </c>
      <c r="Z48" s="1196">
        <f>DebtInt!$F44</f>
        <v>-186.56095499999986</v>
      </c>
      <c r="AA48" s="89"/>
      <c r="AB48" s="20">
        <f>SUM(M48:AA48)</f>
        <v>7156.4390450000001</v>
      </c>
      <c r="AC48" s="89">
        <f>'PFNon-Exec'!$F44</f>
        <v>-275</v>
      </c>
      <c r="AD48" s="89">
        <f>'PF-Exec'!$F44</f>
        <v>-23</v>
      </c>
      <c r="AE48" s="89">
        <f>PFJPStorage!$F44</f>
        <v>-957</v>
      </c>
      <c r="AF48" s="89">
        <f>PFCapx2008!$F44</f>
        <v>159</v>
      </c>
      <c r="AG48" s="89">
        <f>PFCapx2009!$F44</f>
        <v>-321</v>
      </c>
      <c r="AH48" s="89">
        <f>PFAssetMgt!$F44</f>
        <v>-31</v>
      </c>
      <c r="AI48" s="89">
        <f>PFIncentives!$F44</f>
        <v>-53</v>
      </c>
      <c r="AJ48" s="89">
        <f>PFInfoServ!$F44</f>
        <v>-158</v>
      </c>
      <c r="AK48" s="89">
        <f>PFEmpBen!$F44</f>
        <v>-366</v>
      </c>
      <c r="AL48" s="89">
        <f>PFInsur!$F44</f>
        <v>-27</v>
      </c>
      <c r="AM48" s="89">
        <f>'PFJP11-open'!$F44</f>
        <v>0</v>
      </c>
      <c r="AN48" s="89">
        <f>'PF12-Open'!$F44</f>
        <v>0</v>
      </c>
      <c r="AO48" s="89"/>
      <c r="AP48" s="20">
        <f>SUM(AB48:AO48)</f>
        <v>5104.4390450000001</v>
      </c>
    </row>
    <row r="49" spans="1:43">
      <c r="A49" s="18">
        <v>28</v>
      </c>
      <c r="C49" s="20" t="s">
        <v>95</v>
      </c>
      <c r="D49" s="20"/>
      <c r="E49" s="20"/>
      <c r="F49" s="20">
        <f>ResultSumGas!$F45</f>
        <v>-1042</v>
      </c>
      <c r="G49" s="89">
        <f>DFIT!$F45</f>
        <v>0</v>
      </c>
      <c r="H49" s="89">
        <f>BldGain!$F45</f>
        <v>0</v>
      </c>
      <c r="I49" s="89">
        <f>GasInv!$F45</f>
        <v>0</v>
      </c>
      <c r="J49" s="89">
        <f>WznDSM!$F45</f>
        <v>0</v>
      </c>
      <c r="K49" s="89">
        <f>CustAdv!$F45</f>
        <v>0</v>
      </c>
      <c r="L49" s="89">
        <f>'DeprTrue-up'!$F45</f>
        <v>0</v>
      </c>
      <c r="M49" s="20">
        <f>SUM(F49:L49)</f>
        <v>-1042</v>
      </c>
      <c r="N49" s="89">
        <f>WeatherGas!$F45</f>
        <v>0</v>
      </c>
      <c r="O49" s="89">
        <f>BandO!$F45</f>
        <v>0</v>
      </c>
      <c r="P49" s="89">
        <f>PropTax!$F45</f>
        <v>0</v>
      </c>
      <c r="Q49" s="89">
        <f>UncollExp!$F45</f>
        <v>0</v>
      </c>
      <c r="R49" s="89">
        <f>RegExp!$F45</f>
        <v>0</v>
      </c>
      <c r="S49" s="89">
        <f>InjDam!$F45</f>
        <v>0</v>
      </c>
      <c r="T49" s="89">
        <f>FIT!F45</f>
        <v>7</v>
      </c>
      <c r="U49" s="89">
        <f>GainsLosses!$F45</f>
        <v>0</v>
      </c>
      <c r="V49" s="89">
        <f>ElimAR!$F45</f>
        <v>0</v>
      </c>
      <c r="W49" s="89">
        <f>SubSpace!$F45</f>
        <v>0</v>
      </c>
      <c r="X49" s="89">
        <f>ExciseTax!$F45</f>
        <v>0</v>
      </c>
      <c r="Y49" s="89">
        <f>MiscReState!$F45</f>
        <v>0</v>
      </c>
      <c r="Z49" s="1196">
        <f>DebtInt!$F45</f>
        <v>0</v>
      </c>
      <c r="AA49" s="89"/>
      <c r="AB49" s="20">
        <f>SUM(M49:AA49)</f>
        <v>-1035</v>
      </c>
      <c r="AC49" s="89">
        <f>'PFNon-Exec'!$F45</f>
        <v>0</v>
      </c>
      <c r="AD49" s="89">
        <f>'PF-Exec'!$F45</f>
        <v>0</v>
      </c>
      <c r="AE49" s="89">
        <f>PFJPStorage!$F45</f>
        <v>0</v>
      </c>
      <c r="AF49" s="89">
        <f>PFCapx2008!$F45</f>
        <v>0</v>
      </c>
      <c r="AG49" s="89">
        <f>PFCapx2009!$F45</f>
        <v>0</v>
      </c>
      <c r="AH49" s="89">
        <f>PFAssetMgt!$F45</f>
        <v>0</v>
      </c>
      <c r="AI49" s="89">
        <f>PFIncentives!$F45</f>
        <v>0</v>
      </c>
      <c r="AJ49" s="89">
        <f>PFInfoServ!$F45</f>
        <v>0</v>
      </c>
      <c r="AK49" s="89">
        <f>PFEmpBen!$F45</f>
        <v>0</v>
      </c>
      <c r="AL49" s="89">
        <f>PFInsur!$F45</f>
        <v>0</v>
      </c>
      <c r="AM49" s="89">
        <f>'PFJP11-open'!$F45</f>
        <v>0</v>
      </c>
      <c r="AN49" s="89">
        <f>'PF12-Open'!$F45</f>
        <v>0</v>
      </c>
      <c r="AO49" s="89"/>
      <c r="AP49" s="20">
        <f>SUM(AB49:AO49)</f>
        <v>-1035</v>
      </c>
    </row>
    <row r="50" spans="1:43">
      <c r="A50" s="18">
        <v>29</v>
      </c>
      <c r="C50" s="20" t="s">
        <v>96</v>
      </c>
      <c r="D50" s="20"/>
      <c r="E50" s="20"/>
      <c r="F50" s="815">
        <f>ResultSumGas!$F46</f>
        <v>-30</v>
      </c>
      <c r="G50" s="90">
        <f>DFIT!$F46</f>
        <v>0</v>
      </c>
      <c r="H50" s="90">
        <f>BldGain!$F46</f>
        <v>0</v>
      </c>
      <c r="I50" s="90">
        <f>GasInv!$F46</f>
        <v>0</v>
      </c>
      <c r="J50" s="90">
        <f>WznDSM!$F46</f>
        <v>0</v>
      </c>
      <c r="K50" s="90">
        <f>CustAdv!$F46</f>
        <v>0</v>
      </c>
      <c r="L50" s="90">
        <f>'DeprTrue-up'!$F46</f>
        <v>0</v>
      </c>
      <c r="M50" s="815">
        <f>SUM(F50:L50)</f>
        <v>-30</v>
      </c>
      <c r="N50" s="90">
        <f>WeatherGas!$F46</f>
        <v>0</v>
      </c>
      <c r="O50" s="90">
        <f>BandO!$F46</f>
        <v>0</v>
      </c>
      <c r="P50" s="90">
        <f>PropTax!$F46</f>
        <v>0</v>
      </c>
      <c r="Q50" s="90">
        <f>UncollExp!$F46</f>
        <v>0</v>
      </c>
      <c r="R50" s="90">
        <f>RegExp!$F46</f>
        <v>0</v>
      </c>
      <c r="S50" s="90">
        <f>InjDam!$F46</f>
        <v>0</v>
      </c>
      <c r="T50" s="90">
        <f>FIT!$F46</f>
        <v>0</v>
      </c>
      <c r="U50" s="90">
        <f>GainsLosses!$F46</f>
        <v>0</v>
      </c>
      <c r="V50" s="90">
        <f>ElimAR!$F46</f>
        <v>0</v>
      </c>
      <c r="W50" s="90">
        <f>SubSpace!$F46</f>
        <v>0</v>
      </c>
      <c r="X50" s="90">
        <f>ExciseTax!$F46</f>
        <v>0</v>
      </c>
      <c r="Y50" s="90">
        <f>MiscReState!$F46</f>
        <v>0</v>
      </c>
      <c r="Z50" s="1197">
        <f>DebtInt!$F46</f>
        <v>0</v>
      </c>
      <c r="AA50" s="90"/>
      <c r="AB50" s="815">
        <f>SUM(M50:AA50)</f>
        <v>-30</v>
      </c>
      <c r="AC50" s="90">
        <f>'PFNon-Exec'!$F46</f>
        <v>0</v>
      </c>
      <c r="AD50" s="90">
        <f>'PF-Exec'!$F46</f>
        <v>0</v>
      </c>
      <c r="AE50" s="90">
        <f>PFJPStorage!$F46</f>
        <v>0</v>
      </c>
      <c r="AF50" s="90">
        <f>PFCapx2008!$F46</f>
        <v>0</v>
      </c>
      <c r="AG50" s="90">
        <f>PFCapx2009!$F46</f>
        <v>0</v>
      </c>
      <c r="AH50" s="90">
        <f>PFAssetMgt!$F46</f>
        <v>0</v>
      </c>
      <c r="AI50" s="90">
        <f>PFIncentives!$F46</f>
        <v>0</v>
      </c>
      <c r="AJ50" s="90">
        <f>PFInfoServ!$F46</f>
        <v>0</v>
      </c>
      <c r="AK50" s="90">
        <f>PFEmpBen!$F46</f>
        <v>0</v>
      </c>
      <c r="AL50" s="90">
        <f>PFInsur!$F46</f>
        <v>0</v>
      </c>
      <c r="AM50" s="90">
        <f>'PFJP11-open'!$F46</f>
        <v>0</v>
      </c>
      <c r="AN50" s="90">
        <f>'PF12-Open'!$F46</f>
        <v>0</v>
      </c>
      <c r="AO50" s="90"/>
      <c r="AP50" s="815">
        <f>SUM(AB50:AO50)</f>
        <v>-30</v>
      </c>
    </row>
    <row r="51" spans="1:43">
      <c r="U51" s="809"/>
      <c r="Z51" s="1178"/>
    </row>
    <row r="52" spans="1:43" s="19" customFormat="1" ht="13.5" thickBot="1">
      <c r="A52" s="18">
        <v>30</v>
      </c>
      <c r="B52" s="19" t="s">
        <v>97</v>
      </c>
      <c r="F52" s="816">
        <f>F46-SUM(F48:F50)</f>
        <v>12004</v>
      </c>
      <c r="G52" s="816">
        <f t="shared" ref="G52:W52" si="16">G46-SUM(G48:G50)</f>
        <v>0</v>
      </c>
      <c r="H52" s="816">
        <f t="shared" si="16"/>
        <v>0</v>
      </c>
      <c r="I52" s="816">
        <f t="shared" si="16"/>
        <v>0</v>
      </c>
      <c r="J52" s="816">
        <f t="shared" si="16"/>
        <v>0</v>
      </c>
      <c r="K52" s="816">
        <f>K46-SUM(K48:K50)</f>
        <v>0</v>
      </c>
      <c r="L52" s="816">
        <f t="shared" si="16"/>
        <v>54</v>
      </c>
      <c r="M52" s="816">
        <f t="shared" si="16"/>
        <v>12058</v>
      </c>
      <c r="N52" s="816">
        <f t="shared" si="16"/>
        <v>3648</v>
      </c>
      <c r="O52" s="816">
        <f t="shared" si="16"/>
        <v>-4</v>
      </c>
      <c r="P52" s="816">
        <f t="shared" si="16"/>
        <v>193</v>
      </c>
      <c r="Q52" s="816">
        <f t="shared" si="16"/>
        <v>93</v>
      </c>
      <c r="R52" s="816">
        <f t="shared" si="16"/>
        <v>-9</v>
      </c>
      <c r="S52" s="816">
        <f t="shared" si="16"/>
        <v>42</v>
      </c>
      <c r="T52" s="816">
        <f t="shared" si="16"/>
        <v>-10</v>
      </c>
      <c r="U52" s="816">
        <f>U46-SUM(U48:U50)</f>
        <v>8</v>
      </c>
      <c r="V52" s="816">
        <f t="shared" si="16"/>
        <v>55</v>
      </c>
      <c r="W52" s="816">
        <f t="shared" si="16"/>
        <v>1</v>
      </c>
      <c r="X52" s="816">
        <f>X46-SUM(X48:X50)</f>
        <v>-51</v>
      </c>
      <c r="Y52" s="816">
        <f>Y46-SUM(Y48:Y50)</f>
        <v>56</v>
      </c>
      <c r="Z52" s="1202">
        <f>Z46-SUM(Z48:Z50)</f>
        <v>186.56095499999986</v>
      </c>
      <c r="AA52" s="816"/>
      <c r="AB52" s="816">
        <f>AB46-SUM(AB48:AB50)+AB51</f>
        <v>16266.560955000001</v>
      </c>
      <c r="AC52" s="816">
        <f t="shared" ref="AC52:AL52" si="17">AC46-SUM(AC48:AC50)</f>
        <v>-511</v>
      </c>
      <c r="AD52" s="816">
        <f t="shared" si="17"/>
        <v>-44</v>
      </c>
      <c r="AE52" s="816">
        <f t="shared" si="17"/>
        <v>-1778</v>
      </c>
      <c r="AF52" s="816">
        <f t="shared" si="17"/>
        <v>294</v>
      </c>
      <c r="AG52" s="816">
        <f t="shared" si="17"/>
        <v>-596</v>
      </c>
      <c r="AH52" s="816">
        <f>AH46-SUM(AH48:AH50)</f>
        <v>-57</v>
      </c>
      <c r="AI52" s="816">
        <f t="shared" si="17"/>
        <v>-99</v>
      </c>
      <c r="AJ52" s="816">
        <f>AJ46-SUM(AJ48:AJ50)</f>
        <v>-292</v>
      </c>
      <c r="AK52" s="816">
        <f t="shared" si="17"/>
        <v>-681</v>
      </c>
      <c r="AL52" s="816">
        <f t="shared" si="17"/>
        <v>-51</v>
      </c>
      <c r="AM52" s="816">
        <f>AM46-SUM(AM48:AM50)</f>
        <v>0</v>
      </c>
      <c r="AN52" s="816">
        <f>AN46-SUM(AN48:AN50)</f>
        <v>0</v>
      </c>
      <c r="AO52" s="816"/>
      <c r="AP52" s="816">
        <f>AP46-SUM(AP48:AP50)+AP51</f>
        <v>12451.560955000001</v>
      </c>
      <c r="AQ52" s="185"/>
    </row>
    <row r="53" spans="1:43" ht="6.95" customHeight="1" thickTop="1">
      <c r="Z53" s="1178"/>
    </row>
    <row r="54" spans="1:43" ht="6.95" customHeight="1">
      <c r="Z54" s="1178"/>
    </row>
    <row r="55" spans="1:43">
      <c r="B55" s="2" t="s">
        <v>98</v>
      </c>
      <c r="G55" s="89"/>
      <c r="H55" s="89"/>
      <c r="I55" s="89"/>
      <c r="J55" s="89"/>
      <c r="K55" s="89"/>
      <c r="L55" s="89"/>
      <c r="N55" s="89"/>
      <c r="O55" s="89"/>
      <c r="P55" s="89"/>
      <c r="Q55" s="89"/>
      <c r="R55" s="89"/>
      <c r="S55" s="89"/>
      <c r="T55" s="89"/>
      <c r="U55" s="1203"/>
      <c r="V55" s="89"/>
      <c r="W55" s="89"/>
      <c r="X55" s="89"/>
      <c r="Y55" s="89"/>
      <c r="Z55" s="1196"/>
      <c r="AA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</row>
    <row r="56" spans="1:43">
      <c r="A56" s="18">
        <v>31</v>
      </c>
      <c r="B56" s="20"/>
      <c r="C56" s="20" t="s">
        <v>80</v>
      </c>
      <c r="D56" s="20"/>
      <c r="E56" s="20"/>
      <c r="F56" s="20">
        <f>ResultSumGas!$F52</f>
        <v>13539</v>
      </c>
      <c r="G56" s="97">
        <f>DFIT!$F52</f>
        <v>0</v>
      </c>
      <c r="H56" s="97">
        <f>BldGain!$F52</f>
        <v>0</v>
      </c>
      <c r="I56" s="97">
        <f>GasInv!$F52</f>
        <v>0</v>
      </c>
      <c r="J56" s="97">
        <f>WznDSM!$F52</f>
        <v>0</v>
      </c>
      <c r="K56" s="97">
        <f>CustAdv!$F52</f>
        <v>0</v>
      </c>
      <c r="L56" s="97">
        <f>'DeprTrue-up'!$F52</f>
        <v>0</v>
      </c>
      <c r="M56" s="20">
        <f>SUM(F56:L56)</f>
        <v>13539</v>
      </c>
      <c r="N56" s="97">
        <f>WeatherGas!$F52</f>
        <v>0</v>
      </c>
      <c r="O56" s="97">
        <f>BandO!$F52</f>
        <v>0</v>
      </c>
      <c r="P56" s="97">
        <f>PropTax!$F52</f>
        <v>0</v>
      </c>
      <c r="Q56" s="97">
        <f>UncollExp!$F52</f>
        <v>0</v>
      </c>
      <c r="R56" s="97">
        <f>RegExp!$F52</f>
        <v>0</v>
      </c>
      <c r="S56" s="97">
        <f>InjDam!$F52</f>
        <v>0</v>
      </c>
      <c r="T56" s="97">
        <f>FIT!$F52</f>
        <v>0</v>
      </c>
      <c r="U56" s="1204">
        <f>GainsLosses!$F52</f>
        <v>0</v>
      </c>
      <c r="V56" s="97">
        <f>ElimAR!$F52</f>
        <v>0</v>
      </c>
      <c r="W56" s="97">
        <f>SubSpace!$F52</f>
        <v>0</v>
      </c>
      <c r="X56" s="97">
        <f>ExciseTax!$F52</f>
        <v>0</v>
      </c>
      <c r="Y56" s="97">
        <f>MiscReState!$F52</f>
        <v>0</v>
      </c>
      <c r="Z56" s="1195">
        <f>DebtInt!$F52</f>
        <v>0</v>
      </c>
      <c r="AA56" s="97"/>
      <c r="AB56" s="20">
        <f>SUM(M56:AA56)</f>
        <v>13539</v>
      </c>
      <c r="AC56" s="97">
        <f>'PFNon-Exec'!$F52</f>
        <v>0</v>
      </c>
      <c r="AD56" s="97">
        <f>'PF-Exec'!$F52</f>
        <v>0</v>
      </c>
      <c r="AE56" s="97">
        <f>PFJPStorage!F52</f>
        <v>8614</v>
      </c>
      <c r="AF56" s="97">
        <f>PFCapx2008!$F52</f>
        <v>520</v>
      </c>
      <c r="AG56" s="97">
        <f>PFCapx2009!$F52</f>
        <v>153</v>
      </c>
      <c r="AH56" s="97">
        <f>PFAssetMgt!$F52</f>
        <v>0</v>
      </c>
      <c r="AI56" s="97">
        <f>PFIncentives!$F52</f>
        <v>0</v>
      </c>
      <c r="AJ56" s="97">
        <f>PFInfoServ!$F52</f>
        <v>0</v>
      </c>
      <c r="AK56" s="97">
        <f>PFEmpBen!$F52</f>
        <v>0</v>
      </c>
      <c r="AL56" s="97">
        <f>PFInsur!$F52</f>
        <v>0</v>
      </c>
      <c r="AM56" s="97">
        <f>'PFJP11-open'!$F52</f>
        <v>0</v>
      </c>
      <c r="AN56" s="97">
        <f>'PF12-Open'!$F52</f>
        <v>0</v>
      </c>
      <c r="AO56" s="97"/>
      <c r="AP56" s="20">
        <f>SUM(AB56:AO56)</f>
        <v>22826</v>
      </c>
    </row>
    <row r="57" spans="1:43">
      <c r="A57" s="18">
        <v>32</v>
      </c>
      <c r="B57" s="20"/>
      <c r="C57" s="20" t="s">
        <v>99</v>
      </c>
      <c r="D57" s="20"/>
      <c r="E57" s="20"/>
      <c r="F57" s="20">
        <f>ResultSumGas!$F53</f>
        <v>237485</v>
      </c>
      <c r="G57" s="89">
        <f>DFIT!$F53</f>
        <v>0</v>
      </c>
      <c r="H57" s="89">
        <f>BldGain!$F53</f>
        <v>0</v>
      </c>
      <c r="I57" s="89">
        <f>GasInv!$F53</f>
        <v>0</v>
      </c>
      <c r="J57" s="89">
        <f>WznDSM!$F53</f>
        <v>0</v>
      </c>
      <c r="K57" s="89">
        <f>CustAdv!$F53</f>
        <v>-52</v>
      </c>
      <c r="L57" s="89">
        <f>'DeprTrue-up'!$F53</f>
        <v>0</v>
      </c>
      <c r="M57" s="20">
        <f>SUM(F57:L57)</f>
        <v>237433</v>
      </c>
      <c r="N57" s="89">
        <f>WeatherGas!$F53</f>
        <v>0</v>
      </c>
      <c r="O57" s="89">
        <f>BandO!$F53</f>
        <v>0</v>
      </c>
      <c r="P57" s="89">
        <f>PropTax!$F53</f>
        <v>0</v>
      </c>
      <c r="Q57" s="89">
        <f>UncollExp!$F53</f>
        <v>0</v>
      </c>
      <c r="R57" s="89">
        <f>RegExp!$F53</f>
        <v>0</v>
      </c>
      <c r="S57" s="89">
        <f>InjDam!$F53</f>
        <v>0</v>
      </c>
      <c r="T57" s="89">
        <f>FIT!$F53</f>
        <v>0</v>
      </c>
      <c r="U57" s="1203">
        <f>GainsLosses!$F53</f>
        <v>0</v>
      </c>
      <c r="V57" s="89">
        <f>ElimAR!$F53</f>
        <v>0</v>
      </c>
      <c r="W57" s="89">
        <f>SubSpace!$F53</f>
        <v>0</v>
      </c>
      <c r="X57" s="89">
        <f>ExciseTax!$F53</f>
        <v>0</v>
      </c>
      <c r="Y57" s="89">
        <f>MiscReState!$F53</f>
        <v>0</v>
      </c>
      <c r="Z57" s="1196">
        <f>DebtInt!$F53</f>
        <v>0</v>
      </c>
      <c r="AA57" s="89"/>
      <c r="AB57" s="20">
        <f>SUM(M57:AA57)</f>
        <v>237433</v>
      </c>
      <c r="AC57" s="89">
        <f>'PFNon-Exec'!$F53</f>
        <v>0</v>
      </c>
      <c r="AD57" s="89">
        <f>'PF-Exec'!$F53</f>
        <v>0</v>
      </c>
      <c r="AE57" s="97">
        <f>PFJPStorage!F53</f>
        <v>0</v>
      </c>
      <c r="AF57" s="89">
        <f>PFCapx2008!$F53</f>
        <v>5289</v>
      </c>
      <c r="AG57" s="89">
        <f>PFCapx2009!$F53</f>
        <v>10281</v>
      </c>
      <c r="AH57" s="89">
        <f>PFAssetMgt!$F53</f>
        <v>0</v>
      </c>
      <c r="AI57" s="89">
        <f>PFIncentives!$F53</f>
        <v>0</v>
      </c>
      <c r="AJ57" s="89">
        <f>PFInfoServ!$F53</f>
        <v>0</v>
      </c>
      <c r="AK57" s="89">
        <f>PFEmpBen!$F53</f>
        <v>0</v>
      </c>
      <c r="AL57" s="89">
        <f>PFInsur!$F53</f>
        <v>0</v>
      </c>
      <c r="AM57" s="89">
        <f>'PFJP11-open'!$F53</f>
        <v>0</v>
      </c>
      <c r="AN57" s="89">
        <f>'PF12-Open'!$F53</f>
        <v>0</v>
      </c>
      <c r="AO57" s="89"/>
      <c r="AP57" s="20">
        <f>SUM(AB57:AO57)</f>
        <v>253003</v>
      </c>
    </row>
    <row r="58" spans="1:43">
      <c r="A58" s="18">
        <v>33</v>
      </c>
      <c r="B58" s="20"/>
      <c r="C58" s="20" t="s">
        <v>100</v>
      </c>
      <c r="D58" s="20"/>
      <c r="E58" s="20"/>
      <c r="F58" s="815">
        <f>ResultSumGas!$F54</f>
        <v>23944</v>
      </c>
      <c r="G58" s="90">
        <f>DFIT!$F54</f>
        <v>0</v>
      </c>
      <c r="H58" s="90">
        <f>BldGain!$F54</f>
        <v>0</v>
      </c>
      <c r="I58" s="90">
        <f>GasInv!$F54</f>
        <v>0</v>
      </c>
      <c r="J58" s="90">
        <f>WznDSM!$F54</f>
        <v>0</v>
      </c>
      <c r="K58" s="90">
        <f>CustAdv!$F54</f>
        <v>0</v>
      </c>
      <c r="L58" s="90">
        <f>'DeprTrue-up'!$F54</f>
        <v>0</v>
      </c>
      <c r="M58" s="815">
        <f>SUM(F58:L58)</f>
        <v>23944</v>
      </c>
      <c r="N58" s="90">
        <f>WeatherGas!$F54</f>
        <v>0</v>
      </c>
      <c r="O58" s="90">
        <f>BandO!$F54</f>
        <v>0</v>
      </c>
      <c r="P58" s="90">
        <f>PropTax!$F54</f>
        <v>0</v>
      </c>
      <c r="Q58" s="90">
        <f>UncollExp!$F54</f>
        <v>0</v>
      </c>
      <c r="R58" s="90">
        <f>RegExp!$F54</f>
        <v>0</v>
      </c>
      <c r="S58" s="90">
        <f>InjDam!$F54</f>
        <v>0</v>
      </c>
      <c r="T58" s="90">
        <f>FIT!$F54</f>
        <v>0</v>
      </c>
      <c r="U58" s="1205">
        <f>GainsLosses!$F54</f>
        <v>0</v>
      </c>
      <c r="V58" s="90">
        <f>ElimAR!$F54</f>
        <v>0</v>
      </c>
      <c r="W58" s="90">
        <f>SubSpace!$F54</f>
        <v>0</v>
      </c>
      <c r="X58" s="90">
        <f>ExciseTax!$F54</f>
        <v>0</v>
      </c>
      <c r="Y58" s="90">
        <f>MiscReState!$F54</f>
        <v>0</v>
      </c>
      <c r="Z58" s="1197">
        <f>DebtInt!$F54</f>
        <v>0</v>
      </c>
      <c r="AA58" s="90"/>
      <c r="AB58" s="815">
        <f>SUM(M58:AA58)</f>
        <v>23944</v>
      </c>
      <c r="AC58" s="90">
        <f>'PFNon-Exec'!$F54</f>
        <v>0</v>
      </c>
      <c r="AD58" s="90">
        <f>'PF-Exec'!$F54</f>
        <v>0</v>
      </c>
      <c r="AE58" s="1199">
        <f>PFJPStorage!F54</f>
        <v>0</v>
      </c>
      <c r="AF58" s="90">
        <f>PFCapx2008!$F54</f>
        <v>2110</v>
      </c>
      <c r="AG58" s="90">
        <f>PFCapx2009!$F54</f>
        <v>4526</v>
      </c>
      <c r="AH58" s="90">
        <f>PFAssetMgt!$F54</f>
        <v>0</v>
      </c>
      <c r="AI58" s="90">
        <f>PFIncentives!$F54</f>
        <v>0</v>
      </c>
      <c r="AJ58" s="90">
        <f>PFInfoServ!$F54</f>
        <v>0</v>
      </c>
      <c r="AK58" s="90">
        <f>PFEmpBen!$F54</f>
        <v>0</v>
      </c>
      <c r="AL58" s="90">
        <f>PFInsur!$F54</f>
        <v>0</v>
      </c>
      <c r="AM58" s="90">
        <f>'PFJP11-open'!$F54</f>
        <v>0</v>
      </c>
      <c r="AN58" s="90">
        <f>'PF12-Open'!$F54</f>
        <v>0</v>
      </c>
      <c r="AO58" s="90"/>
      <c r="AP58" s="815">
        <f>SUM(AB58:AO58)</f>
        <v>30580</v>
      </c>
    </row>
    <row r="59" spans="1:43" ht="18" customHeight="1">
      <c r="A59" s="18">
        <v>34</v>
      </c>
      <c r="B59" s="20"/>
      <c r="C59" s="20"/>
      <c r="D59" s="20"/>
      <c r="E59" s="20" t="s">
        <v>101</v>
      </c>
      <c r="F59" s="20">
        <f t="shared" ref="F59:T59" si="18">SUM(F56:F58)</f>
        <v>274968</v>
      </c>
      <c r="G59" s="20">
        <f t="shared" si="18"/>
        <v>0</v>
      </c>
      <c r="H59" s="20">
        <f t="shared" si="18"/>
        <v>0</v>
      </c>
      <c r="I59" s="20">
        <f t="shared" si="18"/>
        <v>0</v>
      </c>
      <c r="J59" s="20">
        <f t="shared" si="18"/>
        <v>0</v>
      </c>
      <c r="K59" s="20">
        <f t="shared" si="18"/>
        <v>-52</v>
      </c>
      <c r="L59" s="20">
        <f t="shared" si="18"/>
        <v>0</v>
      </c>
      <c r="M59" s="20">
        <f t="shared" si="18"/>
        <v>274916</v>
      </c>
      <c r="N59" s="20">
        <f t="shared" si="18"/>
        <v>0</v>
      </c>
      <c r="O59" s="20">
        <f t="shared" si="18"/>
        <v>0</v>
      </c>
      <c r="P59" s="20">
        <f t="shared" si="18"/>
        <v>0</v>
      </c>
      <c r="Q59" s="20">
        <f t="shared" si="18"/>
        <v>0</v>
      </c>
      <c r="R59" s="20">
        <f t="shared" si="18"/>
        <v>0</v>
      </c>
      <c r="S59" s="20">
        <f t="shared" si="18"/>
        <v>0</v>
      </c>
      <c r="T59" s="20">
        <f t="shared" si="18"/>
        <v>0</v>
      </c>
      <c r="U59" s="20">
        <f>SUM(U56:U58)</f>
        <v>0</v>
      </c>
      <c r="V59" s="20">
        <f t="shared" ref="V59:AP59" si="19">SUM(V56:V58)</f>
        <v>0</v>
      </c>
      <c r="W59" s="20">
        <f t="shared" si="19"/>
        <v>0</v>
      </c>
      <c r="X59" s="20">
        <f t="shared" si="19"/>
        <v>0</v>
      </c>
      <c r="Y59" s="20">
        <f>SUM(Y56:Y58)</f>
        <v>0</v>
      </c>
      <c r="Z59" s="1198">
        <f>SUM(Z56:Z58)</f>
        <v>0</v>
      </c>
      <c r="AA59" s="20"/>
      <c r="AB59" s="20">
        <f t="shared" si="19"/>
        <v>274916</v>
      </c>
      <c r="AC59" s="20">
        <f>SUM(AC56:AC58)</f>
        <v>0</v>
      </c>
      <c r="AD59" s="20">
        <f>SUM(AD56:AD58)</f>
        <v>0</v>
      </c>
      <c r="AE59" s="20">
        <f>SUM(AE56:AE58)</f>
        <v>8614</v>
      </c>
      <c r="AF59" s="20">
        <f t="shared" si="19"/>
        <v>7919</v>
      </c>
      <c r="AG59" s="20">
        <f t="shared" si="19"/>
        <v>14960</v>
      </c>
      <c r="AH59" s="20">
        <f>SUM(AH56:AH58)</f>
        <v>0</v>
      </c>
      <c r="AI59" s="20">
        <f t="shared" si="19"/>
        <v>0</v>
      </c>
      <c r="AJ59" s="20">
        <f t="shared" si="19"/>
        <v>0</v>
      </c>
      <c r="AK59" s="20">
        <f t="shared" si="19"/>
        <v>0</v>
      </c>
      <c r="AL59" s="20">
        <f t="shared" si="19"/>
        <v>0</v>
      </c>
      <c r="AM59" s="20">
        <f t="shared" si="19"/>
        <v>0</v>
      </c>
      <c r="AN59" s="20">
        <f t="shared" si="19"/>
        <v>0</v>
      </c>
      <c r="AO59" s="20"/>
      <c r="AP59" s="20">
        <f t="shared" si="19"/>
        <v>306409</v>
      </c>
    </row>
    <row r="60" spans="1:43">
      <c r="B60" s="20" t="s">
        <v>102</v>
      </c>
      <c r="C60" s="20"/>
      <c r="D60" s="20"/>
      <c r="E60" s="20"/>
      <c r="F60" s="20"/>
      <c r="G60" s="89"/>
      <c r="H60" s="89"/>
      <c r="I60" s="89"/>
      <c r="J60" s="89"/>
      <c r="K60" s="89"/>
      <c r="L60" s="89"/>
      <c r="M60" s="20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1196"/>
      <c r="AA60" s="89"/>
      <c r="AB60" s="20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20"/>
    </row>
    <row r="61" spans="1:43">
      <c r="A61" s="18">
        <v>35</v>
      </c>
      <c r="B61" s="20"/>
      <c r="C61" s="20" t="s">
        <v>80</v>
      </c>
      <c r="D61" s="20"/>
      <c r="E61" s="20"/>
      <c r="F61" s="20">
        <f>ResultSumGas!$F57</f>
        <v>7516</v>
      </c>
      <c r="G61" s="89">
        <f>DFIT!$F57</f>
        <v>0</v>
      </c>
      <c r="H61" s="89">
        <f>BldGain!$F57</f>
        <v>0</v>
      </c>
      <c r="I61" s="89">
        <f>GasInv!$F57</f>
        <v>0</v>
      </c>
      <c r="J61" s="89">
        <f>WznDSM!$F57</f>
        <v>0</v>
      </c>
      <c r="K61" s="89">
        <f>CustAdv!$F57</f>
        <v>0</v>
      </c>
      <c r="L61" s="89">
        <f>'DeprTrue-up'!$F57</f>
        <v>0</v>
      </c>
      <c r="M61" s="20">
        <f>SUM(F61:L61)</f>
        <v>7516</v>
      </c>
      <c r="N61" s="89">
        <f>WeatherGas!$F57</f>
        <v>0</v>
      </c>
      <c r="O61" s="89">
        <f>BandO!$F57</f>
        <v>0</v>
      </c>
      <c r="P61" s="89">
        <f>PropTax!$F57</f>
        <v>0</v>
      </c>
      <c r="Q61" s="89">
        <f>UncollExp!$F57</f>
        <v>0</v>
      </c>
      <c r="R61" s="89">
        <f>RegExp!$F57</f>
        <v>0</v>
      </c>
      <c r="S61" s="89">
        <f>InjDam!$F57</f>
        <v>0</v>
      </c>
      <c r="T61" s="89">
        <f>FIT!$F57</f>
        <v>0</v>
      </c>
      <c r="U61" s="89">
        <f>GainsLosses!$F57</f>
        <v>0</v>
      </c>
      <c r="V61" s="89">
        <f>ElimAR!$F57</f>
        <v>0</v>
      </c>
      <c r="W61" s="89">
        <f>SubSpace!$F57</f>
        <v>0</v>
      </c>
      <c r="X61" s="89">
        <f>ExciseTax!$F57</f>
        <v>0</v>
      </c>
      <c r="Y61" s="89">
        <f>MiscReState!$F57</f>
        <v>0</v>
      </c>
      <c r="Z61" s="1196">
        <f>DebtInt!$F57</f>
        <v>0</v>
      </c>
      <c r="AA61" s="89"/>
      <c r="AB61" s="20">
        <f>SUM(M61:AA61)</f>
        <v>7516</v>
      </c>
      <c r="AC61" s="89">
        <f>'PFNon-Exec'!$F57</f>
        <v>0</v>
      </c>
      <c r="AD61" s="89">
        <f>'PF-Exec'!$F57</f>
        <v>0</v>
      </c>
      <c r="AE61" s="97">
        <f>PFJPStorage!F57</f>
        <v>266</v>
      </c>
      <c r="AF61" s="89">
        <f>PFCapx2008!$F57</f>
        <v>246</v>
      </c>
      <c r="AG61" s="89">
        <f>PFCapx2009!$F57</f>
        <v>139</v>
      </c>
      <c r="AH61" s="89">
        <f>PFAssetMgt!$F57</f>
        <v>0</v>
      </c>
      <c r="AI61" s="89">
        <f>PFIncentives!$F57</f>
        <v>0</v>
      </c>
      <c r="AJ61" s="89">
        <f>PFInfoServ!$F57</f>
        <v>0</v>
      </c>
      <c r="AK61" s="89">
        <f>PFEmpBen!$F57</f>
        <v>0</v>
      </c>
      <c r="AL61" s="89">
        <f>PFInsur!$F57</f>
        <v>0</v>
      </c>
      <c r="AM61" s="89">
        <f>'PFJP11-open'!$F57</f>
        <v>0</v>
      </c>
      <c r="AN61" s="89">
        <f>'PF12-Open'!$F57</f>
        <v>0</v>
      </c>
      <c r="AO61" s="89"/>
      <c r="AP61" s="20">
        <f>SUM(AB61:AO61)</f>
        <v>8167</v>
      </c>
    </row>
    <row r="62" spans="1:43">
      <c r="A62" s="18">
        <v>36</v>
      </c>
      <c r="B62" s="20"/>
      <c r="C62" s="20" t="s">
        <v>99</v>
      </c>
      <c r="D62" s="20"/>
      <c r="E62" s="20"/>
      <c r="F62" s="20">
        <f>ResultSumGas!$F58</f>
        <v>80580</v>
      </c>
      <c r="G62" s="89">
        <f>DFIT!$F58</f>
        <v>0</v>
      </c>
      <c r="H62" s="89">
        <f>BldGain!$F58</f>
        <v>0</v>
      </c>
      <c r="I62" s="89">
        <f>GasInv!$F58</f>
        <v>0</v>
      </c>
      <c r="J62" s="89">
        <f>WznDSM!$F58</f>
        <v>0</v>
      </c>
      <c r="K62" s="89">
        <f>CustAdv!$F58</f>
        <v>0</v>
      </c>
      <c r="L62" s="89">
        <f>'DeprTrue-up'!$F58</f>
        <v>0</v>
      </c>
      <c r="M62" s="20">
        <f>SUM(F62:L62)</f>
        <v>80580</v>
      </c>
      <c r="N62" s="89">
        <f>WeatherGas!$F58</f>
        <v>0</v>
      </c>
      <c r="O62" s="89">
        <f>BandO!$F58</f>
        <v>0</v>
      </c>
      <c r="P62" s="89">
        <f>PropTax!$F58</f>
        <v>0</v>
      </c>
      <c r="Q62" s="89">
        <f>UncollExp!$F58</f>
        <v>0</v>
      </c>
      <c r="R62" s="89">
        <f>RegExp!$F58</f>
        <v>0</v>
      </c>
      <c r="S62" s="89">
        <f>InjDam!$F58</f>
        <v>0</v>
      </c>
      <c r="T62" s="89">
        <f>FIT!$F58</f>
        <v>0</v>
      </c>
      <c r="U62" s="89">
        <f>GainsLosses!$F58</f>
        <v>0</v>
      </c>
      <c r="V62" s="89">
        <f>ElimAR!$F58</f>
        <v>0</v>
      </c>
      <c r="W62" s="89">
        <f>SubSpace!$F58</f>
        <v>0</v>
      </c>
      <c r="X62" s="89">
        <f>ExciseTax!$F58</f>
        <v>0</v>
      </c>
      <c r="Y62" s="89">
        <f>MiscReState!$F58</f>
        <v>0</v>
      </c>
      <c r="Z62" s="1196">
        <f>DebtInt!$F58</f>
        <v>0</v>
      </c>
      <c r="AA62" s="89"/>
      <c r="AB62" s="20">
        <f>SUM(M62:AA62)</f>
        <v>80580</v>
      </c>
      <c r="AC62" s="89">
        <f>'PFNon-Exec'!$F58</f>
        <v>0</v>
      </c>
      <c r="AD62" s="89">
        <f>'PF-Exec'!$F58</f>
        <v>0</v>
      </c>
      <c r="AE62" s="97">
        <f>PFJPStorage!F58</f>
        <v>0</v>
      </c>
      <c r="AF62" s="89">
        <f>PFCapx2008!$F58</f>
        <v>3900</v>
      </c>
      <c r="AG62" s="89">
        <f>PFCapx2009!$F58</f>
        <v>5139</v>
      </c>
      <c r="AH62" s="89">
        <f>PFAssetMgt!$F58</f>
        <v>0</v>
      </c>
      <c r="AI62" s="89">
        <f>PFIncentives!$F58</f>
        <v>0</v>
      </c>
      <c r="AJ62" s="89">
        <f>PFInfoServ!$F58</f>
        <v>0</v>
      </c>
      <c r="AK62" s="89">
        <f>PFEmpBen!$F58</f>
        <v>0</v>
      </c>
      <c r="AL62" s="89">
        <f>PFInsur!$F58</f>
        <v>0</v>
      </c>
      <c r="AM62" s="89">
        <f>'PFJP11-open'!$F58</f>
        <v>0</v>
      </c>
      <c r="AN62" s="89">
        <f>'PF12-Open'!$F58</f>
        <v>0</v>
      </c>
      <c r="AO62" s="89"/>
      <c r="AP62" s="20">
        <f>SUM(AB62:AO62)</f>
        <v>89619</v>
      </c>
    </row>
    <row r="63" spans="1:43">
      <c r="A63" s="18">
        <v>37</v>
      </c>
      <c r="B63" s="20"/>
      <c r="C63" s="20" t="s">
        <v>100</v>
      </c>
      <c r="D63" s="20"/>
      <c r="E63" s="20"/>
      <c r="F63" s="20">
        <f>ResultSumGas!$F59</f>
        <v>8155</v>
      </c>
      <c r="G63" s="89">
        <f>DFIT!$F59</f>
        <v>0</v>
      </c>
      <c r="H63" s="89">
        <f>BldGain!$F59</f>
        <v>0</v>
      </c>
      <c r="I63" s="89">
        <f>GasInv!$F59</f>
        <v>0</v>
      </c>
      <c r="J63" s="89">
        <f>WznDSM!$F59</f>
        <v>0</v>
      </c>
      <c r="K63" s="89">
        <f>CustAdv!$F59</f>
        <v>0</v>
      </c>
      <c r="L63" s="89">
        <f>'DeprTrue-up'!$F59</f>
        <v>0</v>
      </c>
      <c r="M63" s="20">
        <f>SUM(F63:L63)</f>
        <v>8155</v>
      </c>
      <c r="N63" s="89">
        <f>WeatherGas!$F59</f>
        <v>0</v>
      </c>
      <c r="O63" s="89">
        <f>BandO!$F59</f>
        <v>0</v>
      </c>
      <c r="P63" s="89">
        <f>PropTax!$F59</f>
        <v>0</v>
      </c>
      <c r="Q63" s="89">
        <f>UncollExp!$F59</f>
        <v>0</v>
      </c>
      <c r="R63" s="89">
        <f>RegExp!$F59</f>
        <v>0</v>
      </c>
      <c r="S63" s="89">
        <f>InjDam!$F59</f>
        <v>0</v>
      </c>
      <c r="T63" s="89">
        <f>FIT!$F59</f>
        <v>0</v>
      </c>
      <c r="U63" s="89">
        <f>GainsLosses!$F59</f>
        <v>0</v>
      </c>
      <c r="V63" s="89">
        <f>ElimAR!$F59</f>
        <v>0</v>
      </c>
      <c r="W63" s="89">
        <f>SubSpace!$F59</f>
        <v>0</v>
      </c>
      <c r="X63" s="89">
        <f>ExciseTax!$F59</f>
        <v>0</v>
      </c>
      <c r="Y63" s="89">
        <f>MiscReState!$F59</f>
        <v>0</v>
      </c>
      <c r="Z63" s="1196">
        <f>DebtInt!$F59</f>
        <v>0</v>
      </c>
      <c r="AA63" s="89"/>
      <c r="AB63" s="20">
        <f>SUM(M63:AA63)</f>
        <v>8155</v>
      </c>
      <c r="AC63" s="89">
        <f>'PFNon-Exec'!$F59</f>
        <v>0</v>
      </c>
      <c r="AD63" s="89">
        <f>'PF-Exec'!$F59</f>
        <v>0</v>
      </c>
      <c r="AE63" s="97">
        <f>PFJPStorage!F59</f>
        <v>0</v>
      </c>
      <c r="AF63" s="89">
        <f>PFCapx2008!$F59</f>
        <v>1239</v>
      </c>
      <c r="AG63" s="89">
        <f>PFCapx2009!$F59</f>
        <v>2203</v>
      </c>
      <c r="AH63" s="89">
        <f>PFAssetMgt!$F59</f>
        <v>0</v>
      </c>
      <c r="AI63" s="89">
        <f>PFIncentives!$F59</f>
        <v>0</v>
      </c>
      <c r="AJ63" s="89">
        <f>PFInfoServ!$F59</f>
        <v>0</v>
      </c>
      <c r="AK63" s="89">
        <f>PFEmpBen!$F59</f>
        <v>0</v>
      </c>
      <c r="AL63" s="89">
        <f>PFInsur!$F59</f>
        <v>0</v>
      </c>
      <c r="AM63" s="89">
        <f>'PFJP11-open'!$F59</f>
        <v>0</v>
      </c>
      <c r="AN63" s="89">
        <f>'PF12-Open'!$F59</f>
        <v>0</v>
      </c>
      <c r="AO63" s="89"/>
      <c r="AP63" s="20">
        <f>SUM(AB63:AO63)</f>
        <v>11597</v>
      </c>
    </row>
    <row r="64" spans="1:43">
      <c r="A64" s="18">
        <v>38</v>
      </c>
      <c r="B64" s="20"/>
      <c r="C64" s="20"/>
      <c r="D64" s="20"/>
      <c r="E64" s="20" t="s">
        <v>103</v>
      </c>
      <c r="F64" s="817">
        <f t="shared" ref="F64:T64" si="20">SUM(F61:F63)</f>
        <v>96251</v>
      </c>
      <c r="G64" s="817">
        <f t="shared" si="20"/>
        <v>0</v>
      </c>
      <c r="H64" s="817">
        <f t="shared" si="20"/>
        <v>0</v>
      </c>
      <c r="I64" s="817">
        <f t="shared" si="20"/>
        <v>0</v>
      </c>
      <c r="J64" s="817">
        <f t="shared" si="20"/>
        <v>0</v>
      </c>
      <c r="K64" s="817">
        <f t="shared" si="20"/>
        <v>0</v>
      </c>
      <c r="L64" s="817">
        <f t="shared" si="20"/>
        <v>0</v>
      </c>
      <c r="M64" s="817">
        <f t="shared" si="20"/>
        <v>96251</v>
      </c>
      <c r="N64" s="817">
        <f t="shared" si="20"/>
        <v>0</v>
      </c>
      <c r="O64" s="817">
        <f t="shared" si="20"/>
        <v>0</v>
      </c>
      <c r="P64" s="817">
        <f t="shared" si="20"/>
        <v>0</v>
      </c>
      <c r="Q64" s="817">
        <f t="shared" si="20"/>
        <v>0</v>
      </c>
      <c r="R64" s="817">
        <f t="shared" si="20"/>
        <v>0</v>
      </c>
      <c r="S64" s="817">
        <f t="shared" si="20"/>
        <v>0</v>
      </c>
      <c r="T64" s="817">
        <f t="shared" si="20"/>
        <v>0</v>
      </c>
      <c r="U64" s="817">
        <f>SUM(U61:U63)</f>
        <v>0</v>
      </c>
      <c r="V64" s="817">
        <f t="shared" ref="V64:AP64" si="21">SUM(V61:V63)</f>
        <v>0</v>
      </c>
      <c r="W64" s="817">
        <f t="shared" si="21"/>
        <v>0</v>
      </c>
      <c r="X64" s="817">
        <f t="shared" si="21"/>
        <v>0</v>
      </c>
      <c r="Y64" s="817">
        <f>SUM(Y61:Y63)</f>
        <v>0</v>
      </c>
      <c r="Z64" s="1206">
        <f>SUM(Z61:Z63)</f>
        <v>0</v>
      </c>
      <c r="AA64" s="817"/>
      <c r="AB64" s="817">
        <f t="shared" si="21"/>
        <v>96251</v>
      </c>
      <c r="AC64" s="817">
        <f>SUM(AC61:AC63)</f>
        <v>0</v>
      </c>
      <c r="AD64" s="817">
        <f>SUM(AD61:AD63)</f>
        <v>0</v>
      </c>
      <c r="AE64" s="817">
        <f>SUM(AE61:AE63)</f>
        <v>266</v>
      </c>
      <c r="AF64" s="817">
        <f t="shared" si="21"/>
        <v>5385</v>
      </c>
      <c r="AG64" s="817">
        <f t="shared" si="21"/>
        <v>7481</v>
      </c>
      <c r="AH64" s="817">
        <f>SUM(AH61:AH63)</f>
        <v>0</v>
      </c>
      <c r="AI64" s="817">
        <f t="shared" si="21"/>
        <v>0</v>
      </c>
      <c r="AJ64" s="817">
        <f t="shared" si="21"/>
        <v>0</v>
      </c>
      <c r="AK64" s="817">
        <f t="shared" si="21"/>
        <v>0</v>
      </c>
      <c r="AL64" s="817">
        <f t="shared" si="21"/>
        <v>0</v>
      </c>
      <c r="AM64" s="817">
        <f t="shared" si="21"/>
        <v>0</v>
      </c>
      <c r="AN64" s="817">
        <f t="shared" si="21"/>
        <v>0</v>
      </c>
      <c r="AO64" s="817"/>
      <c r="AP64" s="817">
        <f t="shared" si="21"/>
        <v>109383</v>
      </c>
    </row>
    <row r="65" spans="1:45" s="23" customFormat="1" ht="18.95" customHeight="1">
      <c r="A65" s="21">
        <v>39</v>
      </c>
      <c r="B65" s="22" t="s">
        <v>104</v>
      </c>
      <c r="C65" s="22"/>
      <c r="D65" s="22"/>
      <c r="E65" s="22"/>
      <c r="F65" s="22">
        <f>ResultSumGas!$F61</f>
        <v>0</v>
      </c>
      <c r="G65" s="92">
        <f>DFIT!$F61</f>
        <v>-27674</v>
      </c>
      <c r="H65" s="92">
        <f>BldGain!$F61</f>
        <v>23</v>
      </c>
      <c r="I65" s="92">
        <f>GasInv!$F61</f>
        <v>0</v>
      </c>
      <c r="J65" s="92">
        <f>WznDSM!$F61</f>
        <v>0</v>
      </c>
      <c r="K65" s="92">
        <f>CustAdv!$F61</f>
        <v>0</v>
      </c>
      <c r="L65" s="92">
        <f>'DeprTrue-up'!$F61</f>
        <v>0</v>
      </c>
      <c r="M65" s="22">
        <f>SUM(F65:L65)</f>
        <v>-27651</v>
      </c>
      <c r="N65" s="92">
        <f>WeatherGas!$F61</f>
        <v>0</v>
      </c>
      <c r="O65" s="92">
        <f>BandO!$F61</f>
        <v>0</v>
      </c>
      <c r="P65" s="92">
        <f>PropTax!$F61</f>
        <v>0</v>
      </c>
      <c r="Q65" s="92">
        <f>UncollExp!$F61</f>
        <v>0</v>
      </c>
      <c r="R65" s="92">
        <f>RegExp!$F61</f>
        <v>0</v>
      </c>
      <c r="S65" s="92">
        <f>InjDam!$F61</f>
        <v>0</v>
      </c>
      <c r="T65" s="92">
        <f>FIT!$F61</f>
        <v>0</v>
      </c>
      <c r="U65" s="92">
        <f>GainsLosses!$F61</f>
        <v>0</v>
      </c>
      <c r="V65" s="92">
        <f>ElimAR!$F61</f>
        <v>0</v>
      </c>
      <c r="W65" s="92">
        <f>SubSpace!$F61</f>
        <v>0</v>
      </c>
      <c r="X65" s="92">
        <f>ExciseTax!$F61</f>
        <v>0</v>
      </c>
      <c r="Y65" s="92">
        <f>MiscReState!$F61</f>
        <v>0</v>
      </c>
      <c r="Z65" s="1200">
        <f>DebtInt!$F61</f>
        <v>0</v>
      </c>
      <c r="AA65" s="92"/>
      <c r="AB65" s="22">
        <f>SUM(M65:AA65)</f>
        <v>-27651</v>
      </c>
      <c r="AC65" s="92">
        <f>'PFNon-Exec'!$F61</f>
        <v>0</v>
      </c>
      <c r="AD65" s="92">
        <f>'PF-Exec'!$F61</f>
        <v>0</v>
      </c>
      <c r="AE65" s="97">
        <f>PFJPStorage!F61</f>
        <v>-473</v>
      </c>
      <c r="AF65" s="92">
        <f>PFCapx2008!$F61</f>
        <v>-1300</v>
      </c>
      <c r="AG65" s="92">
        <f>PFCapx2009!$F61</f>
        <v>-1385</v>
      </c>
      <c r="AH65" s="92">
        <f>PFAssetMgt!$F61</f>
        <v>0</v>
      </c>
      <c r="AI65" s="92">
        <f>PFIncentives!$F61</f>
        <v>0</v>
      </c>
      <c r="AJ65" s="92">
        <f>PFInfoServ!$F61</f>
        <v>0</v>
      </c>
      <c r="AK65" s="92">
        <f>PFEmpBen!$F61</f>
        <v>0</v>
      </c>
      <c r="AL65" s="92">
        <f>PFInsur!$F61</f>
        <v>0</v>
      </c>
      <c r="AM65" s="92">
        <f>'PFJP11-open'!$F61</f>
        <v>0</v>
      </c>
      <c r="AN65" s="92">
        <f>'PF12-Open'!$F61</f>
        <v>0</v>
      </c>
      <c r="AO65" s="92"/>
      <c r="AP65" s="22">
        <f>SUM(AB65:AO65)</f>
        <v>-30809</v>
      </c>
      <c r="AQ65" s="185"/>
    </row>
    <row r="66" spans="1:45">
      <c r="A66" s="18">
        <v>40</v>
      </c>
      <c r="B66" s="20" t="s">
        <v>105</v>
      </c>
      <c r="C66" s="20"/>
      <c r="D66" s="20"/>
      <c r="E66" s="20"/>
      <c r="F66" s="20">
        <f>ResultSumGas!$F62</f>
        <v>0</v>
      </c>
      <c r="G66" s="89">
        <f>DFIT!$F62</f>
        <v>0</v>
      </c>
      <c r="H66" s="89">
        <f>BldGain!$F62</f>
        <v>0</v>
      </c>
      <c r="I66" s="89">
        <f>GasInv!$F62</f>
        <v>11064</v>
      </c>
      <c r="J66" s="89">
        <f>WznDSM!$F62</f>
        <v>0</v>
      </c>
      <c r="K66" s="89">
        <f>CustAdv!$F62</f>
        <v>0</v>
      </c>
      <c r="L66" s="89">
        <f>'DeprTrue-up'!$F62</f>
        <v>0</v>
      </c>
      <c r="M66" s="22">
        <f>SUM(F66:L66)</f>
        <v>11064</v>
      </c>
      <c r="N66" s="89">
        <f>WeatherGas!$F62</f>
        <v>0</v>
      </c>
      <c r="O66" s="89">
        <f>BandO!$F62</f>
        <v>0</v>
      </c>
      <c r="P66" s="89">
        <f>PropTax!$F62</f>
        <v>0</v>
      </c>
      <c r="Q66" s="89">
        <f>UncollExp!$F62</f>
        <v>0</v>
      </c>
      <c r="R66" s="89">
        <f>RegExp!$F62</f>
        <v>0</v>
      </c>
      <c r="S66" s="89">
        <f>InjDam!$F62</f>
        <v>0</v>
      </c>
      <c r="T66" s="89">
        <f>FIT!$F62</f>
        <v>0</v>
      </c>
      <c r="U66" s="89">
        <f>GainsLosses!$F62</f>
        <v>0</v>
      </c>
      <c r="V66" s="89">
        <f>ElimAR!$F62</f>
        <v>0</v>
      </c>
      <c r="W66" s="89">
        <f>SubSpace!$F62</f>
        <v>0</v>
      </c>
      <c r="X66" s="89">
        <f>ExciseTax!$F62</f>
        <v>0</v>
      </c>
      <c r="Y66" s="89">
        <f>MiscReState!$F62</f>
        <v>0</v>
      </c>
      <c r="Z66" s="1196">
        <f>DebtInt!$F62</f>
        <v>0</v>
      </c>
      <c r="AA66" s="89"/>
      <c r="AB66" s="22">
        <f>SUM(M66:AA66)</f>
        <v>11064</v>
      </c>
      <c r="AC66" s="89">
        <f>'PFNon-Exec'!$F62</f>
        <v>0</v>
      </c>
      <c r="AD66" s="89">
        <f>'PF-Exec'!$F62</f>
        <v>0</v>
      </c>
      <c r="AE66" s="97">
        <f>PFJPStorage!F62</f>
        <v>1047</v>
      </c>
      <c r="AF66" s="89">
        <f>PFCapx2008!$F62</f>
        <v>0</v>
      </c>
      <c r="AG66" s="89">
        <f>PFCapx2009!$F62</f>
        <v>0</v>
      </c>
      <c r="AH66" s="89">
        <f>PFAssetMgt!$F62</f>
        <v>0</v>
      </c>
      <c r="AI66" s="89">
        <f>PFIncentives!$F62</f>
        <v>0</v>
      </c>
      <c r="AJ66" s="89">
        <f>PFInfoServ!$F62</f>
        <v>0</v>
      </c>
      <c r="AK66" s="89">
        <f>PFEmpBen!$F62</f>
        <v>0</v>
      </c>
      <c r="AL66" s="89">
        <f>PFInsur!$F62</f>
        <v>0</v>
      </c>
      <c r="AM66" s="89">
        <f>'PFJP11-open'!$F62</f>
        <v>0</v>
      </c>
      <c r="AN66" s="89">
        <f>'PF12-Open'!$F62</f>
        <v>0</v>
      </c>
      <c r="AO66" s="89"/>
      <c r="AP66" s="22">
        <f>SUM(AB66:AO66)</f>
        <v>12111</v>
      </c>
    </row>
    <row r="67" spans="1:45">
      <c r="A67" s="18">
        <v>41</v>
      </c>
      <c r="B67" s="20" t="s">
        <v>106</v>
      </c>
      <c r="C67" s="20"/>
      <c r="D67" s="20"/>
      <c r="E67" s="20"/>
      <c r="F67" s="815">
        <f>ResultSumGas!$F63</f>
        <v>0</v>
      </c>
      <c r="G67" s="90">
        <f>DFIT!$F63</f>
        <v>0</v>
      </c>
      <c r="H67" s="90">
        <f>BldGain!$F63</f>
        <v>-65</v>
      </c>
      <c r="I67" s="90">
        <f>GasInv!$F63</f>
        <v>0</v>
      </c>
      <c r="J67" s="90">
        <f>WznDSM!$F63</f>
        <v>0</v>
      </c>
      <c r="K67" s="90">
        <f>CustAdv!$F63</f>
        <v>0</v>
      </c>
      <c r="L67" s="90">
        <f>'DeprTrue-up'!$F63</f>
        <v>0</v>
      </c>
      <c r="M67" s="815">
        <f>SUM(F67:L67)</f>
        <v>-65</v>
      </c>
      <c r="N67" s="90">
        <f>WeatherGas!$F63</f>
        <v>0</v>
      </c>
      <c r="O67" s="90">
        <f>BandO!$F63</f>
        <v>0</v>
      </c>
      <c r="P67" s="90">
        <f>PropTax!$F63</f>
        <v>0</v>
      </c>
      <c r="Q67" s="90">
        <f>UncollExp!$F63</f>
        <v>0</v>
      </c>
      <c r="R67" s="90">
        <f>RegExp!$F63</f>
        <v>0</v>
      </c>
      <c r="S67" s="90">
        <f>InjDam!$F63</f>
        <v>0</v>
      </c>
      <c r="T67" s="90">
        <f>FIT!$F63</f>
        <v>0</v>
      </c>
      <c r="U67" s="90">
        <f>GainsLosses!$F63</f>
        <v>0</v>
      </c>
      <c r="V67" s="90">
        <f>ElimAR!$F63</f>
        <v>0</v>
      </c>
      <c r="W67" s="90">
        <f>SubSpace!$F63</f>
        <v>0</v>
      </c>
      <c r="X67" s="90">
        <f>ExciseTax!$F63</f>
        <v>0</v>
      </c>
      <c r="Y67" s="90">
        <f>MiscReState!$F63</f>
        <v>0</v>
      </c>
      <c r="Z67" s="1197">
        <f>DebtInt!$F63</f>
        <v>0</v>
      </c>
      <c r="AA67" s="90"/>
      <c r="AB67" s="815">
        <f>SUM(M67:AA67)</f>
        <v>-65</v>
      </c>
      <c r="AC67" s="90">
        <f>'PFNon-Exec'!$F63</f>
        <v>0</v>
      </c>
      <c r="AD67" s="90">
        <f>'PF-Exec'!$F63</f>
        <v>0</v>
      </c>
      <c r="AE67" s="1199">
        <f>PFJPStorage!F63</f>
        <v>0</v>
      </c>
      <c r="AF67" s="90">
        <f>PFCapx2008!$F63</f>
        <v>0</v>
      </c>
      <c r="AG67" s="90">
        <f>PFCapx2009!$F63</f>
        <v>0</v>
      </c>
      <c r="AH67" s="90">
        <f>PFAssetMgt!$F63</f>
        <v>0</v>
      </c>
      <c r="AI67" s="90">
        <f>PFIncentives!$F63</f>
        <v>0</v>
      </c>
      <c r="AJ67" s="90">
        <f>PFInfoServ!$F63</f>
        <v>0</v>
      </c>
      <c r="AK67" s="90">
        <f>PFEmpBen!$F63</f>
        <v>0</v>
      </c>
      <c r="AL67" s="90">
        <f>PFInsur!$F63</f>
        <v>0</v>
      </c>
      <c r="AM67" s="90">
        <f>'PFJP11-open'!$F63</f>
        <v>0</v>
      </c>
      <c r="AN67" s="90">
        <f>'PF12-Open'!$F63</f>
        <v>0</v>
      </c>
      <c r="AO67" s="90"/>
      <c r="AP67" s="815">
        <f>SUM(AB67:AO67)</f>
        <v>-65</v>
      </c>
    </row>
    <row r="68" spans="1:45">
      <c r="U68" s="809"/>
      <c r="Z68" s="1178"/>
    </row>
    <row r="69" spans="1:45" s="19" customFormat="1" ht="13.5" thickBot="1">
      <c r="A69" s="18">
        <v>42</v>
      </c>
      <c r="B69" s="19" t="s">
        <v>107</v>
      </c>
      <c r="F69" s="816">
        <f t="shared" ref="F69:T69" si="22">F59-F64+F65+F66+F67</f>
        <v>178717</v>
      </c>
      <c r="G69" s="816">
        <f t="shared" si="22"/>
        <v>-27674</v>
      </c>
      <c r="H69" s="816">
        <f t="shared" si="22"/>
        <v>-42</v>
      </c>
      <c r="I69" s="816">
        <f t="shared" si="22"/>
        <v>11064</v>
      </c>
      <c r="J69" s="816">
        <f t="shared" si="22"/>
        <v>0</v>
      </c>
      <c r="K69" s="816">
        <f>K59-K64+K65+K66+K67</f>
        <v>-52</v>
      </c>
      <c r="L69" s="816">
        <f t="shared" si="22"/>
        <v>0</v>
      </c>
      <c r="M69" s="816">
        <f t="shared" si="22"/>
        <v>162013</v>
      </c>
      <c r="N69" s="816">
        <f t="shared" si="22"/>
        <v>0</v>
      </c>
      <c r="O69" s="816">
        <f t="shared" si="22"/>
        <v>0</v>
      </c>
      <c r="P69" s="816">
        <f t="shared" si="22"/>
        <v>0</v>
      </c>
      <c r="Q69" s="816">
        <f t="shared" si="22"/>
        <v>0</v>
      </c>
      <c r="R69" s="816">
        <f t="shared" si="22"/>
        <v>0</v>
      </c>
      <c r="S69" s="816">
        <f t="shared" si="22"/>
        <v>0</v>
      </c>
      <c r="T69" s="816">
        <f t="shared" si="22"/>
        <v>0</v>
      </c>
      <c r="U69" s="816">
        <f t="shared" ref="U69:AD69" si="23">U59-U64+U65+U66+U67</f>
        <v>0</v>
      </c>
      <c r="V69" s="816">
        <f t="shared" si="23"/>
        <v>0</v>
      </c>
      <c r="W69" s="816">
        <f t="shared" si="23"/>
        <v>0</v>
      </c>
      <c r="X69" s="816">
        <f>X59-X64+X65+X66+X67</f>
        <v>0</v>
      </c>
      <c r="Y69" s="816">
        <f>Y59-Y64+Y65+Y66+Y67</f>
        <v>0</v>
      </c>
      <c r="Z69" s="1202">
        <f>Z59-Z64+Z65+Z66+Z67</f>
        <v>0</v>
      </c>
      <c r="AA69" s="816"/>
      <c r="AB69" s="816">
        <f t="shared" si="23"/>
        <v>162013</v>
      </c>
      <c r="AC69" s="816">
        <f t="shared" si="23"/>
        <v>0</v>
      </c>
      <c r="AD69" s="816">
        <f t="shared" si="23"/>
        <v>0</v>
      </c>
      <c r="AE69" s="816">
        <f t="shared" ref="AE69:AL69" si="24">AE59-AE64+AE65+AE66+AE67</f>
        <v>8922</v>
      </c>
      <c r="AF69" s="816">
        <f t="shared" si="24"/>
        <v>1234</v>
      </c>
      <c r="AG69" s="816">
        <f t="shared" si="24"/>
        <v>6094</v>
      </c>
      <c r="AH69" s="816">
        <f>AH59-AH64+AH65+AH66+AH67</f>
        <v>0</v>
      </c>
      <c r="AI69" s="816">
        <f t="shared" si="24"/>
        <v>0</v>
      </c>
      <c r="AJ69" s="816">
        <f>AJ59-AJ64+AJ65+AJ66+AJ67</f>
        <v>0</v>
      </c>
      <c r="AK69" s="816">
        <f t="shared" si="24"/>
        <v>0</v>
      </c>
      <c r="AL69" s="816">
        <f t="shared" si="24"/>
        <v>0</v>
      </c>
      <c r="AM69" s="816">
        <f>AM59-AM64+AM65+AM66+AM67</f>
        <v>0</v>
      </c>
      <c r="AN69" s="816">
        <f>AN59-AN64+AN65+AN66+AN67</f>
        <v>0</v>
      </c>
      <c r="AO69" s="816"/>
      <c r="AP69" s="816">
        <f>AP59-AP64+AP65+AP66+AP67</f>
        <v>178263</v>
      </c>
      <c r="AQ69" s="185"/>
    </row>
    <row r="70" spans="1:45" ht="18" customHeight="1" thickTop="1">
      <c r="A70" s="18">
        <v>43</v>
      </c>
      <c r="B70" s="2" t="s">
        <v>108</v>
      </c>
      <c r="F70" s="2"/>
      <c r="M70" s="24">
        <f>ROUND(M52/M69,4)</f>
        <v>7.4399999999999994E-2</v>
      </c>
      <c r="Z70" s="1178"/>
      <c r="AB70" s="24">
        <f>ROUND(AB52/AB69,4)</f>
        <v>0.1004</v>
      </c>
      <c r="AP70" s="24">
        <f>ROUND(AP52/AP69,4)</f>
        <v>6.9800000000000001E-2</v>
      </c>
    </row>
    <row r="71" spans="1:45">
      <c r="F71" s="24">
        <f>ROUND(F52/F69,4)</f>
        <v>6.7199999999999996E-2</v>
      </c>
      <c r="Z71" s="1178"/>
    </row>
    <row r="72" spans="1:45">
      <c r="Z72" s="1178"/>
    </row>
    <row r="73" spans="1:45" s="1101" customFormat="1">
      <c r="A73" s="1100"/>
      <c r="E73" s="1102" t="s">
        <v>494</v>
      </c>
      <c r="F73" s="62">
        <f>'RevReqEx-WA'!L20</f>
        <v>8.249999999999999E-2</v>
      </c>
      <c r="G73" s="1099"/>
      <c r="H73" s="1099"/>
      <c r="I73" s="1099"/>
      <c r="J73" s="1099"/>
      <c r="K73" s="1099"/>
      <c r="L73" s="1099"/>
      <c r="M73" s="1099"/>
      <c r="N73" s="1099"/>
      <c r="O73" s="1099"/>
      <c r="P73" s="1099"/>
      <c r="Q73" s="1099"/>
      <c r="R73" s="1099"/>
      <c r="S73" s="1099"/>
      <c r="T73" s="1099"/>
      <c r="U73" s="1207"/>
      <c r="V73" s="1099"/>
      <c r="W73" s="1099"/>
      <c r="X73" s="1099"/>
      <c r="Y73" s="1099"/>
      <c r="Z73" s="1178"/>
      <c r="AA73" s="1099"/>
      <c r="AB73" s="1099"/>
      <c r="AC73" s="1099"/>
      <c r="AD73" s="1099"/>
      <c r="AE73" s="1099"/>
      <c r="AF73" s="1099"/>
      <c r="AG73" s="1099"/>
      <c r="AH73" s="1099"/>
      <c r="AI73" s="1099"/>
      <c r="AJ73" s="1099"/>
      <c r="AK73" s="1099"/>
      <c r="AL73" s="1099"/>
      <c r="AM73" s="1099"/>
      <c r="AN73" s="1099"/>
      <c r="AO73" s="1099"/>
      <c r="AP73" s="1099"/>
      <c r="AQ73" s="1103"/>
      <c r="AS73" s="1208"/>
    </row>
    <row r="74" spans="1:45" s="1101" customFormat="1">
      <c r="A74" s="1104"/>
      <c r="E74" s="1102" t="s">
        <v>404</v>
      </c>
      <c r="F74" s="1097">
        <f>'RevReqEx-WA'!F22</f>
        <v>0.62208835000000007</v>
      </c>
      <c r="G74" s="1099"/>
      <c r="H74" s="1099"/>
      <c r="I74" s="1099"/>
      <c r="J74" s="1099"/>
      <c r="K74" s="1099"/>
      <c r="L74" s="1099"/>
      <c r="M74" s="1099"/>
      <c r="N74" s="1099"/>
      <c r="O74" s="1099"/>
      <c r="P74" s="1099"/>
      <c r="Q74" s="1099"/>
      <c r="R74" s="1099"/>
      <c r="S74" s="1099"/>
      <c r="T74" s="1099"/>
      <c r="U74" s="1207"/>
      <c r="V74" s="1099"/>
      <c r="W74" s="1099"/>
      <c r="X74" s="1099"/>
      <c r="Y74" s="1099"/>
      <c r="Z74" s="1178"/>
      <c r="AA74" s="1099"/>
      <c r="AB74" s="1099"/>
      <c r="AC74" s="1099"/>
      <c r="AD74" s="1099"/>
      <c r="AE74" s="1099"/>
      <c r="AF74" s="1099"/>
      <c r="AG74" s="1099"/>
      <c r="AH74" s="1099"/>
      <c r="AI74" s="1099"/>
      <c r="AJ74" s="1099"/>
      <c r="AK74" s="1099"/>
      <c r="AL74" s="1099"/>
      <c r="AM74" s="1099"/>
      <c r="AN74" s="1099"/>
      <c r="AO74" s="1099"/>
      <c r="AP74" s="1099"/>
      <c r="AQ74" s="1103"/>
      <c r="AS74" s="1208"/>
    </row>
    <row r="75" spans="1:45" s="1101" customFormat="1">
      <c r="A75" s="1104"/>
      <c r="E75" s="1102"/>
      <c r="F75" s="1098"/>
      <c r="G75" s="1099"/>
      <c r="H75" s="1099"/>
      <c r="I75" s="1099"/>
      <c r="J75" s="1099"/>
      <c r="K75" s="1099"/>
      <c r="L75" s="1099"/>
      <c r="M75" s="1099"/>
      <c r="N75" s="1099"/>
      <c r="O75" s="1099"/>
      <c r="P75" s="1099"/>
      <c r="Q75" s="1099"/>
      <c r="R75" s="1099"/>
      <c r="S75" s="1099"/>
      <c r="T75" s="1099"/>
      <c r="U75" s="1207"/>
      <c r="V75" s="1099"/>
      <c r="W75" s="1099"/>
      <c r="X75" s="1099"/>
      <c r="Y75" s="1099"/>
      <c r="Z75" s="1178"/>
      <c r="AA75" s="1099"/>
      <c r="AB75" s="1099"/>
      <c r="AC75" s="1099"/>
      <c r="AD75" s="1099"/>
      <c r="AE75" s="1099"/>
      <c r="AF75" s="1099"/>
      <c r="AG75" s="1099"/>
      <c r="AH75" s="1099"/>
      <c r="AI75" s="1099"/>
      <c r="AJ75" s="1099"/>
      <c r="AK75" s="1099"/>
      <c r="AL75" s="1099"/>
      <c r="AM75" s="1099"/>
      <c r="AN75" s="1099"/>
      <c r="AO75" s="1099"/>
      <c r="AP75" s="1099"/>
      <c r="AQ75" s="1103"/>
      <c r="AS75" s="1208"/>
    </row>
    <row r="76" spans="1:45" s="1101" customFormat="1">
      <c r="A76" s="1166" t="s">
        <v>526</v>
      </c>
      <c r="B76" s="1169"/>
      <c r="C76" s="1169"/>
      <c r="D76" s="1169"/>
      <c r="E76" s="1170" t="s">
        <v>495</v>
      </c>
      <c r="F76" s="1171">
        <f>F69*$F$73-F52</f>
        <v>2740.1524999999983</v>
      </c>
      <c r="G76" s="1171">
        <f t="shared" ref="G76:L76" si="25">G69*$F$73-G52</f>
        <v>-2283.1049999999996</v>
      </c>
      <c r="H76" s="1171">
        <f t="shared" si="25"/>
        <v>-3.4649999999999994</v>
      </c>
      <c r="I76" s="1171">
        <f t="shared" si="25"/>
        <v>912.77999999999986</v>
      </c>
      <c r="J76" s="1171">
        <f t="shared" si="25"/>
        <v>0</v>
      </c>
      <c r="K76" s="1171">
        <f t="shared" si="25"/>
        <v>-4.2899999999999991</v>
      </c>
      <c r="L76" s="1171">
        <f t="shared" si="25"/>
        <v>-54</v>
      </c>
      <c r="M76" s="1172"/>
      <c r="N76" s="1171">
        <f t="shared" ref="N76:Z76" si="26">N69*$F$73-N52</f>
        <v>-3648</v>
      </c>
      <c r="O76" s="1171">
        <f t="shared" si="26"/>
        <v>4</v>
      </c>
      <c r="P76" s="1171">
        <f t="shared" si="26"/>
        <v>-193</v>
      </c>
      <c r="Q76" s="1171">
        <f t="shared" si="26"/>
        <v>-93</v>
      </c>
      <c r="R76" s="1171">
        <f t="shared" si="26"/>
        <v>9</v>
      </c>
      <c r="S76" s="1171">
        <f t="shared" si="26"/>
        <v>-42</v>
      </c>
      <c r="T76" s="1171">
        <f t="shared" si="26"/>
        <v>10</v>
      </c>
      <c r="U76" s="1171">
        <f t="shared" si="26"/>
        <v>-8</v>
      </c>
      <c r="V76" s="1171">
        <f t="shared" si="26"/>
        <v>-55</v>
      </c>
      <c r="W76" s="1171">
        <f t="shared" si="26"/>
        <v>-1</v>
      </c>
      <c r="X76" s="1171">
        <f t="shared" si="26"/>
        <v>51</v>
      </c>
      <c r="Y76" s="1171">
        <f>Y69*$F$73-Y52</f>
        <v>-56</v>
      </c>
      <c r="Z76" s="1171">
        <f t="shared" si="26"/>
        <v>-186.56095499999986</v>
      </c>
      <c r="AA76" s="1172"/>
      <c r="AB76" s="1172"/>
      <c r="AC76" s="1171">
        <f t="shared" ref="AC76:AI76" si="27">AC69*$F$73-AC52</f>
        <v>511</v>
      </c>
      <c r="AD76" s="1171">
        <f t="shared" si="27"/>
        <v>44</v>
      </c>
      <c r="AE76" s="1171">
        <f t="shared" si="27"/>
        <v>2514.0650000000001</v>
      </c>
      <c r="AF76" s="1171">
        <f t="shared" si="27"/>
        <v>-192.19499999999999</v>
      </c>
      <c r="AG76" s="1171">
        <f t="shared" si="27"/>
        <v>1098.7549999999999</v>
      </c>
      <c r="AH76" s="1172"/>
      <c r="AI76" s="1171">
        <f t="shared" si="27"/>
        <v>99</v>
      </c>
      <c r="AJ76" s="1172"/>
      <c r="AK76" s="1172"/>
      <c r="AL76" s="1172"/>
      <c r="AM76" s="1172"/>
      <c r="AN76" s="1172"/>
      <c r="AO76" s="1172"/>
      <c r="AP76" s="1171">
        <f>AP69*$F$73-AP52</f>
        <v>2255.1365449999976</v>
      </c>
      <c r="AQ76" s="1103"/>
      <c r="AS76" s="1208"/>
    </row>
    <row r="77" spans="1:45" s="1101" customFormat="1">
      <c r="A77" s="1173"/>
      <c r="B77" s="1169"/>
      <c r="C77" s="1169"/>
      <c r="D77" s="1169"/>
      <c r="E77" s="1175" t="s">
        <v>529</v>
      </c>
      <c r="F77" s="1171">
        <f>F76/$F$74</f>
        <v>4404.7642107427309</v>
      </c>
      <c r="G77" s="1171">
        <f t="shared" ref="G77:L77" si="28">G76/$F$74</f>
        <v>-3670.0655140061685</v>
      </c>
      <c r="H77" s="1171">
        <f t="shared" si="28"/>
        <v>-5.5699483843412256</v>
      </c>
      <c r="I77" s="1171">
        <f t="shared" si="28"/>
        <v>1467.2835458178886</v>
      </c>
      <c r="J77" s="1171">
        <f t="shared" si="28"/>
        <v>0</v>
      </c>
      <c r="K77" s="1171">
        <f t="shared" si="28"/>
        <v>-6.8961265710891366</v>
      </c>
      <c r="L77" s="1171">
        <f t="shared" si="28"/>
        <v>-86.804390405317818</v>
      </c>
      <c r="M77" s="1172"/>
      <c r="N77" s="1171">
        <f t="shared" ref="N77:Z77" si="29">N76/$F$74</f>
        <v>-5864.1188184925813</v>
      </c>
      <c r="O77" s="1171">
        <f t="shared" si="29"/>
        <v>6.429954844838357</v>
      </c>
      <c r="P77" s="1171">
        <f t="shared" si="29"/>
        <v>-310.24532126345071</v>
      </c>
      <c r="Q77" s="1171">
        <f t="shared" si="29"/>
        <v>-149.4964501424918</v>
      </c>
      <c r="R77" s="1171">
        <f t="shared" si="29"/>
        <v>14.467398400886303</v>
      </c>
      <c r="S77" s="1171">
        <f t="shared" si="29"/>
        <v>-67.514525870802743</v>
      </c>
      <c r="T77" s="1171">
        <f t="shared" si="29"/>
        <v>16.074887112095894</v>
      </c>
      <c r="U77" s="1171">
        <f t="shared" si="29"/>
        <v>-12.859909689676714</v>
      </c>
      <c r="V77" s="1171">
        <f t="shared" si="29"/>
        <v>-88.411879116527416</v>
      </c>
      <c r="W77" s="1171">
        <f t="shared" si="29"/>
        <v>-1.6074887112095892</v>
      </c>
      <c r="X77" s="1171">
        <f t="shared" si="29"/>
        <v>81.981924271689053</v>
      </c>
      <c r="Y77" s="1171">
        <f t="shared" si="29"/>
        <v>-90.019367827737</v>
      </c>
      <c r="Z77" s="1171">
        <f t="shared" si="29"/>
        <v>-299.89462911497998</v>
      </c>
      <c r="AA77" s="1172"/>
      <c r="AB77" s="1172"/>
      <c r="AC77" s="1171">
        <f t="shared" ref="AC77:AI77" si="30">AC76/$F$74</f>
        <v>821.42673142810008</v>
      </c>
      <c r="AD77" s="1171">
        <f t="shared" si="30"/>
        <v>70.729503293221924</v>
      </c>
      <c r="AE77" s="1171">
        <f t="shared" si="30"/>
        <v>4041.3311067471363</v>
      </c>
      <c r="AF77" s="1171">
        <f t="shared" si="30"/>
        <v>-308.95129285092702</v>
      </c>
      <c r="AG77" s="1171">
        <f t="shared" si="30"/>
        <v>1766.236258885092</v>
      </c>
      <c r="AH77" s="1172"/>
      <c r="AI77" s="1171">
        <f t="shared" si="30"/>
        <v>159.14138240974933</v>
      </c>
      <c r="AJ77" s="1172"/>
      <c r="AK77" s="1172"/>
      <c r="AL77" s="1172"/>
      <c r="AM77" s="1172"/>
      <c r="AN77" s="1172"/>
      <c r="AO77" s="1172"/>
      <c r="AP77" s="1171">
        <f>AP76/$F$74</f>
        <v>3625.1065383236919</v>
      </c>
      <c r="AQ77" s="1103"/>
      <c r="AS77" s="1208"/>
    </row>
    <row r="78" spans="1:45" s="1101" customFormat="1">
      <c r="A78" s="1104"/>
      <c r="E78" s="1102"/>
      <c r="F78" s="1098"/>
      <c r="G78" s="1098"/>
      <c r="H78" s="1098"/>
      <c r="I78" s="1098"/>
      <c r="J78" s="1098"/>
      <c r="K78" s="1098"/>
      <c r="L78" s="1098"/>
      <c r="M78" s="1099"/>
      <c r="N78" s="1098"/>
      <c r="O78" s="1098"/>
      <c r="P78" s="1098"/>
      <c r="Q78" s="1098"/>
      <c r="R78" s="1098"/>
      <c r="S78" s="1098"/>
      <c r="T78" s="1098"/>
      <c r="U78" s="1098"/>
      <c r="V78" s="1098"/>
      <c r="W78" s="1098"/>
      <c r="X78" s="1098"/>
      <c r="Y78" s="1098"/>
      <c r="Z78" s="1177"/>
      <c r="AA78" s="1099"/>
      <c r="AB78" s="1099"/>
      <c r="AC78" s="1098"/>
      <c r="AD78" s="1098"/>
      <c r="AE78" s="1098"/>
      <c r="AF78" s="1098"/>
      <c r="AG78" s="1098"/>
      <c r="AH78" s="1099"/>
      <c r="AI78" s="1098"/>
      <c r="AJ78" s="1099"/>
      <c r="AK78" s="1099"/>
      <c r="AL78" s="1099"/>
      <c r="AM78" s="1099"/>
      <c r="AN78" s="1099"/>
      <c r="AO78" s="1099"/>
      <c r="AP78" s="1098"/>
      <c r="AQ78" s="1103"/>
      <c r="AS78" s="1208"/>
    </row>
    <row r="79" spans="1:45" s="1101" customFormat="1">
      <c r="A79" s="1165" t="s">
        <v>522</v>
      </c>
      <c r="C79" s="905"/>
      <c r="D79" s="905"/>
      <c r="E79" s="905" t="s">
        <v>523</v>
      </c>
      <c r="F79" s="62">
        <v>8.6800000000000002E-2</v>
      </c>
      <c r="G79" s="1098"/>
      <c r="H79" s="1098"/>
      <c r="I79" s="1098"/>
      <c r="J79" s="1098"/>
      <c r="K79" s="1098"/>
      <c r="L79" s="1098"/>
      <c r="M79" s="1099"/>
      <c r="N79" s="1098"/>
      <c r="O79" s="1098"/>
      <c r="P79" s="1098"/>
      <c r="Q79" s="1098"/>
      <c r="R79" s="1098"/>
      <c r="S79" s="1098"/>
      <c r="T79" s="1098"/>
      <c r="U79" s="1098"/>
      <c r="V79" s="1098"/>
      <c r="W79" s="1098"/>
      <c r="X79" s="1098"/>
      <c r="Y79" s="1098"/>
      <c r="Z79" s="1177"/>
      <c r="AA79" s="1099"/>
      <c r="AB79" s="1099"/>
      <c r="AC79" s="1098"/>
      <c r="AD79" s="1098"/>
      <c r="AE79" s="1098"/>
      <c r="AF79" s="1098"/>
      <c r="AG79" s="1098"/>
      <c r="AH79" s="1099"/>
      <c r="AI79" s="1098"/>
      <c r="AJ79" s="1099"/>
      <c r="AK79" s="1099"/>
      <c r="AL79" s="1099"/>
      <c r="AM79" s="1099"/>
      <c r="AN79" s="1099"/>
      <c r="AO79" s="1099"/>
      <c r="AP79" s="1098"/>
      <c r="AQ79" s="1103"/>
      <c r="AS79" s="1208"/>
    </row>
    <row r="80" spans="1:45" s="1101" customFormat="1">
      <c r="A80" s="1104"/>
      <c r="B80" s="908"/>
      <c r="C80" s="905"/>
      <c r="D80" s="905"/>
      <c r="E80" s="62" t="s">
        <v>524</v>
      </c>
      <c r="F80" s="1098">
        <v>3508.6355999999996</v>
      </c>
      <c r="G80" s="1098">
        <v>-2402.1032</v>
      </c>
      <c r="H80" s="1098">
        <v>-3.6456</v>
      </c>
      <c r="I80" s="1098">
        <v>960.35519999999997</v>
      </c>
      <c r="J80" s="1098">
        <v>0</v>
      </c>
      <c r="K80" s="1098">
        <v>-4.5136000000000003</v>
      </c>
      <c r="L80" s="1098">
        <v>-54</v>
      </c>
      <c r="M80" s="1099"/>
      <c r="N80" s="1098">
        <v>-3648</v>
      </c>
      <c r="O80" s="1098">
        <v>4</v>
      </c>
      <c r="P80" s="1098">
        <v>-193</v>
      </c>
      <c r="Q80" s="1098">
        <v>-93</v>
      </c>
      <c r="R80" s="1098">
        <v>9</v>
      </c>
      <c r="S80" s="1098">
        <v>-42</v>
      </c>
      <c r="T80" s="1098">
        <v>10</v>
      </c>
      <c r="U80" s="1098">
        <v>-8</v>
      </c>
      <c r="V80" s="1098">
        <v>-55</v>
      </c>
      <c r="W80" s="1098">
        <v>-1</v>
      </c>
      <c r="X80" s="1098">
        <v>51</v>
      </c>
      <c r="Y80" s="1098">
        <v>-56</v>
      </c>
      <c r="Z80" s="1177">
        <v>-149.12572500000013</v>
      </c>
      <c r="AA80" s="1099"/>
      <c r="AB80" s="1099"/>
      <c r="AC80" s="1098">
        <v>511</v>
      </c>
      <c r="AD80" s="1098">
        <v>44</v>
      </c>
      <c r="AE80" s="1098">
        <v>2552.4295999999999</v>
      </c>
      <c r="AF80" s="1098">
        <v>-186.8888</v>
      </c>
      <c r="AG80" s="1098">
        <v>1124.9592</v>
      </c>
      <c r="AH80" s="1099"/>
      <c r="AI80" s="1098">
        <v>99</v>
      </c>
      <c r="AJ80" s="1099"/>
      <c r="AK80" s="1099"/>
      <c r="AL80" s="1099"/>
      <c r="AM80" s="1099"/>
      <c r="AN80" s="1099"/>
      <c r="AO80" s="1099"/>
      <c r="AP80" s="1098">
        <v>3059.1026750000001</v>
      </c>
      <c r="AQ80" s="1103"/>
      <c r="AS80" s="1208"/>
    </row>
    <row r="81" spans="1:45" s="1101" customFormat="1">
      <c r="A81" s="1104"/>
      <c r="B81" s="908"/>
      <c r="C81" s="905"/>
      <c r="D81" s="905"/>
      <c r="E81" s="905" t="s">
        <v>525</v>
      </c>
      <c r="F81" s="1098">
        <v>5640.548648153328</v>
      </c>
      <c r="G81" s="1098">
        <v>-3861.6663290667129</v>
      </c>
      <c r="H81" s="1098">
        <v>-5.8607351962420307</v>
      </c>
      <c r="I81" s="1098">
        <v>1543.8851002671863</v>
      </c>
      <c r="J81" s="1098">
        <v>0</v>
      </c>
      <c r="K81" s="1098">
        <v>-7.2561483382044187</v>
      </c>
      <c r="L81" s="1098">
        <v>-86.811416665862865</v>
      </c>
      <c r="M81" s="1099"/>
      <c r="N81" s="1098">
        <v>-5864.5934814271795</v>
      </c>
      <c r="O81" s="1098">
        <v>6.4304753085824338</v>
      </c>
      <c r="P81" s="1098">
        <v>-310.27043363910246</v>
      </c>
      <c r="Q81" s="1098">
        <v>-149.50855092454159</v>
      </c>
      <c r="R81" s="1098">
        <v>14.468569444310477</v>
      </c>
      <c r="S81" s="1098">
        <v>-67.51999074011556</v>
      </c>
      <c r="T81" s="1098">
        <v>16.076188271456086</v>
      </c>
      <c r="U81" s="1098">
        <v>-12.860950617164868</v>
      </c>
      <c r="V81" s="1098">
        <v>-88.419035493008465</v>
      </c>
      <c r="W81" s="1098">
        <v>-1.6076188271456084</v>
      </c>
      <c r="X81" s="1098">
        <v>81.988560184426035</v>
      </c>
      <c r="Y81" s="1098">
        <v>-90.02665432015408</v>
      </c>
      <c r="Z81" s="1177">
        <v>-239.73732312173877</v>
      </c>
      <c r="AA81" s="1099"/>
      <c r="AB81" s="1099"/>
      <c r="AC81" s="1098">
        <v>821.49322067140599</v>
      </c>
      <c r="AD81" s="1098">
        <v>70.735228394406775</v>
      </c>
      <c r="AE81" s="1098">
        <v>4103.3338799237345</v>
      </c>
      <c r="AF81" s="1098">
        <v>-300.44595346265021</v>
      </c>
      <c r="AG81" s="1098">
        <v>1808.505589690662</v>
      </c>
      <c r="AH81" s="1099"/>
      <c r="AI81" s="1098">
        <v>159.15426388741525</v>
      </c>
      <c r="AJ81" s="1099"/>
      <c r="AK81" s="1099"/>
      <c r="AL81" s="1099"/>
      <c r="AM81" s="1099"/>
      <c r="AN81" s="1099"/>
      <c r="AO81" s="1099"/>
      <c r="AP81" s="1098">
        <v>4917.8710545014937</v>
      </c>
      <c r="AQ81" s="1103"/>
      <c r="AS81" s="1208"/>
    </row>
    <row r="82" spans="1:45" s="1101" customFormat="1" ht="15" customHeight="1">
      <c r="A82" s="1104"/>
      <c r="E82" s="1102"/>
      <c r="F82" s="1098"/>
      <c r="G82" s="1098"/>
      <c r="H82" s="1098"/>
      <c r="I82" s="1098"/>
      <c r="J82" s="1098"/>
      <c r="K82" s="1098"/>
      <c r="L82" s="1098"/>
      <c r="M82" s="1099"/>
      <c r="N82" s="1098"/>
      <c r="O82" s="1098"/>
      <c r="P82" s="1098"/>
      <c r="Q82" s="1098"/>
      <c r="R82" s="1098"/>
      <c r="S82" s="1098"/>
      <c r="T82" s="1098"/>
      <c r="U82" s="1098"/>
      <c r="V82" s="1098"/>
      <c r="W82" s="1098"/>
      <c r="X82" s="1098"/>
      <c r="Y82" s="1098"/>
      <c r="Z82" s="1177"/>
      <c r="AA82" s="1099"/>
      <c r="AB82" s="1099"/>
      <c r="AC82" s="1098"/>
      <c r="AD82" s="1098"/>
      <c r="AE82" s="1098"/>
      <c r="AF82" s="1098"/>
      <c r="AG82" s="1098"/>
      <c r="AH82" s="1099"/>
      <c r="AI82" s="1098"/>
      <c r="AJ82" s="1099"/>
      <c r="AK82" s="1099"/>
      <c r="AL82" s="1099"/>
      <c r="AM82" s="1099"/>
      <c r="AN82" s="1099"/>
      <c r="AO82" s="1099"/>
      <c r="AP82" s="1098"/>
      <c r="AQ82" s="1103"/>
      <c r="AS82" s="1208"/>
    </row>
    <row r="83" spans="1:45" s="1101" customFormat="1" ht="24">
      <c r="A83" s="1167" t="s">
        <v>527</v>
      </c>
      <c r="B83" s="1176"/>
      <c r="C83" s="1176"/>
      <c r="D83" s="1176"/>
      <c r="E83" s="1174" t="s">
        <v>528</v>
      </c>
      <c r="F83" s="1177">
        <f>F81-F77</f>
        <v>1235.7844374105971</v>
      </c>
      <c r="G83" s="1177">
        <f t="shared" ref="G83:L83" si="31">G81-G77</f>
        <v>-191.60081506054439</v>
      </c>
      <c r="H83" s="1177">
        <f t="shared" si="31"/>
        <v>-0.29078681190080502</v>
      </c>
      <c r="I83" s="1177">
        <f t="shared" si="31"/>
        <v>76.601554449297737</v>
      </c>
      <c r="J83" s="1177">
        <f t="shared" si="31"/>
        <v>0</v>
      </c>
      <c r="K83" s="1177">
        <f t="shared" si="31"/>
        <v>-0.36002176711528211</v>
      </c>
      <c r="L83" s="1177">
        <f t="shared" si="31"/>
        <v>-7.0262605450466253E-3</v>
      </c>
      <c r="M83" s="1178"/>
      <c r="N83" s="1177">
        <f t="shared" ref="N83:Z83" si="32">N81-N77</f>
        <v>-0.47466293459820008</v>
      </c>
      <c r="O83" s="1177">
        <f t="shared" si="32"/>
        <v>5.2046374407677121E-4</v>
      </c>
      <c r="P83" s="1177">
        <f t="shared" si="32"/>
        <v>-2.5112375651758612E-2</v>
      </c>
      <c r="Q83" s="1177">
        <f t="shared" si="32"/>
        <v>-1.2100782049799363E-2</v>
      </c>
      <c r="R83" s="1177">
        <f t="shared" si="32"/>
        <v>1.1710434241738454E-3</v>
      </c>
      <c r="S83" s="1177">
        <f t="shared" si="32"/>
        <v>-5.4648693128171999E-3</v>
      </c>
      <c r="T83" s="1177">
        <f t="shared" si="32"/>
        <v>1.3011593601923721E-3</v>
      </c>
      <c r="U83" s="1177">
        <f t="shared" si="32"/>
        <v>-1.0409274881535424E-3</v>
      </c>
      <c r="V83" s="1177">
        <f t="shared" si="32"/>
        <v>-7.1563764810491648E-3</v>
      </c>
      <c r="W83" s="1177">
        <f t="shared" si="32"/>
        <v>-1.301159360191928E-4</v>
      </c>
      <c r="X83" s="1177">
        <f t="shared" si="32"/>
        <v>6.6359127369821636E-3</v>
      </c>
      <c r="Y83" s="1177">
        <f>Y81-Y77</f>
        <v>-7.286492417080126E-3</v>
      </c>
      <c r="Z83" s="1209">
        <f t="shared" si="32"/>
        <v>60.157305993241209</v>
      </c>
      <c r="AA83" s="1178"/>
      <c r="AB83" s="1178"/>
      <c r="AC83" s="1177">
        <f t="shared" ref="AC83:AI83" si="33">AC81-AC77</f>
        <v>6.648924330590944E-2</v>
      </c>
      <c r="AD83" s="1177">
        <f t="shared" si="33"/>
        <v>5.7251011848507005E-3</v>
      </c>
      <c r="AE83" s="1177">
        <f t="shared" si="33"/>
        <v>62.002773176598112</v>
      </c>
      <c r="AF83" s="1177">
        <f t="shared" si="33"/>
        <v>8.5053393882768091</v>
      </c>
      <c r="AG83" s="1177">
        <f t="shared" si="33"/>
        <v>42.269330805570007</v>
      </c>
      <c r="AH83" s="1178"/>
      <c r="AI83" s="1177">
        <f t="shared" si="33"/>
        <v>1.2881477665928287E-2</v>
      </c>
      <c r="AJ83" s="1178"/>
      <c r="AK83" s="1178"/>
      <c r="AL83" s="1178"/>
      <c r="AM83" s="1178"/>
      <c r="AN83" s="1178"/>
      <c r="AO83" s="1178"/>
      <c r="AP83" s="1177">
        <f>AP81-AP77</f>
        <v>1292.7645161778019</v>
      </c>
      <c r="AQ83" s="1179" t="s">
        <v>531</v>
      </c>
      <c r="AS83" s="1208"/>
    </row>
    <row r="84" spans="1:45" s="1101" customFormat="1" ht="15.75">
      <c r="A84" s="1104"/>
      <c r="F84" s="1099"/>
      <c r="G84" s="1099"/>
      <c r="H84" s="1099"/>
      <c r="I84" s="1099"/>
      <c r="J84" s="1099"/>
      <c r="K84" s="1099"/>
      <c r="L84" s="1099"/>
      <c r="M84" s="1099"/>
      <c r="N84" s="1099"/>
      <c r="O84" s="1099"/>
      <c r="P84" s="1099"/>
      <c r="Q84" s="1099"/>
      <c r="R84" s="1099"/>
      <c r="S84" s="1099"/>
      <c r="T84" s="1099"/>
      <c r="U84" s="1207"/>
      <c r="V84" s="1099"/>
      <c r="W84" s="1099"/>
      <c r="X84" s="1099"/>
      <c r="Y84" s="1099"/>
      <c r="Z84" s="1210" t="s">
        <v>530</v>
      </c>
      <c r="AA84" s="1178"/>
      <c r="AB84" s="1168"/>
      <c r="AC84" s="1168"/>
      <c r="AD84" s="1168"/>
      <c r="AE84" s="1168"/>
      <c r="AF84" s="1099"/>
      <c r="AG84" s="1099"/>
      <c r="AH84" s="1099"/>
      <c r="AI84" s="1099"/>
      <c r="AJ84" s="1099"/>
      <c r="AK84" s="1099"/>
      <c r="AL84" s="1099"/>
      <c r="AM84" s="1099"/>
      <c r="AN84" s="1099"/>
      <c r="AO84" s="1099"/>
      <c r="AP84" s="1099">
        <f>-1088-145</f>
        <v>-1233</v>
      </c>
      <c r="AQ84" s="1165" t="s">
        <v>532</v>
      </c>
      <c r="AS84" s="1208"/>
    </row>
    <row r="85" spans="1:45" s="1101" customFormat="1" ht="13.5" thickBot="1">
      <c r="A85" s="1104"/>
      <c r="F85" s="1099"/>
      <c r="G85" s="1099"/>
      <c r="H85" s="1099"/>
      <c r="I85" s="1099"/>
      <c r="J85" s="1099"/>
      <c r="K85" s="1099"/>
      <c r="L85" s="1099"/>
      <c r="M85" s="1099"/>
      <c r="N85" s="1099"/>
      <c r="O85" s="1099"/>
      <c r="P85" s="1099"/>
      <c r="Q85" s="1099"/>
      <c r="R85" s="1099"/>
      <c r="S85" s="1099"/>
      <c r="T85" s="1099"/>
      <c r="U85" s="1207"/>
      <c r="V85" s="1099"/>
      <c r="W85" s="1099"/>
      <c r="X85" s="1099"/>
      <c r="Y85" s="1099"/>
      <c r="Z85" s="1099"/>
      <c r="AA85" s="1099"/>
      <c r="AB85" s="1099"/>
      <c r="AC85" s="1099"/>
      <c r="AD85" s="1099"/>
      <c r="AE85" s="1099"/>
      <c r="AF85" s="1099"/>
      <c r="AG85" s="1099"/>
      <c r="AH85" s="1099"/>
      <c r="AI85" s="1099"/>
      <c r="AJ85" s="1099"/>
      <c r="AK85" s="1099"/>
      <c r="AL85" s="1099"/>
      <c r="AM85" s="1099"/>
      <c r="AN85" s="1099"/>
      <c r="AO85" s="1099"/>
      <c r="AP85" s="1211">
        <f>AP83+AP84</f>
        <v>59.764516177801852</v>
      </c>
      <c r="AQ85" s="1165" t="s">
        <v>533</v>
      </c>
      <c r="AS85" s="1208"/>
    </row>
    <row r="86" spans="1:45" ht="13.5" thickTop="1"/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0.75" right="0.75" top="0.75" bottom="0.5" header="0.5" footer="0.5"/>
  <pageSetup scale="75" firstPageNumber="4" orientation="portrait" useFirstPageNumber="1" horizontalDpi="300" verticalDpi="300" r:id="rId3"/>
  <headerFooter alignWithMargins="0">
    <oddHeader>&amp;RExhibit No. _____(EMA-3)</oddHeader>
    <oddFooter xml:space="preserve">&amp;RPage &amp;P of 8                    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2"/>
  <dimension ref="A7:B27"/>
  <sheetViews>
    <sheetView topLeftCell="A7" workbookViewId="0">
      <selection activeCell="M40" sqref="M40"/>
    </sheetView>
  </sheetViews>
  <sheetFormatPr defaultRowHeight="12.75"/>
  <cols>
    <col min="1" max="1" width="9.140625" style="191"/>
    <col min="2" max="2" width="9.140625" style="192"/>
    <col min="3" max="16384" width="9.140625" style="191"/>
  </cols>
  <sheetData>
    <row r="7" spans="2:2" ht="22.5">
      <c r="B7" s="992" t="s">
        <v>447</v>
      </c>
    </row>
    <row r="13" spans="2:2" ht="18.75">
      <c r="B13" s="993" t="s">
        <v>448</v>
      </c>
    </row>
    <row r="14" spans="2:2" ht="18.75">
      <c r="B14" s="993"/>
    </row>
    <row r="15" spans="2:2" ht="18.75">
      <c r="B15" s="993" t="s">
        <v>450</v>
      </c>
    </row>
    <row r="16" spans="2:2" ht="18.75">
      <c r="B16" s="993"/>
    </row>
    <row r="17" spans="1:2" ht="18.75">
      <c r="B17" s="993"/>
    </row>
    <row r="18" spans="1:2" ht="18.75">
      <c r="B18" s="993"/>
    </row>
    <row r="19" spans="1:2" ht="18.75">
      <c r="B19" s="993"/>
    </row>
    <row r="20" spans="1:2" ht="18.75">
      <c r="B20" s="993"/>
    </row>
    <row r="21" spans="1:2" ht="18.75">
      <c r="B21" s="993"/>
    </row>
    <row r="22" spans="1:2" ht="18.75">
      <c r="B22" s="993" t="s">
        <v>497</v>
      </c>
    </row>
    <row r="23" spans="1:2" ht="18.75">
      <c r="B23" s="993"/>
    </row>
    <row r="24" spans="1:2" ht="18.75">
      <c r="B24" s="993"/>
    </row>
    <row r="25" spans="1:2" ht="18.75">
      <c r="B25" s="993"/>
    </row>
    <row r="26" spans="1:2" ht="18.75">
      <c r="B26" s="993"/>
    </row>
    <row r="27" spans="1:2" ht="18.75">
      <c r="A27" s="994" t="s">
        <v>449</v>
      </c>
    </row>
  </sheetData>
  <phoneticPr fontId="0" type="noConversion"/>
  <printOptions horizontalCentered="1"/>
  <pageMargins left="0.75" right="0.75" top="1" bottom="1" header="0.5" footer="0.5"/>
  <pageSetup scale="12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"/>
  <sheetViews>
    <sheetView workbookViewId="0">
      <selection activeCell="E31" sqref="E31"/>
    </sheetView>
  </sheetViews>
  <sheetFormatPr defaultRowHeight="12.75"/>
  <sheetData/>
  <phoneticPr fontId="77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6"/>
  <dimension ref="A1:H130"/>
  <sheetViews>
    <sheetView workbookViewId="0">
      <selection activeCell="M23" sqref="M2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/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/>
  <dimension ref="A1:H130"/>
  <sheetViews>
    <sheetView workbookViewId="0">
      <selection activeCell="B33" sqref="B3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840" t="s">
        <v>339</v>
      </c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/>
      <c r="G16" s="391"/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>
        <f>SUM(F17:G17)</f>
        <v>0</v>
      </c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>
        <f>SUM(F21:G21)</f>
        <v>0</v>
      </c>
      <c r="F21" s="391">
        <v>0</v>
      </c>
      <c r="G21" s="391">
        <v>0</v>
      </c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>
        <f>SUM(F26:G26)</f>
        <v>0</v>
      </c>
      <c r="F26" s="391">
        <v>0</v>
      </c>
      <c r="G26" s="391">
        <v>0</v>
      </c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828">
        <f>F113</f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>
        <f>SUM(F31:G31)</f>
        <v>0</v>
      </c>
      <c r="F31" s="391">
        <v>0</v>
      </c>
      <c r="G31" s="391">
        <v>0</v>
      </c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>
        <f>SUM(F32:G32)</f>
        <v>0</v>
      </c>
      <c r="F32" s="391">
        <v>0</v>
      </c>
      <c r="G32" s="391">
        <v>0</v>
      </c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>
        <f>SUM(F33:G33)</f>
        <v>0</v>
      </c>
      <c r="F33" s="391">
        <v>0</v>
      </c>
      <c r="G33" s="391">
        <v>0</v>
      </c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>
        <f>SUM(F35:G35)</f>
        <v>0</v>
      </c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 t="e">
        <f>#REF!</f>
        <v>#REF!</v>
      </c>
      <c r="G70" s="376"/>
    </row>
    <row r="71" spans="1:8" ht="12" customHeight="1">
      <c r="A71" s="375" t="s">
        <v>170</v>
      </c>
      <c r="B71" s="375"/>
      <c r="C71" s="375"/>
      <c r="F71" s="379" t="str">
        <f>F2</f>
        <v>PRO FORMA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phoneticPr fontId="0" type="noConversion"/>
  <pageMargins left="1" right="0.75" top="0.5" bottom="0.5" header="0.5" footer="0.5"/>
  <pageSetup scale="90" orientation="portrait" r:id="rId1"/>
  <headerFooter alignWithMargins="0">
    <oddHeader>&amp;A</oddHeader>
    <oddFooter>Page &amp;P</oddFooter>
  </headerFooter>
  <rowBreaks count="1" manualBreakCount="1">
    <brk id="66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3"/>
  <dimension ref="A1:H130"/>
  <sheetViews>
    <sheetView workbookViewId="0">
      <selection activeCell="I23" sqref="I23"/>
    </sheetView>
  </sheetViews>
  <sheetFormatPr defaultRowHeight="12"/>
  <cols>
    <col min="1" max="1" width="5.5703125" style="376" customWidth="1"/>
    <col min="2" max="2" width="26.140625" style="376" customWidth="1"/>
    <col min="3" max="3" width="12.42578125" style="376" customWidth="1"/>
    <col min="4" max="4" width="6.7109375" style="376" customWidth="1"/>
    <col min="5" max="5" width="12.42578125" style="395" customWidth="1"/>
    <col min="6" max="6" width="12.42578125" style="396" customWidth="1"/>
    <col min="7" max="7" width="12.42578125" style="395" customWidth="1"/>
    <col min="8" max="8" width="12.42578125" style="376" customWidth="1"/>
    <col min="9" max="16384" width="9.140625" style="376"/>
  </cols>
  <sheetData>
    <row r="1" spans="1:8" ht="12" customHeight="1">
      <c r="A1" s="375" t="str">
        <f>Inputs!$D$6</f>
        <v>AVISTA UTILITIES</v>
      </c>
      <c r="B1" s="375"/>
      <c r="C1" s="375"/>
      <c r="E1" s="377"/>
      <c r="F1" s="378"/>
      <c r="G1" s="377"/>
    </row>
    <row r="2" spans="1:8" ht="12" customHeight="1">
      <c r="A2" s="375" t="s">
        <v>125</v>
      </c>
      <c r="B2" s="375"/>
      <c r="C2" s="375"/>
      <c r="E2" s="377"/>
      <c r="F2" s="379"/>
      <c r="G2" s="377"/>
    </row>
    <row r="3" spans="1:8" ht="12" customHeight="1">
      <c r="A3" s="375" t="str">
        <f>Inputs!$D$2</f>
        <v>TWELVE MONTHS ENDED SEPTEMBER 30, 2008</v>
      </c>
      <c r="B3" s="375"/>
      <c r="C3" s="375"/>
      <c r="E3" s="377"/>
      <c r="F3" s="379" t="s">
        <v>174</v>
      </c>
      <c r="G3" s="376"/>
    </row>
    <row r="4" spans="1:8" ht="12" customHeight="1">
      <c r="A4" s="375" t="s">
        <v>128</v>
      </c>
      <c r="B4" s="375"/>
      <c r="C4" s="375"/>
      <c r="E4" s="380"/>
      <c r="F4" s="381" t="s">
        <v>129</v>
      </c>
      <c r="G4" s="380"/>
    </row>
    <row r="5" spans="1:8" ht="12" customHeight="1">
      <c r="A5" s="382" t="s">
        <v>10</v>
      </c>
      <c r="E5" s="377"/>
      <c r="F5" s="379"/>
      <c r="G5" s="377"/>
    </row>
    <row r="6" spans="1:8" ht="12" customHeight="1">
      <c r="A6" s="383" t="s">
        <v>27</v>
      </c>
      <c r="B6" s="384" t="s">
        <v>113</v>
      </c>
      <c r="C6" s="384"/>
      <c r="E6" s="385" t="s">
        <v>130</v>
      </c>
      <c r="F6" s="386" t="s">
        <v>131</v>
      </c>
      <c r="G6" s="385" t="s">
        <v>132</v>
      </c>
      <c r="H6" s="387" t="s">
        <v>133</v>
      </c>
    </row>
    <row r="7" spans="1:8" ht="12" customHeight="1">
      <c r="A7" s="382"/>
      <c r="B7" s="376" t="s">
        <v>68</v>
      </c>
      <c r="E7" s="388"/>
      <c r="F7" s="379"/>
      <c r="G7" s="388"/>
    </row>
    <row r="8" spans="1:8" ht="12" customHeight="1">
      <c r="A8" s="382">
        <v>1</v>
      </c>
      <c r="B8" s="376" t="s">
        <v>134</v>
      </c>
      <c r="E8" s="389"/>
      <c r="F8" s="389"/>
      <c r="G8" s="389"/>
      <c r="H8" s="390" t="str">
        <f>IF(E8=F8+G8," ","ERROR")</f>
        <v xml:space="preserve"> </v>
      </c>
    </row>
    <row r="9" spans="1:8" ht="12" customHeight="1">
      <c r="A9" s="382">
        <v>2</v>
      </c>
      <c r="B9" s="376" t="s">
        <v>135</v>
      </c>
      <c r="E9" s="391"/>
      <c r="F9" s="391"/>
      <c r="G9" s="391"/>
      <c r="H9" s="390" t="str">
        <f>IF(E9=F9+G9," ","ERROR")</f>
        <v xml:space="preserve"> </v>
      </c>
    </row>
    <row r="10" spans="1:8" ht="12" customHeight="1">
      <c r="A10" s="382">
        <v>3</v>
      </c>
      <c r="B10" s="376" t="s">
        <v>71</v>
      </c>
      <c r="E10" s="392"/>
      <c r="F10" s="392"/>
      <c r="G10" s="392"/>
      <c r="H10" s="390" t="str">
        <f>IF(E10=F10+G10," ","ERROR")</f>
        <v xml:space="preserve"> </v>
      </c>
    </row>
    <row r="11" spans="1:8" ht="12" customHeight="1">
      <c r="A11" s="382">
        <v>4</v>
      </c>
      <c r="B11" s="376" t="s">
        <v>136</v>
      </c>
      <c r="E11" s="391">
        <f>SUM(E8:E10)</f>
        <v>0</v>
      </c>
      <c r="F11" s="391">
        <f>SUM(F8:F10)</f>
        <v>0</v>
      </c>
      <c r="G11" s="391">
        <f>SUM(G8:G10)</f>
        <v>0</v>
      </c>
      <c r="H11" s="390" t="str">
        <f>IF(E11=F11+G11," ","ERROR")</f>
        <v xml:space="preserve"> </v>
      </c>
    </row>
    <row r="12" spans="1:8" ht="12" customHeight="1">
      <c r="A12" s="382"/>
      <c r="E12" s="391"/>
      <c r="F12" s="391"/>
      <c r="G12" s="391"/>
      <c r="H12" s="390"/>
    </row>
    <row r="13" spans="1:8" ht="12" customHeight="1">
      <c r="A13" s="382"/>
      <c r="B13" s="376" t="s">
        <v>73</v>
      </c>
      <c r="E13" s="391"/>
      <c r="F13" s="391"/>
      <c r="G13" s="391"/>
      <c r="H13" s="390"/>
    </row>
    <row r="14" spans="1:8" ht="12" customHeight="1">
      <c r="A14" s="382">
        <v>5</v>
      </c>
      <c r="B14" s="376" t="s">
        <v>137</v>
      </c>
      <c r="E14" s="391"/>
      <c r="F14" s="391"/>
      <c r="G14" s="391"/>
      <c r="H14" s="390" t="str">
        <f>IF(E14=F14+G14," ","ERROR")</f>
        <v xml:space="preserve"> </v>
      </c>
    </row>
    <row r="15" spans="1:8" ht="12" customHeight="1">
      <c r="A15" s="382"/>
      <c r="B15" s="376" t="s">
        <v>75</v>
      </c>
      <c r="E15" s="391"/>
      <c r="F15" s="391"/>
      <c r="G15" s="391"/>
      <c r="H15" s="390"/>
    </row>
    <row r="16" spans="1:8" ht="12" customHeight="1">
      <c r="A16" s="382">
        <v>6</v>
      </c>
      <c r="B16" s="376" t="s">
        <v>138</v>
      </c>
      <c r="E16" s="391">
        <f>SUM(F16:G16)</f>
        <v>0</v>
      </c>
      <c r="F16" s="391">
        <v>0</v>
      </c>
      <c r="G16" s="391">
        <v>0</v>
      </c>
      <c r="H16" s="390" t="str">
        <f>IF(E16=F16+G16," ","ERROR")</f>
        <v xml:space="preserve"> </v>
      </c>
    </row>
    <row r="17" spans="1:8" ht="12" customHeight="1">
      <c r="A17" s="382">
        <v>7</v>
      </c>
      <c r="B17" s="376" t="s">
        <v>139</v>
      </c>
      <c r="E17" s="391"/>
      <c r="F17" s="391"/>
      <c r="G17" s="391"/>
      <c r="H17" s="390" t="str">
        <f>IF(E17=F17+G17," ","ERROR")</f>
        <v xml:space="preserve"> </v>
      </c>
    </row>
    <row r="18" spans="1:8" ht="12" customHeight="1">
      <c r="A18" s="382">
        <v>8</v>
      </c>
      <c r="B18" s="376" t="s">
        <v>140</v>
      </c>
      <c r="E18" s="392"/>
      <c r="F18" s="392"/>
      <c r="G18" s="392"/>
      <c r="H18" s="390" t="str">
        <f>IF(E18=F18+G18," ","ERROR")</f>
        <v xml:space="preserve"> </v>
      </c>
    </row>
    <row r="19" spans="1:8" ht="12" customHeight="1">
      <c r="A19" s="382">
        <v>9</v>
      </c>
      <c r="B19" s="376" t="s">
        <v>141</v>
      </c>
      <c r="E19" s="391">
        <f>SUM(E16:E18)</f>
        <v>0</v>
      </c>
      <c r="F19" s="391">
        <f>SUM(F16:F18)</f>
        <v>0</v>
      </c>
      <c r="G19" s="391">
        <f>SUM(G16:G18)</f>
        <v>0</v>
      </c>
      <c r="H19" s="390" t="str">
        <f>IF(E19=F19+G19," ","ERROR")</f>
        <v xml:space="preserve"> </v>
      </c>
    </row>
    <row r="20" spans="1:8" ht="12" customHeight="1">
      <c r="A20" s="382"/>
      <c r="B20" s="376" t="s">
        <v>80</v>
      </c>
      <c r="E20" s="391"/>
      <c r="F20" s="391"/>
      <c r="G20" s="391"/>
      <c r="H20" s="390"/>
    </row>
    <row r="21" spans="1:8" ht="12" customHeight="1">
      <c r="A21" s="382">
        <v>10</v>
      </c>
      <c r="B21" s="376" t="s">
        <v>142</v>
      </c>
      <c r="E21" s="391"/>
      <c r="F21" s="391"/>
      <c r="G21" s="391"/>
      <c r="H21" s="390" t="str">
        <f>IF(E21=F21+G21," ","ERROR")</f>
        <v xml:space="preserve"> </v>
      </c>
    </row>
    <row r="22" spans="1:8" ht="12" customHeight="1">
      <c r="A22" s="382">
        <v>11</v>
      </c>
      <c r="B22" s="376" t="s">
        <v>143</v>
      </c>
      <c r="E22" s="391"/>
      <c r="F22" s="391"/>
      <c r="G22" s="391"/>
      <c r="H22" s="390" t="str">
        <f>IF(E22=F22+G22," ","ERROR")</f>
        <v xml:space="preserve"> </v>
      </c>
    </row>
    <row r="23" spans="1:8" ht="12" customHeight="1">
      <c r="A23" s="382">
        <v>12</v>
      </c>
      <c r="B23" s="376" t="s">
        <v>144</v>
      </c>
      <c r="E23" s="392"/>
      <c r="F23" s="392"/>
      <c r="G23" s="392"/>
      <c r="H23" s="390" t="str">
        <f>IF(E23=F23+G23," ","ERROR")</f>
        <v xml:space="preserve"> </v>
      </c>
    </row>
    <row r="24" spans="1:8" ht="12" customHeight="1">
      <c r="A24" s="382">
        <v>13</v>
      </c>
      <c r="B24" s="376" t="s">
        <v>145</v>
      </c>
      <c r="E24" s="391">
        <f>SUM(E21:E23)</f>
        <v>0</v>
      </c>
      <c r="F24" s="391">
        <f>SUM(F21:F23)</f>
        <v>0</v>
      </c>
      <c r="G24" s="391">
        <f>SUM(G21:G23)</f>
        <v>0</v>
      </c>
      <c r="H24" s="390" t="str">
        <f>IF(E24=F24+G24," ","ERROR")</f>
        <v xml:space="preserve"> </v>
      </c>
    </row>
    <row r="25" spans="1:8" ht="12" customHeight="1">
      <c r="A25" s="382"/>
      <c r="B25" s="376" t="s">
        <v>84</v>
      </c>
      <c r="E25" s="391"/>
      <c r="F25" s="391"/>
      <c r="G25" s="391"/>
      <c r="H25" s="390"/>
    </row>
    <row r="26" spans="1:8" ht="12" customHeight="1">
      <c r="A26" s="382">
        <v>14</v>
      </c>
      <c r="B26" s="376" t="s">
        <v>142</v>
      </c>
      <c r="E26" s="391"/>
      <c r="F26" s="391"/>
      <c r="G26" s="391"/>
      <c r="H26" s="390" t="str">
        <f>IF(E26=F26+G26," ","ERROR")</f>
        <v xml:space="preserve"> </v>
      </c>
    </row>
    <row r="27" spans="1:8" ht="12" customHeight="1">
      <c r="A27" s="382">
        <v>15</v>
      </c>
      <c r="B27" s="376" t="s">
        <v>143</v>
      </c>
      <c r="E27" s="391"/>
      <c r="F27" s="391"/>
      <c r="G27" s="391"/>
      <c r="H27" s="390" t="str">
        <f>IF(E27=F27+G27," ","ERROR")</f>
        <v xml:space="preserve"> </v>
      </c>
    </row>
    <row r="28" spans="1:8" ht="12" customHeight="1">
      <c r="A28" s="382">
        <v>16</v>
      </c>
      <c r="B28" s="376" t="s">
        <v>144</v>
      </c>
      <c r="E28" s="392">
        <f>F28+G28</f>
        <v>0</v>
      </c>
      <c r="F28" s="392"/>
      <c r="G28" s="392">
        <v>0</v>
      </c>
      <c r="H28" s="390" t="str">
        <f>IF(E28=F28+G28," ","ERROR")</f>
        <v xml:space="preserve"> </v>
      </c>
    </row>
    <row r="29" spans="1:8" ht="12" customHeight="1">
      <c r="A29" s="382">
        <v>17</v>
      </c>
      <c r="B29" s="376" t="s">
        <v>146</v>
      </c>
      <c r="E29" s="391">
        <f>SUM(E26:E28)</f>
        <v>0</v>
      </c>
      <c r="F29" s="391">
        <f>SUM(F26:F28)</f>
        <v>0</v>
      </c>
      <c r="G29" s="391">
        <f>SUM(G26:G28)</f>
        <v>0</v>
      </c>
      <c r="H29" s="390" t="str">
        <f>IF(E29=F29+G29," ","ERROR")</f>
        <v xml:space="preserve"> </v>
      </c>
    </row>
    <row r="30" spans="1:8" ht="12" customHeight="1">
      <c r="A30" s="382"/>
      <c r="E30" s="391"/>
      <c r="F30" s="391"/>
      <c r="G30" s="391"/>
      <c r="H30" s="390"/>
    </row>
    <row r="31" spans="1:8" ht="12" customHeight="1">
      <c r="A31" s="382">
        <v>18</v>
      </c>
      <c r="B31" s="376" t="s">
        <v>86</v>
      </c>
      <c r="E31" s="391"/>
      <c r="F31" s="391"/>
      <c r="G31" s="391"/>
      <c r="H31" s="390" t="str">
        <f>IF(E31=F31+G31," ","ERROR")</f>
        <v xml:space="preserve"> </v>
      </c>
    </row>
    <row r="32" spans="1:8" ht="12" customHeight="1">
      <c r="A32" s="382">
        <v>19</v>
      </c>
      <c r="B32" s="376" t="s">
        <v>87</v>
      </c>
      <c r="E32" s="391"/>
      <c r="F32" s="391"/>
      <c r="G32" s="391"/>
      <c r="H32" s="390" t="str">
        <f>IF(E32=F32+G32," ","ERROR")</f>
        <v xml:space="preserve"> </v>
      </c>
    </row>
    <row r="33" spans="1:8" ht="12" customHeight="1">
      <c r="A33" s="382">
        <v>20</v>
      </c>
      <c r="B33" s="376" t="s">
        <v>147</v>
      </c>
      <c r="E33" s="391"/>
      <c r="F33" s="391"/>
      <c r="G33" s="391"/>
      <c r="H33" s="390" t="str">
        <f>IF(E33=F33+G33," ","ERROR")</f>
        <v xml:space="preserve"> </v>
      </c>
    </row>
    <row r="34" spans="1:8" ht="12" customHeight="1">
      <c r="A34" s="382"/>
      <c r="B34" s="376" t="s">
        <v>148</v>
      </c>
      <c r="E34" s="391"/>
      <c r="F34" s="391"/>
      <c r="G34" s="391"/>
      <c r="H34" s="390"/>
    </row>
    <row r="35" spans="1:8" ht="12" customHeight="1">
      <c r="A35" s="382">
        <v>21</v>
      </c>
      <c r="B35" s="376" t="s">
        <v>142</v>
      </c>
      <c r="E35" s="391"/>
      <c r="F35" s="391"/>
      <c r="G35" s="391"/>
      <c r="H35" s="390" t="str">
        <f>IF(E35=F35+G35," ","ERROR")</f>
        <v xml:space="preserve"> </v>
      </c>
    </row>
    <row r="36" spans="1:8" ht="12" customHeight="1">
      <c r="A36" s="382">
        <v>22</v>
      </c>
      <c r="B36" s="376" t="s">
        <v>143</v>
      </c>
      <c r="E36" s="391"/>
      <c r="F36" s="391"/>
      <c r="G36" s="391"/>
      <c r="H36" s="390" t="str">
        <f>IF(E36=F36+G36," ","ERROR")</f>
        <v xml:space="preserve"> </v>
      </c>
    </row>
    <row r="37" spans="1:8" ht="12" customHeight="1">
      <c r="A37" s="382">
        <v>23</v>
      </c>
      <c r="B37" s="376" t="s">
        <v>144</v>
      </c>
      <c r="E37" s="392"/>
      <c r="F37" s="392"/>
      <c r="G37" s="392"/>
      <c r="H37" s="390" t="str">
        <f>IF(E37=F37+G37," ","ERROR")</f>
        <v xml:space="preserve"> </v>
      </c>
    </row>
    <row r="38" spans="1:8" ht="12" customHeight="1">
      <c r="A38" s="382">
        <v>24</v>
      </c>
      <c r="B38" s="376" t="s">
        <v>149</v>
      </c>
      <c r="E38" s="392">
        <f>SUM(E35:E37)</f>
        <v>0</v>
      </c>
      <c r="F38" s="392">
        <f>SUM(F35:F37)</f>
        <v>0</v>
      </c>
      <c r="G38" s="392">
        <f>SUM(G35:G37)</f>
        <v>0</v>
      </c>
      <c r="H38" s="390" t="str">
        <f>IF(E38=F38+G38," ","ERROR")</f>
        <v xml:space="preserve"> </v>
      </c>
    </row>
    <row r="39" spans="1:8" ht="12" customHeight="1">
      <c r="A39" s="382">
        <v>25</v>
      </c>
      <c r="B39" s="376" t="s">
        <v>91</v>
      </c>
      <c r="E39" s="392">
        <f>E19+E24+E29+E31+E32+E33+E38+E14</f>
        <v>0</v>
      </c>
      <c r="F39" s="392">
        <f>F19+F24+F29+F31+F32+F33+F38+F14</f>
        <v>0</v>
      </c>
      <c r="G39" s="392">
        <f>G19+G24+G29+G31+G32+G33+G38+G14</f>
        <v>0</v>
      </c>
      <c r="H39" s="390" t="str">
        <f>IF(E39=F39+G39," ","ERROR")</f>
        <v xml:space="preserve"> </v>
      </c>
    </row>
    <row r="40" spans="1:8" ht="12" customHeight="1">
      <c r="A40" s="382"/>
      <c r="E40" s="391"/>
      <c r="F40" s="391"/>
      <c r="G40" s="391"/>
      <c r="H40" s="390"/>
    </row>
    <row r="41" spans="1:8" ht="12" customHeight="1">
      <c r="A41" s="382">
        <v>26</v>
      </c>
      <c r="B41" s="376" t="s">
        <v>150</v>
      </c>
      <c r="E41" s="391">
        <f>E11-E39</f>
        <v>0</v>
      </c>
      <c r="F41" s="391">
        <f>F11-F39</f>
        <v>0</v>
      </c>
      <c r="G41" s="391">
        <f>G11-G39</f>
        <v>0</v>
      </c>
      <c r="H41" s="390" t="str">
        <f>IF(E41=F41+G41," ","ERROR")</f>
        <v xml:space="preserve"> </v>
      </c>
    </row>
    <row r="42" spans="1:8" ht="12" customHeight="1">
      <c r="A42" s="382"/>
      <c r="E42" s="391"/>
      <c r="F42" s="391"/>
      <c r="G42" s="391"/>
      <c r="H42" s="390"/>
    </row>
    <row r="43" spans="1:8" ht="12" customHeight="1">
      <c r="A43" s="382"/>
      <c r="B43" s="376" t="s">
        <v>151</v>
      </c>
      <c r="E43" s="391"/>
      <c r="F43" s="391"/>
      <c r="G43" s="391"/>
      <c r="H43" s="390"/>
    </row>
    <row r="44" spans="1:8" ht="12" customHeight="1">
      <c r="A44" s="382">
        <v>27</v>
      </c>
      <c r="B44" s="393" t="s">
        <v>152</v>
      </c>
      <c r="D44" s="394">
        <v>0.35</v>
      </c>
      <c r="E44" s="391">
        <f>F44+G44</f>
        <v>0</v>
      </c>
      <c r="F44" s="391">
        <f>ROUND(F41*D44,0)</f>
        <v>0</v>
      </c>
      <c r="G44" s="391">
        <f>ROUND(G41*D44,0)</f>
        <v>0</v>
      </c>
      <c r="H44" s="390" t="str">
        <f>IF(E44=F44+G44," ","ERROR")</f>
        <v xml:space="preserve"> </v>
      </c>
    </row>
    <row r="45" spans="1:8" ht="12" customHeight="1">
      <c r="A45" s="382">
        <v>28</v>
      </c>
      <c r="B45" s="376" t="s">
        <v>154</v>
      </c>
      <c r="E45" s="391"/>
      <c r="F45" s="391"/>
      <c r="G45" s="391"/>
      <c r="H45" s="390" t="str">
        <f>IF(E45=F45+G45," ","ERROR")</f>
        <v xml:space="preserve"> </v>
      </c>
    </row>
    <row r="46" spans="1:8" ht="12" customHeight="1">
      <c r="A46" s="382">
        <v>29</v>
      </c>
      <c r="B46" s="376" t="s">
        <v>153</v>
      </c>
      <c r="E46" s="392"/>
      <c r="F46" s="392"/>
      <c r="G46" s="392"/>
      <c r="H46" s="390" t="str">
        <f>IF(E46=F46+G46," ","ERROR")</f>
        <v xml:space="preserve"> </v>
      </c>
    </row>
    <row r="47" spans="1:8" ht="12" customHeight="1">
      <c r="A47" s="382"/>
      <c r="H47" s="390"/>
    </row>
    <row r="48" spans="1:8" ht="12" customHeight="1" thickBot="1">
      <c r="A48" s="382">
        <v>30</v>
      </c>
      <c r="B48" s="397" t="s">
        <v>97</v>
      </c>
      <c r="E48" s="398">
        <f>E41-(+E44+E45+E46)</f>
        <v>0</v>
      </c>
      <c r="F48" s="398">
        <f>F41-F44+F45+F46</f>
        <v>0</v>
      </c>
      <c r="G48" s="398">
        <f>G41-SUM(G44:G46)</f>
        <v>0</v>
      </c>
      <c r="H48" s="390" t="str">
        <f>IF(E48=F48+G48," ","ERROR")</f>
        <v xml:space="preserve"> </v>
      </c>
    </row>
    <row r="49" spans="1:8" ht="12" customHeight="1" thickTop="1">
      <c r="A49" s="382"/>
      <c r="H49" s="390"/>
    </row>
    <row r="50" spans="1:8" ht="12" customHeight="1">
      <c r="A50" s="382"/>
      <c r="B50" s="393" t="s">
        <v>155</v>
      </c>
      <c r="H50" s="390"/>
    </row>
    <row r="51" spans="1:8" ht="12" customHeight="1">
      <c r="A51" s="382"/>
      <c r="B51" s="393" t="s">
        <v>156</v>
      </c>
      <c r="H51" s="390"/>
    </row>
    <row r="52" spans="1:8" ht="12" customHeight="1">
      <c r="A52" s="382">
        <v>31</v>
      </c>
      <c r="B52" s="376" t="s">
        <v>157</v>
      </c>
      <c r="E52" s="389"/>
      <c r="F52" s="389"/>
      <c r="G52" s="389"/>
      <c r="H52" s="390" t="str">
        <f t="shared" ref="H52:H63" si="0">IF(E52=F52+G52," ","ERROR")</f>
        <v xml:space="preserve"> </v>
      </c>
    </row>
    <row r="53" spans="1:8" ht="12" customHeight="1">
      <c r="A53" s="382">
        <v>32</v>
      </c>
      <c r="B53" s="376" t="s">
        <v>158</v>
      </c>
      <c r="E53" s="391"/>
      <c r="F53" s="391"/>
      <c r="G53" s="391"/>
      <c r="H53" s="390" t="str">
        <f t="shared" si="0"/>
        <v xml:space="preserve"> </v>
      </c>
    </row>
    <row r="54" spans="1:8" ht="12" customHeight="1">
      <c r="A54" s="382">
        <v>33</v>
      </c>
      <c r="B54" s="376" t="s">
        <v>166</v>
      </c>
      <c r="E54" s="392"/>
      <c r="F54" s="392"/>
      <c r="G54" s="392"/>
      <c r="H54" s="390" t="str">
        <f t="shared" si="0"/>
        <v xml:space="preserve"> </v>
      </c>
    </row>
    <row r="55" spans="1:8" ht="12" customHeight="1">
      <c r="A55" s="382">
        <v>34</v>
      </c>
      <c r="B55" s="376" t="s">
        <v>160</v>
      </c>
      <c r="E55" s="391">
        <f>SUM(E52:E54)</f>
        <v>0</v>
      </c>
      <c r="F55" s="391">
        <f>SUM(F52:F54)</f>
        <v>0</v>
      </c>
      <c r="G55" s="391">
        <f>SUM(G52:G54)</f>
        <v>0</v>
      </c>
      <c r="H55" s="390" t="str">
        <f t="shared" si="0"/>
        <v xml:space="preserve"> </v>
      </c>
    </row>
    <row r="56" spans="1:8" ht="12" customHeight="1">
      <c r="A56" s="382"/>
      <c r="B56" s="376" t="s">
        <v>102</v>
      </c>
      <c r="E56" s="391"/>
      <c r="F56" s="391"/>
      <c r="G56" s="391"/>
      <c r="H56" s="390" t="str">
        <f t="shared" si="0"/>
        <v xml:space="preserve"> </v>
      </c>
    </row>
    <row r="57" spans="1:8" ht="12" customHeight="1">
      <c r="A57" s="382">
        <v>35</v>
      </c>
      <c r="B57" s="376" t="s">
        <v>157</v>
      </c>
      <c r="E57" s="391"/>
      <c r="F57" s="391"/>
      <c r="G57" s="391"/>
      <c r="H57" s="390" t="str">
        <f t="shared" si="0"/>
        <v xml:space="preserve"> </v>
      </c>
    </row>
    <row r="58" spans="1:8" ht="12" customHeight="1">
      <c r="A58" s="382">
        <v>36</v>
      </c>
      <c r="B58" s="376" t="s">
        <v>158</v>
      </c>
      <c r="E58" s="391"/>
      <c r="F58" s="391"/>
      <c r="G58" s="391"/>
      <c r="H58" s="390" t="str">
        <f t="shared" si="0"/>
        <v xml:space="preserve"> </v>
      </c>
    </row>
    <row r="59" spans="1:8" ht="12" customHeight="1">
      <c r="A59" s="382">
        <v>37</v>
      </c>
      <c r="B59" s="376" t="s">
        <v>166</v>
      </c>
      <c r="E59" s="392"/>
      <c r="F59" s="392"/>
      <c r="G59" s="392"/>
      <c r="H59" s="390" t="str">
        <f t="shared" si="0"/>
        <v xml:space="preserve"> </v>
      </c>
    </row>
    <row r="60" spans="1:8" ht="12" customHeight="1">
      <c r="A60" s="382">
        <v>38</v>
      </c>
      <c r="B60" s="376" t="s">
        <v>161</v>
      </c>
      <c r="E60" s="391">
        <f>SUM(E57:E59)</f>
        <v>0</v>
      </c>
      <c r="F60" s="391">
        <f>SUM(F57:F59)</f>
        <v>0</v>
      </c>
      <c r="G60" s="391">
        <f>SUM(G57:G59)</f>
        <v>0</v>
      </c>
      <c r="H60" s="390" t="str">
        <f t="shared" si="0"/>
        <v xml:space="preserve"> </v>
      </c>
    </row>
    <row r="61" spans="1:8" ht="12" customHeight="1">
      <c r="A61" s="382">
        <v>39</v>
      </c>
      <c r="B61" s="393" t="s">
        <v>162</v>
      </c>
      <c r="E61" s="391"/>
      <c r="F61" s="391"/>
      <c r="G61" s="391"/>
      <c r="H61" s="390" t="str">
        <f t="shared" si="0"/>
        <v xml:space="preserve"> </v>
      </c>
    </row>
    <row r="62" spans="1:8" ht="12" customHeight="1">
      <c r="A62" s="382">
        <v>40</v>
      </c>
      <c r="B62" s="376" t="s">
        <v>105</v>
      </c>
      <c r="E62" s="391"/>
      <c r="F62" s="391"/>
      <c r="G62" s="391"/>
      <c r="H62" s="390" t="str">
        <f t="shared" si="0"/>
        <v xml:space="preserve"> </v>
      </c>
    </row>
    <row r="63" spans="1:8" ht="12" customHeight="1">
      <c r="A63" s="382">
        <v>41</v>
      </c>
      <c r="B63" s="393" t="s">
        <v>106</v>
      </c>
      <c r="E63" s="392"/>
      <c r="F63" s="392"/>
      <c r="G63" s="392"/>
      <c r="H63" s="390" t="str">
        <f t="shared" si="0"/>
        <v xml:space="preserve"> </v>
      </c>
    </row>
    <row r="64" spans="1:8" ht="12" customHeight="1">
      <c r="A64" s="382"/>
      <c r="B64" s="376" t="s">
        <v>163</v>
      </c>
      <c r="H64" s="390"/>
    </row>
    <row r="65" spans="1:8" ht="12" customHeight="1" thickBot="1">
      <c r="A65" s="382">
        <v>42</v>
      </c>
      <c r="B65" s="397" t="s">
        <v>107</v>
      </c>
      <c r="E65" s="398">
        <f>E55-E60+E61+E62+E63</f>
        <v>0</v>
      </c>
      <c r="F65" s="398">
        <f>F55-F60+F61+F62+F63</f>
        <v>0</v>
      </c>
      <c r="G65" s="398">
        <f>G55-G60+G61+G62+G63</f>
        <v>0</v>
      </c>
      <c r="H65" s="390" t="str">
        <f>IF(E65=F65+G65," ","ERROR")</f>
        <v xml:space="preserve"> </v>
      </c>
    </row>
    <row r="66" spans="1:8" ht="12" customHeight="1" thickTop="1">
      <c r="A66" s="382"/>
      <c r="B66" s="397"/>
      <c r="E66" s="399"/>
      <c r="F66" s="399"/>
      <c r="G66" s="399"/>
      <c r="H66" s="390"/>
    </row>
    <row r="67" spans="1:8" ht="12" customHeight="1">
      <c r="A67" s="382"/>
      <c r="B67" s="397"/>
      <c r="E67" s="399"/>
      <c r="F67" s="399"/>
      <c r="G67" s="399"/>
      <c r="H67" s="390"/>
    </row>
    <row r="68" spans="1:8" ht="12" customHeight="1">
      <c r="A68" s="375" t="str">
        <f>Inputs!$D$6</f>
        <v>AVISTA UTILITIES</v>
      </c>
      <c r="B68" s="375"/>
      <c r="C68" s="375"/>
      <c r="G68" s="376"/>
    </row>
    <row r="69" spans="1:8" ht="12" customHeight="1">
      <c r="A69" s="375" t="s">
        <v>169</v>
      </c>
      <c r="B69" s="375"/>
      <c r="C69" s="375"/>
      <c r="G69" s="376"/>
    </row>
    <row r="70" spans="1:8" ht="12" customHeight="1">
      <c r="A70" s="375" t="str">
        <f>A3</f>
        <v>TWELVE MONTHS ENDED SEPTEMBER 30, 2008</v>
      </c>
      <c r="B70" s="375"/>
      <c r="C70" s="375"/>
      <c r="F70" s="379">
        <f>F2</f>
        <v>0</v>
      </c>
      <c r="G70" s="376"/>
    </row>
    <row r="71" spans="1:8" ht="12" customHeight="1">
      <c r="A71" s="375" t="s">
        <v>170</v>
      </c>
      <c r="B71" s="375"/>
      <c r="C71" s="375"/>
      <c r="F71" s="379" t="str">
        <f>F3</f>
        <v>ADJUSTMENT</v>
      </c>
      <c r="G71" s="376"/>
    </row>
    <row r="72" spans="1:8" ht="12" customHeight="1">
      <c r="E72" s="400"/>
      <c r="F72" s="386" t="str">
        <f>F4</f>
        <v>GAS</v>
      </c>
      <c r="G72" s="401"/>
    </row>
    <row r="73" spans="1:8" ht="12" customHeight="1">
      <c r="A73" s="382" t="s">
        <v>10</v>
      </c>
      <c r="F73" s="379"/>
    </row>
    <row r="74" spans="1:8" ht="12" customHeight="1">
      <c r="A74" s="402" t="s">
        <v>27</v>
      </c>
      <c r="B74" s="384" t="s">
        <v>113</v>
      </c>
      <c r="C74" s="384"/>
      <c r="F74" s="386" t="s">
        <v>132</v>
      </c>
    </row>
    <row r="75" spans="1:8" ht="12" customHeight="1">
      <c r="A75" s="382"/>
      <c r="B75" s="376" t="s">
        <v>68</v>
      </c>
      <c r="E75" s="376"/>
      <c r="G75" s="376"/>
    </row>
    <row r="76" spans="1:8" ht="12" customHeight="1">
      <c r="A76" s="382">
        <v>1</v>
      </c>
      <c r="B76" s="376" t="s">
        <v>134</v>
      </c>
      <c r="E76" s="376"/>
      <c r="F76" s="389">
        <f>G8</f>
        <v>0</v>
      </c>
      <c r="G76" s="376"/>
    </row>
    <row r="77" spans="1:8" ht="12" customHeight="1">
      <c r="A77" s="382">
        <v>2</v>
      </c>
      <c r="B77" s="376" t="s">
        <v>135</v>
      </c>
      <c r="E77" s="376"/>
      <c r="F77" s="391">
        <f>G9</f>
        <v>0</v>
      </c>
      <c r="G77" s="376"/>
    </row>
    <row r="78" spans="1:8" ht="12" customHeight="1">
      <c r="A78" s="382">
        <v>3</v>
      </c>
      <c r="B78" s="376" t="s">
        <v>71</v>
      </c>
      <c r="E78" s="376"/>
      <c r="F78" s="392">
        <f>G10</f>
        <v>0</v>
      </c>
      <c r="G78" s="376"/>
    </row>
    <row r="79" spans="1:8" ht="12" customHeight="1">
      <c r="A79" s="382"/>
      <c r="E79" s="376"/>
      <c r="F79" s="391"/>
      <c r="G79" s="376"/>
    </row>
    <row r="80" spans="1:8" ht="12" customHeight="1">
      <c r="A80" s="382">
        <v>4</v>
      </c>
      <c r="B80" s="376" t="s">
        <v>136</v>
      </c>
      <c r="E80" s="376"/>
      <c r="F80" s="391">
        <f>F76+F77+F78</f>
        <v>0</v>
      </c>
      <c r="G80" s="376"/>
    </row>
    <row r="81" spans="1:7" ht="12" customHeight="1">
      <c r="A81" s="382"/>
      <c r="E81" s="376"/>
      <c r="F81" s="391"/>
      <c r="G81" s="376"/>
    </row>
    <row r="82" spans="1:7" ht="12" customHeight="1">
      <c r="A82" s="382"/>
      <c r="B82" s="376" t="s">
        <v>73</v>
      </c>
      <c r="E82" s="376"/>
      <c r="F82" s="391"/>
      <c r="G82" s="376"/>
    </row>
    <row r="83" spans="1:7" ht="12" customHeight="1">
      <c r="A83" s="382">
        <v>5</v>
      </c>
      <c r="B83" s="376" t="s">
        <v>137</v>
      </c>
      <c r="E83" s="376"/>
      <c r="F83" s="391">
        <f>G14</f>
        <v>0</v>
      </c>
      <c r="G83" s="376"/>
    </row>
    <row r="84" spans="1:7" ht="12" customHeight="1">
      <c r="A84" s="382"/>
      <c r="B84" s="376" t="s">
        <v>75</v>
      </c>
      <c r="E84" s="376"/>
      <c r="F84" s="391"/>
      <c r="G84" s="376"/>
    </row>
    <row r="85" spans="1:7" ht="12" customHeight="1">
      <c r="A85" s="382">
        <v>6</v>
      </c>
      <c r="B85" s="376" t="s">
        <v>138</v>
      </c>
      <c r="E85" s="376"/>
      <c r="F85" s="391">
        <f>G16</f>
        <v>0</v>
      </c>
      <c r="G85" s="376"/>
    </row>
    <row r="86" spans="1:7" ht="12" customHeight="1">
      <c r="A86" s="382">
        <v>7</v>
      </c>
      <c r="B86" s="376" t="s">
        <v>139</v>
      </c>
      <c r="E86" s="376"/>
      <c r="F86" s="391">
        <f>G17</f>
        <v>0</v>
      </c>
      <c r="G86" s="376"/>
    </row>
    <row r="87" spans="1:7" ht="12" customHeight="1">
      <c r="A87" s="382">
        <v>8</v>
      </c>
      <c r="B87" s="376" t="s">
        <v>140</v>
      </c>
      <c r="E87" s="376"/>
      <c r="F87" s="392">
        <f>G18</f>
        <v>0</v>
      </c>
      <c r="G87" s="376"/>
    </row>
    <row r="88" spans="1:7" ht="12" customHeight="1">
      <c r="A88" s="382">
        <v>9</v>
      </c>
      <c r="B88" s="376" t="s">
        <v>141</v>
      </c>
      <c r="E88" s="376"/>
      <c r="F88" s="391">
        <f>F85+F86+F87</f>
        <v>0</v>
      </c>
      <c r="G88" s="376"/>
    </row>
    <row r="89" spans="1:7" ht="12" customHeight="1">
      <c r="A89" s="382"/>
      <c r="B89" s="376" t="s">
        <v>80</v>
      </c>
      <c r="E89" s="376"/>
      <c r="F89" s="391"/>
      <c r="G89" s="376"/>
    </row>
    <row r="90" spans="1:7" ht="12" customHeight="1">
      <c r="A90" s="382">
        <v>10</v>
      </c>
      <c r="B90" s="376" t="s">
        <v>142</v>
      </c>
      <c r="E90" s="376"/>
      <c r="F90" s="391">
        <f>G21</f>
        <v>0</v>
      </c>
      <c r="G90" s="376"/>
    </row>
    <row r="91" spans="1:7" ht="12" customHeight="1">
      <c r="A91" s="382">
        <v>11</v>
      </c>
      <c r="B91" s="376" t="s">
        <v>143</v>
      </c>
      <c r="E91" s="376"/>
      <c r="F91" s="391">
        <f>G22</f>
        <v>0</v>
      </c>
      <c r="G91" s="376"/>
    </row>
    <row r="92" spans="1:7" ht="12" customHeight="1">
      <c r="A92" s="382">
        <v>12</v>
      </c>
      <c r="B92" s="376" t="s">
        <v>144</v>
      </c>
      <c r="E92" s="376"/>
      <c r="F92" s="392">
        <f>G23</f>
        <v>0</v>
      </c>
      <c r="G92" s="376"/>
    </row>
    <row r="93" spans="1:7" ht="12" customHeight="1">
      <c r="A93" s="382">
        <v>13</v>
      </c>
      <c r="B93" s="376" t="s">
        <v>145</v>
      </c>
      <c r="E93" s="376"/>
      <c r="F93" s="391">
        <f>F90+F91+F92</f>
        <v>0</v>
      </c>
      <c r="G93" s="376"/>
    </row>
    <row r="94" spans="1:7" ht="12" customHeight="1">
      <c r="A94" s="382"/>
      <c r="B94" s="376" t="s">
        <v>84</v>
      </c>
      <c r="E94" s="376"/>
      <c r="F94" s="391"/>
      <c r="G94" s="376"/>
    </row>
    <row r="95" spans="1:7" ht="12" customHeight="1">
      <c r="A95" s="382">
        <v>14</v>
      </c>
      <c r="B95" s="376" t="s">
        <v>142</v>
      </c>
      <c r="E95" s="376"/>
      <c r="F95" s="391">
        <f>G26</f>
        <v>0</v>
      </c>
      <c r="G95" s="376"/>
    </row>
    <row r="96" spans="1:7" ht="12" customHeight="1">
      <c r="A96" s="382">
        <v>15</v>
      </c>
      <c r="B96" s="376" t="s">
        <v>143</v>
      </c>
      <c r="E96" s="376"/>
      <c r="F96" s="391">
        <f>G27</f>
        <v>0</v>
      </c>
      <c r="G96" s="376"/>
    </row>
    <row r="97" spans="1:7" ht="12" customHeight="1">
      <c r="A97" s="382">
        <v>16</v>
      </c>
      <c r="B97" s="376" t="s">
        <v>144</v>
      </c>
      <c r="E97" s="376"/>
      <c r="F97" s="392"/>
      <c r="G97" s="376"/>
    </row>
    <row r="98" spans="1:7" ht="12" customHeight="1">
      <c r="A98" s="382">
        <v>17</v>
      </c>
      <c r="B98" s="376" t="s">
        <v>146</v>
      </c>
      <c r="E98" s="376"/>
      <c r="F98" s="391">
        <f>F95+F96+F97</f>
        <v>0</v>
      </c>
      <c r="G98" s="376"/>
    </row>
    <row r="99" spans="1:7" ht="12" customHeight="1">
      <c r="A99" s="382">
        <v>18</v>
      </c>
      <c r="B99" s="376" t="s">
        <v>86</v>
      </c>
      <c r="E99" s="376"/>
      <c r="F99" s="391">
        <f>G31</f>
        <v>0</v>
      </c>
      <c r="G99" s="376"/>
    </row>
    <row r="100" spans="1:7" ht="12" customHeight="1">
      <c r="A100" s="382">
        <v>19</v>
      </c>
      <c r="B100" s="376" t="s">
        <v>87</v>
      </c>
      <c r="E100" s="376"/>
      <c r="F100" s="391">
        <f>G32</f>
        <v>0</v>
      </c>
      <c r="G100" s="376"/>
    </row>
    <row r="101" spans="1:7" ht="12" customHeight="1">
      <c r="A101" s="382">
        <v>20</v>
      </c>
      <c r="B101" s="376" t="s">
        <v>147</v>
      </c>
      <c r="E101" s="376"/>
      <c r="F101" s="391">
        <f>G33</f>
        <v>0</v>
      </c>
      <c r="G101" s="376"/>
    </row>
    <row r="102" spans="1:7" ht="12" customHeight="1">
      <c r="A102" s="382"/>
      <c r="B102" s="376" t="s">
        <v>148</v>
      </c>
      <c r="E102" s="376"/>
      <c r="F102" s="391"/>
      <c r="G102" s="376"/>
    </row>
    <row r="103" spans="1:7" ht="12" customHeight="1">
      <c r="A103" s="382">
        <v>21</v>
      </c>
      <c r="B103" s="376" t="s">
        <v>142</v>
      </c>
      <c r="E103" s="376"/>
      <c r="F103" s="391">
        <f>G35</f>
        <v>0</v>
      </c>
      <c r="G103" s="376"/>
    </row>
    <row r="104" spans="1:7" ht="12" customHeight="1">
      <c r="A104" s="382">
        <v>22</v>
      </c>
      <c r="B104" s="376" t="s">
        <v>143</v>
      </c>
      <c r="E104" s="376"/>
      <c r="F104" s="391">
        <f>G36</f>
        <v>0</v>
      </c>
      <c r="G104" s="376"/>
    </row>
    <row r="105" spans="1:7" ht="12" customHeight="1">
      <c r="A105" s="382">
        <v>23</v>
      </c>
      <c r="B105" s="376" t="s">
        <v>144</v>
      </c>
      <c r="E105" s="376"/>
      <c r="F105" s="392">
        <f>G37</f>
        <v>0</v>
      </c>
      <c r="G105" s="376"/>
    </row>
    <row r="106" spans="1:7" ht="12" customHeight="1">
      <c r="A106" s="382">
        <v>24</v>
      </c>
      <c r="B106" s="376" t="s">
        <v>149</v>
      </c>
      <c r="E106" s="376"/>
      <c r="F106" s="392">
        <f>F103+F104+F105</f>
        <v>0</v>
      </c>
      <c r="G106" s="376"/>
    </row>
    <row r="107" spans="1:7" ht="12" customHeight="1">
      <c r="A107" s="382"/>
      <c r="E107" s="376"/>
      <c r="F107" s="391"/>
      <c r="G107" s="376"/>
    </row>
    <row r="108" spans="1:7" ht="12" customHeight="1">
      <c r="A108" s="382">
        <v>25</v>
      </c>
      <c r="B108" s="376" t="s">
        <v>91</v>
      </c>
      <c r="E108" s="376"/>
      <c r="F108" s="392">
        <f>F106+F101+F100+F99+F98+F93+F88+F83</f>
        <v>0</v>
      </c>
      <c r="G108" s="376"/>
    </row>
    <row r="109" spans="1:7" ht="12" customHeight="1">
      <c r="A109" s="382"/>
      <c r="E109" s="376"/>
      <c r="F109" s="391"/>
      <c r="G109" s="376"/>
    </row>
    <row r="110" spans="1:7" ht="12" customHeight="1">
      <c r="A110" s="382">
        <v>26</v>
      </c>
      <c r="B110" s="376" t="s">
        <v>171</v>
      </c>
      <c r="E110" s="376"/>
      <c r="F110" s="392">
        <f>F80-F108</f>
        <v>0</v>
      </c>
      <c r="G110" s="376"/>
    </row>
    <row r="111" spans="1:7" ht="12" customHeight="1">
      <c r="A111" s="382"/>
      <c r="E111" s="376"/>
      <c r="G111" s="376"/>
    </row>
    <row r="112" spans="1:7" ht="12" customHeight="1">
      <c r="A112" s="382">
        <v>27</v>
      </c>
      <c r="B112" s="376" t="s">
        <v>172</v>
      </c>
      <c r="G112" s="376"/>
    </row>
    <row r="113" spans="1:7" ht="12" customHeight="1" thickBot="1">
      <c r="A113" s="382"/>
      <c r="B113" s="403" t="s">
        <v>173</v>
      </c>
      <c r="C113" s="404">
        <f>Inputs!$D$4</f>
        <v>1.1416000000000001E-2</v>
      </c>
      <c r="F113" s="398">
        <f>ROUND(F110*C113,0)</f>
        <v>0</v>
      </c>
      <c r="G113" s="376"/>
    </row>
    <row r="114" spans="1:7" ht="12" customHeight="1" thickTop="1">
      <c r="A114" s="382"/>
      <c r="G114" s="376"/>
    </row>
    <row r="115" spans="1:7" ht="12" customHeight="1"/>
    <row r="116" spans="1:7" ht="12" customHeight="1"/>
    <row r="117" spans="1:7" ht="12" customHeight="1"/>
    <row r="118" spans="1:7" ht="12" customHeight="1"/>
    <row r="119" spans="1:7" ht="12" customHeight="1"/>
    <row r="120" spans="1:7" ht="12" customHeight="1"/>
    <row r="121" spans="1:7" ht="12" customHeight="1"/>
    <row r="122" spans="1:7" ht="12" customHeight="1"/>
    <row r="123" spans="1:7" ht="12" customHeight="1"/>
    <row r="124" spans="1:7" ht="12" customHeight="1"/>
    <row r="125" spans="1:7" ht="12" customHeight="1"/>
    <row r="126" spans="1:7" ht="12" customHeight="1"/>
    <row r="127" spans="1:7" ht="12" customHeight="1"/>
    <row r="128" spans="1:7" ht="12" customHeight="1"/>
    <row r="129" ht="12" customHeight="1"/>
    <row r="130" ht="12" customHeight="1"/>
  </sheetData>
  <customSheetViews>
    <customSheetView guid="{5BE913A1-B14F-11D2-B0DC-0000832CDFF0}" scale="75" showPageBreaks="1" printArea="1" showRuler="0" topLeftCell="A12">
      <selection activeCell="F52" sqref="F52"/>
      <pageMargins left="0.75" right="0.75" top="0.5" bottom="0.5" header="0.5" footer="0.5"/>
      <pageSetup scale="83" orientation="portrait" horizontalDpi="4294967292" verticalDpi="0" r:id="rId1"/>
      <headerFooter alignWithMargins="0"/>
    </customSheetView>
    <customSheetView guid="{A15D1964-B049-11D2-8670-0000832CEEE8}" scale="75" showPageBreaks="1" printArea="1" showRuler="0" topLeftCell="A47">
      <selection activeCell="A68" sqref="A68:C68"/>
      <pageMargins left="0.75" right="0.75" top="0.5" bottom="0.5" header="0.5" footer="0.5"/>
      <pageSetup scale="83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V72"/>
  <sheetViews>
    <sheetView workbookViewId="0">
      <selection activeCell="I27" sqref="I27"/>
    </sheetView>
  </sheetViews>
  <sheetFormatPr defaultRowHeight="12"/>
  <cols>
    <col min="1" max="1" width="5.7109375" style="227" customWidth="1"/>
    <col min="2" max="4" width="1.7109375" style="202" customWidth="1"/>
    <col min="5" max="5" width="28.7109375" style="202" customWidth="1"/>
    <col min="6" max="7" width="11.7109375" style="203" customWidth="1"/>
    <col min="8" max="8" width="1.7109375" style="202" customWidth="1"/>
    <col min="9" max="10" width="11.7109375" style="203" customWidth="1"/>
    <col min="11" max="11" width="1.7109375" style="202" customWidth="1"/>
    <col min="12" max="13" width="11.7109375" style="203" customWidth="1"/>
    <col min="14" max="14" width="1.7109375" style="202" customWidth="1"/>
    <col min="15" max="16" width="11.7109375" style="203" customWidth="1"/>
    <col min="17" max="17" width="1.7109375" style="202" customWidth="1"/>
    <col min="18" max="19" width="11.7109375" style="203" customWidth="1"/>
    <col min="20" max="20" width="1.7109375" style="202" customWidth="1"/>
    <col min="21" max="22" width="11.7109375" style="203" customWidth="1"/>
    <col min="23" max="16384" width="9.140625" style="202"/>
  </cols>
  <sheetData>
    <row r="1" spans="1:22">
      <c r="A1" s="201" t="str">
        <f>Inputs!D6</f>
        <v>AVISTA UTILITIES</v>
      </c>
    </row>
    <row r="2" spans="1:22">
      <c r="A2" s="201" t="s">
        <v>0</v>
      </c>
    </row>
    <row r="3" spans="1:22">
      <c r="A3" s="201" t="s">
        <v>1</v>
      </c>
    </row>
    <row r="4" spans="1:22">
      <c r="A4" s="201" t="s">
        <v>198</v>
      </c>
    </row>
    <row r="5" spans="1:22">
      <c r="A5" s="201" t="s">
        <v>2</v>
      </c>
    </row>
    <row r="6" spans="1:22">
      <c r="A6" s="204"/>
      <c r="B6" s="205"/>
      <c r="C6" s="205"/>
      <c r="D6" s="205"/>
      <c r="E6" s="205"/>
      <c r="F6" s="206">
        <v>36341</v>
      </c>
      <c r="G6" s="207"/>
      <c r="I6" s="206">
        <v>36160</v>
      </c>
      <c r="J6" s="207"/>
      <c r="L6" s="206">
        <v>35976</v>
      </c>
      <c r="M6" s="207"/>
      <c r="O6" s="206">
        <v>35795</v>
      </c>
      <c r="P6" s="207"/>
      <c r="R6" s="206" t="s">
        <v>199</v>
      </c>
      <c r="S6" s="207"/>
      <c r="U6" s="206" t="s">
        <v>200</v>
      </c>
      <c r="V6" s="207"/>
    </row>
    <row r="7" spans="1:22">
      <c r="A7" s="208"/>
      <c r="B7" s="209"/>
      <c r="C7" s="210"/>
      <c r="D7" s="210"/>
      <c r="E7" s="211"/>
      <c r="F7" s="212" t="s">
        <v>3</v>
      </c>
      <c r="G7" s="212"/>
      <c r="I7" s="212" t="s">
        <v>3</v>
      </c>
      <c r="J7" s="212"/>
      <c r="L7" s="212" t="s">
        <v>3</v>
      </c>
      <c r="M7" s="212"/>
      <c r="O7" s="212" t="s">
        <v>3</v>
      </c>
      <c r="P7" s="212"/>
      <c r="R7" s="212" t="s">
        <v>3</v>
      </c>
      <c r="S7" s="212"/>
      <c r="U7" s="212" t="s">
        <v>3</v>
      </c>
      <c r="V7" s="212"/>
    </row>
    <row r="8" spans="1:22">
      <c r="A8" s="213" t="s">
        <v>10</v>
      </c>
      <c r="B8" s="214"/>
      <c r="C8" s="215"/>
      <c r="D8" s="215"/>
      <c r="E8" s="216"/>
      <c r="F8" s="217" t="s">
        <v>11</v>
      </c>
      <c r="G8" s="217" t="s">
        <v>25</v>
      </c>
      <c r="I8" s="217" t="s">
        <v>11</v>
      </c>
      <c r="J8" s="217" t="s">
        <v>25</v>
      </c>
      <c r="L8" s="217" t="s">
        <v>11</v>
      </c>
      <c r="M8" s="217" t="s">
        <v>25</v>
      </c>
      <c r="O8" s="217" t="s">
        <v>11</v>
      </c>
      <c r="P8" s="217" t="s">
        <v>25</v>
      </c>
      <c r="R8" s="217" t="s">
        <v>11</v>
      </c>
      <c r="S8" s="217" t="s">
        <v>25</v>
      </c>
      <c r="U8" s="217" t="s">
        <v>11</v>
      </c>
      <c r="V8" s="217" t="s">
        <v>25</v>
      </c>
    </row>
    <row r="9" spans="1:22">
      <c r="A9" s="218" t="s">
        <v>27</v>
      </c>
      <c r="B9" s="219"/>
      <c r="C9" s="220"/>
      <c r="D9" s="220"/>
      <c r="E9" s="221" t="s">
        <v>28</v>
      </c>
      <c r="F9" s="222" t="s">
        <v>29</v>
      </c>
      <c r="G9" s="222" t="s">
        <v>44</v>
      </c>
      <c r="I9" s="222" t="s">
        <v>29</v>
      </c>
      <c r="J9" s="222" t="s">
        <v>44</v>
      </c>
      <c r="L9" s="222" t="s">
        <v>29</v>
      </c>
      <c r="M9" s="222" t="s">
        <v>44</v>
      </c>
      <c r="O9" s="222" t="s">
        <v>29</v>
      </c>
      <c r="P9" s="222" t="s">
        <v>44</v>
      </c>
      <c r="R9" s="222" t="s">
        <v>29</v>
      </c>
      <c r="S9" s="222" t="s">
        <v>44</v>
      </c>
      <c r="U9" s="222" t="s">
        <v>29</v>
      </c>
      <c r="V9" s="222" t="s">
        <v>44</v>
      </c>
    </row>
    <row r="10" spans="1:22">
      <c r="A10" s="223"/>
      <c r="B10" s="224"/>
      <c r="C10" s="224"/>
      <c r="D10" s="224"/>
      <c r="E10" s="225" t="s">
        <v>45</v>
      </c>
      <c r="F10" s="226" t="s">
        <v>46</v>
      </c>
      <c r="G10" s="226" t="s">
        <v>52</v>
      </c>
      <c r="I10" s="226" t="s">
        <v>46</v>
      </c>
      <c r="J10" s="226" t="s">
        <v>52</v>
      </c>
      <c r="L10" s="226" t="s">
        <v>46</v>
      </c>
      <c r="M10" s="226" t="s">
        <v>52</v>
      </c>
      <c r="O10" s="226" t="s">
        <v>46</v>
      </c>
      <c r="P10" s="226" t="s">
        <v>52</v>
      </c>
      <c r="R10" s="226" t="s">
        <v>46</v>
      </c>
      <c r="S10" s="226" t="s">
        <v>52</v>
      </c>
      <c r="U10" s="226" t="s">
        <v>46</v>
      </c>
      <c r="V10" s="226" t="s">
        <v>52</v>
      </c>
    </row>
    <row r="12" spans="1:22">
      <c r="B12" s="202" t="s">
        <v>68</v>
      </c>
    </row>
    <row r="13" spans="1:22">
      <c r="A13" s="227">
        <v>1</v>
      </c>
      <c r="B13" s="228"/>
      <c r="C13" s="228" t="s">
        <v>69</v>
      </c>
      <c r="D13" s="228"/>
      <c r="E13" s="228"/>
      <c r="F13" s="78">
        <f>ResultSumGas!F8</f>
        <v>220020</v>
      </c>
      <c r="G13" s="78">
        <f>WAGas09_08!AB13</f>
        <v>213876</v>
      </c>
      <c r="I13" s="78">
        <v>67226</v>
      </c>
      <c r="J13" s="78">
        <v>72351</v>
      </c>
      <c r="L13" s="78">
        <v>60870</v>
      </c>
      <c r="M13" s="78">
        <v>65232</v>
      </c>
      <c r="O13" s="228">
        <v>59881</v>
      </c>
      <c r="P13" s="228">
        <v>60410</v>
      </c>
      <c r="R13" s="228">
        <f t="shared" ref="R13:S16" si="0">F13-O13</f>
        <v>160139</v>
      </c>
      <c r="S13" s="228">
        <f t="shared" si="0"/>
        <v>153466</v>
      </c>
      <c r="U13" s="229">
        <f t="shared" ref="U13:V16" si="1">ROUND(R13/O13,4)</f>
        <v>2.6743000000000001</v>
      </c>
      <c r="V13" s="229">
        <f t="shared" si="1"/>
        <v>2.5404</v>
      </c>
    </row>
    <row r="14" spans="1:22">
      <c r="A14" s="227">
        <v>2</v>
      </c>
      <c r="C14" s="189" t="s">
        <v>70</v>
      </c>
      <c r="D14" s="189"/>
      <c r="E14" s="189"/>
      <c r="F14" s="80">
        <f>ResultSumGas!F9</f>
        <v>3486</v>
      </c>
      <c r="G14" s="80">
        <f>WAGas09_08!AB14</f>
        <v>1711</v>
      </c>
      <c r="I14" s="80">
        <v>5294</v>
      </c>
      <c r="J14" s="80">
        <v>5218</v>
      </c>
      <c r="L14" s="80">
        <v>5449</v>
      </c>
      <c r="M14" s="80">
        <v>5372</v>
      </c>
      <c r="O14" s="189">
        <v>4946</v>
      </c>
      <c r="P14" s="189">
        <v>4876</v>
      </c>
      <c r="R14" s="189">
        <f t="shared" si="0"/>
        <v>-1460</v>
      </c>
      <c r="S14" s="189">
        <f t="shared" si="0"/>
        <v>-3165</v>
      </c>
      <c r="U14" s="229">
        <f t="shared" si="1"/>
        <v>-0.29520000000000002</v>
      </c>
      <c r="V14" s="229">
        <f t="shared" si="1"/>
        <v>-0.64910000000000001</v>
      </c>
    </row>
    <row r="15" spans="1:22">
      <c r="A15" s="227">
        <v>3</v>
      </c>
      <c r="C15" s="189" t="s">
        <v>71</v>
      </c>
      <c r="D15" s="189"/>
      <c r="E15" s="189"/>
      <c r="F15" s="81">
        <f>ResultSumGas!F10</f>
        <v>135812</v>
      </c>
      <c r="G15" s="81">
        <f>WAGas09_08!AB15</f>
        <v>4413</v>
      </c>
      <c r="I15" s="81">
        <v>12629</v>
      </c>
      <c r="J15" s="81">
        <v>12629</v>
      </c>
      <c r="L15" s="81">
        <v>11275</v>
      </c>
      <c r="M15" s="81">
        <v>11275</v>
      </c>
      <c r="O15" s="230">
        <v>9493</v>
      </c>
      <c r="P15" s="230">
        <v>9493</v>
      </c>
      <c r="R15" s="230">
        <f t="shared" si="0"/>
        <v>126319</v>
      </c>
      <c r="S15" s="230">
        <f t="shared" si="0"/>
        <v>-5080</v>
      </c>
      <c r="U15" s="229">
        <f t="shared" si="1"/>
        <v>13.3065</v>
      </c>
      <c r="V15" s="229">
        <f t="shared" si="1"/>
        <v>-0.53510000000000002</v>
      </c>
    </row>
    <row r="16" spans="1:22">
      <c r="A16" s="227">
        <v>4</v>
      </c>
      <c r="B16" s="202" t="s">
        <v>72</v>
      </c>
      <c r="C16" s="189"/>
      <c r="D16" s="189"/>
      <c r="E16" s="189"/>
      <c r="F16" s="80">
        <f>SUM(F13:F15)</f>
        <v>359318</v>
      </c>
      <c r="G16" s="80">
        <f>SUM(G13:G15)</f>
        <v>220000</v>
      </c>
      <c r="I16" s="80">
        <v>85149</v>
      </c>
      <c r="J16" s="80">
        <v>90198</v>
      </c>
      <c r="L16" s="80">
        <v>77594</v>
      </c>
      <c r="M16" s="80">
        <v>81879</v>
      </c>
      <c r="O16" s="189">
        <v>74320</v>
      </c>
      <c r="P16" s="189">
        <v>74779</v>
      </c>
      <c r="R16" s="189">
        <f t="shared" si="0"/>
        <v>284998</v>
      </c>
      <c r="S16" s="189">
        <f t="shared" si="0"/>
        <v>145221</v>
      </c>
      <c r="U16" s="229">
        <f t="shared" si="1"/>
        <v>3.8347000000000002</v>
      </c>
      <c r="V16" s="229">
        <f t="shared" si="1"/>
        <v>1.9419999999999999</v>
      </c>
    </row>
    <row r="17" spans="1:22">
      <c r="C17" s="189"/>
      <c r="D17" s="189"/>
      <c r="E17" s="189"/>
      <c r="F17" s="80"/>
      <c r="G17" s="80"/>
      <c r="I17" s="80"/>
      <c r="J17" s="80"/>
      <c r="L17" s="80"/>
      <c r="M17" s="80"/>
      <c r="O17" s="189"/>
      <c r="P17" s="189"/>
      <c r="R17" s="189"/>
      <c r="S17" s="189"/>
      <c r="U17" s="229"/>
      <c r="V17" s="229"/>
    </row>
    <row r="18" spans="1:22">
      <c r="B18" s="202" t="s">
        <v>73</v>
      </c>
      <c r="C18" s="189"/>
      <c r="D18" s="189"/>
      <c r="E18" s="189"/>
      <c r="F18" s="80"/>
      <c r="G18" s="80"/>
      <c r="I18" s="80"/>
      <c r="J18" s="80"/>
      <c r="L18" s="80"/>
      <c r="M18" s="80"/>
      <c r="O18" s="189"/>
      <c r="P18" s="189"/>
      <c r="R18" s="189"/>
      <c r="S18" s="189"/>
      <c r="U18" s="229"/>
      <c r="V18" s="229"/>
    </row>
    <row r="19" spans="1:22">
      <c r="A19" s="227">
        <v>5</v>
      </c>
      <c r="C19" s="189" t="s">
        <v>74</v>
      </c>
      <c r="D19" s="189"/>
      <c r="E19" s="189"/>
      <c r="F19" s="80">
        <f>ResultSumGas!F14</f>
        <v>0</v>
      </c>
      <c r="G19" s="80">
        <f>WAGas09_08!AB19</f>
        <v>0</v>
      </c>
      <c r="I19" s="80">
        <v>0</v>
      </c>
      <c r="J19" s="80">
        <v>0</v>
      </c>
      <c r="L19" s="80">
        <v>0</v>
      </c>
      <c r="M19" s="80">
        <v>0</v>
      </c>
      <c r="O19" s="189">
        <v>0</v>
      </c>
      <c r="P19" s="189">
        <v>0</v>
      </c>
      <c r="R19" s="189">
        <f>F19-O19</f>
        <v>0</v>
      </c>
      <c r="S19" s="189">
        <f>G19-P19</f>
        <v>0</v>
      </c>
      <c r="U19" s="229"/>
      <c r="V19" s="229"/>
    </row>
    <row r="20" spans="1:22">
      <c r="C20" s="189" t="s">
        <v>75</v>
      </c>
      <c r="D20" s="189"/>
      <c r="E20" s="189"/>
      <c r="F20" s="80"/>
      <c r="G20" s="80"/>
      <c r="I20" s="80"/>
      <c r="J20" s="80"/>
      <c r="L20" s="80"/>
      <c r="M20" s="80"/>
      <c r="O20" s="189"/>
      <c r="P20" s="189"/>
      <c r="R20" s="189"/>
      <c r="S20" s="189"/>
      <c r="U20" s="229"/>
      <c r="V20" s="229"/>
    </row>
    <row r="21" spans="1:22">
      <c r="A21" s="227">
        <v>6</v>
      </c>
      <c r="C21" s="189"/>
      <c r="D21" s="189" t="s">
        <v>76</v>
      </c>
      <c r="E21" s="189"/>
      <c r="F21" s="80">
        <f>ResultSumGas!F16</f>
        <v>309146</v>
      </c>
      <c r="G21" s="80">
        <f>WAGas09_08!AB21</f>
        <v>157281</v>
      </c>
      <c r="I21" s="80">
        <v>49265</v>
      </c>
      <c r="J21" s="80">
        <v>53479</v>
      </c>
      <c r="L21" s="80">
        <v>43653</v>
      </c>
      <c r="M21" s="80">
        <v>47886</v>
      </c>
      <c r="O21" s="189">
        <v>44989</v>
      </c>
      <c r="P21" s="189">
        <v>46442</v>
      </c>
      <c r="R21" s="189">
        <f t="shared" ref="R21:S24" si="2">F21-O21</f>
        <v>264157</v>
      </c>
      <c r="S21" s="189">
        <f t="shared" si="2"/>
        <v>110839</v>
      </c>
      <c r="U21" s="229">
        <f t="shared" ref="U21:V24" si="3">ROUND(R21/O21,4)</f>
        <v>5.8715999999999999</v>
      </c>
      <c r="V21" s="229">
        <f t="shared" si="3"/>
        <v>2.3866000000000001</v>
      </c>
    </row>
    <row r="22" spans="1:22">
      <c r="A22" s="227">
        <v>7</v>
      </c>
      <c r="C22" s="189"/>
      <c r="D22" s="189" t="s">
        <v>77</v>
      </c>
      <c r="E22" s="189"/>
      <c r="F22" s="80">
        <f>ResultSumGas!F17</f>
        <v>737</v>
      </c>
      <c r="G22" s="80">
        <f>WAGas09_08!AB22</f>
        <v>737</v>
      </c>
      <c r="I22" s="80">
        <v>117</v>
      </c>
      <c r="J22" s="80">
        <v>-101</v>
      </c>
      <c r="L22" s="80">
        <v>-68</v>
      </c>
      <c r="M22" s="80">
        <v>-580</v>
      </c>
      <c r="O22" s="189">
        <v>246</v>
      </c>
      <c r="P22" s="189">
        <v>246</v>
      </c>
      <c r="R22" s="189">
        <f t="shared" si="2"/>
        <v>491</v>
      </c>
      <c r="S22" s="189">
        <f t="shared" si="2"/>
        <v>491</v>
      </c>
      <c r="U22" s="229">
        <f t="shared" si="3"/>
        <v>1.9959</v>
      </c>
      <c r="V22" s="229">
        <f t="shared" si="3"/>
        <v>1.9959</v>
      </c>
    </row>
    <row r="23" spans="1:22">
      <c r="A23" s="227">
        <v>8</v>
      </c>
      <c r="C23" s="189"/>
      <c r="D23" s="189" t="s">
        <v>78</v>
      </c>
      <c r="E23" s="189"/>
      <c r="F23" s="81">
        <f>ResultSumGas!F18</f>
        <v>-18687</v>
      </c>
      <c r="G23" s="81">
        <f>WAGas09_08!AB23</f>
        <v>0</v>
      </c>
      <c r="I23" s="81">
        <v>-1017</v>
      </c>
      <c r="J23" s="81">
        <v>-1017</v>
      </c>
      <c r="L23" s="81">
        <v>321</v>
      </c>
      <c r="M23" s="81">
        <v>321</v>
      </c>
      <c r="O23" s="230">
        <v>-2074</v>
      </c>
      <c r="P23" s="230">
        <v>-2074</v>
      </c>
      <c r="R23" s="230">
        <f t="shared" si="2"/>
        <v>-16613</v>
      </c>
      <c r="S23" s="230">
        <f t="shared" si="2"/>
        <v>2074</v>
      </c>
      <c r="U23" s="229">
        <f t="shared" si="3"/>
        <v>8.0100999999999996</v>
      </c>
      <c r="V23" s="229">
        <f t="shared" si="3"/>
        <v>-1</v>
      </c>
    </row>
    <row r="24" spans="1:22">
      <c r="A24" s="227">
        <v>9</v>
      </c>
      <c r="C24" s="189"/>
      <c r="D24" s="189"/>
      <c r="E24" s="189" t="s">
        <v>79</v>
      </c>
      <c r="F24" s="80">
        <f>SUM(F21:F23)</f>
        <v>291196</v>
      </c>
      <c r="G24" s="80">
        <f>SUM(G21:G23)</f>
        <v>158018</v>
      </c>
      <c r="I24" s="80">
        <v>48365</v>
      </c>
      <c r="J24" s="80">
        <v>52361</v>
      </c>
      <c r="L24" s="80">
        <v>43906</v>
      </c>
      <c r="M24" s="80">
        <v>47627</v>
      </c>
      <c r="O24" s="189">
        <v>43161</v>
      </c>
      <c r="P24" s="189">
        <v>44614</v>
      </c>
      <c r="R24" s="189">
        <f t="shared" si="2"/>
        <v>248035</v>
      </c>
      <c r="S24" s="189">
        <f t="shared" si="2"/>
        <v>113404</v>
      </c>
      <c r="U24" s="229">
        <f t="shared" si="3"/>
        <v>5.7466999999999997</v>
      </c>
      <c r="V24" s="229">
        <f t="shared" si="3"/>
        <v>2.5419</v>
      </c>
    </row>
    <row r="25" spans="1:22">
      <c r="C25" s="189" t="s">
        <v>80</v>
      </c>
      <c r="D25" s="189"/>
      <c r="E25" s="189"/>
      <c r="F25" s="80"/>
      <c r="G25" s="80"/>
      <c r="I25" s="80"/>
      <c r="J25" s="80"/>
      <c r="L25" s="80"/>
      <c r="M25" s="80"/>
      <c r="O25" s="189"/>
      <c r="P25" s="189"/>
      <c r="R25" s="189"/>
      <c r="S25" s="189"/>
      <c r="U25" s="229"/>
      <c r="V25" s="229"/>
    </row>
    <row r="26" spans="1:22">
      <c r="A26" s="227">
        <v>10</v>
      </c>
      <c r="C26" s="189"/>
      <c r="D26" s="189" t="s">
        <v>81</v>
      </c>
      <c r="E26" s="189"/>
      <c r="F26" s="80">
        <f>ResultSumGas!F21</f>
        <v>408</v>
      </c>
      <c r="G26" s="80">
        <f>WAGas09_08!AB26</f>
        <v>408</v>
      </c>
      <c r="I26" s="80">
        <v>319</v>
      </c>
      <c r="J26" s="80">
        <v>319</v>
      </c>
      <c r="L26" s="80">
        <v>365</v>
      </c>
      <c r="M26" s="80">
        <v>365</v>
      </c>
      <c r="O26" s="189">
        <v>333</v>
      </c>
      <c r="P26" s="189">
        <v>333</v>
      </c>
      <c r="R26" s="189">
        <f t="shared" ref="R26:S29" si="4">F26-O26</f>
        <v>75</v>
      </c>
      <c r="S26" s="189">
        <f t="shared" si="4"/>
        <v>75</v>
      </c>
      <c r="U26" s="229">
        <f t="shared" ref="U26:V29" si="5">ROUND(R26/O26,4)</f>
        <v>0.22520000000000001</v>
      </c>
      <c r="V26" s="229">
        <f t="shared" si="5"/>
        <v>0.22520000000000001</v>
      </c>
    </row>
    <row r="27" spans="1:22">
      <c r="A27" s="227">
        <v>11</v>
      </c>
      <c r="C27" s="189"/>
      <c r="D27" s="189" t="s">
        <v>82</v>
      </c>
      <c r="E27" s="189"/>
      <c r="F27" s="80">
        <f>ResultSumGas!F22</f>
        <v>260</v>
      </c>
      <c r="G27" s="80">
        <f>WAGas09_08!AB27</f>
        <v>245</v>
      </c>
      <c r="I27" s="80">
        <v>325</v>
      </c>
      <c r="J27" s="80">
        <v>325</v>
      </c>
      <c r="L27" s="80">
        <v>322</v>
      </c>
      <c r="M27" s="80">
        <v>322</v>
      </c>
      <c r="O27" s="189">
        <v>328</v>
      </c>
      <c r="P27" s="189">
        <v>328</v>
      </c>
      <c r="R27" s="189">
        <f t="shared" si="4"/>
        <v>-68</v>
      </c>
      <c r="S27" s="189">
        <f t="shared" si="4"/>
        <v>-83</v>
      </c>
      <c r="U27" s="229">
        <f t="shared" si="5"/>
        <v>-0.20730000000000001</v>
      </c>
      <c r="V27" s="229">
        <f t="shared" si="5"/>
        <v>-0.253</v>
      </c>
    </row>
    <row r="28" spans="1:22">
      <c r="A28" s="227">
        <v>12</v>
      </c>
      <c r="C28" s="189"/>
      <c r="D28" s="189" t="s">
        <v>37</v>
      </c>
      <c r="E28" s="189"/>
      <c r="F28" s="81">
        <f>ResultSumGas!F23</f>
        <v>113</v>
      </c>
      <c r="G28" s="81">
        <f>WAGas09_08!AB28</f>
        <v>97</v>
      </c>
      <c r="I28" s="81">
        <v>103</v>
      </c>
      <c r="J28" s="81">
        <v>103</v>
      </c>
      <c r="L28" s="81">
        <v>133</v>
      </c>
      <c r="M28" s="81">
        <v>118</v>
      </c>
      <c r="O28" s="230">
        <v>138</v>
      </c>
      <c r="P28" s="230">
        <v>152</v>
      </c>
      <c r="R28" s="230">
        <f t="shared" si="4"/>
        <v>-25</v>
      </c>
      <c r="S28" s="230">
        <f t="shared" si="4"/>
        <v>-55</v>
      </c>
      <c r="U28" s="229">
        <f t="shared" si="5"/>
        <v>-0.1812</v>
      </c>
      <c r="V28" s="229">
        <f t="shared" si="5"/>
        <v>-0.36180000000000001</v>
      </c>
    </row>
    <row r="29" spans="1:22">
      <c r="A29" s="227">
        <v>13</v>
      </c>
      <c r="C29" s="189"/>
      <c r="D29" s="189"/>
      <c r="E29" s="189" t="s">
        <v>83</v>
      </c>
      <c r="F29" s="80">
        <f>SUM(F26:F28)</f>
        <v>781</v>
      </c>
      <c r="G29" s="80">
        <f>SUM(G26:G28)</f>
        <v>750</v>
      </c>
      <c r="I29" s="80">
        <v>747</v>
      </c>
      <c r="J29" s="80">
        <v>747</v>
      </c>
      <c r="L29" s="80">
        <v>820</v>
      </c>
      <c r="M29" s="80">
        <v>805</v>
      </c>
      <c r="O29" s="189">
        <v>799</v>
      </c>
      <c r="P29" s="189">
        <v>813</v>
      </c>
      <c r="R29" s="189">
        <f t="shared" si="4"/>
        <v>-18</v>
      </c>
      <c r="S29" s="189">
        <f t="shared" si="4"/>
        <v>-63</v>
      </c>
      <c r="U29" s="229">
        <f t="shared" si="5"/>
        <v>-2.2499999999999999E-2</v>
      </c>
      <c r="V29" s="229">
        <f t="shared" si="5"/>
        <v>-7.7499999999999999E-2</v>
      </c>
    </row>
    <row r="30" spans="1:22">
      <c r="C30" s="189" t="s">
        <v>84</v>
      </c>
      <c r="D30" s="189"/>
      <c r="E30" s="189"/>
      <c r="F30" s="80"/>
      <c r="G30" s="80"/>
      <c r="I30" s="80"/>
      <c r="J30" s="80"/>
      <c r="L30" s="80"/>
      <c r="M30" s="80"/>
      <c r="O30" s="189"/>
      <c r="P30" s="189"/>
      <c r="R30" s="189"/>
      <c r="S30" s="189"/>
      <c r="U30" s="229"/>
      <c r="V30" s="229"/>
    </row>
    <row r="31" spans="1:22">
      <c r="A31" s="227">
        <v>14</v>
      </c>
      <c r="C31" s="189"/>
      <c r="D31" s="189" t="s">
        <v>81</v>
      </c>
      <c r="E31" s="189"/>
      <c r="F31" s="80">
        <f>ResultSumGas!F26</f>
        <v>6260</v>
      </c>
      <c r="G31" s="80">
        <f>WAGas09_08!AB31</f>
        <v>6260</v>
      </c>
      <c r="I31" s="80">
        <v>3905</v>
      </c>
      <c r="J31" s="80">
        <v>3905</v>
      </c>
      <c r="L31" s="80">
        <v>3870</v>
      </c>
      <c r="M31" s="80">
        <v>3870</v>
      </c>
      <c r="O31" s="189">
        <v>3902</v>
      </c>
      <c r="P31" s="189">
        <v>3902</v>
      </c>
      <c r="R31" s="189">
        <f t="shared" ref="R31:S34" si="6">F31-O31</f>
        <v>2358</v>
      </c>
      <c r="S31" s="189">
        <f t="shared" si="6"/>
        <v>2358</v>
      </c>
      <c r="U31" s="229">
        <f t="shared" ref="U31:V34" si="7">ROUND(R31/O31,4)</f>
        <v>0.60429999999999995</v>
      </c>
      <c r="V31" s="229">
        <f t="shared" si="7"/>
        <v>0.60429999999999995</v>
      </c>
    </row>
    <row r="32" spans="1:22">
      <c r="A32" s="227">
        <v>15</v>
      </c>
      <c r="C32" s="189"/>
      <c r="D32" s="189" t="s">
        <v>82</v>
      </c>
      <c r="E32" s="189"/>
      <c r="F32" s="80">
        <f>ResultSumGas!F27</f>
        <v>5659</v>
      </c>
      <c r="G32" s="80">
        <f>WAGas09_08!AB32</f>
        <v>5593</v>
      </c>
      <c r="I32" s="80">
        <v>3738</v>
      </c>
      <c r="J32" s="80">
        <v>3738</v>
      </c>
      <c r="L32" s="80">
        <v>3639</v>
      </c>
      <c r="M32" s="80">
        <v>3639</v>
      </c>
      <c r="O32" s="189">
        <v>3539</v>
      </c>
      <c r="P32" s="189">
        <v>3539</v>
      </c>
      <c r="R32" s="189">
        <f t="shared" si="6"/>
        <v>2120</v>
      </c>
      <c r="S32" s="189">
        <f t="shared" si="6"/>
        <v>2054</v>
      </c>
      <c r="U32" s="229">
        <f t="shared" si="7"/>
        <v>0.59899999999999998</v>
      </c>
      <c r="V32" s="229">
        <f t="shared" si="7"/>
        <v>0.58040000000000003</v>
      </c>
    </row>
    <row r="33" spans="1:22">
      <c r="A33" s="227">
        <v>16</v>
      </c>
      <c r="C33" s="189"/>
      <c r="D33" s="189" t="s">
        <v>37</v>
      </c>
      <c r="E33" s="189"/>
      <c r="F33" s="81">
        <f>ResultSumGas!F28</f>
        <v>18282</v>
      </c>
      <c r="G33" s="81">
        <f>WAGas09_08!AB33</f>
        <v>10240</v>
      </c>
      <c r="I33" s="81">
        <v>4956</v>
      </c>
      <c r="J33" s="81">
        <v>4081</v>
      </c>
      <c r="L33" s="81">
        <v>5352</v>
      </c>
      <c r="M33" s="81">
        <v>4106</v>
      </c>
      <c r="O33" s="230">
        <v>5753</v>
      </c>
      <c r="P33" s="230">
        <v>4281</v>
      </c>
      <c r="R33" s="230">
        <f t="shared" si="6"/>
        <v>12529</v>
      </c>
      <c r="S33" s="230">
        <f t="shared" si="6"/>
        <v>5959</v>
      </c>
      <c r="U33" s="229">
        <f t="shared" si="7"/>
        <v>2.1778</v>
      </c>
      <c r="V33" s="229">
        <f t="shared" si="7"/>
        <v>1.3919999999999999</v>
      </c>
    </row>
    <row r="34" spans="1:22">
      <c r="A34" s="227">
        <v>17</v>
      </c>
      <c r="C34" s="189"/>
      <c r="D34" s="189"/>
      <c r="E34" s="189" t="s">
        <v>85</v>
      </c>
      <c r="F34" s="80">
        <f>SUM(F31:F33)</f>
        <v>30201</v>
      </c>
      <c r="G34" s="80">
        <f>SUM(G31:G33)</f>
        <v>22093</v>
      </c>
      <c r="I34" s="80">
        <v>12599</v>
      </c>
      <c r="J34" s="80">
        <v>11724</v>
      </c>
      <c r="L34" s="80">
        <v>12861</v>
      </c>
      <c r="M34" s="80">
        <v>11615</v>
      </c>
      <c r="O34" s="189">
        <v>13194</v>
      </c>
      <c r="P34" s="189">
        <v>11722</v>
      </c>
      <c r="R34" s="189">
        <f t="shared" si="6"/>
        <v>17007</v>
      </c>
      <c r="S34" s="189">
        <f t="shared" si="6"/>
        <v>10371</v>
      </c>
      <c r="U34" s="229">
        <f t="shared" si="7"/>
        <v>1.2889999999999999</v>
      </c>
      <c r="V34" s="229">
        <f t="shared" si="7"/>
        <v>0.88470000000000004</v>
      </c>
    </row>
    <row r="35" spans="1:22">
      <c r="C35" s="189"/>
      <c r="D35" s="189"/>
      <c r="E35" s="189"/>
      <c r="F35" s="80"/>
      <c r="G35" s="80"/>
      <c r="I35" s="80"/>
      <c r="J35" s="80"/>
      <c r="L35" s="80"/>
      <c r="M35" s="80"/>
      <c r="O35" s="189"/>
      <c r="P35" s="189"/>
      <c r="R35" s="189"/>
      <c r="S35" s="189"/>
      <c r="U35" s="229"/>
      <c r="V35" s="229"/>
    </row>
    <row r="36" spans="1:22">
      <c r="A36" s="227">
        <v>18</v>
      </c>
      <c r="B36" s="202" t="s">
        <v>86</v>
      </c>
      <c r="C36" s="189"/>
      <c r="D36" s="189"/>
      <c r="E36" s="189"/>
      <c r="F36" s="80">
        <f>ResultSumGas!F31</f>
        <v>4884</v>
      </c>
      <c r="G36" s="80">
        <f>WAGas09_08!AB36</f>
        <v>4661</v>
      </c>
      <c r="I36" s="80">
        <v>3322</v>
      </c>
      <c r="J36" s="80">
        <v>2875</v>
      </c>
      <c r="L36" s="80">
        <v>3163</v>
      </c>
      <c r="M36" s="80">
        <v>2872</v>
      </c>
      <c r="O36" s="189">
        <v>3208</v>
      </c>
      <c r="P36" s="189">
        <v>2841</v>
      </c>
      <c r="R36" s="189">
        <f t="shared" ref="R36:S38" si="8">F36-O36</f>
        <v>1676</v>
      </c>
      <c r="S36" s="189">
        <f t="shared" si="8"/>
        <v>1820</v>
      </c>
      <c r="U36" s="229">
        <f t="shared" ref="U36:V38" si="9">ROUND(R36/O36,4)</f>
        <v>0.52239999999999998</v>
      </c>
      <c r="V36" s="229">
        <f t="shared" si="9"/>
        <v>0.64059999999999995</v>
      </c>
    </row>
    <row r="37" spans="1:22">
      <c r="A37" s="227">
        <v>19</v>
      </c>
      <c r="B37" s="202" t="s">
        <v>87</v>
      </c>
      <c r="C37" s="189"/>
      <c r="D37" s="189"/>
      <c r="E37" s="189"/>
      <c r="F37" s="80">
        <f>ResultSumGas!F32</f>
        <v>5002</v>
      </c>
      <c r="G37" s="80">
        <f>WAGas09_08!AB37</f>
        <v>732</v>
      </c>
      <c r="I37" s="80">
        <v>585</v>
      </c>
      <c r="J37" s="80">
        <v>585</v>
      </c>
      <c r="L37" s="80">
        <v>565</v>
      </c>
      <c r="M37" s="80">
        <v>565</v>
      </c>
      <c r="O37" s="189">
        <v>594</v>
      </c>
      <c r="P37" s="189">
        <v>594</v>
      </c>
      <c r="R37" s="189">
        <f t="shared" si="8"/>
        <v>4408</v>
      </c>
      <c r="S37" s="189">
        <f t="shared" si="8"/>
        <v>138</v>
      </c>
      <c r="U37" s="229">
        <f t="shared" si="9"/>
        <v>7.4208999999999996</v>
      </c>
      <c r="V37" s="229">
        <f t="shared" si="9"/>
        <v>0.23230000000000001</v>
      </c>
    </row>
    <row r="38" spans="1:22">
      <c r="A38" s="227">
        <v>20</v>
      </c>
      <c r="B38" s="202" t="s">
        <v>88</v>
      </c>
      <c r="C38" s="189"/>
      <c r="D38" s="189"/>
      <c r="E38" s="189"/>
      <c r="F38" s="80">
        <f>ResultSumGas!F33</f>
        <v>545</v>
      </c>
      <c r="G38" s="80">
        <f>WAGas09_08!AB38</f>
        <v>545</v>
      </c>
      <c r="I38" s="80">
        <v>474</v>
      </c>
      <c r="J38" s="80">
        <v>474</v>
      </c>
      <c r="L38" s="80">
        <v>443</v>
      </c>
      <c r="M38" s="80">
        <v>443</v>
      </c>
      <c r="O38" s="189">
        <v>437</v>
      </c>
      <c r="P38" s="189">
        <v>437</v>
      </c>
      <c r="R38" s="189">
        <f t="shared" si="8"/>
        <v>108</v>
      </c>
      <c r="S38" s="189">
        <f t="shared" si="8"/>
        <v>108</v>
      </c>
      <c r="U38" s="229">
        <f t="shared" si="9"/>
        <v>0.24709999999999999</v>
      </c>
      <c r="V38" s="229">
        <f t="shared" si="9"/>
        <v>0.24709999999999999</v>
      </c>
    </row>
    <row r="39" spans="1:22">
      <c r="B39" s="202" t="s">
        <v>89</v>
      </c>
      <c r="C39" s="189"/>
      <c r="D39" s="189"/>
      <c r="E39" s="189"/>
      <c r="F39" s="80"/>
      <c r="G39" s="80"/>
      <c r="I39" s="80"/>
      <c r="J39" s="80"/>
      <c r="L39" s="80"/>
      <c r="M39" s="80"/>
      <c r="O39" s="189"/>
      <c r="P39" s="189"/>
      <c r="R39" s="189"/>
      <c r="S39" s="189"/>
      <c r="U39" s="229"/>
      <c r="V39" s="229"/>
    </row>
    <row r="40" spans="1:22">
      <c r="A40" s="227">
        <v>21</v>
      </c>
      <c r="C40" s="189" t="s">
        <v>81</v>
      </c>
      <c r="D40" s="189"/>
      <c r="E40" s="189"/>
      <c r="F40" s="80">
        <f>ResultSumGas!F35</f>
        <v>9202</v>
      </c>
      <c r="G40" s="80">
        <f>WAGas09_08!AB40</f>
        <v>9066</v>
      </c>
      <c r="I40" s="80">
        <v>8195</v>
      </c>
      <c r="J40" s="80">
        <v>8281</v>
      </c>
      <c r="L40" s="80">
        <v>7359</v>
      </c>
      <c r="M40" s="80">
        <v>7346</v>
      </c>
      <c r="O40" s="189">
        <v>7319</v>
      </c>
      <c r="P40" s="189">
        <v>7248</v>
      </c>
      <c r="R40" s="189">
        <f t="shared" ref="R40:S42" si="10">F40-O40</f>
        <v>1883</v>
      </c>
      <c r="S40" s="189">
        <f t="shared" si="10"/>
        <v>1818</v>
      </c>
      <c r="U40" s="229">
        <f t="shared" ref="U40:V44" si="11">ROUND(R40/O40,4)</f>
        <v>0.25729999999999997</v>
      </c>
      <c r="V40" s="229">
        <f t="shared" si="11"/>
        <v>0.25080000000000002</v>
      </c>
    </row>
    <row r="41" spans="1:22">
      <c r="A41" s="227">
        <v>22</v>
      </c>
      <c r="C41" s="189" t="s">
        <v>82</v>
      </c>
      <c r="D41" s="189"/>
      <c r="E41" s="189"/>
      <c r="F41" s="80">
        <f>ResultSumGas!F36</f>
        <v>1414</v>
      </c>
      <c r="G41" s="80">
        <f>WAGas09_08!AB41</f>
        <v>1755</v>
      </c>
      <c r="I41" s="80">
        <v>818</v>
      </c>
      <c r="J41" s="80">
        <v>818</v>
      </c>
      <c r="L41" s="80">
        <v>725</v>
      </c>
      <c r="M41" s="80">
        <v>725</v>
      </c>
      <c r="O41" s="231">
        <v>668</v>
      </c>
      <c r="P41" s="231">
        <v>668</v>
      </c>
      <c r="R41" s="231">
        <f t="shared" si="10"/>
        <v>746</v>
      </c>
      <c r="S41" s="231">
        <f t="shared" si="10"/>
        <v>1087</v>
      </c>
      <c r="U41" s="229">
        <f t="shared" si="11"/>
        <v>1.1168</v>
      </c>
      <c r="V41" s="229">
        <f t="shared" si="11"/>
        <v>1.6272</v>
      </c>
    </row>
    <row r="42" spans="1:22">
      <c r="A42" s="227">
        <v>23</v>
      </c>
      <c r="C42" s="189" t="s">
        <v>37</v>
      </c>
      <c r="D42" s="189"/>
      <c r="E42" s="189"/>
      <c r="F42" s="81">
        <f>ResultSumGas!F37</f>
        <v>23</v>
      </c>
      <c r="G42" s="81">
        <f>WAGas09_08!AB42</f>
        <v>22</v>
      </c>
      <c r="I42" s="81">
        <v>15</v>
      </c>
      <c r="J42" s="81">
        <v>15</v>
      </c>
      <c r="L42" s="81">
        <v>15</v>
      </c>
      <c r="M42" s="81">
        <v>14</v>
      </c>
      <c r="O42" s="230">
        <v>16</v>
      </c>
      <c r="P42" s="230">
        <v>18</v>
      </c>
      <c r="R42" s="230">
        <f t="shared" si="10"/>
        <v>7</v>
      </c>
      <c r="S42" s="230">
        <f t="shared" si="10"/>
        <v>4</v>
      </c>
      <c r="U42" s="229">
        <f t="shared" si="11"/>
        <v>0.4375</v>
      </c>
      <c r="V42" s="229">
        <f t="shared" si="11"/>
        <v>0.22220000000000001</v>
      </c>
    </row>
    <row r="43" spans="1:22">
      <c r="A43" s="227">
        <v>24</v>
      </c>
      <c r="C43" s="189"/>
      <c r="D43" s="189"/>
      <c r="E43" s="189" t="s">
        <v>90</v>
      </c>
      <c r="F43" s="81">
        <f>SUM(F40:F42)</f>
        <v>10639</v>
      </c>
      <c r="G43" s="81">
        <f>SUM(G40:G42)</f>
        <v>10843</v>
      </c>
      <c r="I43" s="81">
        <v>9028</v>
      </c>
      <c r="J43" s="81">
        <v>9114</v>
      </c>
      <c r="L43" s="81">
        <v>8099</v>
      </c>
      <c r="M43" s="81">
        <v>8085</v>
      </c>
      <c r="O43" s="230">
        <v>8003</v>
      </c>
      <c r="P43" s="230">
        <v>7934</v>
      </c>
      <c r="R43" s="230">
        <f>F44-O43</f>
        <v>335245</v>
      </c>
      <c r="S43" s="230">
        <f>G43-P43</f>
        <v>2909</v>
      </c>
      <c r="U43" s="229">
        <f t="shared" si="11"/>
        <v>41.889899999999997</v>
      </c>
      <c r="V43" s="229">
        <f t="shared" si="11"/>
        <v>0.36659999999999998</v>
      </c>
    </row>
    <row r="44" spans="1:22">
      <c r="A44" s="227">
        <v>25</v>
      </c>
      <c r="B44" s="202" t="s">
        <v>91</v>
      </c>
      <c r="C44" s="189"/>
      <c r="D44" s="189"/>
      <c r="E44" s="189"/>
      <c r="F44" s="81">
        <f>F24+F29+F34+F36+F37+F38+F43+F19</f>
        <v>343248</v>
      </c>
      <c r="G44" s="81">
        <f>G24+G29+G34+G36+G37+G38+G43+G19</f>
        <v>197642</v>
      </c>
      <c r="I44" s="81">
        <v>75120</v>
      </c>
      <c r="J44" s="81">
        <v>77880</v>
      </c>
      <c r="L44" s="81">
        <v>69857</v>
      </c>
      <c r="M44" s="81">
        <v>72012</v>
      </c>
      <c r="O44" s="232">
        <v>69396</v>
      </c>
      <c r="P44" s="232">
        <v>68955</v>
      </c>
      <c r="R44" s="232">
        <f>F44-O44</f>
        <v>273852</v>
      </c>
      <c r="S44" s="232">
        <f>G44-P44</f>
        <v>128687</v>
      </c>
      <c r="U44" s="229">
        <f t="shared" si="11"/>
        <v>3.9462000000000002</v>
      </c>
      <c r="V44" s="229">
        <f t="shared" si="11"/>
        <v>1.8662000000000001</v>
      </c>
    </row>
    <row r="45" spans="1:22">
      <c r="C45" s="189"/>
      <c r="D45" s="189"/>
      <c r="E45" s="189"/>
      <c r="F45" s="80"/>
      <c r="G45" s="80"/>
      <c r="I45" s="80"/>
      <c r="J45" s="80"/>
      <c r="L45" s="80"/>
      <c r="M45" s="80"/>
      <c r="O45" s="189"/>
      <c r="P45" s="189"/>
      <c r="R45" s="189"/>
      <c r="S45" s="189"/>
      <c r="U45" s="229"/>
      <c r="V45" s="229"/>
    </row>
    <row r="46" spans="1:22">
      <c r="A46" s="227">
        <v>26</v>
      </c>
      <c r="B46" s="202" t="s">
        <v>92</v>
      </c>
      <c r="C46" s="189"/>
      <c r="D46" s="189"/>
      <c r="E46" s="189"/>
      <c r="F46" s="189">
        <f>F16-F44</f>
        <v>16070</v>
      </c>
      <c r="G46" s="189">
        <f>G16-G44</f>
        <v>22358</v>
      </c>
      <c r="I46" s="189">
        <v>10029</v>
      </c>
      <c r="J46" s="189">
        <v>12318</v>
      </c>
      <c r="L46" s="189">
        <v>7737</v>
      </c>
      <c r="M46" s="189">
        <v>9867</v>
      </c>
      <c r="O46" s="189">
        <v>4924</v>
      </c>
      <c r="P46" s="189">
        <v>5824</v>
      </c>
      <c r="R46" s="189">
        <f>F46-O46</f>
        <v>11146</v>
      </c>
      <c r="S46" s="189">
        <f>G46-P46</f>
        <v>16534</v>
      </c>
      <c r="U46" s="229">
        <f>ROUND(R46/O46,4)</f>
        <v>2.2635999999999998</v>
      </c>
      <c r="V46" s="229">
        <f>ROUND(S46/P46,4)</f>
        <v>2.8389000000000002</v>
      </c>
    </row>
    <row r="47" spans="1:22">
      <c r="B47" s="202" t="s">
        <v>93</v>
      </c>
      <c r="C47" s="189"/>
      <c r="D47" s="189"/>
      <c r="E47" s="189"/>
      <c r="F47" s="80"/>
      <c r="G47" s="80"/>
      <c r="I47" s="80"/>
      <c r="J47" s="80"/>
      <c r="L47" s="80"/>
      <c r="M47" s="80"/>
      <c r="O47" s="189"/>
      <c r="P47" s="189"/>
      <c r="R47" s="189"/>
      <c r="S47" s="189"/>
      <c r="U47" s="229"/>
      <c r="V47" s="229"/>
    </row>
    <row r="48" spans="1:22">
      <c r="C48" s="189"/>
      <c r="D48" s="189"/>
      <c r="E48" s="189"/>
      <c r="F48" s="80"/>
      <c r="G48" s="80"/>
      <c r="I48" s="80"/>
      <c r="J48" s="80"/>
      <c r="L48" s="80"/>
      <c r="M48" s="80"/>
      <c r="O48" s="189"/>
      <c r="P48" s="189"/>
      <c r="R48" s="189"/>
      <c r="S48" s="189"/>
      <c r="U48" s="229"/>
      <c r="V48" s="229"/>
    </row>
    <row r="49" spans="1:22">
      <c r="A49" s="227">
        <v>27</v>
      </c>
      <c r="C49" s="189" t="s">
        <v>94</v>
      </c>
      <c r="D49" s="189"/>
      <c r="E49" s="189"/>
      <c r="F49" s="80">
        <f>ResultSumGas!F44</f>
        <v>5138</v>
      </c>
      <c r="G49" s="80">
        <f>WAGas09_08!AB48</f>
        <v>7156.4390450000001</v>
      </c>
      <c r="I49" s="80">
        <v>-651</v>
      </c>
      <c r="J49" s="80">
        <v>717</v>
      </c>
      <c r="L49" s="80">
        <v>-778</v>
      </c>
      <c r="M49" s="80">
        <v>497</v>
      </c>
      <c r="O49" s="189">
        <v>-2149</v>
      </c>
      <c r="P49" s="189">
        <v>-2162</v>
      </c>
      <c r="R49" s="189">
        <f t="shared" ref="R49:S51" si="12">F49-O49</f>
        <v>7287</v>
      </c>
      <c r="S49" s="189">
        <f t="shared" si="12"/>
        <v>9318.4390449999992</v>
      </c>
      <c r="U49" s="229">
        <f t="shared" ref="U49:V51" si="13">ROUND(R49/O49,4)</f>
        <v>-3.3908999999999998</v>
      </c>
      <c r="V49" s="229">
        <f t="shared" si="13"/>
        <v>-4.3101000000000003</v>
      </c>
    </row>
    <row r="50" spans="1:22">
      <c r="A50" s="227">
        <v>28</v>
      </c>
      <c r="C50" s="189" t="s">
        <v>95</v>
      </c>
      <c r="D50" s="189"/>
      <c r="E50" s="189"/>
      <c r="F50" s="80">
        <f>ResultSumGas!F45</f>
        <v>-1042</v>
      </c>
      <c r="G50" s="80">
        <f>WAGas09_08!AB49</f>
        <v>-1035</v>
      </c>
      <c r="I50" s="80">
        <v>2229</v>
      </c>
      <c r="J50" s="80">
        <v>2093</v>
      </c>
      <c r="L50" s="80">
        <v>1755</v>
      </c>
      <c r="M50" s="80">
        <v>1725</v>
      </c>
      <c r="O50" s="80">
        <v>3029</v>
      </c>
      <c r="P50" s="80">
        <v>3040</v>
      </c>
      <c r="R50" s="80">
        <f t="shared" si="12"/>
        <v>-4071</v>
      </c>
      <c r="S50" s="80">
        <f t="shared" si="12"/>
        <v>-4075</v>
      </c>
      <c r="U50" s="229">
        <f t="shared" si="13"/>
        <v>-1.3440000000000001</v>
      </c>
      <c r="V50" s="229">
        <f t="shared" si="13"/>
        <v>-1.3405</v>
      </c>
    </row>
    <row r="51" spans="1:22">
      <c r="A51" s="227">
        <v>29</v>
      </c>
      <c r="C51" s="189" t="s">
        <v>96</v>
      </c>
      <c r="D51" s="189"/>
      <c r="E51" s="189"/>
      <c r="F51" s="81">
        <f>ResultSumGas!F46</f>
        <v>-30</v>
      </c>
      <c r="G51" s="81">
        <f>WAGas09_08!AB50</f>
        <v>-30</v>
      </c>
      <c r="I51" s="81">
        <v>-31</v>
      </c>
      <c r="J51" s="81">
        <v>-31</v>
      </c>
      <c r="L51" s="81">
        <v>-30</v>
      </c>
      <c r="M51" s="81">
        <v>-30</v>
      </c>
      <c r="O51" s="81">
        <v>-31</v>
      </c>
      <c r="P51" s="81">
        <v>-31</v>
      </c>
      <c r="R51" s="81">
        <f t="shared" si="12"/>
        <v>1</v>
      </c>
      <c r="S51" s="81">
        <f t="shared" si="12"/>
        <v>1</v>
      </c>
      <c r="U51" s="229">
        <f t="shared" si="13"/>
        <v>-3.2300000000000002E-2</v>
      </c>
      <c r="V51" s="229">
        <f t="shared" si="13"/>
        <v>-3.2300000000000002E-2</v>
      </c>
    </row>
    <row r="52" spans="1:22">
      <c r="F52" s="85"/>
      <c r="G52" s="85"/>
      <c r="I52" s="85"/>
      <c r="J52" s="85"/>
      <c r="L52" s="85"/>
      <c r="M52" s="85"/>
      <c r="O52" s="85"/>
      <c r="P52" s="85"/>
      <c r="R52" s="85"/>
      <c r="S52" s="85"/>
      <c r="U52" s="229"/>
      <c r="V52" s="229"/>
    </row>
    <row r="53" spans="1:22" ht="12.75" thickBot="1">
      <c r="A53" s="227">
        <v>30</v>
      </c>
      <c r="B53" s="228" t="s">
        <v>97</v>
      </c>
      <c r="C53" s="228"/>
      <c r="D53" s="228"/>
      <c r="E53" s="228"/>
      <c r="F53" s="190">
        <f>F46-(F49+F50+F51)</f>
        <v>12004</v>
      </c>
      <c r="G53" s="190">
        <f>G46-(G49+G50+G51)</f>
        <v>16266.560955000001</v>
      </c>
      <c r="I53" s="190">
        <v>8482</v>
      </c>
      <c r="J53" s="190">
        <v>9539</v>
      </c>
      <c r="L53" s="190">
        <v>6790</v>
      </c>
      <c r="M53" s="190">
        <v>7675</v>
      </c>
      <c r="O53" s="190">
        <v>4075</v>
      </c>
      <c r="P53" s="190">
        <v>4977</v>
      </c>
      <c r="R53" s="190">
        <f>F53-O53</f>
        <v>7929</v>
      </c>
      <c r="S53" s="190">
        <f>G53-P53</f>
        <v>11289.560955000001</v>
      </c>
      <c r="U53" s="229">
        <f>ROUND(R53/O53,4)</f>
        <v>1.9458</v>
      </c>
      <c r="V53" s="229">
        <f>ROUND(S53/P53,4)</f>
        <v>2.2683</v>
      </c>
    </row>
    <row r="54" spans="1:22" ht="12.75" thickTop="1">
      <c r="F54" s="85"/>
      <c r="G54" s="85"/>
      <c r="I54" s="85"/>
      <c r="J54" s="85"/>
      <c r="L54" s="85"/>
      <c r="M54" s="85"/>
      <c r="O54" s="85"/>
      <c r="P54" s="85"/>
      <c r="R54" s="85"/>
      <c r="S54" s="85"/>
      <c r="U54" s="229"/>
      <c r="V54" s="229"/>
    </row>
    <row r="55" spans="1:22">
      <c r="F55" s="85"/>
      <c r="G55" s="85"/>
      <c r="I55" s="85"/>
      <c r="J55" s="85"/>
      <c r="L55" s="85"/>
      <c r="M55" s="85"/>
      <c r="U55" s="229"/>
      <c r="V55" s="229"/>
    </row>
    <row r="56" spans="1:22">
      <c r="B56" s="202" t="s">
        <v>98</v>
      </c>
      <c r="F56" s="85"/>
      <c r="G56" s="85"/>
      <c r="I56" s="85"/>
      <c r="J56" s="85"/>
      <c r="L56" s="85"/>
      <c r="M56" s="85"/>
      <c r="O56" s="189"/>
      <c r="P56" s="189"/>
      <c r="R56" s="189"/>
      <c r="S56" s="189"/>
      <c r="U56" s="229"/>
      <c r="V56" s="229"/>
    </row>
    <row r="57" spans="1:22">
      <c r="A57" s="227">
        <v>31</v>
      </c>
      <c r="B57" s="189"/>
      <c r="C57" s="189" t="s">
        <v>80</v>
      </c>
      <c r="D57" s="189"/>
      <c r="E57" s="189"/>
      <c r="F57" s="78">
        <f>ResultSumGas!F52</f>
        <v>13539</v>
      </c>
      <c r="G57" s="78">
        <f>WAGas09_08!AB56</f>
        <v>13539</v>
      </c>
      <c r="I57" s="78">
        <v>14091</v>
      </c>
      <c r="J57" s="78">
        <v>14091</v>
      </c>
      <c r="L57" s="78">
        <v>14053</v>
      </c>
      <c r="M57" s="78">
        <v>14053</v>
      </c>
      <c r="O57" s="189">
        <v>13958</v>
      </c>
      <c r="P57" s="189">
        <v>13958</v>
      </c>
      <c r="R57" s="189">
        <f t="shared" ref="R57:S60" si="14">F57-O57</f>
        <v>-419</v>
      </c>
      <c r="S57" s="189">
        <f t="shared" si="14"/>
        <v>-419</v>
      </c>
      <c r="U57" s="229">
        <f t="shared" ref="U57:V60" si="15">ROUND(R57/O57,4)</f>
        <v>-0.03</v>
      </c>
      <c r="V57" s="229">
        <f t="shared" si="15"/>
        <v>-0.03</v>
      </c>
    </row>
    <row r="58" spans="1:22">
      <c r="A58" s="227">
        <v>32</v>
      </c>
      <c r="B58" s="189"/>
      <c r="C58" s="189" t="s">
        <v>99</v>
      </c>
      <c r="D58" s="189"/>
      <c r="E58" s="189"/>
      <c r="F58" s="80">
        <f>ResultSumGas!F53</f>
        <v>237485</v>
      </c>
      <c r="G58" s="80">
        <f>WAGas09_08!AB57</f>
        <v>237433</v>
      </c>
      <c r="I58" s="80">
        <v>150325</v>
      </c>
      <c r="J58" s="80">
        <v>154669</v>
      </c>
      <c r="L58" s="80">
        <v>145223</v>
      </c>
      <c r="M58" s="80">
        <v>149785</v>
      </c>
      <c r="O58" s="230">
        <v>140409</v>
      </c>
      <c r="P58" s="230">
        <v>145185</v>
      </c>
      <c r="R58" s="230">
        <f t="shared" si="14"/>
        <v>97076</v>
      </c>
      <c r="S58" s="230">
        <f t="shared" si="14"/>
        <v>92248</v>
      </c>
      <c r="U58" s="229">
        <f t="shared" si="15"/>
        <v>0.69140000000000001</v>
      </c>
      <c r="V58" s="229">
        <f t="shared" si="15"/>
        <v>0.63539999999999996</v>
      </c>
    </row>
    <row r="59" spans="1:22">
      <c r="A59" s="227">
        <v>33</v>
      </c>
      <c r="B59" s="189"/>
      <c r="C59" s="189" t="s">
        <v>100</v>
      </c>
      <c r="D59" s="189"/>
      <c r="E59" s="189"/>
      <c r="F59" s="81">
        <f>ResultSumGas!F54</f>
        <v>23944</v>
      </c>
      <c r="G59" s="81">
        <f>WAGas09_08!AB58</f>
        <v>23944</v>
      </c>
      <c r="I59" s="81">
        <v>12868</v>
      </c>
      <c r="J59" s="81">
        <v>12868</v>
      </c>
      <c r="L59" s="81">
        <v>12720</v>
      </c>
      <c r="M59" s="81">
        <v>12720</v>
      </c>
      <c r="O59" s="81">
        <v>11816</v>
      </c>
      <c r="P59" s="81">
        <v>11816</v>
      </c>
      <c r="R59" s="81">
        <f t="shared" si="14"/>
        <v>12128</v>
      </c>
      <c r="S59" s="81">
        <f t="shared" si="14"/>
        <v>12128</v>
      </c>
      <c r="U59" s="229">
        <f t="shared" si="15"/>
        <v>1.0264</v>
      </c>
      <c r="V59" s="229">
        <f t="shared" si="15"/>
        <v>1.0264</v>
      </c>
    </row>
    <row r="60" spans="1:22">
      <c r="A60" s="227">
        <v>34</v>
      </c>
      <c r="B60" s="189"/>
      <c r="C60" s="189"/>
      <c r="D60" s="189"/>
      <c r="E60" s="189" t="s">
        <v>101</v>
      </c>
      <c r="F60" s="80">
        <f>SUM(F57:F59)</f>
        <v>274968</v>
      </c>
      <c r="G60" s="80">
        <f>SUM(G57:G59)</f>
        <v>274916</v>
      </c>
      <c r="I60" s="80">
        <v>177284</v>
      </c>
      <c r="J60" s="80">
        <v>181628</v>
      </c>
      <c r="L60" s="80">
        <v>171996</v>
      </c>
      <c r="M60" s="80">
        <v>176558</v>
      </c>
      <c r="O60" s="80">
        <v>166183</v>
      </c>
      <c r="P60" s="80">
        <v>170959</v>
      </c>
      <c r="R60" s="80">
        <f t="shared" si="14"/>
        <v>108785</v>
      </c>
      <c r="S60" s="80">
        <f t="shared" si="14"/>
        <v>103957</v>
      </c>
      <c r="U60" s="229">
        <f t="shared" si="15"/>
        <v>0.65459999999999996</v>
      </c>
      <c r="V60" s="229">
        <f t="shared" si="15"/>
        <v>0.60809999999999997</v>
      </c>
    </row>
    <row r="61" spans="1:22">
      <c r="B61" s="189" t="s">
        <v>102</v>
      </c>
      <c r="C61" s="189"/>
      <c r="D61" s="189"/>
      <c r="E61" s="189"/>
      <c r="F61" s="80"/>
      <c r="G61" s="80"/>
      <c r="I61" s="80"/>
      <c r="J61" s="80"/>
      <c r="L61" s="80"/>
      <c r="M61" s="80"/>
      <c r="O61" s="80"/>
      <c r="P61" s="80"/>
      <c r="R61" s="80"/>
      <c r="S61" s="80"/>
      <c r="U61" s="229"/>
      <c r="V61" s="229"/>
    </row>
    <row r="62" spans="1:22">
      <c r="A62" s="227">
        <v>35</v>
      </c>
      <c r="B62" s="189"/>
      <c r="C62" s="189" t="s">
        <v>80</v>
      </c>
      <c r="D62" s="189"/>
      <c r="E62" s="189"/>
      <c r="F62" s="80">
        <f>ResultSumGas!F57</f>
        <v>7516</v>
      </c>
      <c r="G62" s="80">
        <f>WAGas09_08!AB61</f>
        <v>7516</v>
      </c>
      <c r="I62" s="80">
        <v>5936</v>
      </c>
      <c r="J62" s="80">
        <v>5936</v>
      </c>
      <c r="L62" s="80">
        <v>5775</v>
      </c>
      <c r="M62" s="80">
        <v>5775</v>
      </c>
      <c r="O62" s="80">
        <v>5603</v>
      </c>
      <c r="P62" s="80">
        <v>5603</v>
      </c>
      <c r="R62" s="80">
        <f t="shared" ref="R62:S65" si="16">F62-O62</f>
        <v>1913</v>
      </c>
      <c r="S62" s="80">
        <f t="shared" si="16"/>
        <v>1913</v>
      </c>
      <c r="U62" s="229">
        <f t="shared" ref="U62:V65" si="17">ROUND(R62/O62,4)</f>
        <v>0.34139999999999998</v>
      </c>
      <c r="V62" s="229">
        <f t="shared" si="17"/>
        <v>0.34139999999999998</v>
      </c>
    </row>
    <row r="63" spans="1:22">
      <c r="A63" s="227">
        <v>36</v>
      </c>
      <c r="B63" s="189"/>
      <c r="C63" s="189" t="s">
        <v>99</v>
      </c>
      <c r="D63" s="189"/>
      <c r="E63" s="189"/>
      <c r="F63" s="80">
        <f>ResultSumGas!F58</f>
        <v>80580</v>
      </c>
      <c r="G63" s="80">
        <f>WAGas09_08!AB62</f>
        <v>80580</v>
      </c>
      <c r="I63" s="80">
        <v>40779</v>
      </c>
      <c r="J63" s="80">
        <v>40779</v>
      </c>
      <c r="L63" s="80">
        <v>39525</v>
      </c>
      <c r="M63" s="80">
        <v>39525</v>
      </c>
      <c r="O63" s="80">
        <v>38317</v>
      </c>
      <c r="P63" s="80">
        <v>38317</v>
      </c>
      <c r="R63" s="80">
        <f t="shared" si="16"/>
        <v>42263</v>
      </c>
      <c r="S63" s="80">
        <f t="shared" si="16"/>
        <v>42263</v>
      </c>
      <c r="U63" s="229">
        <f t="shared" si="17"/>
        <v>1.103</v>
      </c>
      <c r="V63" s="229">
        <f t="shared" si="17"/>
        <v>1.103</v>
      </c>
    </row>
    <row r="64" spans="1:22">
      <c r="A64" s="227">
        <v>37</v>
      </c>
      <c r="B64" s="189"/>
      <c r="C64" s="189" t="s">
        <v>100</v>
      </c>
      <c r="D64" s="189"/>
      <c r="E64" s="189"/>
      <c r="F64" s="81">
        <f>ResultSumGas!F59</f>
        <v>8155</v>
      </c>
      <c r="G64" s="81">
        <f>WAGas09_08!AB63</f>
        <v>8155</v>
      </c>
      <c r="I64" s="81">
        <v>5028</v>
      </c>
      <c r="J64" s="81">
        <v>5028</v>
      </c>
      <c r="L64" s="81">
        <v>4930</v>
      </c>
      <c r="M64" s="81">
        <v>4930</v>
      </c>
      <c r="O64" s="81">
        <v>4538</v>
      </c>
      <c r="P64" s="81">
        <v>4538</v>
      </c>
      <c r="R64" s="81">
        <f t="shared" si="16"/>
        <v>3617</v>
      </c>
      <c r="S64" s="81">
        <f t="shared" si="16"/>
        <v>3617</v>
      </c>
      <c r="U64" s="229">
        <f t="shared" si="17"/>
        <v>0.79700000000000004</v>
      </c>
      <c r="V64" s="229">
        <f t="shared" si="17"/>
        <v>0.79700000000000004</v>
      </c>
    </row>
    <row r="65" spans="1:22">
      <c r="A65" s="227">
        <v>38</v>
      </c>
      <c r="B65" s="189"/>
      <c r="C65" s="189"/>
      <c r="D65" s="189"/>
      <c r="E65" s="189" t="s">
        <v>103</v>
      </c>
      <c r="F65" s="80">
        <f>SUM(F62:F64)</f>
        <v>96251</v>
      </c>
      <c r="G65" s="80">
        <f>SUM(G62:G64)</f>
        <v>96251</v>
      </c>
      <c r="I65" s="80">
        <v>51743</v>
      </c>
      <c r="J65" s="80">
        <v>51743</v>
      </c>
      <c r="L65" s="80">
        <v>50230</v>
      </c>
      <c r="M65" s="80">
        <v>50230</v>
      </c>
      <c r="O65" s="80">
        <v>48458</v>
      </c>
      <c r="P65" s="80">
        <v>48458</v>
      </c>
      <c r="R65" s="80">
        <f t="shared" si="16"/>
        <v>47793</v>
      </c>
      <c r="S65" s="80">
        <f t="shared" si="16"/>
        <v>47793</v>
      </c>
      <c r="U65" s="229">
        <f t="shared" si="17"/>
        <v>0.98629999999999995</v>
      </c>
      <c r="V65" s="229">
        <f t="shared" si="17"/>
        <v>0.98629999999999995</v>
      </c>
    </row>
    <row r="66" spans="1:22">
      <c r="A66" s="233">
        <v>39</v>
      </c>
      <c r="B66" s="231" t="s">
        <v>104</v>
      </c>
      <c r="C66" s="231"/>
      <c r="D66" s="231"/>
      <c r="E66" s="231"/>
      <c r="F66" s="80"/>
      <c r="G66" s="80">
        <f>WAGas09_08!AB65</f>
        <v>-27651</v>
      </c>
      <c r="I66" s="80"/>
      <c r="J66" s="80">
        <v>-10034</v>
      </c>
      <c r="L66" s="80"/>
      <c r="M66" s="80">
        <v>-9317</v>
      </c>
      <c r="O66" s="80">
        <v>0</v>
      </c>
      <c r="P66" s="80">
        <v>-8584</v>
      </c>
      <c r="R66" s="80"/>
      <c r="S66" s="80">
        <f>G66-P66</f>
        <v>-19067</v>
      </c>
      <c r="U66" s="229"/>
      <c r="V66" s="229">
        <f>ROUND(S66/P66,4)</f>
        <v>2.2212000000000001</v>
      </c>
    </row>
    <row r="67" spans="1:22">
      <c r="A67" s="227">
        <v>40</v>
      </c>
      <c r="B67" s="189" t="s">
        <v>105</v>
      </c>
      <c r="C67" s="189"/>
      <c r="D67" s="189"/>
      <c r="E67" s="189"/>
      <c r="F67" s="80"/>
      <c r="G67" s="80">
        <f>WAGas09_08!AB66</f>
        <v>11064</v>
      </c>
      <c r="I67" s="80"/>
      <c r="J67" s="80">
        <v>1458</v>
      </c>
      <c r="L67" s="80"/>
      <c r="M67" s="80">
        <v>1430</v>
      </c>
      <c r="O67" s="80">
        <v>0</v>
      </c>
      <c r="P67" s="80">
        <v>1481</v>
      </c>
      <c r="R67" s="80"/>
      <c r="S67" s="80">
        <f>G67-P67</f>
        <v>9583</v>
      </c>
      <c r="U67" s="229"/>
      <c r="V67" s="229">
        <f>ROUND(S67/P67,4)</f>
        <v>6.4706000000000001</v>
      </c>
    </row>
    <row r="68" spans="1:22">
      <c r="A68" s="227">
        <v>41</v>
      </c>
      <c r="B68" s="189" t="s">
        <v>106</v>
      </c>
      <c r="C68" s="189"/>
      <c r="D68" s="189"/>
      <c r="E68" s="189"/>
      <c r="F68" s="80"/>
      <c r="G68" s="80">
        <f>WAGas09_08!AB67</f>
        <v>-65</v>
      </c>
      <c r="I68" s="80"/>
      <c r="J68" s="80">
        <v>-615</v>
      </c>
      <c r="L68" s="80"/>
      <c r="M68" s="80">
        <v>-641</v>
      </c>
      <c r="O68" s="80">
        <v>0</v>
      </c>
      <c r="P68" s="80">
        <v>-667</v>
      </c>
      <c r="R68" s="80"/>
      <c r="S68" s="80">
        <f>G68-P68</f>
        <v>602</v>
      </c>
      <c r="U68" s="229"/>
      <c r="V68" s="229">
        <f>ROUND(S68/P68,4)</f>
        <v>-0.90249999999999997</v>
      </c>
    </row>
    <row r="69" spans="1:22">
      <c r="F69" s="85"/>
      <c r="G69" s="85"/>
      <c r="I69" s="85"/>
      <c r="J69" s="85"/>
      <c r="L69" s="85"/>
      <c r="M69" s="85"/>
      <c r="O69" s="85"/>
      <c r="P69" s="85"/>
      <c r="R69" s="85"/>
      <c r="S69" s="85"/>
      <c r="U69" s="229"/>
      <c r="V69" s="229"/>
    </row>
    <row r="70" spans="1:22" ht="12.75" thickBot="1">
      <c r="A70" s="227">
        <v>42</v>
      </c>
      <c r="B70" s="228" t="s">
        <v>107</v>
      </c>
      <c r="C70" s="228"/>
      <c r="D70" s="228"/>
      <c r="E70" s="228"/>
      <c r="F70" s="87">
        <f>F60-F65+F66+F67+F68</f>
        <v>178717</v>
      </c>
      <c r="G70" s="87">
        <f>G60-G65+G66+G67+G68</f>
        <v>162013</v>
      </c>
      <c r="I70" s="87">
        <v>125541</v>
      </c>
      <c r="J70" s="87">
        <v>120694</v>
      </c>
      <c r="L70" s="87">
        <v>121766</v>
      </c>
      <c r="M70" s="87">
        <v>117800</v>
      </c>
      <c r="O70" s="87">
        <v>117725</v>
      </c>
      <c r="P70" s="87">
        <v>114731</v>
      </c>
      <c r="R70" s="87">
        <f>F70-O70</f>
        <v>60992</v>
      </c>
      <c r="S70" s="87">
        <f>G70-P70</f>
        <v>47282</v>
      </c>
      <c r="U70" s="229">
        <f>ROUND(R70/O70,4)</f>
        <v>0.5181</v>
      </c>
      <c r="V70" s="229">
        <f>ROUND(S70/P70,4)</f>
        <v>0.41210000000000002</v>
      </c>
    </row>
    <row r="71" spans="1:22" ht="12.75" thickTop="1">
      <c r="A71" s="227">
        <v>43</v>
      </c>
      <c r="B71" s="202" t="s">
        <v>108</v>
      </c>
      <c r="F71" s="202"/>
      <c r="G71" s="202"/>
      <c r="I71" s="202"/>
      <c r="J71" s="202"/>
      <c r="L71" s="202"/>
      <c r="M71" s="202"/>
      <c r="O71" s="202"/>
      <c r="P71" s="202"/>
      <c r="R71" s="202"/>
      <c r="S71" s="202"/>
      <c r="U71" s="24"/>
      <c r="V71" s="24"/>
    </row>
    <row r="72" spans="1:22">
      <c r="F72" s="24">
        <f>ROUND(F53/F70,4)</f>
        <v>6.7199999999999996E-2</v>
      </c>
      <c r="G72" s="24">
        <f>ROUND(G53/G70,4)</f>
        <v>0.1004</v>
      </c>
      <c r="I72" s="24">
        <v>6.7599999999999993E-2</v>
      </c>
      <c r="J72" s="24">
        <v>7.9000000000000001E-2</v>
      </c>
      <c r="L72" s="24">
        <v>5.5800000000000002E-2</v>
      </c>
      <c r="M72" s="24">
        <v>6.5199999999999994E-2</v>
      </c>
      <c r="O72" s="24">
        <f>ROUND(O53/O70,4)</f>
        <v>3.4599999999999999E-2</v>
      </c>
      <c r="P72" s="24">
        <f>ROUND(P53/P70,4)</f>
        <v>4.3400000000000001E-2</v>
      </c>
      <c r="R72" s="24"/>
      <c r="U72" s="24"/>
    </row>
  </sheetData>
  <phoneticPr fontId="0" type="noConversion"/>
  <pageMargins left="0.5" right="0.5" top="0.5" bottom="0.5" header="0.5" footer="0.5"/>
  <pageSetup scale="49" orientation="portrait" horizontalDpi="300" verticalDpi="300" r:id="rId1"/>
  <headerFooter alignWithMargins="0">
    <oddFooter xml:space="preserve">&amp;L&amp;"Courier New,Regular"&amp;8km- File: &amp;F&amp;R&amp;"Courier New,Regular"&amp;8Printed :&amp;D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V72"/>
  <sheetViews>
    <sheetView workbookViewId="0">
      <pane xSplit="5" ySplit="10" topLeftCell="F11" activePane="bottomRight" state="frozenSplit"/>
      <selection activeCell="I27" sqref="I27"/>
      <selection pane="topRight" activeCell="I27" sqref="I27"/>
      <selection pane="bottomLeft" activeCell="I27" sqref="I27"/>
      <selection pane="bottomRight" activeCell="F31" sqref="F31"/>
    </sheetView>
  </sheetViews>
  <sheetFormatPr defaultRowHeight="12"/>
  <cols>
    <col min="1" max="1" width="5.7109375" style="227" customWidth="1"/>
    <col min="2" max="4" width="1.7109375" style="202" customWidth="1"/>
    <col min="5" max="5" width="28.7109375" style="202" customWidth="1"/>
    <col min="6" max="7" width="11.7109375" style="203" customWidth="1"/>
    <col min="8" max="8" width="1.7109375" style="202" customWidth="1"/>
    <col min="9" max="10" width="11.7109375" style="203" customWidth="1"/>
    <col min="11" max="11" width="1.7109375" style="202" customWidth="1"/>
    <col min="12" max="13" width="11.7109375" style="203" customWidth="1"/>
    <col min="14" max="14" width="1.7109375" style="202" customWidth="1"/>
    <col min="15" max="16" width="11.7109375" style="203" customWidth="1"/>
    <col min="17" max="17" width="1.7109375" style="202" customWidth="1"/>
    <col min="18" max="19" width="11.7109375" style="203" customWidth="1"/>
    <col min="20" max="20" width="1.7109375" style="202" customWidth="1"/>
    <col min="21" max="22" width="11.7109375" style="203" customWidth="1"/>
    <col min="23" max="16384" width="9.140625" style="202"/>
  </cols>
  <sheetData>
    <row r="1" spans="1:22">
      <c r="A1" s="201" t="str">
        <f>Inputs!D6</f>
        <v>AVISTA UTILITIES</v>
      </c>
    </row>
    <row r="2" spans="1:22">
      <c r="A2" s="201" t="s">
        <v>0</v>
      </c>
    </row>
    <row r="3" spans="1:22">
      <c r="A3" s="201" t="s">
        <v>109</v>
      </c>
    </row>
    <row r="4" spans="1:22">
      <c r="A4" s="201" t="s">
        <v>198</v>
      </c>
    </row>
    <row r="5" spans="1:22">
      <c r="A5" s="201" t="s">
        <v>2</v>
      </c>
    </row>
    <row r="6" spans="1:22">
      <c r="A6" s="204"/>
      <c r="B6" s="205"/>
      <c r="C6" s="205"/>
      <c r="D6" s="205"/>
      <c r="E6" s="205"/>
      <c r="F6" s="206">
        <v>36341</v>
      </c>
      <c r="G6" s="207"/>
      <c r="I6" s="206">
        <v>36160</v>
      </c>
      <c r="J6" s="207"/>
      <c r="L6" s="206">
        <v>35976</v>
      </c>
      <c r="M6" s="207"/>
      <c r="O6" s="206">
        <v>35795</v>
      </c>
      <c r="P6" s="207"/>
      <c r="R6" s="206" t="s">
        <v>199</v>
      </c>
      <c r="S6" s="207"/>
      <c r="U6" s="206" t="s">
        <v>200</v>
      </c>
      <c r="V6" s="207"/>
    </row>
    <row r="7" spans="1:22">
      <c r="A7" s="208"/>
      <c r="B7" s="209"/>
      <c r="C7" s="210"/>
      <c r="D7" s="210"/>
      <c r="E7" s="211"/>
      <c r="F7" s="212" t="s">
        <v>3</v>
      </c>
      <c r="G7" s="212"/>
      <c r="I7" s="212" t="s">
        <v>3</v>
      </c>
      <c r="J7" s="212"/>
      <c r="L7" s="212" t="s">
        <v>3</v>
      </c>
      <c r="M7" s="212"/>
      <c r="O7" s="212" t="s">
        <v>3</v>
      </c>
      <c r="P7" s="212"/>
      <c r="R7" s="212" t="s">
        <v>3</v>
      </c>
      <c r="S7" s="212"/>
      <c r="U7" s="212" t="s">
        <v>3</v>
      </c>
      <c r="V7" s="212"/>
    </row>
    <row r="8" spans="1:22">
      <c r="A8" s="213" t="s">
        <v>10</v>
      </c>
      <c r="B8" s="214"/>
      <c r="C8" s="215"/>
      <c r="D8" s="215"/>
      <c r="E8" s="216"/>
      <c r="F8" s="217" t="s">
        <v>11</v>
      </c>
      <c r="G8" s="217" t="s">
        <v>25</v>
      </c>
      <c r="I8" s="217" t="s">
        <v>11</v>
      </c>
      <c r="J8" s="217" t="s">
        <v>25</v>
      </c>
      <c r="L8" s="217" t="s">
        <v>11</v>
      </c>
      <c r="M8" s="217" t="s">
        <v>25</v>
      </c>
      <c r="O8" s="217" t="s">
        <v>11</v>
      </c>
      <c r="P8" s="217" t="s">
        <v>25</v>
      </c>
      <c r="R8" s="217" t="s">
        <v>11</v>
      </c>
      <c r="S8" s="217" t="s">
        <v>25</v>
      </c>
      <c r="U8" s="217" t="s">
        <v>11</v>
      </c>
      <c r="V8" s="217" t="s">
        <v>25</v>
      </c>
    </row>
    <row r="9" spans="1:22">
      <c r="A9" s="218" t="s">
        <v>27</v>
      </c>
      <c r="B9" s="219"/>
      <c r="C9" s="220"/>
      <c r="D9" s="220"/>
      <c r="E9" s="221" t="s">
        <v>28</v>
      </c>
      <c r="F9" s="222" t="s">
        <v>29</v>
      </c>
      <c r="G9" s="222" t="s">
        <v>44</v>
      </c>
      <c r="I9" s="222" t="s">
        <v>29</v>
      </c>
      <c r="J9" s="222" t="s">
        <v>44</v>
      </c>
      <c r="L9" s="222" t="s">
        <v>29</v>
      </c>
      <c r="M9" s="222" t="s">
        <v>44</v>
      </c>
      <c r="O9" s="222" t="s">
        <v>29</v>
      </c>
      <c r="P9" s="222" t="s">
        <v>44</v>
      </c>
      <c r="R9" s="222" t="s">
        <v>29</v>
      </c>
      <c r="S9" s="222" t="s">
        <v>44</v>
      </c>
      <c r="U9" s="222" t="s">
        <v>29</v>
      </c>
      <c r="V9" s="222" t="s">
        <v>44</v>
      </c>
    </row>
    <row r="10" spans="1:22">
      <c r="A10" s="223"/>
      <c r="B10" s="224"/>
      <c r="C10" s="224"/>
      <c r="D10" s="224"/>
      <c r="E10" s="225" t="s">
        <v>45</v>
      </c>
      <c r="F10" s="226" t="s">
        <v>46</v>
      </c>
      <c r="G10" s="226" t="s">
        <v>52</v>
      </c>
      <c r="I10" s="226" t="s">
        <v>46</v>
      </c>
      <c r="J10" s="226" t="s">
        <v>52</v>
      </c>
      <c r="L10" s="226" t="s">
        <v>46</v>
      </c>
      <c r="M10" s="226" t="s">
        <v>52</v>
      </c>
      <c r="O10" s="226" t="s">
        <v>46</v>
      </c>
      <c r="P10" s="226" t="s">
        <v>52</v>
      </c>
      <c r="R10" s="226" t="s">
        <v>46</v>
      </c>
      <c r="S10" s="226" t="s">
        <v>52</v>
      </c>
      <c r="U10" s="226" t="s">
        <v>46</v>
      </c>
      <c r="V10" s="226" t="s">
        <v>52</v>
      </c>
    </row>
    <row r="12" spans="1:22">
      <c r="B12" s="202" t="s">
        <v>68</v>
      </c>
    </row>
    <row r="13" spans="1:22">
      <c r="A13" s="227">
        <v>1</v>
      </c>
      <c r="B13" s="228"/>
      <c r="C13" s="228" t="s">
        <v>69</v>
      </c>
      <c r="D13" s="228"/>
      <c r="E13" s="228"/>
      <c r="F13" s="78">
        <f>ResultSumGas!G8</f>
        <v>88848</v>
      </c>
      <c r="G13" s="78">
        <f>IDGas12_07!Z13</f>
        <v>88848</v>
      </c>
      <c r="I13" s="78">
        <v>29295</v>
      </c>
      <c r="J13" s="78">
        <v>31501</v>
      </c>
      <c r="L13" s="78">
        <v>26349</v>
      </c>
      <c r="M13" s="78">
        <v>28092</v>
      </c>
      <c r="O13" s="228">
        <v>23908</v>
      </c>
      <c r="P13" s="228">
        <v>24445</v>
      </c>
      <c r="R13" s="228">
        <f t="shared" ref="R13:S16" si="0">F13-O13</f>
        <v>64940</v>
      </c>
      <c r="S13" s="228">
        <f t="shared" si="0"/>
        <v>64403</v>
      </c>
      <c r="U13" s="229">
        <f t="shared" ref="U13:V16" si="1">ROUND(R13/O13,4)</f>
        <v>2.7162000000000002</v>
      </c>
      <c r="V13" s="229">
        <f t="shared" si="1"/>
        <v>2.6345999999999998</v>
      </c>
    </row>
    <row r="14" spans="1:22">
      <c r="A14" s="227">
        <v>2</v>
      </c>
      <c r="C14" s="189" t="s">
        <v>70</v>
      </c>
      <c r="D14" s="189"/>
      <c r="E14" s="189"/>
      <c r="F14" s="80">
        <f>ResultSumGas!G9</f>
        <v>529</v>
      </c>
      <c r="G14" s="80">
        <f>IDGas12_07!Z14</f>
        <v>529</v>
      </c>
      <c r="I14" s="80">
        <v>1960</v>
      </c>
      <c r="J14" s="80">
        <v>1956</v>
      </c>
      <c r="L14" s="80">
        <v>2095</v>
      </c>
      <c r="M14" s="80">
        <v>2092</v>
      </c>
      <c r="O14" s="189">
        <v>1996</v>
      </c>
      <c r="P14" s="189">
        <v>1993</v>
      </c>
      <c r="R14" s="189">
        <f t="shared" si="0"/>
        <v>-1467</v>
      </c>
      <c r="S14" s="189">
        <f t="shared" si="0"/>
        <v>-1464</v>
      </c>
      <c r="U14" s="229">
        <f t="shared" si="1"/>
        <v>-0.73499999999999999</v>
      </c>
      <c r="V14" s="229">
        <f t="shared" si="1"/>
        <v>-0.73460000000000003</v>
      </c>
    </row>
    <row r="15" spans="1:22">
      <c r="A15" s="227">
        <v>3</v>
      </c>
      <c r="C15" s="189" t="s">
        <v>71</v>
      </c>
      <c r="D15" s="189"/>
      <c r="E15" s="189"/>
      <c r="F15" s="81">
        <f>ResultSumGas!G10</f>
        <v>59962</v>
      </c>
      <c r="G15" s="81">
        <f>IDGas12_07!Z15</f>
        <v>59962</v>
      </c>
      <c r="I15" s="81">
        <v>5155</v>
      </c>
      <c r="J15" s="81">
        <v>5155</v>
      </c>
      <c r="L15" s="81">
        <v>4546</v>
      </c>
      <c r="M15" s="81">
        <v>4546</v>
      </c>
      <c r="O15" s="230">
        <v>3498</v>
      </c>
      <c r="P15" s="230">
        <v>3498</v>
      </c>
      <c r="R15" s="230">
        <f t="shared" si="0"/>
        <v>56464</v>
      </c>
      <c r="S15" s="230">
        <f t="shared" si="0"/>
        <v>56464</v>
      </c>
      <c r="U15" s="229">
        <f t="shared" si="1"/>
        <v>16.1418</v>
      </c>
      <c r="V15" s="229">
        <f t="shared" si="1"/>
        <v>16.1418</v>
      </c>
    </row>
    <row r="16" spans="1:22">
      <c r="A16" s="227">
        <v>4</v>
      </c>
      <c r="B16" s="202" t="s">
        <v>72</v>
      </c>
      <c r="C16" s="189"/>
      <c r="D16" s="189"/>
      <c r="E16" s="189"/>
      <c r="F16" s="80">
        <f>SUM(F13:F15)</f>
        <v>149339</v>
      </c>
      <c r="G16" s="80">
        <f>SUM(G13:G15)</f>
        <v>149339</v>
      </c>
      <c r="I16" s="80">
        <v>36410</v>
      </c>
      <c r="J16" s="80">
        <v>38612</v>
      </c>
      <c r="L16" s="80">
        <v>32990</v>
      </c>
      <c r="M16" s="80">
        <v>34730</v>
      </c>
      <c r="O16" s="189">
        <v>29402</v>
      </c>
      <c r="P16" s="189">
        <v>29936</v>
      </c>
      <c r="R16" s="189">
        <f t="shared" si="0"/>
        <v>119937</v>
      </c>
      <c r="S16" s="189">
        <f t="shared" si="0"/>
        <v>119403</v>
      </c>
      <c r="U16" s="229">
        <f t="shared" si="1"/>
        <v>4.0792000000000002</v>
      </c>
      <c r="V16" s="229">
        <f t="shared" si="1"/>
        <v>3.9885999999999999</v>
      </c>
    </row>
    <row r="17" spans="1:22">
      <c r="C17" s="189"/>
      <c r="D17" s="189"/>
      <c r="E17" s="189"/>
      <c r="F17" s="80"/>
      <c r="G17" s="80"/>
      <c r="I17" s="80"/>
      <c r="J17" s="80"/>
      <c r="L17" s="80"/>
      <c r="M17" s="80"/>
      <c r="O17" s="189"/>
      <c r="P17" s="189"/>
      <c r="R17" s="189"/>
      <c r="S17" s="189"/>
      <c r="U17" s="229"/>
      <c r="V17" s="229"/>
    </row>
    <row r="18" spans="1:22">
      <c r="B18" s="202" t="s">
        <v>73</v>
      </c>
      <c r="C18" s="189"/>
      <c r="D18" s="189"/>
      <c r="E18" s="189"/>
      <c r="F18" s="80"/>
      <c r="G18" s="80"/>
      <c r="I18" s="80"/>
      <c r="J18" s="80"/>
      <c r="L18" s="80"/>
      <c r="M18" s="80"/>
      <c r="O18" s="189"/>
      <c r="P18" s="189"/>
      <c r="R18" s="189"/>
      <c r="S18" s="189"/>
      <c r="U18" s="229"/>
      <c r="V18" s="229"/>
    </row>
    <row r="19" spans="1:22">
      <c r="A19" s="227">
        <v>5</v>
      </c>
      <c r="C19" s="189" t="s">
        <v>74</v>
      </c>
      <c r="D19" s="189"/>
      <c r="E19" s="189"/>
      <c r="F19" s="80">
        <f>ResultSumGas!G14</f>
        <v>0</v>
      </c>
      <c r="G19" s="80">
        <f>IDGas12_07!Z19</f>
        <v>0</v>
      </c>
      <c r="I19" s="80">
        <v>0</v>
      </c>
      <c r="J19" s="80">
        <v>0</v>
      </c>
      <c r="L19" s="80">
        <v>0</v>
      </c>
      <c r="M19" s="80">
        <v>0</v>
      </c>
      <c r="O19" s="189">
        <v>0</v>
      </c>
      <c r="P19" s="189">
        <v>0</v>
      </c>
      <c r="R19" s="189">
        <f>F19-O19</f>
        <v>0</v>
      </c>
      <c r="S19" s="189">
        <f>G19-P19</f>
        <v>0</v>
      </c>
      <c r="U19" s="229"/>
      <c r="V19" s="229"/>
    </row>
    <row r="20" spans="1:22">
      <c r="C20" s="189" t="s">
        <v>75</v>
      </c>
      <c r="D20" s="189"/>
      <c r="E20" s="189"/>
      <c r="F20" s="80"/>
      <c r="G20" s="80"/>
      <c r="I20" s="80"/>
      <c r="J20" s="80"/>
      <c r="L20" s="80"/>
      <c r="M20" s="80"/>
      <c r="O20" s="189"/>
      <c r="P20" s="189"/>
      <c r="R20" s="189"/>
      <c r="S20" s="189"/>
      <c r="U20" s="229"/>
      <c r="V20" s="229"/>
    </row>
    <row r="21" spans="1:22">
      <c r="A21" s="227">
        <v>6</v>
      </c>
      <c r="C21" s="189"/>
      <c r="D21" s="189" t="s">
        <v>76</v>
      </c>
      <c r="E21" s="189"/>
      <c r="F21" s="80">
        <f>ResultSumGas!G16</f>
        <v>132107</v>
      </c>
      <c r="G21" s="80">
        <f>IDGas12_07!Z21</f>
        <v>132107</v>
      </c>
      <c r="I21" s="80">
        <v>21416</v>
      </c>
      <c r="J21" s="80">
        <v>22893</v>
      </c>
      <c r="L21" s="80">
        <v>17303</v>
      </c>
      <c r="M21" s="80">
        <v>18600</v>
      </c>
      <c r="O21" s="189">
        <v>14823</v>
      </c>
      <c r="P21" s="189">
        <v>15279</v>
      </c>
      <c r="R21" s="189">
        <f t="shared" ref="R21:S24" si="2">F21-O21</f>
        <v>117284</v>
      </c>
      <c r="S21" s="189">
        <f t="shared" si="2"/>
        <v>116828</v>
      </c>
      <c r="U21" s="229">
        <f t="shared" ref="U21:V24" si="3">ROUND(R21/O21,4)</f>
        <v>7.9123000000000001</v>
      </c>
      <c r="V21" s="229">
        <f t="shared" si="3"/>
        <v>7.6463000000000001</v>
      </c>
    </row>
    <row r="22" spans="1:22">
      <c r="A22" s="227">
        <v>7</v>
      </c>
      <c r="C22" s="189"/>
      <c r="D22" s="189" t="s">
        <v>77</v>
      </c>
      <c r="E22" s="189"/>
      <c r="F22" s="80">
        <f>ResultSumGas!G17</f>
        <v>356</v>
      </c>
      <c r="G22" s="80">
        <f>IDGas12_07!Z22</f>
        <v>356</v>
      </c>
      <c r="I22" s="80">
        <v>67</v>
      </c>
      <c r="J22" s="80">
        <v>-17</v>
      </c>
      <c r="L22" s="80">
        <v>-37</v>
      </c>
      <c r="M22" s="80">
        <v>-240</v>
      </c>
      <c r="O22" s="189">
        <v>134</v>
      </c>
      <c r="P22" s="189">
        <v>134</v>
      </c>
      <c r="R22" s="189">
        <f t="shared" si="2"/>
        <v>222</v>
      </c>
      <c r="S22" s="189">
        <f t="shared" si="2"/>
        <v>222</v>
      </c>
      <c r="U22" s="229">
        <f t="shared" si="3"/>
        <v>1.6567000000000001</v>
      </c>
      <c r="V22" s="229">
        <f t="shared" si="3"/>
        <v>1.6567000000000001</v>
      </c>
    </row>
    <row r="23" spans="1:22">
      <c r="A23" s="227">
        <v>8</v>
      </c>
      <c r="C23" s="189"/>
      <c r="D23" s="189" t="s">
        <v>78</v>
      </c>
      <c r="E23" s="189"/>
      <c r="F23" s="81">
        <f>ResultSumGas!G18</f>
        <v>-8926</v>
      </c>
      <c r="G23" s="81">
        <f>IDGas12_07!Z23</f>
        <v>-8926</v>
      </c>
      <c r="I23" s="81">
        <v>-428</v>
      </c>
      <c r="J23" s="81">
        <v>-428</v>
      </c>
      <c r="L23" s="81">
        <v>134</v>
      </c>
      <c r="M23" s="81">
        <v>134</v>
      </c>
      <c r="O23" s="230">
        <v>-778</v>
      </c>
      <c r="P23" s="230">
        <v>-778</v>
      </c>
      <c r="R23" s="230">
        <f t="shared" si="2"/>
        <v>-8148</v>
      </c>
      <c r="S23" s="230">
        <f t="shared" si="2"/>
        <v>-8148</v>
      </c>
      <c r="U23" s="229">
        <f t="shared" si="3"/>
        <v>10.473000000000001</v>
      </c>
      <c r="V23" s="229">
        <f t="shared" si="3"/>
        <v>10.473000000000001</v>
      </c>
    </row>
    <row r="24" spans="1:22">
      <c r="A24" s="227">
        <v>9</v>
      </c>
      <c r="C24" s="189"/>
      <c r="D24" s="189"/>
      <c r="E24" s="189" t="s">
        <v>79</v>
      </c>
      <c r="F24" s="80">
        <f>SUM(F21:F23)</f>
        <v>123537</v>
      </c>
      <c r="G24" s="80">
        <f>SUM(G21:G23)</f>
        <v>123537</v>
      </c>
      <c r="I24" s="80">
        <v>21055</v>
      </c>
      <c r="J24" s="80">
        <v>22448</v>
      </c>
      <c r="L24" s="80">
        <v>17400</v>
      </c>
      <c r="M24" s="80">
        <v>18494</v>
      </c>
      <c r="O24" s="189">
        <v>14179</v>
      </c>
      <c r="P24" s="189">
        <v>14635</v>
      </c>
      <c r="R24" s="189">
        <f t="shared" si="2"/>
        <v>109358</v>
      </c>
      <c r="S24" s="189">
        <f t="shared" si="2"/>
        <v>108902</v>
      </c>
      <c r="U24" s="229">
        <f t="shared" si="3"/>
        <v>7.7126999999999999</v>
      </c>
      <c r="V24" s="229">
        <f t="shared" si="3"/>
        <v>7.4412000000000003</v>
      </c>
    </row>
    <row r="25" spans="1:22">
      <c r="C25" s="189" t="s">
        <v>80</v>
      </c>
      <c r="D25" s="189"/>
      <c r="E25" s="189"/>
      <c r="F25" s="80"/>
      <c r="G25" s="80"/>
      <c r="I25" s="80"/>
      <c r="J25" s="80"/>
      <c r="L25" s="80"/>
      <c r="M25" s="80"/>
      <c r="O25" s="189"/>
      <c r="P25" s="189"/>
      <c r="R25" s="189"/>
      <c r="S25" s="189"/>
      <c r="U25" s="229"/>
      <c r="V25" s="229"/>
    </row>
    <row r="26" spans="1:22">
      <c r="A26" s="227">
        <v>10</v>
      </c>
      <c r="C26" s="189"/>
      <c r="D26" s="189" t="s">
        <v>81</v>
      </c>
      <c r="E26" s="189"/>
      <c r="F26" s="80">
        <f>ResultSumGas!G21</f>
        <v>167</v>
      </c>
      <c r="G26" s="80">
        <f>IDGas12_07!Z26</f>
        <v>167</v>
      </c>
      <c r="I26" s="80">
        <v>110</v>
      </c>
      <c r="J26" s="80">
        <v>110</v>
      </c>
      <c r="L26" s="80">
        <v>126</v>
      </c>
      <c r="M26" s="80">
        <v>126</v>
      </c>
      <c r="O26" s="189">
        <v>116</v>
      </c>
      <c r="P26" s="189">
        <v>116</v>
      </c>
      <c r="R26" s="189">
        <f t="shared" ref="R26:S29" si="4">F26-O26</f>
        <v>51</v>
      </c>
      <c r="S26" s="189">
        <f t="shared" si="4"/>
        <v>51</v>
      </c>
      <c r="U26" s="229">
        <f t="shared" ref="U26:V29" si="5">ROUND(R26/O26,4)</f>
        <v>0.43969999999999998</v>
      </c>
      <c r="V26" s="229">
        <f t="shared" si="5"/>
        <v>0.43969999999999998</v>
      </c>
    </row>
    <row r="27" spans="1:22">
      <c r="A27" s="227">
        <v>11</v>
      </c>
      <c r="C27" s="189"/>
      <c r="D27" s="189" t="s">
        <v>82</v>
      </c>
      <c r="E27" s="189"/>
      <c r="F27" s="80">
        <f>ResultSumGas!G22</f>
        <v>107</v>
      </c>
      <c r="G27" s="80">
        <f>IDGas12_07!Z27</f>
        <v>107</v>
      </c>
      <c r="I27" s="80">
        <v>112</v>
      </c>
      <c r="J27" s="80">
        <v>112</v>
      </c>
      <c r="L27" s="80">
        <v>111</v>
      </c>
      <c r="M27" s="80">
        <v>111</v>
      </c>
      <c r="O27" s="189">
        <v>114</v>
      </c>
      <c r="P27" s="189">
        <v>114</v>
      </c>
      <c r="R27" s="189">
        <f t="shared" si="4"/>
        <v>-7</v>
      </c>
      <c r="S27" s="189">
        <f t="shared" si="4"/>
        <v>-7</v>
      </c>
      <c r="U27" s="229">
        <f t="shared" si="5"/>
        <v>-6.1400000000000003E-2</v>
      </c>
      <c r="V27" s="229">
        <f t="shared" si="5"/>
        <v>-6.1400000000000003E-2</v>
      </c>
    </row>
    <row r="28" spans="1:22">
      <c r="A28" s="227">
        <v>12</v>
      </c>
      <c r="C28" s="189"/>
      <c r="D28" s="189" t="s">
        <v>37</v>
      </c>
      <c r="E28" s="189"/>
      <c r="F28" s="81">
        <f>ResultSumGas!G23</f>
        <v>46</v>
      </c>
      <c r="G28" s="81">
        <f>IDGas12_07!Z28</f>
        <v>46</v>
      </c>
      <c r="I28" s="81">
        <v>36</v>
      </c>
      <c r="J28" s="81">
        <v>36</v>
      </c>
      <c r="L28" s="81">
        <v>46</v>
      </c>
      <c r="M28" s="81">
        <v>40</v>
      </c>
      <c r="O28" s="230">
        <v>48</v>
      </c>
      <c r="P28" s="230">
        <v>53</v>
      </c>
      <c r="R28" s="230">
        <f t="shared" si="4"/>
        <v>-2</v>
      </c>
      <c r="S28" s="230">
        <f t="shared" si="4"/>
        <v>-7</v>
      </c>
      <c r="U28" s="229">
        <f t="shared" si="5"/>
        <v>-4.1700000000000001E-2</v>
      </c>
      <c r="V28" s="229">
        <f t="shared" si="5"/>
        <v>-0.1321</v>
      </c>
    </row>
    <row r="29" spans="1:22">
      <c r="A29" s="227">
        <v>13</v>
      </c>
      <c r="C29" s="189"/>
      <c r="D29" s="189"/>
      <c r="E29" s="189" t="s">
        <v>83</v>
      </c>
      <c r="F29" s="80">
        <f>SUM(F26:F28)</f>
        <v>320</v>
      </c>
      <c r="G29" s="80">
        <f>SUM(G26:G28)</f>
        <v>320</v>
      </c>
      <c r="I29" s="80">
        <v>258</v>
      </c>
      <c r="J29" s="80">
        <v>258</v>
      </c>
      <c r="L29" s="80">
        <v>283</v>
      </c>
      <c r="M29" s="80">
        <v>277</v>
      </c>
      <c r="O29" s="189">
        <v>278</v>
      </c>
      <c r="P29" s="189">
        <v>283</v>
      </c>
      <c r="R29" s="189">
        <f t="shared" si="4"/>
        <v>42</v>
      </c>
      <c r="S29" s="189">
        <f t="shared" si="4"/>
        <v>37</v>
      </c>
      <c r="U29" s="229">
        <f t="shared" si="5"/>
        <v>0.15110000000000001</v>
      </c>
      <c r="V29" s="229">
        <f t="shared" si="5"/>
        <v>0.13070000000000001</v>
      </c>
    </row>
    <row r="30" spans="1:22">
      <c r="C30" s="189" t="s">
        <v>84</v>
      </c>
      <c r="D30" s="189"/>
      <c r="E30" s="189"/>
      <c r="F30" s="80"/>
      <c r="G30" s="80"/>
      <c r="I30" s="80"/>
      <c r="J30" s="80"/>
      <c r="L30" s="80"/>
      <c r="M30" s="80"/>
      <c r="O30" s="189"/>
      <c r="P30" s="189"/>
      <c r="R30" s="189"/>
      <c r="S30" s="189"/>
      <c r="U30" s="229"/>
      <c r="V30" s="229"/>
    </row>
    <row r="31" spans="1:22">
      <c r="A31" s="227">
        <v>14</v>
      </c>
      <c r="C31" s="189"/>
      <c r="D31" s="189" t="s">
        <v>81</v>
      </c>
      <c r="E31" s="189"/>
      <c r="F31" s="80">
        <f>ResultSumGas!G26</f>
        <v>3833</v>
      </c>
      <c r="G31" s="80">
        <f>IDGas12_07!Z31</f>
        <v>3833</v>
      </c>
      <c r="I31" s="80">
        <v>1673</v>
      </c>
      <c r="J31" s="80">
        <v>1673</v>
      </c>
      <c r="L31" s="80">
        <v>1654</v>
      </c>
      <c r="M31" s="80">
        <v>1654</v>
      </c>
      <c r="O31" s="189">
        <v>1563</v>
      </c>
      <c r="P31" s="189">
        <v>1563</v>
      </c>
      <c r="R31" s="189">
        <f t="shared" ref="R31:S34" si="6">F31-O31</f>
        <v>2270</v>
      </c>
      <c r="S31" s="189">
        <f t="shared" si="6"/>
        <v>2270</v>
      </c>
      <c r="U31" s="229">
        <f t="shared" ref="U31:V34" si="7">ROUND(R31/O31,4)</f>
        <v>1.4522999999999999</v>
      </c>
      <c r="V31" s="229">
        <f t="shared" si="7"/>
        <v>1.4522999999999999</v>
      </c>
    </row>
    <row r="32" spans="1:22">
      <c r="A32" s="227">
        <v>15</v>
      </c>
      <c r="C32" s="189"/>
      <c r="D32" s="189" t="s">
        <v>82</v>
      </c>
      <c r="E32" s="189"/>
      <c r="F32" s="80">
        <f>ResultSumGas!G27</f>
        <v>2807</v>
      </c>
      <c r="G32" s="80">
        <f>IDGas12_07!Z32</f>
        <v>2807</v>
      </c>
      <c r="I32" s="80">
        <v>1802</v>
      </c>
      <c r="J32" s="80">
        <v>1802</v>
      </c>
      <c r="L32" s="80">
        <v>1722</v>
      </c>
      <c r="M32" s="80">
        <v>1722</v>
      </c>
      <c r="O32" s="189">
        <v>1629</v>
      </c>
      <c r="P32" s="189">
        <v>1629</v>
      </c>
      <c r="R32" s="189">
        <f t="shared" si="6"/>
        <v>1178</v>
      </c>
      <c r="S32" s="189">
        <f t="shared" si="6"/>
        <v>1178</v>
      </c>
      <c r="U32" s="229">
        <f t="shared" si="7"/>
        <v>0.72309999999999997</v>
      </c>
      <c r="V32" s="229">
        <f t="shared" si="7"/>
        <v>0.72309999999999997</v>
      </c>
    </row>
    <row r="33" spans="1:22">
      <c r="A33" s="227">
        <v>16</v>
      </c>
      <c r="C33" s="189"/>
      <c r="D33" s="189" t="s">
        <v>37</v>
      </c>
      <c r="E33" s="189"/>
      <c r="F33" s="81">
        <f>ResultSumGas!G28</f>
        <v>2396</v>
      </c>
      <c r="G33" s="81">
        <f>IDGas12_07!Z33</f>
        <v>2396</v>
      </c>
      <c r="I33" s="81">
        <v>758</v>
      </c>
      <c r="J33" s="81">
        <v>802</v>
      </c>
      <c r="L33" s="81">
        <v>672</v>
      </c>
      <c r="M33" s="81">
        <v>689</v>
      </c>
      <c r="O33" s="230">
        <v>718</v>
      </c>
      <c r="P33" s="230">
        <v>784</v>
      </c>
      <c r="R33" s="230">
        <f t="shared" si="6"/>
        <v>1678</v>
      </c>
      <c r="S33" s="230">
        <f t="shared" si="6"/>
        <v>1612</v>
      </c>
      <c r="U33" s="229">
        <f t="shared" si="7"/>
        <v>2.3370000000000002</v>
      </c>
      <c r="V33" s="229">
        <f t="shared" si="7"/>
        <v>2.0560999999999998</v>
      </c>
    </row>
    <row r="34" spans="1:22">
      <c r="A34" s="227">
        <v>17</v>
      </c>
      <c r="C34" s="189"/>
      <c r="D34" s="189"/>
      <c r="E34" s="189" t="s">
        <v>85</v>
      </c>
      <c r="F34" s="80">
        <f>SUM(F31:F33)</f>
        <v>9036</v>
      </c>
      <c r="G34" s="80">
        <f>SUM(G31:G33)</f>
        <v>9036</v>
      </c>
      <c r="I34" s="80">
        <v>4233</v>
      </c>
      <c r="J34" s="80">
        <v>4277</v>
      </c>
      <c r="L34" s="80">
        <v>4048</v>
      </c>
      <c r="M34" s="80">
        <v>4065</v>
      </c>
      <c r="O34" s="189">
        <v>3910</v>
      </c>
      <c r="P34" s="189">
        <v>3976</v>
      </c>
      <c r="R34" s="189">
        <f t="shared" si="6"/>
        <v>5126</v>
      </c>
      <c r="S34" s="189">
        <f t="shared" si="6"/>
        <v>5060</v>
      </c>
      <c r="U34" s="229">
        <f t="shared" si="7"/>
        <v>1.3109999999999999</v>
      </c>
      <c r="V34" s="229">
        <f t="shared" si="7"/>
        <v>1.2726</v>
      </c>
    </row>
    <row r="35" spans="1:22">
      <c r="C35" s="189"/>
      <c r="D35" s="189"/>
      <c r="E35" s="189"/>
      <c r="F35" s="80"/>
      <c r="G35" s="80"/>
      <c r="I35" s="80"/>
      <c r="J35" s="80"/>
      <c r="L35" s="80"/>
      <c r="M35" s="80"/>
      <c r="O35" s="189"/>
      <c r="P35" s="189"/>
      <c r="R35" s="189"/>
      <c r="S35" s="189"/>
      <c r="U35" s="229"/>
      <c r="V35" s="229"/>
    </row>
    <row r="36" spans="1:22">
      <c r="A36" s="227">
        <v>18</v>
      </c>
      <c r="B36" s="202" t="s">
        <v>86</v>
      </c>
      <c r="C36" s="189"/>
      <c r="D36" s="189"/>
      <c r="E36" s="189"/>
      <c r="F36" s="80">
        <f>ResultSumGas!G31</f>
        <v>1937</v>
      </c>
      <c r="G36" s="80">
        <f>IDGas12_07!Z36</f>
        <v>1937</v>
      </c>
      <c r="I36" s="80">
        <v>1506</v>
      </c>
      <c r="J36" s="80">
        <v>1416</v>
      </c>
      <c r="L36" s="80">
        <v>1404</v>
      </c>
      <c r="M36" s="80">
        <v>1375</v>
      </c>
      <c r="O36" s="189">
        <v>1431</v>
      </c>
      <c r="P36" s="189">
        <v>1356</v>
      </c>
      <c r="R36" s="189">
        <f t="shared" ref="R36:S38" si="8">F36-O36</f>
        <v>506</v>
      </c>
      <c r="S36" s="189">
        <f t="shared" si="8"/>
        <v>581</v>
      </c>
      <c r="U36" s="229">
        <f t="shared" ref="U36:V38" si="9">ROUND(R36/O36,4)</f>
        <v>0.35360000000000003</v>
      </c>
      <c r="V36" s="229">
        <f t="shared" si="9"/>
        <v>0.42849999999999999</v>
      </c>
    </row>
    <row r="37" spans="1:22">
      <c r="A37" s="227">
        <v>19</v>
      </c>
      <c r="B37" s="202" t="s">
        <v>87</v>
      </c>
      <c r="C37" s="189"/>
      <c r="D37" s="189"/>
      <c r="E37" s="189"/>
      <c r="F37" s="80">
        <f>ResultSumGas!G32</f>
        <v>1788</v>
      </c>
      <c r="G37" s="80">
        <f>IDGas12_07!Z37</f>
        <v>1788</v>
      </c>
      <c r="I37" s="80">
        <v>222</v>
      </c>
      <c r="J37" s="80">
        <v>222</v>
      </c>
      <c r="L37" s="80">
        <v>209</v>
      </c>
      <c r="M37" s="80">
        <v>209</v>
      </c>
      <c r="O37" s="189">
        <v>217</v>
      </c>
      <c r="P37" s="189">
        <v>217</v>
      </c>
      <c r="R37" s="189">
        <f t="shared" si="8"/>
        <v>1571</v>
      </c>
      <c r="S37" s="189">
        <f t="shared" si="8"/>
        <v>1571</v>
      </c>
      <c r="U37" s="229">
        <f t="shared" si="9"/>
        <v>7.2396000000000003</v>
      </c>
      <c r="V37" s="229">
        <f t="shared" si="9"/>
        <v>7.2396000000000003</v>
      </c>
    </row>
    <row r="38" spans="1:22">
      <c r="A38" s="227">
        <v>20</v>
      </c>
      <c r="B38" s="202" t="s">
        <v>88</v>
      </c>
      <c r="C38" s="189"/>
      <c r="D38" s="189"/>
      <c r="E38" s="189"/>
      <c r="F38" s="80">
        <f>ResultSumGas!G33</f>
        <v>213</v>
      </c>
      <c r="G38" s="80">
        <f>IDGas12_07!Z38</f>
        <v>213</v>
      </c>
      <c r="I38" s="80">
        <v>185</v>
      </c>
      <c r="J38" s="80">
        <v>185</v>
      </c>
      <c r="L38" s="80">
        <v>172</v>
      </c>
      <c r="M38" s="80">
        <v>172</v>
      </c>
      <c r="O38" s="189">
        <v>168</v>
      </c>
      <c r="P38" s="189">
        <v>168</v>
      </c>
      <c r="R38" s="189">
        <f t="shared" si="8"/>
        <v>45</v>
      </c>
      <c r="S38" s="189">
        <f t="shared" si="8"/>
        <v>45</v>
      </c>
      <c r="U38" s="229">
        <f t="shared" si="9"/>
        <v>0.26790000000000003</v>
      </c>
      <c r="V38" s="229">
        <f t="shared" si="9"/>
        <v>0.26790000000000003</v>
      </c>
    </row>
    <row r="39" spans="1:22">
      <c r="B39" s="202" t="s">
        <v>89</v>
      </c>
      <c r="C39" s="189"/>
      <c r="D39" s="189"/>
      <c r="E39" s="189"/>
      <c r="F39" s="80"/>
      <c r="G39" s="80"/>
      <c r="I39" s="80"/>
      <c r="J39" s="80"/>
      <c r="L39" s="80"/>
      <c r="M39" s="80"/>
      <c r="O39" s="189"/>
      <c r="P39" s="189"/>
      <c r="R39" s="189"/>
      <c r="S39" s="189"/>
      <c r="U39" s="229"/>
      <c r="V39" s="229"/>
    </row>
    <row r="40" spans="1:22">
      <c r="A40" s="227">
        <v>21</v>
      </c>
      <c r="C40" s="189" t="s">
        <v>81</v>
      </c>
      <c r="D40" s="189"/>
      <c r="E40" s="189"/>
      <c r="F40" s="80">
        <f>ResultSumGas!G35</f>
        <v>4471</v>
      </c>
      <c r="G40" s="80">
        <f>IDGas12_07!Z40</f>
        <v>4471</v>
      </c>
      <c r="I40" s="80">
        <v>3821</v>
      </c>
      <c r="J40" s="80">
        <v>3396</v>
      </c>
      <c r="L40" s="80">
        <v>3258</v>
      </c>
      <c r="M40" s="80">
        <v>2823</v>
      </c>
      <c r="O40" s="189">
        <v>3183</v>
      </c>
      <c r="P40" s="189">
        <v>2774</v>
      </c>
      <c r="R40" s="189">
        <f t="shared" ref="R40:S42" si="10">F40-O40</f>
        <v>1288</v>
      </c>
      <c r="S40" s="189">
        <f t="shared" si="10"/>
        <v>1697</v>
      </c>
      <c r="U40" s="229">
        <f t="shared" ref="U40:V44" si="11">ROUND(R40/O40,4)</f>
        <v>0.40460000000000002</v>
      </c>
      <c r="V40" s="229">
        <f t="shared" si="11"/>
        <v>0.61180000000000001</v>
      </c>
    </row>
    <row r="41" spans="1:22">
      <c r="A41" s="227">
        <v>22</v>
      </c>
      <c r="C41" s="189" t="s">
        <v>82</v>
      </c>
      <c r="D41" s="189"/>
      <c r="E41" s="189"/>
      <c r="F41" s="80">
        <f>ResultSumGas!G36</f>
        <v>816</v>
      </c>
      <c r="G41" s="80">
        <f>IDGas12_07!Z41</f>
        <v>816</v>
      </c>
      <c r="I41" s="80">
        <v>392</v>
      </c>
      <c r="J41" s="80">
        <v>392</v>
      </c>
      <c r="L41" s="80">
        <v>335</v>
      </c>
      <c r="M41" s="80">
        <v>335</v>
      </c>
      <c r="O41" s="231">
        <v>310</v>
      </c>
      <c r="P41" s="231">
        <v>310</v>
      </c>
      <c r="R41" s="231">
        <f t="shared" si="10"/>
        <v>506</v>
      </c>
      <c r="S41" s="231">
        <f t="shared" si="10"/>
        <v>506</v>
      </c>
      <c r="U41" s="229">
        <f t="shared" si="11"/>
        <v>1.6323000000000001</v>
      </c>
      <c r="V41" s="229">
        <f t="shared" si="11"/>
        <v>1.6323000000000001</v>
      </c>
    </row>
    <row r="42" spans="1:22">
      <c r="A42" s="227">
        <v>23</v>
      </c>
      <c r="C42" s="189" t="s">
        <v>37</v>
      </c>
      <c r="D42" s="189"/>
      <c r="E42" s="189"/>
      <c r="F42" s="81">
        <f>ResultSumGas!G37</f>
        <v>11</v>
      </c>
      <c r="G42" s="81">
        <f>IDGas12_07!Z42</f>
        <v>11</v>
      </c>
      <c r="I42" s="81">
        <v>7</v>
      </c>
      <c r="J42" s="81">
        <v>7</v>
      </c>
      <c r="L42" s="81">
        <v>7</v>
      </c>
      <c r="M42" s="81">
        <v>7</v>
      </c>
      <c r="O42" s="230">
        <v>7</v>
      </c>
      <c r="P42" s="230">
        <v>7</v>
      </c>
      <c r="R42" s="230">
        <f t="shared" si="10"/>
        <v>4</v>
      </c>
      <c r="S42" s="230">
        <f t="shared" si="10"/>
        <v>4</v>
      </c>
      <c r="U42" s="229">
        <f t="shared" si="11"/>
        <v>0.57140000000000002</v>
      </c>
      <c r="V42" s="229">
        <f t="shared" si="11"/>
        <v>0.57140000000000002</v>
      </c>
    </row>
    <row r="43" spans="1:22">
      <c r="A43" s="227">
        <v>24</v>
      </c>
      <c r="C43" s="189"/>
      <c r="D43" s="189"/>
      <c r="E43" s="189" t="s">
        <v>90</v>
      </c>
      <c r="F43" s="81">
        <f>SUM(F40:F42)</f>
        <v>5298</v>
      </c>
      <c r="G43" s="81">
        <f>SUM(G40:G42)</f>
        <v>5298</v>
      </c>
      <c r="I43" s="81">
        <v>4220</v>
      </c>
      <c r="J43" s="81">
        <v>3795</v>
      </c>
      <c r="L43" s="81">
        <v>3600</v>
      </c>
      <c r="M43" s="81">
        <v>3165</v>
      </c>
      <c r="O43" s="230">
        <v>3500</v>
      </c>
      <c r="P43" s="230">
        <v>3091</v>
      </c>
      <c r="R43" s="230">
        <f>F44-O43</f>
        <v>138629</v>
      </c>
      <c r="S43" s="230">
        <f>G43-P43</f>
        <v>2207</v>
      </c>
      <c r="U43" s="229">
        <f t="shared" si="11"/>
        <v>39.6083</v>
      </c>
      <c r="V43" s="229">
        <f t="shared" si="11"/>
        <v>0.71399999999999997</v>
      </c>
    </row>
    <row r="44" spans="1:22">
      <c r="A44" s="227">
        <v>25</v>
      </c>
      <c r="B44" s="202" t="s">
        <v>91</v>
      </c>
      <c r="C44" s="189"/>
      <c r="D44" s="189"/>
      <c r="E44" s="189"/>
      <c r="F44" s="81">
        <f>F24+F29+F34+F36+F37+F38+F43+F19</f>
        <v>142129</v>
      </c>
      <c r="G44" s="81">
        <f>G24+G29+G34+G36+G37+G38+G43+G19</f>
        <v>142129</v>
      </c>
      <c r="I44" s="81">
        <v>31679</v>
      </c>
      <c r="J44" s="81">
        <v>32601</v>
      </c>
      <c r="L44" s="81">
        <v>27116</v>
      </c>
      <c r="M44" s="81">
        <v>27757</v>
      </c>
      <c r="O44" s="232">
        <v>23683</v>
      </c>
      <c r="P44" s="232">
        <v>23726</v>
      </c>
      <c r="R44" s="232">
        <f>F44-O44</f>
        <v>118446</v>
      </c>
      <c r="S44" s="232">
        <f>G44-P44</f>
        <v>118403</v>
      </c>
      <c r="U44" s="229">
        <f t="shared" si="11"/>
        <v>5.0012999999999996</v>
      </c>
      <c r="V44" s="229">
        <f t="shared" si="11"/>
        <v>4.9904000000000002</v>
      </c>
    </row>
    <row r="45" spans="1:22">
      <c r="C45" s="189"/>
      <c r="D45" s="189"/>
      <c r="E45" s="189"/>
      <c r="F45" s="80"/>
      <c r="G45" s="80"/>
      <c r="I45" s="80"/>
      <c r="J45" s="80"/>
      <c r="L45" s="80"/>
      <c r="M45" s="80"/>
      <c r="O45" s="189"/>
      <c r="P45" s="189"/>
      <c r="R45" s="189"/>
      <c r="S45" s="189"/>
      <c r="U45" s="229"/>
      <c r="V45" s="229"/>
    </row>
    <row r="46" spans="1:22">
      <c r="A46" s="227">
        <v>26</v>
      </c>
      <c r="B46" s="202" t="s">
        <v>92</v>
      </c>
      <c r="C46" s="189"/>
      <c r="D46" s="189"/>
      <c r="E46" s="189"/>
      <c r="F46" s="189">
        <f>F16-F44</f>
        <v>7210</v>
      </c>
      <c r="G46" s="189">
        <f>G16-G44</f>
        <v>7210</v>
      </c>
      <c r="I46" s="189">
        <v>4731</v>
      </c>
      <c r="J46" s="189">
        <v>6011</v>
      </c>
      <c r="L46" s="189">
        <v>5874</v>
      </c>
      <c r="M46" s="189">
        <v>6973</v>
      </c>
      <c r="O46" s="189">
        <v>5719</v>
      </c>
      <c r="P46" s="189">
        <v>6210</v>
      </c>
      <c r="R46" s="189">
        <f>F46-O46</f>
        <v>1491</v>
      </c>
      <c r="S46" s="189">
        <f>G46-P46</f>
        <v>1000</v>
      </c>
      <c r="U46" s="229">
        <f>ROUND(R46/O46,4)</f>
        <v>0.26069999999999999</v>
      </c>
      <c r="V46" s="229">
        <f>ROUND(S46/P46,4)</f>
        <v>0.161</v>
      </c>
    </row>
    <row r="47" spans="1:22">
      <c r="B47" s="202" t="s">
        <v>93</v>
      </c>
      <c r="C47" s="189"/>
      <c r="D47" s="189"/>
      <c r="E47" s="189"/>
      <c r="F47" s="80"/>
      <c r="G47" s="80"/>
      <c r="I47" s="80"/>
      <c r="J47" s="80"/>
      <c r="L47" s="80"/>
      <c r="M47" s="80"/>
      <c r="O47" s="189"/>
      <c r="P47" s="189"/>
      <c r="R47" s="189"/>
      <c r="S47" s="189"/>
      <c r="U47" s="229"/>
      <c r="V47" s="229"/>
    </row>
    <row r="48" spans="1:22">
      <c r="C48" s="189"/>
      <c r="D48" s="189"/>
      <c r="E48" s="189"/>
      <c r="F48" s="80"/>
      <c r="G48" s="80"/>
      <c r="I48" s="80"/>
      <c r="J48" s="80"/>
      <c r="L48" s="80"/>
      <c r="M48" s="80"/>
      <c r="O48" s="189"/>
      <c r="P48" s="189"/>
      <c r="R48" s="189"/>
      <c r="S48" s="189"/>
      <c r="U48" s="229"/>
      <c r="V48" s="229"/>
    </row>
    <row r="49" spans="1:22">
      <c r="A49" s="227">
        <v>27</v>
      </c>
      <c r="C49" s="189" t="s">
        <v>94</v>
      </c>
      <c r="D49" s="189"/>
      <c r="E49" s="189"/>
      <c r="F49" s="80">
        <f>ResultSumGas!G44</f>
        <v>1089</v>
      </c>
      <c r="G49" s="80">
        <f>IDGas12_07!Z48</f>
        <v>1231.8579399999999</v>
      </c>
      <c r="I49" s="80">
        <v>200</v>
      </c>
      <c r="J49" s="80">
        <v>743</v>
      </c>
      <c r="L49" s="80">
        <v>426</v>
      </c>
      <c r="M49" s="80">
        <v>740</v>
      </c>
      <c r="O49" s="189">
        <v>-696</v>
      </c>
      <c r="P49" s="189">
        <v>-510</v>
      </c>
      <c r="R49" s="189">
        <f t="shared" ref="R49:S51" si="12">F49-O49</f>
        <v>1785</v>
      </c>
      <c r="S49" s="189">
        <f t="shared" si="12"/>
        <v>1741.8579399999999</v>
      </c>
      <c r="U49" s="229">
        <f t="shared" ref="U49:V51" si="13">ROUND(R49/O49,4)</f>
        <v>-2.5647000000000002</v>
      </c>
      <c r="V49" s="229">
        <f t="shared" si="13"/>
        <v>-3.4154</v>
      </c>
    </row>
    <row r="50" spans="1:22">
      <c r="A50" s="227">
        <v>28</v>
      </c>
      <c r="C50" s="189" t="s">
        <v>95</v>
      </c>
      <c r="D50" s="189"/>
      <c r="E50" s="189"/>
      <c r="F50" s="80">
        <f>ResultSumGas!G45</f>
        <v>334</v>
      </c>
      <c r="G50" s="80">
        <f>IDGas12_07!Z49</f>
        <v>337</v>
      </c>
      <c r="I50" s="80">
        <v>1011</v>
      </c>
      <c r="J50" s="80">
        <v>929</v>
      </c>
      <c r="L50" s="80">
        <v>1335</v>
      </c>
      <c r="M50" s="80">
        <v>1300</v>
      </c>
      <c r="O50" s="80">
        <v>2331</v>
      </c>
      <c r="P50" s="80">
        <v>2317</v>
      </c>
      <c r="R50" s="80">
        <f t="shared" si="12"/>
        <v>-1997</v>
      </c>
      <c r="S50" s="80">
        <f t="shared" si="12"/>
        <v>-1980</v>
      </c>
      <c r="U50" s="229">
        <f t="shared" si="13"/>
        <v>-0.85670000000000002</v>
      </c>
      <c r="V50" s="229">
        <f t="shared" si="13"/>
        <v>-0.85460000000000003</v>
      </c>
    </row>
    <row r="51" spans="1:22">
      <c r="A51" s="227">
        <v>29</v>
      </c>
      <c r="C51" s="189" t="s">
        <v>96</v>
      </c>
      <c r="D51" s="189"/>
      <c r="E51" s="189"/>
      <c r="F51" s="81">
        <f>ResultSumGas!G46</f>
        <v>-19</v>
      </c>
      <c r="G51" s="81">
        <f>IDGas12_07!Z50</f>
        <v>-19</v>
      </c>
      <c r="I51" s="81">
        <v>-19</v>
      </c>
      <c r="J51" s="81">
        <v>-19</v>
      </c>
      <c r="L51" s="81">
        <v>-19</v>
      </c>
      <c r="M51" s="81">
        <v>-19</v>
      </c>
      <c r="O51" s="81">
        <v>-19</v>
      </c>
      <c r="P51" s="81">
        <v>-19</v>
      </c>
      <c r="R51" s="81">
        <f t="shared" si="12"/>
        <v>0</v>
      </c>
      <c r="S51" s="81">
        <f t="shared" si="12"/>
        <v>0</v>
      </c>
      <c r="U51" s="229">
        <f t="shared" si="13"/>
        <v>0</v>
      </c>
      <c r="V51" s="229">
        <f t="shared" si="13"/>
        <v>0</v>
      </c>
    </row>
    <row r="52" spans="1:22">
      <c r="F52" s="85"/>
      <c r="G52" s="85"/>
      <c r="I52" s="85"/>
      <c r="J52" s="85"/>
      <c r="L52" s="85"/>
      <c r="M52" s="85"/>
      <c r="O52" s="85"/>
      <c r="P52" s="85"/>
      <c r="R52" s="85"/>
      <c r="S52" s="85"/>
      <c r="U52" s="229"/>
      <c r="V52" s="229"/>
    </row>
    <row r="53" spans="1:22" ht="12.75" thickBot="1">
      <c r="A53" s="227">
        <v>30</v>
      </c>
      <c r="B53" s="228" t="s">
        <v>97</v>
      </c>
      <c r="C53" s="228"/>
      <c r="D53" s="228"/>
      <c r="E53" s="228"/>
      <c r="F53" s="190">
        <f>F46-(F49+F50+F51)</f>
        <v>5806</v>
      </c>
      <c r="G53" s="190">
        <f>G46-(G49+G50+G51)</f>
        <v>5660.1420600000001</v>
      </c>
      <c r="I53" s="190">
        <v>3539</v>
      </c>
      <c r="J53" s="190">
        <v>4358</v>
      </c>
      <c r="L53" s="190">
        <v>4132</v>
      </c>
      <c r="M53" s="190">
        <v>4952</v>
      </c>
      <c r="O53" s="190">
        <v>4103</v>
      </c>
      <c r="P53" s="190">
        <v>4422</v>
      </c>
      <c r="R53" s="190">
        <f>F53-O53</f>
        <v>1703</v>
      </c>
      <c r="S53" s="190">
        <f>G53-P53</f>
        <v>1238.1420600000001</v>
      </c>
      <c r="U53" s="229">
        <f>ROUND(R53/O53,4)</f>
        <v>0.41510000000000002</v>
      </c>
      <c r="V53" s="229">
        <f>ROUND(S53/P53,4)</f>
        <v>0.28000000000000003</v>
      </c>
    </row>
    <row r="54" spans="1:22" ht="12.75" thickTop="1">
      <c r="F54" s="85"/>
      <c r="G54" s="85"/>
      <c r="I54" s="85"/>
      <c r="J54" s="85"/>
      <c r="L54" s="85"/>
      <c r="M54" s="85"/>
      <c r="O54" s="85"/>
      <c r="P54" s="85"/>
      <c r="R54" s="85"/>
      <c r="S54" s="85"/>
      <c r="U54" s="229"/>
      <c r="V54" s="229"/>
    </row>
    <row r="55" spans="1:22">
      <c r="F55" s="85"/>
      <c r="G55" s="85"/>
      <c r="I55" s="85"/>
      <c r="J55" s="85"/>
      <c r="L55" s="85"/>
      <c r="M55" s="85"/>
      <c r="U55" s="229"/>
      <c r="V55" s="229"/>
    </row>
    <row r="56" spans="1:22">
      <c r="B56" s="202" t="s">
        <v>98</v>
      </c>
      <c r="F56" s="85"/>
      <c r="G56" s="85"/>
      <c r="I56" s="85"/>
      <c r="J56" s="85"/>
      <c r="L56" s="85"/>
      <c r="M56" s="85"/>
      <c r="O56" s="189"/>
      <c r="P56" s="189"/>
      <c r="R56" s="189"/>
      <c r="S56" s="189"/>
      <c r="U56" s="229"/>
      <c r="V56" s="229"/>
    </row>
    <row r="57" spans="1:22">
      <c r="A57" s="227">
        <v>31</v>
      </c>
      <c r="B57" s="189"/>
      <c r="C57" s="189" t="s">
        <v>80</v>
      </c>
      <c r="D57" s="189"/>
      <c r="E57" s="189"/>
      <c r="F57" s="78">
        <f>ResultSumGas!G52</f>
        <v>5549</v>
      </c>
      <c r="G57" s="78">
        <f>IDGas12_07!Z56</f>
        <v>5549</v>
      </c>
      <c r="I57" s="78">
        <v>4859</v>
      </c>
      <c r="J57" s="78">
        <v>4859</v>
      </c>
      <c r="L57" s="78">
        <v>4846</v>
      </c>
      <c r="M57" s="78">
        <v>4846</v>
      </c>
      <c r="O57" s="189">
        <v>4848</v>
      </c>
      <c r="P57" s="189">
        <v>4848</v>
      </c>
      <c r="R57" s="189">
        <f t="shared" ref="R57:S60" si="14">F57-O57</f>
        <v>701</v>
      </c>
      <c r="S57" s="189">
        <f t="shared" si="14"/>
        <v>701</v>
      </c>
      <c r="U57" s="229">
        <f t="shared" ref="U57:V60" si="15">ROUND(R57/O57,4)</f>
        <v>0.14460000000000001</v>
      </c>
      <c r="V57" s="229">
        <f t="shared" si="15"/>
        <v>0.14460000000000001</v>
      </c>
    </row>
    <row r="58" spans="1:22">
      <c r="A58" s="227">
        <v>32</v>
      </c>
      <c r="B58" s="189"/>
      <c r="C58" s="189" t="s">
        <v>99</v>
      </c>
      <c r="D58" s="189"/>
      <c r="E58" s="189"/>
      <c r="F58" s="80">
        <f>ResultSumGas!G53</f>
        <v>120449</v>
      </c>
      <c r="G58" s="80">
        <f>IDGas12_07!Z57</f>
        <v>120449</v>
      </c>
      <c r="I58" s="80">
        <v>72467</v>
      </c>
      <c r="J58" s="80">
        <v>73938</v>
      </c>
      <c r="L58" s="80">
        <v>68735</v>
      </c>
      <c r="M58" s="80">
        <v>70273</v>
      </c>
      <c r="O58" s="230">
        <v>64639</v>
      </c>
      <c r="P58" s="230">
        <v>66244</v>
      </c>
      <c r="R58" s="230">
        <f t="shared" si="14"/>
        <v>55810</v>
      </c>
      <c r="S58" s="230">
        <f t="shared" si="14"/>
        <v>54205</v>
      </c>
      <c r="U58" s="229">
        <f t="shared" si="15"/>
        <v>0.86339999999999995</v>
      </c>
      <c r="V58" s="229">
        <f t="shared" si="15"/>
        <v>0.81830000000000003</v>
      </c>
    </row>
    <row r="59" spans="1:22">
      <c r="A59" s="227">
        <v>33</v>
      </c>
      <c r="B59" s="189"/>
      <c r="C59" s="189" t="s">
        <v>100</v>
      </c>
      <c r="D59" s="189"/>
      <c r="E59" s="189"/>
      <c r="F59" s="81">
        <f>ResultSumGas!G54</f>
        <v>11067</v>
      </c>
      <c r="G59" s="81">
        <f>IDGas12_07!Z58</f>
        <v>11067</v>
      </c>
      <c r="I59" s="81">
        <v>6291</v>
      </c>
      <c r="J59" s="81">
        <v>6291</v>
      </c>
      <c r="L59" s="81">
        <v>6026</v>
      </c>
      <c r="M59" s="81">
        <v>6026</v>
      </c>
      <c r="O59" s="81">
        <v>5596</v>
      </c>
      <c r="P59" s="81">
        <v>5596</v>
      </c>
      <c r="R59" s="81">
        <f t="shared" si="14"/>
        <v>5471</v>
      </c>
      <c r="S59" s="81">
        <f t="shared" si="14"/>
        <v>5471</v>
      </c>
      <c r="U59" s="229">
        <f t="shared" si="15"/>
        <v>0.97770000000000001</v>
      </c>
      <c r="V59" s="229">
        <f t="shared" si="15"/>
        <v>0.97770000000000001</v>
      </c>
    </row>
    <row r="60" spans="1:22">
      <c r="A60" s="227">
        <v>34</v>
      </c>
      <c r="B60" s="189"/>
      <c r="C60" s="189"/>
      <c r="D60" s="189"/>
      <c r="E60" s="189" t="s">
        <v>101</v>
      </c>
      <c r="F60" s="80">
        <f>SUM(F57:F59)</f>
        <v>137065</v>
      </c>
      <c r="G60" s="80">
        <f>SUM(G57:G59)</f>
        <v>137065</v>
      </c>
      <c r="I60" s="80">
        <v>83617</v>
      </c>
      <c r="J60" s="80">
        <v>85088</v>
      </c>
      <c r="L60" s="80">
        <v>79607</v>
      </c>
      <c r="M60" s="80">
        <v>81145</v>
      </c>
      <c r="O60" s="80">
        <v>75083</v>
      </c>
      <c r="P60" s="80">
        <v>76688</v>
      </c>
      <c r="R60" s="80">
        <f t="shared" si="14"/>
        <v>61982</v>
      </c>
      <c r="S60" s="80">
        <f t="shared" si="14"/>
        <v>60377</v>
      </c>
      <c r="U60" s="229">
        <f t="shared" si="15"/>
        <v>0.82550000000000001</v>
      </c>
      <c r="V60" s="229">
        <f t="shared" si="15"/>
        <v>0.7873</v>
      </c>
    </row>
    <row r="61" spans="1:22">
      <c r="B61" s="189" t="s">
        <v>102</v>
      </c>
      <c r="C61" s="189"/>
      <c r="D61" s="189"/>
      <c r="E61" s="189"/>
      <c r="F61" s="80"/>
      <c r="G61" s="80"/>
      <c r="I61" s="80"/>
      <c r="J61" s="80"/>
      <c r="L61" s="80"/>
      <c r="M61" s="80"/>
      <c r="O61" s="80"/>
      <c r="P61" s="80"/>
      <c r="R61" s="80"/>
      <c r="S61" s="80"/>
      <c r="U61" s="229"/>
      <c r="V61" s="229"/>
    </row>
    <row r="62" spans="1:22">
      <c r="A62" s="227">
        <v>35</v>
      </c>
      <c r="B62" s="189"/>
      <c r="C62" s="189" t="s">
        <v>80</v>
      </c>
      <c r="D62" s="189"/>
      <c r="E62" s="189"/>
      <c r="F62" s="80">
        <f>ResultSumGas!G57</f>
        <v>3080</v>
      </c>
      <c r="G62" s="80">
        <f>IDGas12_07!Z61</f>
        <v>3080</v>
      </c>
      <c r="I62" s="80">
        <v>2047</v>
      </c>
      <c r="J62" s="80">
        <v>2047</v>
      </c>
      <c r="L62" s="80">
        <v>1991</v>
      </c>
      <c r="M62" s="80">
        <v>1991</v>
      </c>
      <c r="O62" s="80">
        <v>1946</v>
      </c>
      <c r="P62" s="80">
        <v>1946</v>
      </c>
      <c r="R62" s="80">
        <f t="shared" ref="R62:S65" si="16">F62-O62</f>
        <v>1134</v>
      </c>
      <c r="S62" s="80">
        <f t="shared" si="16"/>
        <v>1134</v>
      </c>
      <c r="U62" s="229">
        <f t="shared" ref="U62:V65" si="17">ROUND(R62/O62,4)</f>
        <v>0.5827</v>
      </c>
      <c r="V62" s="229">
        <f t="shared" si="17"/>
        <v>0.5827</v>
      </c>
    </row>
    <row r="63" spans="1:22">
      <c r="A63" s="227">
        <v>36</v>
      </c>
      <c r="B63" s="189"/>
      <c r="C63" s="189" t="s">
        <v>99</v>
      </c>
      <c r="D63" s="189"/>
      <c r="E63" s="189"/>
      <c r="F63" s="80">
        <f>ResultSumGas!G58</f>
        <v>39978</v>
      </c>
      <c r="G63" s="80">
        <f>IDGas12_07!Z62</f>
        <v>39978</v>
      </c>
      <c r="I63" s="80">
        <v>19658</v>
      </c>
      <c r="J63" s="80">
        <v>19658</v>
      </c>
      <c r="L63" s="80">
        <v>18707</v>
      </c>
      <c r="M63" s="80">
        <v>18707</v>
      </c>
      <c r="O63" s="80">
        <v>17640</v>
      </c>
      <c r="P63" s="80">
        <v>17640</v>
      </c>
      <c r="R63" s="80">
        <f t="shared" si="16"/>
        <v>22338</v>
      </c>
      <c r="S63" s="80">
        <f t="shared" si="16"/>
        <v>22338</v>
      </c>
      <c r="U63" s="229">
        <f t="shared" si="17"/>
        <v>1.2663</v>
      </c>
      <c r="V63" s="229">
        <f t="shared" si="17"/>
        <v>1.2663</v>
      </c>
    </row>
    <row r="64" spans="1:22">
      <c r="A64" s="227">
        <v>37</v>
      </c>
      <c r="B64" s="189"/>
      <c r="C64" s="189" t="s">
        <v>100</v>
      </c>
      <c r="D64" s="189"/>
      <c r="E64" s="189"/>
      <c r="F64" s="81">
        <f>ResultSumGas!G59</f>
        <v>3471</v>
      </c>
      <c r="G64" s="81">
        <f>IDGas12_07!Z63</f>
        <v>3471</v>
      </c>
      <c r="I64" s="81">
        <v>2316</v>
      </c>
      <c r="J64" s="81">
        <v>2316</v>
      </c>
      <c r="L64" s="81">
        <v>2205</v>
      </c>
      <c r="M64" s="81">
        <v>2205</v>
      </c>
      <c r="O64" s="81">
        <v>2024</v>
      </c>
      <c r="P64" s="81">
        <v>2024</v>
      </c>
      <c r="R64" s="81">
        <f t="shared" si="16"/>
        <v>1447</v>
      </c>
      <c r="S64" s="81">
        <f t="shared" si="16"/>
        <v>1447</v>
      </c>
      <c r="U64" s="229">
        <f t="shared" si="17"/>
        <v>0.71489999999999998</v>
      </c>
      <c r="V64" s="229">
        <f t="shared" si="17"/>
        <v>0.71489999999999998</v>
      </c>
    </row>
    <row r="65" spans="1:22">
      <c r="A65" s="227">
        <v>38</v>
      </c>
      <c r="B65" s="189"/>
      <c r="C65" s="189"/>
      <c r="D65" s="189"/>
      <c r="E65" s="189" t="s">
        <v>103</v>
      </c>
      <c r="F65" s="80">
        <f>SUM(F62:F64)</f>
        <v>46529</v>
      </c>
      <c r="G65" s="80">
        <f>SUM(G62:G64)</f>
        <v>46529</v>
      </c>
      <c r="I65" s="80">
        <v>24021</v>
      </c>
      <c r="J65" s="80">
        <v>24021</v>
      </c>
      <c r="L65" s="80">
        <v>22903</v>
      </c>
      <c r="M65" s="80">
        <v>22903</v>
      </c>
      <c r="O65" s="80">
        <v>21610</v>
      </c>
      <c r="P65" s="80">
        <v>21610</v>
      </c>
      <c r="R65" s="80">
        <f t="shared" si="16"/>
        <v>24919</v>
      </c>
      <c r="S65" s="80">
        <f t="shared" si="16"/>
        <v>24919</v>
      </c>
      <c r="U65" s="229">
        <f t="shared" si="17"/>
        <v>1.1531</v>
      </c>
      <c r="V65" s="229">
        <f t="shared" si="17"/>
        <v>1.1531</v>
      </c>
    </row>
    <row r="66" spans="1:22">
      <c r="A66" s="233">
        <v>39</v>
      </c>
      <c r="B66" s="231" t="s">
        <v>104</v>
      </c>
      <c r="C66" s="231"/>
      <c r="D66" s="231"/>
      <c r="E66" s="231"/>
      <c r="F66" s="80"/>
      <c r="G66" s="80">
        <f>IDGas12_07!Z65</f>
        <v>-14220</v>
      </c>
      <c r="I66" s="80"/>
      <c r="J66" s="80">
        <v>-4603</v>
      </c>
      <c r="L66" s="80"/>
      <c r="M66" s="80">
        <v>-4227</v>
      </c>
      <c r="O66" s="80">
        <v>0</v>
      </c>
      <c r="P66" s="80">
        <v>-3829</v>
      </c>
      <c r="R66" s="80"/>
      <c r="S66" s="80">
        <f>G66-P66</f>
        <v>-10391</v>
      </c>
      <c r="U66" s="229"/>
      <c r="V66" s="229">
        <f>ROUND(S66/P66,4)</f>
        <v>2.7138</v>
      </c>
    </row>
    <row r="67" spans="1:22">
      <c r="A67" s="227">
        <v>40</v>
      </c>
      <c r="B67" s="189" t="s">
        <v>105</v>
      </c>
      <c r="C67" s="189"/>
      <c r="D67" s="189"/>
      <c r="E67" s="189"/>
      <c r="F67" s="80"/>
      <c r="G67" s="80">
        <f>IDGas12_07!Z66</f>
        <v>0</v>
      </c>
      <c r="I67" s="80"/>
      <c r="J67" s="80">
        <v>503</v>
      </c>
      <c r="L67" s="80"/>
      <c r="M67" s="80">
        <v>493</v>
      </c>
      <c r="O67" s="80">
        <v>0</v>
      </c>
      <c r="P67" s="80">
        <v>515</v>
      </c>
      <c r="R67" s="80"/>
      <c r="S67" s="80">
        <f>G67-P67</f>
        <v>-515</v>
      </c>
      <c r="U67" s="229"/>
      <c r="V67" s="229">
        <f>ROUND(S67/P67,4)</f>
        <v>-1</v>
      </c>
    </row>
    <row r="68" spans="1:22">
      <c r="A68" s="227">
        <v>41</v>
      </c>
      <c r="B68" s="189" t="s">
        <v>106</v>
      </c>
      <c r="C68" s="189"/>
      <c r="D68" s="189"/>
      <c r="E68" s="189"/>
      <c r="F68" s="80"/>
      <c r="G68" s="80">
        <f>IDGas12_07!Z67</f>
        <v>0</v>
      </c>
      <c r="I68" s="80"/>
      <c r="J68" s="80">
        <v>-268</v>
      </c>
      <c r="L68" s="80"/>
      <c r="M68" s="80">
        <v>-274</v>
      </c>
      <c r="O68" s="80">
        <v>0</v>
      </c>
      <c r="P68" s="80">
        <v>-280</v>
      </c>
      <c r="R68" s="80"/>
      <c r="S68" s="80">
        <f>G68-P68</f>
        <v>280</v>
      </c>
      <c r="U68" s="229"/>
      <c r="V68" s="229">
        <f>ROUND(S68/P68,4)</f>
        <v>-1</v>
      </c>
    </row>
    <row r="69" spans="1:22">
      <c r="F69" s="85"/>
      <c r="G69" s="85"/>
      <c r="I69" s="85"/>
      <c r="J69" s="85"/>
      <c r="L69" s="85"/>
      <c r="M69" s="85"/>
      <c r="O69" s="85"/>
      <c r="P69" s="85"/>
      <c r="R69" s="85"/>
      <c r="S69" s="85"/>
      <c r="U69" s="229"/>
      <c r="V69" s="229"/>
    </row>
    <row r="70" spans="1:22" ht="12.75" thickBot="1">
      <c r="A70" s="227">
        <v>42</v>
      </c>
      <c r="B70" s="228" t="s">
        <v>107</v>
      </c>
      <c r="C70" s="228"/>
      <c r="D70" s="228"/>
      <c r="E70" s="228"/>
      <c r="F70" s="87">
        <f>F60-F65+F66+F67+F68</f>
        <v>90536</v>
      </c>
      <c r="G70" s="87">
        <f>G60-G65+G66+G67+G68</f>
        <v>76316</v>
      </c>
      <c r="I70" s="87">
        <v>59596</v>
      </c>
      <c r="J70" s="87">
        <v>56699</v>
      </c>
      <c r="L70" s="87">
        <v>56704</v>
      </c>
      <c r="M70" s="87">
        <v>54234</v>
      </c>
      <c r="O70" s="87">
        <v>53473</v>
      </c>
      <c r="P70" s="87">
        <v>51484</v>
      </c>
      <c r="R70" s="87">
        <f>F70-O70</f>
        <v>37063</v>
      </c>
      <c r="S70" s="87">
        <f>G70-P70</f>
        <v>24832</v>
      </c>
      <c r="U70" s="229">
        <f>ROUND(R70/O70,4)</f>
        <v>0.69310000000000005</v>
      </c>
      <c r="V70" s="229">
        <f>ROUND(S70/P70,4)</f>
        <v>0.48230000000000001</v>
      </c>
    </row>
    <row r="71" spans="1:22" ht="12.75" thickTop="1">
      <c r="A71" s="227">
        <v>43</v>
      </c>
      <c r="B71" s="202" t="s">
        <v>108</v>
      </c>
      <c r="F71" s="202"/>
      <c r="G71" s="202"/>
      <c r="I71" s="202"/>
      <c r="J71" s="202"/>
      <c r="L71" s="202"/>
      <c r="M71" s="202"/>
      <c r="O71" s="202"/>
      <c r="P71" s="202"/>
      <c r="R71" s="202"/>
      <c r="S71" s="202"/>
      <c r="U71" s="24"/>
      <c r="V71" s="24"/>
    </row>
    <row r="72" spans="1:22">
      <c r="F72" s="24">
        <f>ROUND(F53/F70,4)</f>
        <v>6.4100000000000004E-2</v>
      </c>
      <c r="G72" s="24">
        <f>ROUND(G53/G70,4)</f>
        <v>7.4200000000000002E-2</v>
      </c>
      <c r="I72" s="24">
        <v>5.9400000000000001E-2</v>
      </c>
      <c r="J72" s="24">
        <v>7.6899999999999996E-2</v>
      </c>
      <c r="L72" s="24">
        <v>7.2900000000000006E-2</v>
      </c>
      <c r="M72" s="24">
        <v>9.1300000000000006E-2</v>
      </c>
      <c r="O72" s="24">
        <f>ROUND(O53/O70,4)</f>
        <v>7.6700000000000004E-2</v>
      </c>
      <c r="P72" s="24">
        <f>ROUND(P53/P70,4)</f>
        <v>8.5900000000000004E-2</v>
      </c>
      <c r="R72" s="24"/>
      <c r="U72" s="24"/>
    </row>
  </sheetData>
  <phoneticPr fontId="0" type="noConversion"/>
  <pageMargins left="0.5" right="0.5" top="0.5" bottom="0.5" header="0.5" footer="0.5"/>
  <pageSetup scale="49" orientation="portrait" horizontalDpi="300" verticalDpi="300" r:id="rId1"/>
  <headerFooter alignWithMargins="0">
    <oddFooter xml:space="preserve">&amp;L&amp;"Courier New,Regular"&amp;8km- File: &amp;F&amp;R&amp;"Courier New,Regular"&amp;8Printed :&amp;D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2"/>
  <dimension ref="A1:AT110"/>
  <sheetViews>
    <sheetView zoomScaleNormal="100" workbookViewId="0">
      <pane ySplit="3" topLeftCell="A4" activePane="bottomLeft" state="frozenSplit"/>
      <selection activeCell="J1" sqref="J1"/>
      <selection pane="bottomLeft" activeCell="A3" sqref="A3"/>
    </sheetView>
  </sheetViews>
  <sheetFormatPr defaultColWidth="11.42578125" defaultRowHeight="11.25"/>
  <cols>
    <col min="1" max="1" width="23.28515625" style="759" customWidth="1"/>
    <col min="2" max="2" width="7.28515625" style="760" customWidth="1"/>
    <col min="3" max="3" width="2.85546875" style="759" customWidth="1"/>
    <col min="4" max="6" width="11.42578125" style="759" customWidth="1"/>
    <col min="7" max="7" width="10.7109375" style="759" customWidth="1"/>
    <col min="8" max="8" width="1.7109375" style="759" customWidth="1"/>
    <col min="9" max="9" width="21.85546875" style="759" customWidth="1"/>
    <col min="10" max="10" width="7.28515625" style="760" customWidth="1"/>
    <col min="11" max="11" width="2.85546875" style="759" customWidth="1"/>
    <col min="12" max="14" width="11.42578125" style="759" customWidth="1"/>
    <col min="15" max="15" width="10.7109375" style="759" customWidth="1"/>
    <col min="16" max="16" width="1.7109375" style="759" customWidth="1"/>
    <col min="17" max="17" width="21.140625" style="759" customWidth="1"/>
    <col min="18" max="18" width="7.28515625" style="760" customWidth="1"/>
    <col min="19" max="19" width="2.85546875" style="759" customWidth="1"/>
    <col min="20" max="22" width="11.42578125" style="759" customWidth="1"/>
    <col min="23" max="23" width="10.7109375" style="759" customWidth="1"/>
    <col min="24" max="24" width="15.7109375" style="804" customWidth="1"/>
    <col min="25" max="28" width="11.42578125" style="804" customWidth="1"/>
    <col min="29" max="29" width="8.140625" style="891" customWidth="1"/>
    <col min="30" max="30" width="15.7109375" style="804" customWidth="1"/>
    <col min="31" max="34" width="11.42578125" style="804" customWidth="1"/>
    <col min="35" max="35" width="11.42578125" style="891" customWidth="1"/>
    <col min="36" max="36" width="1.7109375" style="759" customWidth="1"/>
    <col min="37" max="37" width="11.42578125" style="759" customWidth="1"/>
    <col min="38" max="38" width="1.7109375" style="759" customWidth="1"/>
    <col min="39" max="39" width="15.7109375" style="759" customWidth="1"/>
    <col min="40" max="44" width="11.42578125" style="759" customWidth="1"/>
    <col min="45" max="45" width="1.7109375" style="759" customWidth="1"/>
    <col min="46" max="16384" width="11.42578125" style="759"/>
  </cols>
  <sheetData>
    <row r="1" spans="1:46" s="755" customFormat="1">
      <c r="A1" s="754" t="s">
        <v>197</v>
      </c>
      <c r="B1" s="754"/>
      <c r="C1" s="754"/>
      <c r="D1" s="754"/>
      <c r="E1" s="754"/>
      <c r="F1" s="754"/>
      <c r="I1" s="754" t="s">
        <v>197</v>
      </c>
      <c r="J1" s="754"/>
      <c r="K1" s="754"/>
      <c r="L1" s="754"/>
      <c r="M1" s="754"/>
      <c r="N1" s="754"/>
      <c r="Q1" s="754" t="s">
        <v>197</v>
      </c>
      <c r="R1" s="754"/>
      <c r="S1" s="754"/>
      <c r="T1" s="754"/>
      <c r="U1" s="754"/>
      <c r="V1" s="754"/>
      <c r="X1" s="820" t="s">
        <v>197</v>
      </c>
      <c r="Y1" s="820"/>
      <c r="Z1" s="820"/>
      <c r="AA1" s="820"/>
      <c r="AB1" s="820"/>
      <c r="AC1" s="889"/>
      <c r="AD1" s="802" t="s">
        <v>197</v>
      </c>
      <c r="AE1" s="802"/>
      <c r="AF1" s="802"/>
      <c r="AG1" s="802"/>
      <c r="AH1" s="802"/>
      <c r="AI1" s="890"/>
      <c r="AM1" s="756"/>
      <c r="AN1" s="756"/>
      <c r="AO1" s="756"/>
      <c r="AP1" s="756"/>
      <c r="AQ1" s="756"/>
      <c r="AR1" s="756"/>
      <c r="AS1" s="876"/>
      <c r="AT1" s="876"/>
    </row>
    <row r="2" spans="1:46" s="755" customFormat="1">
      <c r="A2" s="754" t="s">
        <v>354</v>
      </c>
      <c r="B2" s="754"/>
      <c r="C2" s="754"/>
      <c r="D2" s="754"/>
      <c r="E2" s="754"/>
      <c r="F2" s="754"/>
      <c r="I2" s="754" t="s">
        <v>370</v>
      </c>
      <c r="J2" s="754"/>
      <c r="K2" s="754"/>
      <c r="L2" s="754"/>
      <c r="M2" s="754"/>
      <c r="N2" s="754"/>
      <c r="Q2" s="754" t="s">
        <v>371</v>
      </c>
      <c r="R2" s="754"/>
      <c r="S2" s="754"/>
      <c r="T2" s="754"/>
      <c r="U2" s="754"/>
      <c r="V2" s="754"/>
      <c r="X2" s="820" t="s">
        <v>372</v>
      </c>
      <c r="Y2" s="820"/>
      <c r="Z2" s="820"/>
      <c r="AA2" s="820"/>
      <c r="AB2" s="820"/>
      <c r="AC2" s="889"/>
      <c r="AD2" s="802" t="s">
        <v>373</v>
      </c>
      <c r="AE2" s="802"/>
      <c r="AF2" s="802"/>
      <c r="AG2" s="802"/>
      <c r="AH2" s="802"/>
      <c r="AI2" s="890"/>
      <c r="AM2" s="756"/>
      <c r="AN2" s="756"/>
      <c r="AO2" s="756"/>
      <c r="AP2" s="756"/>
      <c r="AQ2" s="756"/>
      <c r="AR2" s="756"/>
      <c r="AS2" s="876"/>
      <c r="AT2" s="876"/>
    </row>
    <row r="3" spans="1:46" s="755" customFormat="1">
      <c r="A3" s="757" t="s">
        <v>207</v>
      </c>
      <c r="B3" s="754"/>
      <c r="C3" s="754"/>
      <c r="D3" s="754"/>
      <c r="E3" s="754"/>
      <c r="F3" s="754"/>
      <c r="I3" s="757" t="s">
        <v>207</v>
      </c>
      <c r="J3" s="754"/>
      <c r="K3" s="754"/>
      <c r="L3" s="754"/>
      <c r="M3" s="754"/>
      <c r="N3" s="754"/>
      <c r="Q3" s="757" t="s">
        <v>207</v>
      </c>
      <c r="R3" s="754"/>
      <c r="S3" s="754"/>
      <c r="T3" s="754"/>
      <c r="U3" s="754"/>
      <c r="V3" s="754"/>
      <c r="X3" s="821" t="s">
        <v>207</v>
      </c>
      <c r="Y3" s="820"/>
      <c r="Z3" s="820"/>
      <c r="AA3" s="820"/>
      <c r="AB3" s="820"/>
      <c r="AC3" s="889"/>
      <c r="AD3" s="803" t="s">
        <v>207</v>
      </c>
      <c r="AE3" s="802"/>
      <c r="AF3" s="802"/>
      <c r="AG3" s="802"/>
      <c r="AH3" s="802"/>
      <c r="AI3" s="890"/>
      <c r="AM3" s="758"/>
      <c r="AN3" s="756"/>
      <c r="AO3" s="756"/>
      <c r="AP3" s="756"/>
      <c r="AQ3" s="756"/>
      <c r="AR3" s="756"/>
      <c r="AS3" s="876"/>
      <c r="AT3" s="876"/>
    </row>
    <row r="4" spans="1:46">
      <c r="I4" s="877"/>
      <c r="X4" s="759"/>
      <c r="Y4" s="759"/>
      <c r="Z4" s="759"/>
      <c r="AA4" s="759"/>
      <c r="AB4" s="759"/>
      <c r="AC4" s="761"/>
      <c r="AM4" s="761"/>
      <c r="AN4" s="761"/>
      <c r="AO4" s="761"/>
      <c r="AP4" s="761"/>
      <c r="AQ4" s="761"/>
      <c r="AR4" s="761"/>
      <c r="AS4" s="761"/>
      <c r="AT4" s="761"/>
    </row>
    <row r="5" spans="1:46">
      <c r="B5" s="760" t="s">
        <v>208</v>
      </c>
      <c r="D5" s="762" t="s">
        <v>130</v>
      </c>
      <c r="E5" s="762" t="s">
        <v>131</v>
      </c>
      <c r="F5" s="762" t="s">
        <v>132</v>
      </c>
      <c r="J5" s="760" t="s">
        <v>208</v>
      </c>
      <c r="L5" s="762" t="s">
        <v>130</v>
      </c>
      <c r="M5" s="762" t="s">
        <v>131</v>
      </c>
      <c r="N5" s="762" t="s">
        <v>132</v>
      </c>
      <c r="R5" s="760" t="s">
        <v>208</v>
      </c>
      <c r="T5" s="762" t="s">
        <v>130</v>
      </c>
      <c r="U5" s="762" t="s">
        <v>131</v>
      </c>
      <c r="V5" s="762" t="s">
        <v>132</v>
      </c>
      <c r="X5" s="759"/>
      <c r="Y5" s="762" t="s">
        <v>130</v>
      </c>
      <c r="Z5" s="762" t="s">
        <v>131</v>
      </c>
      <c r="AA5" s="762" t="s">
        <v>132</v>
      </c>
      <c r="AB5" s="762" t="s">
        <v>209</v>
      </c>
      <c r="AC5" s="892"/>
      <c r="AE5" s="805" t="s">
        <v>130</v>
      </c>
      <c r="AF5" s="805" t="s">
        <v>131</v>
      </c>
      <c r="AG5" s="805" t="s">
        <v>132</v>
      </c>
      <c r="AH5" s="805" t="s">
        <v>209</v>
      </c>
      <c r="AI5" s="893"/>
      <c r="AM5" s="761"/>
      <c r="AN5" s="763"/>
      <c r="AO5" s="763"/>
      <c r="AP5" s="763"/>
      <c r="AQ5" s="763"/>
      <c r="AR5" s="763"/>
      <c r="AS5" s="761"/>
      <c r="AT5" s="761"/>
    </row>
    <row r="6" spans="1:46">
      <c r="A6" s="764" t="s">
        <v>211</v>
      </c>
      <c r="B6" s="765"/>
      <c r="C6" s="766"/>
      <c r="D6" s="767"/>
      <c r="E6" s="767"/>
      <c r="F6" s="767"/>
      <c r="I6" s="764" t="s">
        <v>211</v>
      </c>
      <c r="J6" s="765"/>
      <c r="K6" s="766"/>
      <c r="L6" s="767"/>
      <c r="M6" s="767"/>
      <c r="N6" s="767"/>
      <c r="Q6" s="764" t="s">
        <v>211</v>
      </c>
      <c r="R6" s="765"/>
      <c r="S6" s="766"/>
      <c r="T6" s="767"/>
      <c r="U6" s="767"/>
      <c r="V6" s="767"/>
      <c r="X6" s="759"/>
      <c r="Y6" s="766"/>
      <c r="Z6" s="766"/>
      <c r="AA6" s="766"/>
      <c r="AB6" s="766"/>
      <c r="AC6" s="761"/>
      <c r="AE6" s="806"/>
      <c r="AF6" s="806"/>
      <c r="AG6" s="806"/>
      <c r="AH6" s="806"/>
      <c r="AM6" s="761"/>
      <c r="AN6" s="761"/>
      <c r="AO6" s="761"/>
      <c r="AP6" s="761"/>
      <c r="AQ6" s="761"/>
      <c r="AR6" s="761"/>
      <c r="AS6" s="761"/>
      <c r="AT6" s="761"/>
    </row>
    <row r="7" spans="1:46">
      <c r="X7" s="759"/>
      <c r="Y7" s="759"/>
      <c r="Z7" s="759"/>
      <c r="AA7" s="759"/>
      <c r="AB7" s="759"/>
      <c r="AC7" s="761"/>
      <c r="AK7" s="768" t="s">
        <v>212</v>
      </c>
      <c r="AL7" s="766"/>
      <c r="AM7" s="766"/>
      <c r="AN7" s="769"/>
      <c r="AO7" s="761"/>
      <c r="AP7" s="761"/>
      <c r="AQ7" s="761"/>
      <c r="AR7" s="761"/>
      <c r="AS7" s="761"/>
      <c r="AT7" s="761"/>
    </row>
    <row r="8" spans="1:46">
      <c r="A8" s="759" t="s">
        <v>213</v>
      </c>
      <c r="B8" s="760">
        <v>1</v>
      </c>
      <c r="D8" s="770">
        <v>725</v>
      </c>
      <c r="E8" s="771">
        <f>D8*VLOOKUP(B8,B28:F31,4)</f>
        <v>473.93249999999995</v>
      </c>
      <c r="F8" s="771">
        <f>D8*VLOOKUP(B8,B28:F31,5)</f>
        <v>251.0675</v>
      </c>
      <c r="G8" s="771"/>
      <c r="I8" s="759" t="s">
        <v>213</v>
      </c>
      <c r="J8" s="760">
        <v>1</v>
      </c>
      <c r="L8" s="770">
        <v>0</v>
      </c>
      <c r="M8" s="771">
        <f>L8*VLOOKUP(J8,J28:N31,4)</f>
        <v>0</v>
      </c>
      <c r="N8" s="771">
        <f>L8*VLOOKUP(J8,J28:N31,5)</f>
        <v>0</v>
      </c>
      <c r="O8" s="771"/>
      <c r="Q8" s="759" t="s">
        <v>213</v>
      </c>
      <c r="R8" s="760">
        <v>1</v>
      </c>
      <c r="T8" s="770">
        <v>-387.64</v>
      </c>
      <c r="U8" s="771">
        <f>T8*VLOOKUP(R8,R28:V31,4)</f>
        <v>-255.18341199999998</v>
      </c>
      <c r="V8" s="771">
        <f>T8*VLOOKUP(R8,R28:V31,5)</f>
        <v>-132.45658800000001</v>
      </c>
      <c r="W8" s="771"/>
      <c r="X8" s="759" t="s">
        <v>214</v>
      </c>
      <c r="Y8" s="771">
        <f>Z8+AA8</f>
        <v>63273656.728496328</v>
      </c>
      <c r="Z8" s="771">
        <f>((U25+E25)/2+M25)/2</f>
        <v>38434272.276927195</v>
      </c>
      <c r="AA8" s="771">
        <f>((V25+F25)/2+N25)/2</f>
        <v>24839384.451569133</v>
      </c>
      <c r="AB8" s="771"/>
      <c r="AC8" s="773"/>
      <c r="AD8" s="804" t="s">
        <v>214</v>
      </c>
      <c r="AE8" s="807">
        <f>AF8+AG8</f>
        <v>80981641.088901803</v>
      </c>
      <c r="AF8" s="807">
        <f>U25</f>
        <v>49918956.372527495</v>
      </c>
      <c r="AG8" s="807">
        <f>V25</f>
        <v>31062684.716374304</v>
      </c>
      <c r="AH8" s="807"/>
      <c r="AI8" s="894"/>
      <c r="AK8" s="772" t="s">
        <v>215</v>
      </c>
      <c r="AL8" s="773"/>
      <c r="AM8" s="761"/>
      <c r="AN8" s="774"/>
      <c r="AO8" s="773"/>
      <c r="AP8" s="773"/>
      <c r="AQ8" s="773"/>
      <c r="AR8" s="773"/>
      <c r="AS8" s="761"/>
      <c r="AT8" s="773"/>
    </row>
    <row r="9" spans="1:46">
      <c r="A9" s="759" t="s">
        <v>355</v>
      </c>
      <c r="B9" s="760">
        <v>1</v>
      </c>
      <c r="D9" s="770">
        <v>31534698</v>
      </c>
      <c r="E9" s="771">
        <f>D9*VLOOKUP(B9,B28:F31,4)</f>
        <v>20614232.082599998</v>
      </c>
      <c r="F9" s="771">
        <f>D9*VLOOKUP(B9,B28:F31,5)</f>
        <v>10920465.917400001</v>
      </c>
      <c r="G9" s="771"/>
      <c r="I9" s="759" t="s">
        <v>355</v>
      </c>
      <c r="J9" s="760">
        <v>1</v>
      </c>
      <c r="L9" s="770">
        <v>47301934.590000004</v>
      </c>
      <c r="M9" s="771">
        <f>L9*VLOOKUP(J9,J28:N31,4)</f>
        <v>30921274.641483001</v>
      </c>
      <c r="N9" s="771">
        <f>L9*VLOOKUP(J9,J28:N31,5)</f>
        <v>16380659.948517</v>
      </c>
      <c r="O9" s="771"/>
      <c r="Q9" s="759" t="s">
        <v>355</v>
      </c>
      <c r="R9" s="760">
        <v>1</v>
      </c>
      <c r="T9" s="770">
        <v>65434092.939999998</v>
      </c>
      <c r="U9" s="771">
        <f>T9*VLOOKUP(R9,R28:V31,4)</f>
        <v>43075263.382401995</v>
      </c>
      <c r="V9" s="771">
        <f>T9*VLOOKUP(R9,R28:V31,5)</f>
        <v>22358829.557597999</v>
      </c>
      <c r="W9" s="771"/>
      <c r="X9" s="759"/>
      <c r="Y9" s="759"/>
      <c r="Z9" s="759"/>
      <c r="AA9" s="759"/>
      <c r="AB9" s="759"/>
      <c r="AC9" s="761"/>
      <c r="AK9" s="775" t="s">
        <v>216</v>
      </c>
      <c r="AL9" s="776"/>
      <c r="AM9" s="776"/>
      <c r="AN9" s="777"/>
      <c r="AO9" s="761"/>
      <c r="AP9" s="761"/>
      <c r="AQ9" s="761"/>
      <c r="AR9" s="761"/>
      <c r="AS9" s="761"/>
      <c r="AT9" s="761"/>
    </row>
    <row r="10" spans="1:46">
      <c r="D10" s="770"/>
      <c r="E10" s="771"/>
      <c r="F10" s="771"/>
      <c r="G10" s="771"/>
      <c r="L10" s="770"/>
      <c r="M10" s="771"/>
      <c r="N10" s="771"/>
      <c r="O10" s="771"/>
      <c r="T10" s="770"/>
      <c r="U10" s="771"/>
      <c r="V10" s="771"/>
      <c r="W10" s="771"/>
      <c r="X10" s="759" t="s">
        <v>218</v>
      </c>
      <c r="Y10" s="771">
        <f>Z10+AA10</f>
        <v>4070675.847244422</v>
      </c>
      <c r="Z10" s="771">
        <f>((U54+E54)/2+M54)/2</f>
        <v>2228476.6011848957</v>
      </c>
      <c r="AA10" s="771">
        <f>((V54+F54)/2+N54)/2</f>
        <v>1842199.2460595262</v>
      </c>
      <c r="AB10" s="771"/>
      <c r="AC10" s="773"/>
      <c r="AD10" s="804" t="s">
        <v>218</v>
      </c>
      <c r="AE10" s="807">
        <f>AF10+AG10</f>
        <v>3165196.5308068967</v>
      </c>
      <c r="AF10" s="807">
        <f>U54</f>
        <v>1441049.267148186</v>
      </c>
      <c r="AG10" s="807">
        <f>V54</f>
        <v>1724147.2636587108</v>
      </c>
      <c r="AH10" s="807"/>
      <c r="AI10" s="894"/>
      <c r="AK10" s="771"/>
      <c r="AL10" s="771"/>
      <c r="AM10" s="778"/>
      <c r="AN10" s="773"/>
      <c r="AO10" s="773"/>
      <c r="AP10" s="773"/>
      <c r="AQ10" s="773"/>
      <c r="AR10" s="773"/>
      <c r="AS10" s="761"/>
      <c r="AT10" s="773"/>
    </row>
    <row r="11" spans="1:46">
      <c r="D11" s="771"/>
      <c r="E11" s="771"/>
      <c r="F11" s="771"/>
      <c r="L11" s="771"/>
      <c r="M11" s="771"/>
      <c r="N11" s="771"/>
      <c r="T11" s="771"/>
      <c r="U11" s="771"/>
      <c r="V11" s="771"/>
      <c r="X11" s="759"/>
      <c r="Y11" s="759"/>
      <c r="Z11" s="759"/>
      <c r="AA11" s="759"/>
      <c r="AB11" s="759"/>
      <c r="AC11" s="761"/>
      <c r="AM11" s="761"/>
      <c r="AN11" s="761"/>
      <c r="AO11" s="761"/>
      <c r="AP11" s="761"/>
      <c r="AQ11" s="761"/>
      <c r="AR11" s="761"/>
      <c r="AS11" s="761"/>
      <c r="AT11" s="761"/>
    </row>
    <row r="12" spans="1:46">
      <c r="A12" s="759" t="s">
        <v>219</v>
      </c>
      <c r="B12" s="760">
        <v>99</v>
      </c>
      <c r="D12" s="771">
        <f>E12+F12</f>
        <v>10466843.300000001</v>
      </c>
      <c r="E12" s="770">
        <v>4698232</v>
      </c>
      <c r="F12" s="770">
        <v>5768611.2999999998</v>
      </c>
      <c r="G12" s="771"/>
      <c r="I12" s="759" t="s">
        <v>219</v>
      </c>
      <c r="J12" s="760">
        <v>99</v>
      </c>
      <c r="L12" s="771">
        <f>M12+N12</f>
        <v>10451650.1</v>
      </c>
      <c r="M12" s="770">
        <v>3531059.51</v>
      </c>
      <c r="N12" s="770">
        <v>6920590.5899999999</v>
      </c>
      <c r="O12" s="771"/>
      <c r="Q12" s="759" t="s">
        <v>219</v>
      </c>
      <c r="R12" s="760">
        <v>99</v>
      </c>
      <c r="T12" s="771">
        <f>U12+V12</f>
        <v>11569057.92</v>
      </c>
      <c r="U12" s="770">
        <v>4239178.5999999996</v>
      </c>
      <c r="V12" s="770">
        <v>7329879.3200000003</v>
      </c>
      <c r="W12" s="771"/>
      <c r="X12" s="759" t="s">
        <v>220</v>
      </c>
      <c r="Y12" s="771">
        <f>AB12+AC12</f>
        <v>4526181.5242592506</v>
      </c>
      <c r="Z12" s="759"/>
      <c r="AA12" s="759"/>
      <c r="AB12" s="771">
        <f>((U81+E81)/2+M81)/2</f>
        <v>4526181.5242592506</v>
      </c>
      <c r="AC12" s="773"/>
      <c r="AD12" s="804" t="s">
        <v>220</v>
      </c>
      <c r="AE12" s="807">
        <f>AH12+AI12</f>
        <v>5030961.6502913004</v>
      </c>
      <c r="AH12" s="807">
        <f>U81</f>
        <v>5030961.6502913004</v>
      </c>
      <c r="AI12" s="894"/>
      <c r="AK12" s="771"/>
      <c r="AL12" s="771"/>
      <c r="AM12" s="761"/>
      <c r="AN12" s="773"/>
      <c r="AO12" s="761"/>
      <c r="AP12" s="761"/>
      <c r="AQ12" s="773"/>
      <c r="AR12" s="773"/>
      <c r="AS12" s="761"/>
      <c r="AT12" s="773"/>
    </row>
    <row r="13" spans="1:46">
      <c r="A13" s="759" t="s">
        <v>221</v>
      </c>
      <c r="B13" s="760">
        <v>10</v>
      </c>
      <c r="D13" s="770">
        <v>0</v>
      </c>
      <c r="E13" s="771">
        <f>D13*VLOOKUP(B13,B28:F31,4)</f>
        <v>0</v>
      </c>
      <c r="F13" s="771">
        <f>D13*VLOOKUP(B13,B28:F31,5)</f>
        <v>0</v>
      </c>
      <c r="G13" s="771"/>
      <c r="I13" s="759" t="s">
        <v>221</v>
      </c>
      <c r="J13" s="760">
        <v>10</v>
      </c>
      <c r="L13" s="770">
        <v>0</v>
      </c>
      <c r="M13" s="771">
        <f>L13*VLOOKUP(J13,J28:N31,4)</f>
        <v>0</v>
      </c>
      <c r="N13" s="771">
        <f>L13*VLOOKUP(J13,J28:N31,5)</f>
        <v>0</v>
      </c>
      <c r="O13" s="771"/>
      <c r="Q13" s="759" t="s">
        <v>221</v>
      </c>
      <c r="R13" s="760">
        <v>10</v>
      </c>
      <c r="T13" s="770">
        <v>0</v>
      </c>
      <c r="U13" s="771">
        <f>T13*VLOOKUP(R13,R28:V31,4)</f>
        <v>0</v>
      </c>
      <c r="V13" s="771">
        <f>T13*VLOOKUP(R13,R28:V31,5)</f>
        <v>0</v>
      </c>
      <c r="W13" s="771"/>
      <c r="X13" s="759"/>
      <c r="Y13" s="766"/>
      <c r="Z13" s="759"/>
      <c r="AA13" s="759"/>
      <c r="AB13" s="759"/>
      <c r="AC13" s="761"/>
      <c r="AE13" s="806"/>
      <c r="AM13" s="761"/>
      <c r="AN13" s="761"/>
      <c r="AO13" s="761"/>
      <c r="AP13" s="761"/>
      <c r="AQ13" s="761"/>
      <c r="AR13" s="761"/>
      <c r="AS13" s="761"/>
      <c r="AT13" s="761"/>
    </row>
    <row r="14" spans="1:46" ht="12" thickBot="1">
      <c r="D14" s="771"/>
      <c r="E14" s="771"/>
      <c r="F14" s="771"/>
      <c r="L14" s="771"/>
      <c r="M14" s="771"/>
      <c r="N14" s="771"/>
      <c r="T14" s="771"/>
      <c r="U14" s="771"/>
      <c r="V14" s="771"/>
      <c r="X14" s="759"/>
      <c r="Y14" s="771">
        <f>SUM(Y8:Y12)</f>
        <v>71870514.100000009</v>
      </c>
      <c r="Z14" s="759"/>
      <c r="AA14" s="759"/>
      <c r="AB14" s="759"/>
      <c r="AC14" s="761"/>
      <c r="AE14" s="807">
        <f>SUM(AE8:AE12)</f>
        <v>89177799.269999996</v>
      </c>
      <c r="AK14" s="759">
        <f>((D105+T105)/2+L105)/2</f>
        <v>71870514.099999994</v>
      </c>
      <c r="AM14" s="759" t="s">
        <v>222</v>
      </c>
    </row>
    <row r="15" spans="1:46" ht="12" thickTop="1">
      <c r="A15" s="759" t="s">
        <v>223</v>
      </c>
      <c r="B15" s="760">
        <v>99</v>
      </c>
      <c r="D15" s="771">
        <f>E15+F15</f>
        <v>189786.00433565764</v>
      </c>
      <c r="E15" s="771">
        <f>D101*E33</f>
        <v>144718.76588901677</v>
      </c>
      <c r="F15" s="771">
        <f>D102*F33</f>
        <v>45067.238446640862</v>
      </c>
      <c r="G15" s="771"/>
      <c r="I15" s="759" t="s">
        <v>223</v>
      </c>
      <c r="J15" s="760">
        <v>99</v>
      </c>
      <c r="L15" s="771">
        <f>M15+N15</f>
        <v>125479.06493947579</v>
      </c>
      <c r="M15" s="771">
        <f>L101*M33</f>
        <v>101752.21543043896</v>
      </c>
      <c r="N15" s="771">
        <f>L102*N33</f>
        <v>23726.849509036838</v>
      </c>
      <c r="O15" s="771"/>
      <c r="Q15" s="759" t="s">
        <v>223</v>
      </c>
      <c r="R15" s="760">
        <v>99</v>
      </c>
      <c r="T15" s="771">
        <f>U15+V15</f>
        <v>174580.2943165031</v>
      </c>
      <c r="U15" s="771">
        <f>T101*U33</f>
        <v>41827.309941112377</v>
      </c>
      <c r="V15" s="771">
        <f>T102*V33</f>
        <v>132752.98437539072</v>
      </c>
      <c r="W15" s="771"/>
      <c r="X15" s="759"/>
      <c r="Y15" s="822"/>
      <c r="Z15" s="759"/>
      <c r="AA15" s="759"/>
      <c r="AB15" s="759"/>
      <c r="AC15" s="761"/>
      <c r="AE15" s="808"/>
      <c r="AK15" s="759" t="s">
        <v>224</v>
      </c>
    </row>
    <row r="16" spans="1:46">
      <c r="A16" s="759" t="s">
        <v>225</v>
      </c>
      <c r="B16" s="760">
        <v>4</v>
      </c>
      <c r="D16" s="770">
        <v>0</v>
      </c>
      <c r="E16" s="771">
        <f>D16*VLOOKUP(B16,B28:F31,4)</f>
        <v>0</v>
      </c>
      <c r="F16" s="771">
        <f>D16*VLOOKUP(B16,B28:F31,5)</f>
        <v>0</v>
      </c>
      <c r="G16" s="771"/>
      <c r="I16" s="759" t="s">
        <v>225</v>
      </c>
      <c r="J16" s="760">
        <v>4</v>
      </c>
      <c r="L16" s="770">
        <v>0</v>
      </c>
      <c r="M16" s="771">
        <f>L16*VLOOKUP(J16,J28:N31,4)</f>
        <v>0</v>
      </c>
      <c r="N16" s="771">
        <f>L16*VLOOKUP(J16,J28:N31,5)</f>
        <v>0</v>
      </c>
      <c r="O16" s="771"/>
      <c r="Q16" s="759" t="s">
        <v>225</v>
      </c>
      <c r="R16" s="760">
        <v>4</v>
      </c>
      <c r="T16" s="770">
        <v>0</v>
      </c>
      <c r="U16" s="771">
        <f>T16*VLOOKUP(R16,R28:V31,4)</f>
        <v>0</v>
      </c>
      <c r="V16" s="771">
        <f>T16*VLOOKUP(R16,R28:V31,5)</f>
        <v>0</v>
      </c>
      <c r="W16" s="771"/>
      <c r="AK16" s="759" t="s">
        <v>343</v>
      </c>
    </row>
    <row r="17" spans="1:37">
      <c r="D17" s="771"/>
      <c r="E17" s="771"/>
      <c r="F17" s="771"/>
      <c r="L17" s="771"/>
      <c r="M17" s="771"/>
      <c r="N17" s="771"/>
      <c r="T17" s="771"/>
      <c r="U17" s="771"/>
      <c r="V17" s="771"/>
      <c r="AK17" s="759" t="s">
        <v>344</v>
      </c>
    </row>
    <row r="18" spans="1:37">
      <c r="A18" s="759" t="s">
        <v>226</v>
      </c>
      <c r="B18" s="760">
        <v>4</v>
      </c>
      <c r="D18" s="771">
        <f>E94</f>
        <v>3691977.6972772996</v>
      </c>
      <c r="E18" s="771">
        <f>D18*VLOOKUP(B18,B28:F31,4)</f>
        <v>2407538.6563945273</v>
      </c>
      <c r="F18" s="771">
        <f>D18*VLOOKUP(B18,B28:F31,5)</f>
        <v>1284439.0408827725</v>
      </c>
      <c r="I18" s="759" t="s">
        <v>226</v>
      </c>
      <c r="J18" s="760">
        <v>4</v>
      </c>
      <c r="L18" s="771">
        <f>M94</f>
        <v>5397894.6267957995</v>
      </c>
      <c r="M18" s="771">
        <f>L18*VLOOKUP(J18,J28:N31,4)</f>
        <v>3519967.0861335411</v>
      </c>
      <c r="N18" s="771">
        <f>L18*VLOOKUP(J18,J28:N31,5)</f>
        <v>1877927.5406622586</v>
      </c>
      <c r="Q18" s="759" t="s">
        <v>226</v>
      </c>
      <c r="R18" s="760">
        <v>4</v>
      </c>
      <c r="T18" s="771">
        <f>U94</f>
        <v>4770143.8745853007</v>
      </c>
      <c r="U18" s="771">
        <f>T18*VLOOKUP(R18,R28:V31,4)</f>
        <v>3158312.2593629276</v>
      </c>
      <c r="V18" s="771">
        <f>T18*VLOOKUP(R18,R28:V31,5)</f>
        <v>1611831.615222373</v>
      </c>
      <c r="Y18" s="804">
        <f>((T105+D105)/2+L105)/2</f>
        <v>71870514.099999994</v>
      </c>
      <c r="AK18" s="759" t="s">
        <v>227</v>
      </c>
    </row>
    <row r="19" spans="1:37">
      <c r="D19" s="771"/>
      <c r="E19" s="771"/>
      <c r="F19" s="771"/>
      <c r="L19" s="771"/>
      <c r="M19" s="771"/>
      <c r="N19" s="771"/>
      <c r="T19" s="771"/>
      <c r="U19" s="771"/>
      <c r="V19" s="771"/>
    </row>
    <row r="20" spans="1:37">
      <c r="A20" s="759" t="s">
        <v>228</v>
      </c>
      <c r="D20" s="779">
        <f>SUM(D8:D18)</f>
        <v>45884030.001612954</v>
      </c>
      <c r="E20" s="779">
        <f>SUM(E8:E18)</f>
        <v>27865195.43738354</v>
      </c>
      <c r="F20" s="779">
        <f>SUM(F8:F18)</f>
        <v>18018834.564229418</v>
      </c>
      <c r="G20" s="771"/>
      <c r="I20" s="759" t="s">
        <v>228</v>
      </c>
      <c r="L20" s="779">
        <f>SUM(L8:L18)</f>
        <v>63276958.38173528</v>
      </c>
      <c r="M20" s="779">
        <f>SUM(M8:M18)</f>
        <v>38074053.453046978</v>
      </c>
      <c r="N20" s="779">
        <f>SUM(N8:N18)</f>
        <v>25202904.928688295</v>
      </c>
      <c r="O20" s="771"/>
      <c r="Q20" s="759" t="s">
        <v>228</v>
      </c>
      <c r="T20" s="779">
        <f>SUM(T8:T18)</f>
        <v>81947487.3889018</v>
      </c>
      <c r="U20" s="779">
        <f>SUM(U8:U18)</f>
        <v>50514326.368294038</v>
      </c>
      <c r="V20" s="779">
        <f>SUM(V8:V18)</f>
        <v>31433161.020607762</v>
      </c>
      <c r="W20" s="771"/>
    </row>
    <row r="21" spans="1:37">
      <c r="A21" s="759" t="s">
        <v>229</v>
      </c>
      <c r="D21" s="780">
        <f>D20/D20</f>
        <v>1</v>
      </c>
      <c r="E21" s="780">
        <f>E20/D20</f>
        <v>0.60729616462207003</v>
      </c>
      <c r="F21" s="780">
        <f>F20/D20</f>
        <v>0.39270383537793008</v>
      </c>
      <c r="I21" s="759" t="s">
        <v>229</v>
      </c>
      <c r="L21" s="780">
        <f>L20/L20</f>
        <v>1</v>
      </c>
      <c r="M21" s="780">
        <f>M20/L20</f>
        <v>0.6017048610863216</v>
      </c>
      <c r="N21" s="780">
        <f>N20/L20</f>
        <v>0.39829513891367835</v>
      </c>
      <c r="Q21" s="759" t="s">
        <v>229</v>
      </c>
      <c r="T21" s="780">
        <f>T20/T20</f>
        <v>1</v>
      </c>
      <c r="U21" s="780">
        <f>U20/T20</f>
        <v>0.61642312629508667</v>
      </c>
      <c r="V21" s="780">
        <f>V20/T20</f>
        <v>0.38357687370491333</v>
      </c>
    </row>
    <row r="22" spans="1:37">
      <c r="D22" s="780"/>
      <c r="L22" s="780"/>
      <c r="T22" s="780"/>
    </row>
    <row r="23" spans="1:37">
      <c r="A23" s="759" t="s">
        <v>230</v>
      </c>
      <c r="D23" s="770">
        <f>-184032+32024+972614-756047</f>
        <v>64559</v>
      </c>
      <c r="E23" s="771">
        <f>D23*E21</f>
        <v>39206.433091836217</v>
      </c>
      <c r="F23" s="771">
        <f>D23*F21</f>
        <v>25352.566908163786</v>
      </c>
      <c r="G23" s="771"/>
      <c r="I23" s="759" t="s">
        <v>230</v>
      </c>
      <c r="L23" s="770">
        <f>-69041.68+67384.58+509735.07-702837.94</f>
        <v>-194759.96999999991</v>
      </c>
      <c r="M23" s="771">
        <f>L23*M21</f>
        <v>-117188.02069402611</v>
      </c>
      <c r="N23" s="771">
        <f>L23*N21</f>
        <v>-77571.949305973787</v>
      </c>
      <c r="O23" s="771"/>
      <c r="Q23" s="759" t="s">
        <v>230</v>
      </c>
      <c r="T23" s="770">
        <f>-44179.44-167349.32-662077.67-92239.87</f>
        <v>-965846.3</v>
      </c>
      <c r="U23" s="771">
        <f>T23*U21</f>
        <v>-595369.99576654215</v>
      </c>
      <c r="V23" s="771">
        <f>T23*V21</f>
        <v>-370476.30423345783</v>
      </c>
      <c r="W23" s="771"/>
    </row>
    <row r="25" spans="1:37">
      <c r="A25" s="759" t="s">
        <v>214</v>
      </c>
      <c r="D25" s="781">
        <f>D20+D23</f>
        <v>45948589.001612954</v>
      </c>
      <c r="E25" s="781">
        <f>E20+E23</f>
        <v>27904401.870475378</v>
      </c>
      <c r="F25" s="781">
        <f>F20+F23</f>
        <v>18044187.13113758</v>
      </c>
      <c r="G25" s="771"/>
      <c r="I25" s="759" t="s">
        <v>214</v>
      </c>
      <c r="L25" s="781">
        <f>L20+L23</f>
        <v>63082198.411735281</v>
      </c>
      <c r="M25" s="781">
        <f>M20+M23</f>
        <v>37956865.432352953</v>
      </c>
      <c r="N25" s="781">
        <f>N20+N23</f>
        <v>25125332.979382321</v>
      </c>
      <c r="O25" s="771"/>
      <c r="Q25" s="759" t="s">
        <v>214</v>
      </c>
      <c r="T25" s="781">
        <f>T20+T23</f>
        <v>80981641.088901803</v>
      </c>
      <c r="U25" s="781">
        <f>U20+U23</f>
        <v>49918956.372527495</v>
      </c>
      <c r="V25" s="781">
        <f>V20+V23</f>
        <v>31062684.716374304</v>
      </c>
      <c r="W25" s="771"/>
    </row>
    <row r="26" spans="1:37">
      <c r="D26" s="771"/>
      <c r="L26" s="771"/>
      <c r="T26" s="771"/>
    </row>
    <row r="27" spans="1:37">
      <c r="A27" s="782" t="s">
        <v>231</v>
      </c>
      <c r="I27" s="782" t="s">
        <v>231</v>
      </c>
      <c r="Q27" s="782" t="s">
        <v>231</v>
      </c>
    </row>
    <row r="28" spans="1:37">
      <c r="A28" s="759" t="s">
        <v>232</v>
      </c>
      <c r="B28" s="760">
        <v>1</v>
      </c>
      <c r="D28" s="780">
        <f>E28+F28</f>
        <v>1</v>
      </c>
      <c r="E28" s="783">
        <v>0.65369999999999995</v>
      </c>
      <c r="F28" s="783">
        <v>0.3463</v>
      </c>
      <c r="I28" s="759" t="s">
        <v>232</v>
      </c>
      <c r="J28" s="760">
        <v>1</v>
      </c>
      <c r="L28" s="780">
        <f>M28+N28</f>
        <v>1</v>
      </c>
      <c r="M28" s="783">
        <v>0.65369999999999995</v>
      </c>
      <c r="N28" s="783">
        <v>0.3463</v>
      </c>
      <c r="Q28" s="759" t="s">
        <v>232</v>
      </c>
      <c r="R28" s="760">
        <v>1</v>
      </c>
      <c r="T28" s="780">
        <f>U28+V28</f>
        <v>1</v>
      </c>
      <c r="U28" s="783">
        <v>0.6583</v>
      </c>
      <c r="V28" s="783">
        <v>0.3417</v>
      </c>
    </row>
    <row r="29" spans="1:37">
      <c r="A29" s="759" t="s">
        <v>233</v>
      </c>
      <c r="B29" s="760">
        <v>4</v>
      </c>
      <c r="D29" s="780">
        <f>E29+F29</f>
        <v>1</v>
      </c>
      <c r="E29" s="783">
        <v>0.65210000000000001</v>
      </c>
      <c r="F29" s="783">
        <v>0.34789999999999999</v>
      </c>
      <c r="I29" s="759" t="s">
        <v>233</v>
      </c>
      <c r="J29" s="760">
        <v>4</v>
      </c>
      <c r="L29" s="780">
        <f>M29+N29</f>
        <v>1</v>
      </c>
      <c r="M29" s="783">
        <v>0.65210000000000001</v>
      </c>
      <c r="N29" s="783">
        <v>0.34789999999999999</v>
      </c>
      <c r="Q29" s="759" t="s">
        <v>233</v>
      </c>
      <c r="R29" s="760">
        <v>4</v>
      </c>
      <c r="T29" s="780">
        <f>U29+V29</f>
        <v>1</v>
      </c>
      <c r="U29" s="783">
        <v>0.66210000000000002</v>
      </c>
      <c r="V29" s="783">
        <v>0.33789999999999998</v>
      </c>
    </row>
    <row r="30" spans="1:37">
      <c r="A30" s="759" t="s">
        <v>234</v>
      </c>
      <c r="B30" s="760">
        <v>10</v>
      </c>
      <c r="D30" s="780">
        <f>E30+F30</f>
        <v>1</v>
      </c>
      <c r="E30" s="783">
        <v>0.62219999999999998</v>
      </c>
      <c r="F30" s="783">
        <v>0.37780000000000002</v>
      </c>
      <c r="I30" s="759" t="s">
        <v>234</v>
      </c>
      <c r="J30" s="760">
        <v>10</v>
      </c>
      <c r="L30" s="780">
        <f>M30+N30</f>
        <v>1</v>
      </c>
      <c r="M30" s="783">
        <v>0.62190000000000001</v>
      </c>
      <c r="N30" s="783">
        <v>0.37809999999999999</v>
      </c>
      <c r="Q30" s="759" t="s">
        <v>234</v>
      </c>
      <c r="R30" s="760">
        <v>10</v>
      </c>
      <c r="T30" s="780">
        <f>U30+V30</f>
        <v>1</v>
      </c>
      <c r="U30" s="783">
        <v>0.62175000000000002</v>
      </c>
      <c r="V30" s="783">
        <v>0.37824999999999998</v>
      </c>
    </row>
    <row r="31" spans="1:37">
      <c r="A31" s="759" t="s">
        <v>235</v>
      </c>
      <c r="B31" s="760">
        <v>99</v>
      </c>
      <c r="D31" s="780">
        <f>E31+F31</f>
        <v>0</v>
      </c>
      <c r="E31" s="783">
        <v>0</v>
      </c>
      <c r="F31" s="783">
        <v>0</v>
      </c>
      <c r="I31" s="759" t="s">
        <v>235</v>
      </c>
      <c r="J31" s="760">
        <v>99</v>
      </c>
      <c r="L31" s="780">
        <f>M31+N31</f>
        <v>0</v>
      </c>
      <c r="M31" s="783">
        <v>0</v>
      </c>
      <c r="N31" s="783">
        <v>0</v>
      </c>
      <c r="Q31" s="759" t="s">
        <v>235</v>
      </c>
      <c r="R31" s="760">
        <v>99</v>
      </c>
      <c r="T31" s="780">
        <f>U31+V31</f>
        <v>0</v>
      </c>
      <c r="U31" s="783">
        <f>M31</f>
        <v>0</v>
      </c>
      <c r="V31" s="783">
        <f>N31</f>
        <v>0</v>
      </c>
    </row>
    <row r="32" spans="1:37">
      <c r="E32" s="878">
        <f>E99*E29</f>
        <v>0.51723267800000006</v>
      </c>
      <c r="F32" s="878">
        <f>E99*F29</f>
        <v>0.27594732199999999</v>
      </c>
      <c r="M32" s="878">
        <f>M99*M29</f>
        <v>0.52297115800000005</v>
      </c>
      <c r="N32" s="878">
        <f>M99*N29</f>
        <v>0.27900884199999998</v>
      </c>
      <c r="U32" s="878">
        <f>U99*U29</f>
        <v>0.53099095800000007</v>
      </c>
      <c r="V32" s="878">
        <f>U99*V29</f>
        <v>0.27098904200000001</v>
      </c>
    </row>
    <row r="33" spans="1:35">
      <c r="E33" s="879">
        <f>E32/(E32+E61)</f>
        <v>0.78435379627340296</v>
      </c>
      <c r="F33" s="879">
        <f>F32/(F32+F61)</f>
        <v>0.8102703784005908</v>
      </c>
      <c r="I33" s="759" t="s">
        <v>356</v>
      </c>
      <c r="M33" s="879">
        <f>M32/(M32+M61)</f>
        <v>0.79343153915223708</v>
      </c>
      <c r="N33" s="879">
        <f>N32/(N32+N61)</f>
        <v>0.81850958725276601</v>
      </c>
      <c r="U33" s="879">
        <f>U32/(U32+U61)</f>
        <v>0.79521369469838732</v>
      </c>
      <c r="V33" s="879">
        <f>V32/(V32+V61)</f>
        <v>0.8155777962347921</v>
      </c>
    </row>
    <row r="34" spans="1:35" s="762" customFormat="1">
      <c r="B34" s="762" t="s">
        <v>208</v>
      </c>
      <c r="D34" s="762" t="s">
        <v>130</v>
      </c>
      <c r="E34" s="762" t="s">
        <v>131</v>
      </c>
      <c r="F34" s="762" t="s">
        <v>132</v>
      </c>
      <c r="J34" s="762" t="s">
        <v>208</v>
      </c>
      <c r="L34" s="762" t="s">
        <v>130</v>
      </c>
      <c r="M34" s="762" t="s">
        <v>131</v>
      </c>
      <c r="N34" s="762" t="s">
        <v>132</v>
      </c>
      <c r="R34" s="762" t="s">
        <v>208</v>
      </c>
      <c r="T34" s="762" t="s">
        <v>130</v>
      </c>
      <c r="U34" s="762" t="s">
        <v>131</v>
      </c>
      <c r="V34" s="762" t="s">
        <v>132</v>
      </c>
      <c r="X34" s="805"/>
      <c r="Y34" s="805"/>
      <c r="Z34" s="805"/>
      <c r="AA34" s="805"/>
      <c r="AB34" s="805"/>
      <c r="AC34" s="893"/>
      <c r="AD34" s="805"/>
      <c r="AE34" s="805"/>
      <c r="AF34" s="805"/>
      <c r="AG34" s="805"/>
      <c r="AH34" s="805"/>
      <c r="AI34" s="893"/>
    </row>
    <row r="35" spans="1:35">
      <c r="A35" s="764" t="s">
        <v>129</v>
      </c>
      <c r="B35" s="765"/>
      <c r="C35" s="766"/>
      <c r="D35" s="766"/>
      <c r="E35" s="766"/>
      <c r="F35" s="766"/>
      <c r="I35" s="764" t="s">
        <v>129</v>
      </c>
      <c r="J35" s="765"/>
      <c r="K35" s="766"/>
      <c r="L35" s="766"/>
      <c r="M35" s="766"/>
      <c r="N35" s="766"/>
      <c r="Q35" s="764" t="s">
        <v>129</v>
      </c>
      <c r="R35" s="765"/>
      <c r="S35" s="766"/>
      <c r="T35" s="766"/>
      <c r="U35" s="766"/>
      <c r="V35" s="766"/>
    </row>
    <row r="36" spans="1:35">
      <c r="B36" s="763"/>
      <c r="C36" s="761"/>
      <c r="D36" s="761"/>
      <c r="E36" s="761"/>
      <c r="F36" s="761"/>
      <c r="J36" s="763"/>
      <c r="K36" s="761"/>
      <c r="L36" s="761"/>
      <c r="M36" s="761"/>
      <c r="N36" s="761"/>
      <c r="R36" s="763"/>
      <c r="S36" s="761"/>
      <c r="T36" s="761"/>
      <c r="U36" s="761"/>
      <c r="V36" s="761"/>
    </row>
    <row r="37" spans="1:35">
      <c r="A37" s="759" t="s">
        <v>213</v>
      </c>
      <c r="B37" s="763">
        <v>4</v>
      </c>
      <c r="C37" s="761"/>
      <c r="D37" s="784">
        <v>0</v>
      </c>
      <c r="E37" s="771">
        <f>D37*VLOOKUP(B37,B57:F61,4)</f>
        <v>0</v>
      </c>
      <c r="F37" s="771">
        <f>D37*VLOOKUP(B37,B57:F61,5)</f>
        <v>0</v>
      </c>
      <c r="I37" s="759" t="s">
        <v>213</v>
      </c>
      <c r="J37" s="763">
        <v>4</v>
      </c>
      <c r="K37" s="761"/>
      <c r="L37" s="784">
        <v>0</v>
      </c>
      <c r="M37" s="771">
        <f>L37*VLOOKUP(J37,J57:N61,4)</f>
        <v>0</v>
      </c>
      <c r="N37" s="771">
        <f>L37*VLOOKUP(J37,J57:N61,5)</f>
        <v>0</v>
      </c>
      <c r="Q37" s="759" t="s">
        <v>213</v>
      </c>
      <c r="R37" s="763">
        <v>4</v>
      </c>
      <c r="S37" s="761"/>
      <c r="T37" s="784">
        <v>0</v>
      </c>
      <c r="U37" s="771">
        <f>T37*VLOOKUP(R37,R57:V61,4)</f>
        <v>0</v>
      </c>
      <c r="V37" s="771">
        <f>T37*VLOOKUP(R37,R57:V61,5)</f>
        <v>0</v>
      </c>
    </row>
    <row r="39" spans="1:35">
      <c r="A39" s="759" t="s">
        <v>80</v>
      </c>
      <c r="B39" s="760" t="s">
        <v>236</v>
      </c>
      <c r="D39" s="770">
        <v>0</v>
      </c>
      <c r="E39" s="771">
        <f>D39*VLOOKUP(B39,B57:F61,4)</f>
        <v>0</v>
      </c>
      <c r="F39" s="771">
        <f>D39*VLOOKUP(B39,B57:F61,5)</f>
        <v>0</v>
      </c>
      <c r="I39" s="759" t="s">
        <v>80</v>
      </c>
      <c r="J39" s="760" t="s">
        <v>236</v>
      </c>
      <c r="L39" s="770">
        <v>0</v>
      </c>
      <c r="M39" s="771">
        <f>L39*VLOOKUP(J39,J57:N61,4)</f>
        <v>0</v>
      </c>
      <c r="N39" s="771">
        <f>L39*VLOOKUP(J39,J57:N61,5)</f>
        <v>0</v>
      </c>
      <c r="Q39" s="759" t="s">
        <v>80</v>
      </c>
      <c r="R39" s="760" t="s">
        <v>236</v>
      </c>
      <c r="T39" s="770">
        <v>0</v>
      </c>
      <c r="U39" s="771">
        <f>T39*VLOOKUP(R39,R57:V61,4)</f>
        <v>0</v>
      </c>
      <c r="V39" s="771">
        <f>T39*VLOOKUP(R39,R57:V61,5)</f>
        <v>0</v>
      </c>
    </row>
    <row r="40" spans="1:35">
      <c r="D40" s="771"/>
      <c r="E40" s="771"/>
      <c r="F40" s="771"/>
      <c r="L40" s="771"/>
      <c r="M40" s="771"/>
      <c r="N40" s="771"/>
      <c r="T40" s="771"/>
      <c r="U40" s="771"/>
      <c r="V40" s="771"/>
    </row>
    <row r="41" spans="1:35">
      <c r="A41" s="759" t="s">
        <v>219</v>
      </c>
      <c r="B41" s="760">
        <v>99</v>
      </c>
      <c r="D41" s="771">
        <f>E41+F41</f>
        <v>3589861.69</v>
      </c>
      <c r="E41" s="770">
        <v>1698005</v>
      </c>
      <c r="F41" s="770">
        <v>1891856.69</v>
      </c>
      <c r="G41" s="771"/>
      <c r="I41" s="759" t="s">
        <v>219</v>
      </c>
      <c r="J41" s="760">
        <v>99</v>
      </c>
      <c r="L41" s="771">
        <f>M41+N41</f>
        <v>3507087.2</v>
      </c>
      <c r="M41" s="770">
        <v>1908824.51</v>
      </c>
      <c r="N41" s="770">
        <v>1598262.69</v>
      </c>
      <c r="O41" s="771"/>
      <c r="Q41" s="759" t="s">
        <v>219</v>
      </c>
      <c r="R41" s="760">
        <v>99</v>
      </c>
      <c r="T41" s="771">
        <f>U41+V41</f>
        <v>1868904.56</v>
      </c>
      <c r="U41" s="770">
        <v>533971.94999999995</v>
      </c>
      <c r="V41" s="770">
        <v>1334932.6100000001</v>
      </c>
      <c r="W41" s="771"/>
    </row>
    <row r="42" spans="1:35">
      <c r="A42" s="759" t="s">
        <v>221</v>
      </c>
      <c r="B42" s="760">
        <v>6</v>
      </c>
      <c r="D42" s="770">
        <v>36151</v>
      </c>
      <c r="E42" s="771">
        <f>D42*VLOOKUP(B42,B57:F61,4)</f>
        <v>25786.146789999999</v>
      </c>
      <c r="F42" s="771">
        <f>D42*VLOOKUP(B42,B57:F61,5)</f>
        <v>10364.853210000001</v>
      </c>
      <c r="I42" s="759" t="s">
        <v>221</v>
      </c>
      <c r="J42" s="760">
        <v>6</v>
      </c>
      <c r="L42" s="770">
        <v>66368.31</v>
      </c>
      <c r="M42" s="771">
        <f>L42*VLOOKUP(J42,J57:N61,4)</f>
        <v>47031.239198399999</v>
      </c>
      <c r="N42" s="771">
        <f>L42*VLOOKUP(J42,J57:N61,5)</f>
        <v>19337.070801599999</v>
      </c>
      <c r="Q42" s="759" t="s">
        <v>221</v>
      </c>
      <c r="R42" s="760">
        <v>6</v>
      </c>
      <c r="T42" s="770">
        <v>134238.43</v>
      </c>
      <c r="U42" s="771">
        <f>T42*VLOOKUP(R42,R57:V61,4)</f>
        <v>95681.1257511</v>
      </c>
      <c r="V42" s="771">
        <f>T42*VLOOKUP(R42,R57:V61,5)</f>
        <v>38557.304248899993</v>
      </c>
    </row>
    <row r="43" spans="1:35">
      <c r="D43" s="771"/>
      <c r="E43" s="771"/>
      <c r="F43" s="771"/>
      <c r="L43" s="771"/>
      <c r="M43" s="771"/>
      <c r="N43" s="771"/>
      <c r="T43" s="771"/>
      <c r="U43" s="771"/>
      <c r="V43" s="771"/>
    </row>
    <row r="44" spans="1:35">
      <c r="A44" s="759" t="s">
        <v>223</v>
      </c>
      <c r="B44" s="760">
        <v>99</v>
      </c>
      <c r="D44" s="771">
        <f>E44+F44</f>
        <v>50340.995664342401</v>
      </c>
      <c r="E44" s="771">
        <f>D101*E62</f>
        <v>39788.234110983263</v>
      </c>
      <c r="F44" s="771">
        <f>D102*F62</f>
        <v>10552.761553359138</v>
      </c>
      <c r="G44" s="771"/>
      <c r="I44" s="759" t="s">
        <v>223</v>
      </c>
      <c r="J44" s="760">
        <v>99</v>
      </c>
      <c r="L44" s="771">
        <f>M44+N44</f>
        <v>31752.025060524204</v>
      </c>
      <c r="M44" s="771">
        <f>L101*M62</f>
        <v>26491.004569561042</v>
      </c>
      <c r="N44" s="771">
        <f>L102*N62</f>
        <v>5261.020490963162</v>
      </c>
      <c r="O44" s="771"/>
      <c r="Q44" s="759" t="s">
        <v>223</v>
      </c>
      <c r="R44" s="760">
        <v>99</v>
      </c>
      <c r="T44" s="771">
        <f>U44+V44</f>
        <v>40790.23568349691</v>
      </c>
      <c r="U44" s="771">
        <f>T101*U62</f>
        <v>10771.520058887623</v>
      </c>
      <c r="V44" s="771">
        <f>T102*V62</f>
        <v>30018.715624609285</v>
      </c>
      <c r="W44" s="771"/>
    </row>
    <row r="45" spans="1:35">
      <c r="A45" s="759" t="s">
        <v>225</v>
      </c>
      <c r="B45" s="760">
        <v>4</v>
      </c>
      <c r="D45" s="770">
        <v>0</v>
      </c>
      <c r="E45" s="771">
        <f>D45*VLOOKUP(B45,B57:F61,4)</f>
        <v>0</v>
      </c>
      <c r="F45" s="771">
        <f>D45*VLOOKUP(B45,B57:F61,5)</f>
        <v>0</v>
      </c>
      <c r="I45" s="759" t="s">
        <v>225</v>
      </c>
      <c r="J45" s="760">
        <v>4</v>
      </c>
      <c r="L45" s="770">
        <v>0</v>
      </c>
      <c r="M45" s="771">
        <f>L45*VLOOKUP(J45,J57:N61,4)</f>
        <v>0</v>
      </c>
      <c r="N45" s="771">
        <f>L45*VLOOKUP(J45,J57:N61,5)</f>
        <v>0</v>
      </c>
      <c r="Q45" s="759" t="s">
        <v>225</v>
      </c>
      <c r="R45" s="760">
        <v>4</v>
      </c>
      <c r="T45" s="770">
        <v>0</v>
      </c>
      <c r="U45" s="771">
        <f>T45*VLOOKUP(R45,R57:V61,4)</f>
        <v>0</v>
      </c>
      <c r="V45" s="771">
        <f>T45*VLOOKUP(R45,R57:V61,5)</f>
        <v>0</v>
      </c>
    </row>
    <row r="46" spans="1:35">
      <c r="D46" s="771"/>
      <c r="E46" s="771"/>
      <c r="F46" s="771"/>
      <c r="L46" s="771"/>
      <c r="M46" s="771"/>
      <c r="N46" s="771"/>
      <c r="T46" s="771"/>
      <c r="U46" s="771"/>
      <c r="V46" s="771"/>
    </row>
    <row r="47" spans="1:35">
      <c r="A47" s="759" t="s">
        <v>237</v>
      </c>
      <c r="B47" s="760">
        <v>4</v>
      </c>
      <c r="D47" s="771">
        <f>F94</f>
        <v>1223071.1194585999</v>
      </c>
      <c r="E47" s="771">
        <f>D47*VLOOKUP(B47,B57:F61,4)</f>
        <v>840959.24031734408</v>
      </c>
      <c r="F47" s="771">
        <f>D47*VLOOKUP(B47,B57:F61,5)</f>
        <v>382111.87914125575</v>
      </c>
      <c r="G47" s="771"/>
      <c r="I47" s="759" t="s">
        <v>237</v>
      </c>
      <c r="J47" s="760">
        <v>4</v>
      </c>
      <c r="L47" s="771">
        <f>N94</f>
        <v>1348972.7364633998</v>
      </c>
      <c r="M47" s="771">
        <f>L47*VLOOKUP(J47,J57:N61,4)</f>
        <v>927526.67413750442</v>
      </c>
      <c r="N47" s="771">
        <f>L47*VLOOKUP(J47,J57:N61,5)</f>
        <v>421446.06232589536</v>
      </c>
      <c r="O47" s="771"/>
      <c r="Q47" s="759" t="s">
        <v>237</v>
      </c>
      <c r="R47" s="760">
        <v>4</v>
      </c>
      <c r="T47" s="771">
        <f>V94</f>
        <v>1233203.8251234</v>
      </c>
      <c r="U47" s="771">
        <f>T47*VLOOKUP(R47,R57:V61,4)</f>
        <v>851588.90143896383</v>
      </c>
      <c r="V47" s="771">
        <f>T47*VLOOKUP(R47,R57:V61,5)</f>
        <v>381614.92368443613</v>
      </c>
      <c r="W47" s="771"/>
    </row>
    <row r="48" spans="1:35">
      <c r="D48" s="771"/>
      <c r="E48" s="771"/>
      <c r="F48" s="771"/>
      <c r="L48" s="771"/>
      <c r="M48" s="771"/>
      <c r="N48" s="771"/>
      <c r="T48" s="771"/>
      <c r="U48" s="771"/>
      <c r="V48" s="771"/>
    </row>
    <row r="49" spans="1:35">
      <c r="A49" s="759" t="s">
        <v>238</v>
      </c>
      <c r="D49" s="771">
        <f>SUM(D37:D47)</f>
        <v>4899424.8051229417</v>
      </c>
      <c r="E49" s="771">
        <f>SUM(E37:E47)</f>
        <v>2604538.6212183274</v>
      </c>
      <c r="F49" s="771">
        <f>SUM(F37:F47)</f>
        <v>2294886.1839046152</v>
      </c>
      <c r="G49" s="771"/>
      <c r="I49" s="759" t="s">
        <v>238</v>
      </c>
      <c r="L49" s="771">
        <f>SUM(L37:L47)</f>
        <v>4954180.2715239245</v>
      </c>
      <c r="M49" s="771">
        <f>SUM(M37:M47)</f>
        <v>2909873.4279054655</v>
      </c>
      <c r="N49" s="771">
        <f>SUM(N37:N47)</f>
        <v>2044306.8436184584</v>
      </c>
      <c r="O49" s="771"/>
      <c r="Q49" s="759" t="s">
        <v>238</v>
      </c>
      <c r="T49" s="771">
        <f>SUM(T37:T47)</f>
        <v>3277137.0508068968</v>
      </c>
      <c r="U49" s="771">
        <f>SUM(U37:U47)</f>
        <v>1492013.4972489513</v>
      </c>
      <c r="V49" s="771">
        <f>SUM(V37:V47)</f>
        <v>1785123.5535579454</v>
      </c>
      <c r="W49" s="771"/>
    </row>
    <row r="50" spans="1:35">
      <c r="A50" s="759" t="s">
        <v>229</v>
      </c>
      <c r="D50" s="780">
        <f>D49/D$49</f>
        <v>1</v>
      </c>
      <c r="E50" s="780">
        <f>E49/D$49</f>
        <v>0.53160089700631119</v>
      </c>
      <c r="F50" s="780">
        <f>F49/D$49</f>
        <v>0.46839910299368898</v>
      </c>
      <c r="I50" s="759" t="s">
        <v>229</v>
      </c>
      <c r="L50" s="780">
        <f>L49/L$49</f>
        <v>1</v>
      </c>
      <c r="M50" s="780">
        <f>M49/L$49</f>
        <v>0.58735719501994976</v>
      </c>
      <c r="N50" s="780">
        <f>N49/L$49</f>
        <v>0.41264280498005007</v>
      </c>
      <c r="Q50" s="759" t="s">
        <v>229</v>
      </c>
      <c r="T50" s="780">
        <f>T49/T$49</f>
        <v>1</v>
      </c>
      <c r="U50" s="780">
        <f>U49/T$49</f>
        <v>0.45527955472035803</v>
      </c>
      <c r="V50" s="780">
        <f>V49/T$49</f>
        <v>0.54472044527964192</v>
      </c>
    </row>
    <row r="52" spans="1:35">
      <c r="A52" s="759" t="s">
        <v>239</v>
      </c>
      <c r="D52" s="770">
        <v>-741959.11</v>
      </c>
      <c r="E52" s="771">
        <f>D52*E50</f>
        <v>-394426.12841800431</v>
      </c>
      <c r="F52" s="771">
        <f>D52*F50</f>
        <v>-347532.98158199579</v>
      </c>
      <c r="G52" s="771"/>
      <c r="I52" s="759" t="s">
        <v>239</v>
      </c>
      <c r="L52" s="770">
        <v>-474159.69</v>
      </c>
      <c r="M52" s="771">
        <f>L52*M50</f>
        <v>-278501.10550992895</v>
      </c>
      <c r="N52" s="771">
        <f>L52*N50</f>
        <v>-195658.58449007099</v>
      </c>
      <c r="O52" s="771"/>
      <c r="Q52" s="759" t="s">
        <v>239</v>
      </c>
      <c r="T52" s="770">
        <v>-111940.52</v>
      </c>
      <c r="U52" s="771">
        <f>T52*U50</f>
        <v>-50964.230100765337</v>
      </c>
      <c r="V52" s="771">
        <f>T52*V50</f>
        <v>-60976.289899234667</v>
      </c>
      <c r="W52" s="771"/>
    </row>
    <row r="54" spans="1:35">
      <c r="A54" s="759" t="s">
        <v>218</v>
      </c>
      <c r="D54" s="781">
        <f>D49+D52</f>
        <v>4157465.6951229419</v>
      </c>
      <c r="E54" s="781">
        <f>E49+E52</f>
        <v>2210112.4928003233</v>
      </c>
      <c r="F54" s="781">
        <f>F49+F52</f>
        <v>1947353.2023226195</v>
      </c>
      <c r="G54" s="771"/>
      <c r="I54" s="759" t="s">
        <v>218</v>
      </c>
      <c r="L54" s="781">
        <f>L49+L52</f>
        <v>4480020.5815239241</v>
      </c>
      <c r="M54" s="781">
        <f>M49+M52</f>
        <v>2631372.3223955366</v>
      </c>
      <c r="N54" s="781">
        <f>N49+N52</f>
        <v>1848648.2591283873</v>
      </c>
      <c r="O54" s="771"/>
      <c r="Q54" s="759" t="s">
        <v>218</v>
      </c>
      <c r="T54" s="781">
        <f>T49+T52</f>
        <v>3165196.5308068967</v>
      </c>
      <c r="U54" s="781">
        <f>U49+U52</f>
        <v>1441049.267148186</v>
      </c>
      <c r="V54" s="781">
        <f>V49+V52</f>
        <v>1724147.2636587108</v>
      </c>
      <c r="W54" s="771"/>
    </row>
    <row r="55" spans="1:35">
      <c r="D55" s="771"/>
      <c r="L55" s="771"/>
      <c r="T55" s="771"/>
    </row>
    <row r="56" spans="1:35">
      <c r="A56" s="782" t="s">
        <v>240</v>
      </c>
      <c r="I56" s="782" t="s">
        <v>240</v>
      </c>
      <c r="Q56" s="782" t="s">
        <v>240</v>
      </c>
    </row>
    <row r="57" spans="1:35">
      <c r="A57" s="759" t="s">
        <v>241</v>
      </c>
      <c r="B57" s="760" t="s">
        <v>236</v>
      </c>
      <c r="D57" s="780">
        <f>E57+F57</f>
        <v>1</v>
      </c>
      <c r="E57" s="783">
        <v>0.73060000000000003</v>
      </c>
      <c r="F57" s="783">
        <v>0.26939999999999997</v>
      </c>
      <c r="I57" s="759" t="s">
        <v>241</v>
      </c>
      <c r="J57" s="760" t="s">
        <v>236</v>
      </c>
      <c r="L57" s="780">
        <f>M57+N57</f>
        <v>1</v>
      </c>
      <c r="M57" s="783">
        <v>0.73350000000000004</v>
      </c>
      <c r="N57" s="783">
        <v>0.26650000000000001</v>
      </c>
      <c r="Q57" s="759" t="s">
        <v>241</v>
      </c>
      <c r="R57" s="760" t="s">
        <v>236</v>
      </c>
      <c r="T57" s="780">
        <f>U57+V57</f>
        <v>1</v>
      </c>
      <c r="U57" s="783">
        <v>0.73350000000000004</v>
      </c>
      <c r="V57" s="783">
        <v>0.26650000000000001</v>
      </c>
    </row>
    <row r="58" spans="1:35">
      <c r="A58" s="759" t="s">
        <v>233</v>
      </c>
      <c r="B58" s="760">
        <v>4</v>
      </c>
      <c r="D58" s="780">
        <f>E58+F58</f>
        <v>1</v>
      </c>
      <c r="E58" s="783">
        <v>0.68757999999999997</v>
      </c>
      <c r="F58" s="783">
        <v>0.31241999999999998</v>
      </c>
      <c r="I58" s="759" t="s">
        <v>233</v>
      </c>
      <c r="J58" s="760">
        <v>4</v>
      </c>
      <c r="L58" s="780">
        <f>M58+N58</f>
        <v>1</v>
      </c>
      <c r="M58" s="783">
        <v>0.68757999999999997</v>
      </c>
      <c r="N58" s="783">
        <v>0.31241999999999998</v>
      </c>
      <c r="Q58" s="759" t="s">
        <v>233</v>
      </c>
      <c r="R58" s="760">
        <v>4</v>
      </c>
      <c r="T58" s="780">
        <f>U58+V58</f>
        <v>1</v>
      </c>
      <c r="U58" s="783">
        <v>0.69055</v>
      </c>
      <c r="V58" s="783">
        <v>0.30945</v>
      </c>
    </row>
    <row r="59" spans="1:35">
      <c r="A59" s="759" t="s">
        <v>242</v>
      </c>
      <c r="B59" s="760">
        <v>6</v>
      </c>
      <c r="D59" s="780">
        <f>E59+F59</f>
        <v>1</v>
      </c>
      <c r="E59" s="783">
        <v>0.71328999999999998</v>
      </c>
      <c r="F59" s="783">
        <v>0.28671000000000002</v>
      </c>
      <c r="I59" s="759" t="s">
        <v>242</v>
      </c>
      <c r="J59" s="760">
        <v>6</v>
      </c>
      <c r="L59" s="780">
        <f>M59+N59</f>
        <v>1</v>
      </c>
      <c r="M59" s="783">
        <v>0.70864000000000005</v>
      </c>
      <c r="N59" s="783">
        <v>0.29136000000000001</v>
      </c>
      <c r="Q59" s="759" t="s">
        <v>242</v>
      </c>
      <c r="R59" s="760">
        <v>6</v>
      </c>
      <c r="T59" s="780">
        <f>U59+V59</f>
        <v>1</v>
      </c>
      <c r="U59" s="783">
        <v>0.71277000000000001</v>
      </c>
      <c r="V59" s="783">
        <v>0.28722999999999999</v>
      </c>
    </row>
    <row r="60" spans="1:35">
      <c r="A60" s="759" t="s">
        <v>235</v>
      </c>
      <c r="B60" s="760">
        <v>99</v>
      </c>
      <c r="D60" s="780">
        <f>E60+F60</f>
        <v>0</v>
      </c>
      <c r="E60" s="783">
        <v>0</v>
      </c>
      <c r="F60" s="783">
        <v>0</v>
      </c>
      <c r="I60" s="759" t="s">
        <v>235</v>
      </c>
      <c r="J60" s="760">
        <v>99</v>
      </c>
      <c r="L60" s="780">
        <f>M60+N60</f>
        <v>0</v>
      </c>
      <c r="M60" s="783">
        <v>0</v>
      </c>
      <c r="N60" s="783">
        <v>0</v>
      </c>
      <c r="Q60" s="759" t="s">
        <v>235</v>
      </c>
      <c r="R60" s="760">
        <v>99</v>
      </c>
      <c r="T60" s="780">
        <f>U60+V60</f>
        <v>0</v>
      </c>
      <c r="U60" s="783">
        <f>M60</f>
        <v>0</v>
      </c>
      <c r="V60" s="783">
        <f>N60</f>
        <v>0</v>
      </c>
    </row>
    <row r="61" spans="1:35">
      <c r="E61" s="880">
        <f>(F99*E58)</f>
        <v>0.1422052956</v>
      </c>
      <c r="F61" s="880">
        <f>(F99*F58)</f>
        <v>6.46147044E-2</v>
      </c>
      <c r="M61" s="880">
        <f>(N99*M58)</f>
        <v>0.13615459159999999</v>
      </c>
      <c r="N61" s="880">
        <f>(N99*N58)</f>
        <v>6.1865408399999995E-2</v>
      </c>
      <c r="U61" s="880">
        <f>(V99*U58)</f>
        <v>0.13674271099999999</v>
      </c>
      <c r="V61" s="880">
        <f>(V99*V58)</f>
        <v>6.1277288999999999E-2</v>
      </c>
    </row>
    <row r="62" spans="1:35">
      <c r="A62" s="759" t="s">
        <v>356</v>
      </c>
      <c r="E62" s="881">
        <f>E61/(E32+E61)</f>
        <v>0.21564620372659715</v>
      </c>
      <c r="F62" s="881">
        <f>F61/(F32+F61)</f>
        <v>0.18972962159940918</v>
      </c>
      <c r="I62" s="759" t="s">
        <v>356</v>
      </c>
      <c r="M62" s="881">
        <f>M61/(M32+M61)</f>
        <v>0.2065684608477629</v>
      </c>
      <c r="N62" s="881">
        <f>N61/(N32+N61)</f>
        <v>0.18149041274723401</v>
      </c>
      <c r="Q62" s="759" t="s">
        <v>356</v>
      </c>
      <c r="U62" s="881">
        <f>U61/(U32+U61)</f>
        <v>0.20478630530161265</v>
      </c>
      <c r="V62" s="881">
        <f>V61/(V32+V61)</f>
        <v>0.18442220376520785</v>
      </c>
    </row>
    <row r="63" spans="1:35" s="762" customFormat="1">
      <c r="B63" s="762" t="s">
        <v>208</v>
      </c>
      <c r="D63" s="762" t="s">
        <v>130</v>
      </c>
      <c r="E63" s="762" t="s">
        <v>209</v>
      </c>
      <c r="F63" s="762" t="s">
        <v>210</v>
      </c>
      <c r="J63" s="762" t="s">
        <v>208</v>
      </c>
      <c r="L63" s="762" t="s">
        <v>130</v>
      </c>
      <c r="M63" s="762" t="s">
        <v>209</v>
      </c>
      <c r="N63" s="762" t="s">
        <v>210</v>
      </c>
      <c r="R63" s="762" t="s">
        <v>208</v>
      </c>
      <c r="T63" s="762" t="s">
        <v>130</v>
      </c>
      <c r="U63" s="762" t="s">
        <v>209</v>
      </c>
      <c r="V63" s="762" t="s">
        <v>210</v>
      </c>
      <c r="X63" s="805"/>
      <c r="Y63" s="805"/>
      <c r="Z63" s="805"/>
      <c r="AA63" s="805"/>
      <c r="AB63" s="805"/>
      <c r="AC63" s="893"/>
      <c r="AD63" s="805"/>
      <c r="AE63" s="805"/>
      <c r="AF63" s="805"/>
      <c r="AG63" s="805"/>
      <c r="AH63" s="805"/>
      <c r="AI63" s="893"/>
    </row>
    <row r="64" spans="1:35">
      <c r="A64" s="764" t="s">
        <v>243</v>
      </c>
      <c r="B64" s="765"/>
      <c r="C64" s="766"/>
      <c r="D64" s="766"/>
      <c r="E64" s="766"/>
      <c r="F64" s="766"/>
      <c r="I64" s="764" t="s">
        <v>243</v>
      </c>
      <c r="J64" s="765"/>
      <c r="K64" s="766"/>
      <c r="L64" s="766"/>
      <c r="M64" s="766"/>
      <c r="N64" s="766"/>
      <c r="Q64" s="764" t="s">
        <v>243</v>
      </c>
      <c r="R64" s="765"/>
      <c r="S64" s="766"/>
      <c r="T64" s="766"/>
      <c r="U64" s="766"/>
      <c r="V64" s="766"/>
    </row>
    <row r="66" spans="1:23">
      <c r="A66" s="759" t="s">
        <v>213</v>
      </c>
      <c r="B66" s="760">
        <v>4</v>
      </c>
      <c r="D66" s="770">
        <v>0</v>
      </c>
      <c r="E66" s="771">
        <f>D66*VLOOKUP(B66,B84:F85,4)</f>
        <v>0</v>
      </c>
      <c r="F66" s="771">
        <f>D66*VLOOKUP(B66,B84:F85,5)</f>
        <v>0</v>
      </c>
      <c r="I66" s="759" t="s">
        <v>213</v>
      </c>
      <c r="J66" s="760">
        <v>4</v>
      </c>
      <c r="L66" s="770">
        <v>0</v>
      </c>
      <c r="M66" s="771">
        <f>L66*VLOOKUP(J66,J84:N85,4)</f>
        <v>0</v>
      </c>
      <c r="N66" s="771">
        <f>L66*VLOOKUP(J66,J84:N85,5)</f>
        <v>0</v>
      </c>
      <c r="Q66" s="759" t="s">
        <v>213</v>
      </c>
      <c r="R66" s="760">
        <v>4</v>
      </c>
      <c r="T66" s="770">
        <v>0</v>
      </c>
      <c r="U66" s="771">
        <f>T66*VLOOKUP(R66,R84:V85,4)</f>
        <v>0</v>
      </c>
      <c r="V66" s="771">
        <f>T66*VLOOKUP(R66,R84:V85,5)</f>
        <v>0</v>
      </c>
    </row>
    <row r="67" spans="1:23">
      <c r="A67" s="759" t="s">
        <v>75</v>
      </c>
      <c r="B67" s="760">
        <v>99</v>
      </c>
      <c r="D67" s="771">
        <f>E67+F67</f>
        <v>0</v>
      </c>
      <c r="E67" s="770">
        <v>0</v>
      </c>
      <c r="F67" s="770">
        <v>0</v>
      </c>
      <c r="G67" s="771"/>
      <c r="I67" s="759" t="s">
        <v>75</v>
      </c>
      <c r="J67" s="760">
        <v>99</v>
      </c>
      <c r="L67" s="771">
        <f>M67+N67</f>
        <v>0</v>
      </c>
      <c r="M67" s="770">
        <v>0</v>
      </c>
      <c r="N67" s="770">
        <v>0</v>
      </c>
      <c r="O67" s="771"/>
      <c r="Q67" s="759" t="s">
        <v>75</v>
      </c>
      <c r="R67" s="760">
        <v>99</v>
      </c>
      <c r="T67" s="771">
        <f>U67+V67</f>
        <v>0</v>
      </c>
      <c r="U67" s="770">
        <v>0</v>
      </c>
      <c r="V67" s="770">
        <v>0</v>
      </c>
      <c r="W67" s="771"/>
    </row>
    <row r="68" spans="1:23">
      <c r="A68" s="759" t="s">
        <v>217</v>
      </c>
      <c r="B68" s="760">
        <v>99</v>
      </c>
      <c r="D68" s="771">
        <f>E68+F68</f>
        <v>0</v>
      </c>
      <c r="E68" s="770">
        <v>0</v>
      </c>
      <c r="F68" s="770">
        <v>0</v>
      </c>
      <c r="I68" s="759" t="s">
        <v>217</v>
      </c>
      <c r="J68" s="760">
        <v>99</v>
      </c>
      <c r="L68" s="771">
        <f>M68+N68</f>
        <v>0</v>
      </c>
      <c r="M68" s="770">
        <v>0</v>
      </c>
      <c r="N68" s="770">
        <v>0</v>
      </c>
      <c r="Q68" s="759" t="s">
        <v>217</v>
      </c>
      <c r="R68" s="760">
        <v>99</v>
      </c>
      <c r="T68" s="771">
        <f>U68+V68</f>
        <v>0</v>
      </c>
      <c r="U68" s="770">
        <v>0</v>
      </c>
      <c r="V68" s="770">
        <v>0</v>
      </c>
    </row>
    <row r="69" spans="1:23">
      <c r="A69" s="759" t="s">
        <v>84</v>
      </c>
      <c r="B69" s="760">
        <v>99</v>
      </c>
      <c r="D69" s="771">
        <f>E69+F69</f>
        <v>5343895</v>
      </c>
      <c r="E69" s="770">
        <f>133996+12+5209887</f>
        <v>5343895</v>
      </c>
      <c r="F69" s="770">
        <v>0</v>
      </c>
      <c r="G69" s="771"/>
      <c r="I69" s="759" t="s">
        <v>84</v>
      </c>
      <c r="J69" s="760">
        <v>99</v>
      </c>
      <c r="L69" s="771">
        <f>M69+N69</f>
        <v>3247834.4800000004</v>
      </c>
      <c r="M69" s="770">
        <f>3611.74+3244222.74</f>
        <v>3247834.4800000004</v>
      </c>
      <c r="N69" s="770">
        <v>0</v>
      </c>
      <c r="O69" s="771"/>
      <c r="Q69" s="759" t="s">
        <v>84</v>
      </c>
      <c r="R69" s="760">
        <v>99</v>
      </c>
      <c r="T69" s="771">
        <f>U69+V69</f>
        <v>4839659.03</v>
      </c>
      <c r="U69" s="770">
        <v>4839659.03</v>
      </c>
      <c r="V69" s="770">
        <v>0</v>
      </c>
      <c r="W69" s="771"/>
    </row>
    <row r="70" spans="1:23">
      <c r="D70" s="771"/>
      <c r="E70" s="771"/>
      <c r="F70" s="771"/>
      <c r="L70" s="771"/>
      <c r="M70" s="771"/>
      <c r="N70" s="771"/>
      <c r="T70" s="771"/>
      <c r="U70" s="771"/>
      <c r="V70" s="771"/>
    </row>
    <row r="71" spans="1:23">
      <c r="A71" s="759" t="s">
        <v>223</v>
      </c>
      <c r="B71" s="760">
        <v>99</v>
      </c>
      <c r="D71" s="771">
        <f>E71+F71</f>
        <v>60350</v>
      </c>
      <c r="E71" s="770">
        <v>60350</v>
      </c>
      <c r="F71" s="770">
        <v>0</v>
      </c>
      <c r="G71" s="771"/>
      <c r="I71" s="759" t="s">
        <v>223</v>
      </c>
      <c r="J71" s="760">
        <v>99</v>
      </c>
      <c r="L71" s="771">
        <f>M71+N71</f>
        <v>0</v>
      </c>
      <c r="M71" s="770">
        <v>0</v>
      </c>
      <c r="N71" s="770">
        <v>0</v>
      </c>
      <c r="O71" s="771"/>
      <c r="Q71" s="759" t="s">
        <v>223</v>
      </c>
      <c r="R71" s="760">
        <v>99</v>
      </c>
      <c r="T71" s="771">
        <f>U71+V71</f>
        <v>0</v>
      </c>
      <c r="U71" s="770">
        <v>0</v>
      </c>
      <c r="V71" s="770">
        <v>0</v>
      </c>
      <c r="W71" s="771"/>
    </row>
    <row r="72" spans="1:23">
      <c r="A72" s="759" t="s">
        <v>225</v>
      </c>
      <c r="B72" s="760">
        <v>4</v>
      </c>
      <c r="D72" s="770">
        <v>0</v>
      </c>
      <c r="E72" s="771">
        <f>D72*VLOOKUP(B72,B84:F85,4)</f>
        <v>0</v>
      </c>
      <c r="F72" s="771">
        <f>D72*VLOOKUP(B72,B84:F85,5)</f>
        <v>0</v>
      </c>
      <c r="I72" s="759" t="s">
        <v>225</v>
      </c>
      <c r="J72" s="760">
        <v>4</v>
      </c>
      <c r="L72" s="770">
        <v>0</v>
      </c>
      <c r="M72" s="771">
        <f>L72*VLOOKUP(J72,J84:N85,4)</f>
        <v>0</v>
      </c>
      <c r="N72" s="771">
        <f>L72*VLOOKUP(J72,J84:N85,5)</f>
        <v>0</v>
      </c>
      <c r="Q72" s="759" t="s">
        <v>225</v>
      </c>
      <c r="R72" s="760">
        <v>4</v>
      </c>
      <c r="T72" s="770">
        <v>0</v>
      </c>
      <c r="U72" s="771">
        <f>T72*VLOOKUP(R72,R84:V85,4)</f>
        <v>0</v>
      </c>
      <c r="V72" s="771">
        <f>T72*VLOOKUP(R72,R84:V85,5)</f>
        <v>0</v>
      </c>
    </row>
    <row r="73" spans="1:23">
      <c r="D73" s="771"/>
      <c r="E73" s="771"/>
      <c r="F73" s="771"/>
      <c r="L73" s="771"/>
      <c r="M73" s="771"/>
      <c r="N73" s="771"/>
      <c r="T73" s="771"/>
      <c r="U73" s="771"/>
      <c r="V73" s="771"/>
    </row>
    <row r="74" spans="1:23">
      <c r="A74" s="759" t="s">
        <v>237</v>
      </c>
      <c r="B74" s="760">
        <v>4</v>
      </c>
      <c r="D74" s="771">
        <f>G94</f>
        <v>505164.45326409995</v>
      </c>
      <c r="E74" s="771">
        <f>D74*VLOOKUP(B74,B84:F85,4)</f>
        <v>505164.45326409995</v>
      </c>
      <c r="F74" s="771">
        <f>D74*VLOOKUP(B74,B84:F85,5)</f>
        <v>0</v>
      </c>
      <c r="I74" s="759" t="s">
        <v>237</v>
      </c>
      <c r="J74" s="760">
        <v>4</v>
      </c>
      <c r="L74" s="771">
        <f>O94</f>
        <v>580709.06674080004</v>
      </c>
      <c r="M74" s="771">
        <f>L74*VLOOKUP(J74,J84:N85,4)</f>
        <v>580709.06674080004</v>
      </c>
      <c r="N74" s="771">
        <f>L74*VLOOKUP(J74,J84:N85,5)</f>
        <v>0</v>
      </c>
      <c r="Q74" s="759" t="s">
        <v>237</v>
      </c>
      <c r="R74" s="760">
        <v>4</v>
      </c>
      <c r="T74" s="771">
        <f>W94</f>
        <v>505847.84029130003</v>
      </c>
      <c r="U74" s="771">
        <f>T74*VLOOKUP(R74,R84:V85,4)</f>
        <v>505847.84029130003</v>
      </c>
      <c r="V74" s="771">
        <f>T74*VLOOKUP(R74,R84:V85,5)</f>
        <v>0</v>
      </c>
    </row>
    <row r="75" spans="1:23">
      <c r="D75" s="771"/>
      <c r="E75" s="771"/>
      <c r="F75" s="771"/>
      <c r="L75" s="771"/>
      <c r="M75" s="771"/>
      <c r="N75" s="771"/>
      <c r="T75" s="771"/>
      <c r="U75" s="771"/>
      <c r="V75" s="771"/>
    </row>
    <row r="76" spans="1:23">
      <c r="A76" s="759" t="s">
        <v>244</v>
      </c>
      <c r="D76" s="771">
        <f>SUM(D66:D74)</f>
        <v>5909409.4532640995</v>
      </c>
      <c r="E76" s="771">
        <f>SUM(E66:E74)</f>
        <v>5909409.4532640995</v>
      </c>
      <c r="F76" s="771">
        <f>SUM(F66:F74)</f>
        <v>0</v>
      </c>
      <c r="G76" s="771"/>
      <c r="I76" s="759" t="s">
        <v>244</v>
      </c>
      <c r="L76" s="771">
        <f>SUM(L66:L74)</f>
        <v>3828543.5467408006</v>
      </c>
      <c r="M76" s="771">
        <f>SUM(M66:M74)</f>
        <v>3828543.5467408006</v>
      </c>
      <c r="N76" s="771">
        <f>SUM(N66:N74)</f>
        <v>0</v>
      </c>
      <c r="O76" s="771"/>
      <c r="Q76" s="759" t="s">
        <v>244</v>
      </c>
      <c r="T76" s="771">
        <f>SUM(T66:T74)</f>
        <v>5345506.8702913001</v>
      </c>
      <c r="U76" s="771">
        <f>SUM(U66:U74)</f>
        <v>5345506.8702913001</v>
      </c>
      <c r="V76" s="771">
        <f>SUM(V66:V74)</f>
        <v>0</v>
      </c>
      <c r="W76" s="771"/>
    </row>
    <row r="77" spans="1:23">
      <c r="A77" s="759" t="s">
        <v>229</v>
      </c>
      <c r="D77" s="780">
        <f>D76/D$76</f>
        <v>1</v>
      </c>
      <c r="E77" s="780">
        <f>E76/D$76</f>
        <v>1</v>
      </c>
      <c r="F77" s="780">
        <f>F76/D$76</f>
        <v>0</v>
      </c>
      <c r="I77" s="759" t="s">
        <v>229</v>
      </c>
      <c r="L77" s="780">
        <f>L76/L$76</f>
        <v>1</v>
      </c>
      <c r="M77" s="780">
        <f>M76/L$76</f>
        <v>1</v>
      </c>
      <c r="N77" s="780">
        <f>N76/L$76</f>
        <v>0</v>
      </c>
      <c r="Q77" s="759" t="s">
        <v>229</v>
      </c>
      <c r="T77" s="780">
        <f>T76/T$76</f>
        <v>1</v>
      </c>
      <c r="U77" s="780">
        <f>U76/T$76</f>
        <v>1</v>
      </c>
      <c r="V77" s="780">
        <f>V76/T$76</f>
        <v>0</v>
      </c>
    </row>
    <row r="79" spans="1:23">
      <c r="A79" s="759" t="s">
        <v>245</v>
      </c>
      <c r="D79" s="770">
        <v>-128403.5</v>
      </c>
      <c r="E79" s="771">
        <f>D79*E77</f>
        <v>-128403.5</v>
      </c>
      <c r="F79" s="771">
        <f>D79*F77</f>
        <v>0</v>
      </c>
      <c r="G79" s="771"/>
      <c r="I79" s="759" t="s">
        <v>245</v>
      </c>
      <c r="L79" s="770">
        <v>-182164.3</v>
      </c>
      <c r="M79" s="771">
        <f>L79*M77</f>
        <v>-182164.3</v>
      </c>
      <c r="N79" s="771">
        <f>L79*N77</f>
        <v>0</v>
      </c>
      <c r="O79" s="771"/>
      <c r="Q79" s="759" t="s">
        <v>245</v>
      </c>
      <c r="T79" s="770">
        <v>-314545.21999999997</v>
      </c>
      <c r="U79" s="771">
        <f>T79*U77</f>
        <v>-314545.21999999997</v>
      </c>
      <c r="V79" s="771">
        <f>T79*V77</f>
        <v>0</v>
      </c>
      <c r="W79" s="771"/>
    </row>
    <row r="81" spans="1:23">
      <c r="A81" s="759" t="s">
        <v>220</v>
      </c>
      <c r="D81" s="781">
        <f>D76+D79</f>
        <v>5781005.9532640995</v>
      </c>
      <c r="E81" s="781">
        <f>E76+E79</f>
        <v>5781005.9532640995</v>
      </c>
      <c r="F81" s="781">
        <f>F76+F79</f>
        <v>0</v>
      </c>
      <c r="G81" s="771"/>
      <c r="I81" s="759" t="s">
        <v>220</v>
      </c>
      <c r="L81" s="781">
        <f>L76+L79</f>
        <v>3646379.2467408008</v>
      </c>
      <c r="M81" s="781">
        <f>M76+M79</f>
        <v>3646379.2467408008</v>
      </c>
      <c r="N81" s="781">
        <f>N76+N79</f>
        <v>0</v>
      </c>
      <c r="O81" s="771"/>
      <c r="Q81" s="759" t="s">
        <v>220</v>
      </c>
      <c r="T81" s="781">
        <f>T76+T79</f>
        <v>5030961.6502913004</v>
      </c>
      <c r="U81" s="781">
        <f>U76+U79</f>
        <v>5030961.6502913004</v>
      </c>
      <c r="V81" s="781">
        <f>V76+V79</f>
        <v>0</v>
      </c>
      <c r="W81" s="771"/>
    </row>
    <row r="83" spans="1:23">
      <c r="A83" s="782" t="s">
        <v>246</v>
      </c>
      <c r="I83" s="782" t="s">
        <v>246</v>
      </c>
      <c r="Q83" s="782" t="s">
        <v>246</v>
      </c>
    </row>
    <row r="84" spans="1:23">
      <c r="A84" s="759" t="s">
        <v>233</v>
      </c>
      <c r="B84" s="760">
        <v>4</v>
      </c>
      <c r="D84" s="780">
        <f>E84+F84</f>
        <v>1</v>
      </c>
      <c r="E84" s="783">
        <v>1</v>
      </c>
      <c r="F84" s="783">
        <v>0</v>
      </c>
      <c r="I84" s="759" t="s">
        <v>233</v>
      </c>
      <c r="J84" s="760">
        <v>4</v>
      </c>
      <c r="L84" s="780">
        <f>M84+N84</f>
        <v>1</v>
      </c>
      <c r="M84" s="785">
        <v>1</v>
      </c>
      <c r="N84" s="785">
        <v>0</v>
      </c>
      <c r="Q84" s="759" t="s">
        <v>233</v>
      </c>
      <c r="R84" s="760">
        <v>4</v>
      </c>
      <c r="T84" s="780">
        <f>U84+V84</f>
        <v>1</v>
      </c>
      <c r="U84" s="783">
        <v>1</v>
      </c>
      <c r="V84" s="783">
        <v>0</v>
      </c>
    </row>
    <row r="85" spans="1:23">
      <c r="A85" s="759" t="s">
        <v>235</v>
      </c>
      <c r="B85" s="760">
        <v>99</v>
      </c>
      <c r="D85" s="780">
        <f>E85+F85</f>
        <v>0</v>
      </c>
      <c r="E85" s="780">
        <v>0</v>
      </c>
      <c r="F85" s="780">
        <v>0</v>
      </c>
      <c r="I85" s="759" t="s">
        <v>235</v>
      </c>
      <c r="J85" s="760">
        <v>99</v>
      </c>
      <c r="L85" s="780">
        <f>M85+N85</f>
        <v>0</v>
      </c>
      <c r="M85" s="780">
        <v>0</v>
      </c>
      <c r="N85" s="780">
        <v>0</v>
      </c>
      <c r="Q85" s="759" t="s">
        <v>235</v>
      </c>
      <c r="R85" s="760">
        <v>99</v>
      </c>
      <c r="T85" s="780">
        <f>U85+V85</f>
        <v>0</v>
      </c>
      <c r="U85" s="780">
        <v>0</v>
      </c>
      <c r="V85" s="780">
        <v>0</v>
      </c>
    </row>
    <row r="88" spans="1:23">
      <c r="B88" s="760" t="s">
        <v>208</v>
      </c>
      <c r="C88" s="760"/>
      <c r="D88" s="760" t="s">
        <v>247</v>
      </c>
      <c r="E88" s="760" t="s">
        <v>248</v>
      </c>
      <c r="F88" s="760" t="s">
        <v>249</v>
      </c>
      <c r="G88" s="760" t="s">
        <v>243</v>
      </c>
      <c r="J88" s="760" t="s">
        <v>208</v>
      </c>
      <c r="K88" s="760"/>
      <c r="L88" s="760" t="s">
        <v>247</v>
      </c>
      <c r="M88" s="760" t="s">
        <v>248</v>
      </c>
      <c r="N88" s="760" t="s">
        <v>249</v>
      </c>
      <c r="O88" s="760" t="s">
        <v>243</v>
      </c>
      <c r="R88" s="760" t="s">
        <v>208</v>
      </c>
      <c r="S88" s="760"/>
      <c r="T88" s="760" t="s">
        <v>247</v>
      </c>
      <c r="U88" s="760" t="s">
        <v>248</v>
      </c>
      <c r="V88" s="760" t="s">
        <v>249</v>
      </c>
      <c r="W88" s="760" t="s">
        <v>243</v>
      </c>
    </row>
    <row r="89" spans="1:23">
      <c r="A89" s="759" t="s">
        <v>250</v>
      </c>
      <c r="B89" s="765"/>
      <c r="C89" s="766"/>
      <c r="D89" s="766"/>
      <c r="E89" s="766"/>
      <c r="F89" s="766"/>
      <c r="G89" s="766"/>
      <c r="I89" s="759" t="s">
        <v>250</v>
      </c>
      <c r="J89" s="765"/>
      <c r="K89" s="766"/>
      <c r="L89" s="766"/>
      <c r="M89" s="766"/>
      <c r="N89" s="766"/>
      <c r="O89" s="766"/>
      <c r="Q89" s="759" t="s">
        <v>250</v>
      </c>
      <c r="R89" s="765"/>
      <c r="S89" s="766"/>
      <c r="T89" s="766"/>
      <c r="U89" s="766"/>
      <c r="V89" s="766"/>
      <c r="W89" s="766"/>
    </row>
    <row r="91" spans="1:23">
      <c r="A91" s="759" t="s">
        <v>357</v>
      </c>
      <c r="B91" s="760">
        <v>7</v>
      </c>
      <c r="D91" s="770">
        <v>5129512.2699999996</v>
      </c>
      <c r="E91" s="771">
        <f>D91*VLOOKUP(B91,B97:G99,4)</f>
        <v>3713715.5883572996</v>
      </c>
      <c r="F91" s="771">
        <f>D91*VLOOKUP(B91,B97:G99,5)</f>
        <v>1001178.2048585999</v>
      </c>
      <c r="G91" s="771">
        <f>D91*VLOOKUP(B91,B97:G99,6)</f>
        <v>414618.47678409994</v>
      </c>
      <c r="I91" s="759" t="s">
        <v>357</v>
      </c>
      <c r="J91" s="760">
        <v>7</v>
      </c>
      <c r="L91" s="770">
        <v>7190553.0800000001</v>
      </c>
      <c r="M91" s="771">
        <f>L91*VLOOKUP(J91,J97:O99,4)</f>
        <v>5288004.6405627998</v>
      </c>
      <c r="N91" s="771">
        <f>L91*VLOOKUP(J91,J97:O99,5)</f>
        <v>1321839.3726963999</v>
      </c>
      <c r="O91" s="771">
        <f>L91*VLOOKUP(J91,J97:O99,6)</f>
        <v>580709.06674080004</v>
      </c>
      <c r="Q91" s="759" t="s">
        <v>357</v>
      </c>
      <c r="R91" s="760">
        <v>7</v>
      </c>
      <c r="T91" s="770">
        <v>6040471.7300000004</v>
      </c>
      <c r="U91" s="771">
        <f>T91*VLOOKUP(R91,R97:W99,4)</f>
        <v>4442223.3149593007</v>
      </c>
      <c r="V91" s="771">
        <f>T91*VLOOKUP(R91,R97:W99,5)</f>
        <v>1110419.9181259</v>
      </c>
      <c r="W91" s="771">
        <f>T91*VLOOKUP(R91,R97:W99,6)</f>
        <v>487828.49691480002</v>
      </c>
    </row>
    <row r="92" spans="1:23">
      <c r="A92" s="759" t="s">
        <v>358</v>
      </c>
      <c r="B92" s="760">
        <v>8</v>
      </c>
      <c r="D92" s="770">
        <v>318107</v>
      </c>
      <c r="E92" s="771">
        <f>D92*VLOOKUP(B92,B97:G99,4)</f>
        <v>0</v>
      </c>
      <c r="F92" s="771">
        <f>D92*VLOOKUP(B92,B97:G99,5)</f>
        <v>227561.02351999999</v>
      </c>
      <c r="G92" s="771">
        <f>D92*VLOOKUP(B92,B97:G99,6)</f>
        <v>90545.976479999998</v>
      </c>
      <c r="I92" s="759" t="s">
        <v>358</v>
      </c>
      <c r="J92" s="760">
        <v>8</v>
      </c>
      <c r="L92" s="770">
        <v>0</v>
      </c>
      <c r="M92" s="771">
        <f>L92*VLOOKUP(J92,J97:O99,4)</f>
        <v>0</v>
      </c>
      <c r="N92" s="771">
        <f>L92*VLOOKUP(J92,J97:O99,5)</f>
        <v>0</v>
      </c>
      <c r="O92" s="771">
        <f>L92*VLOOKUP(J92,J97:O99,6)</f>
        <v>0</v>
      </c>
      <c r="Q92" s="759" t="s">
        <v>358</v>
      </c>
      <c r="R92" s="760">
        <v>8</v>
      </c>
      <c r="T92" s="770">
        <v>59835.11</v>
      </c>
      <c r="U92" s="771">
        <f>T92*VLOOKUP(R92,R97:W99,4)</f>
        <v>0</v>
      </c>
      <c r="V92" s="771">
        <f>T92*VLOOKUP(R92,R97:W99,5)</f>
        <v>41815.7666235</v>
      </c>
      <c r="W92" s="771">
        <f>T92*VLOOKUP(R92,R97:W99,6)</f>
        <v>18019.343376499997</v>
      </c>
    </row>
    <row r="93" spans="1:23">
      <c r="A93" s="759" t="s">
        <v>359</v>
      </c>
      <c r="B93" s="760">
        <v>9</v>
      </c>
      <c r="D93" s="770">
        <v>-27406</v>
      </c>
      <c r="E93" s="771">
        <f>D93*VLOOKUP(B93,B97:G99,4)</f>
        <v>-21737.891080000001</v>
      </c>
      <c r="F93" s="771">
        <f>D93*VLOOKUP(B93,B97:G99,5)</f>
        <v>-5668.1089199999997</v>
      </c>
      <c r="G93" s="771">
        <f>D93*VLOOKUP(B93,B97:G99,6)</f>
        <v>0</v>
      </c>
      <c r="I93" s="759" t="s">
        <v>359</v>
      </c>
      <c r="J93" s="760">
        <v>9</v>
      </c>
      <c r="L93" s="770">
        <v>137023.35</v>
      </c>
      <c r="M93" s="771">
        <f>L93*VLOOKUP(J93,J97:O99,4)</f>
        <v>109889.986233</v>
      </c>
      <c r="N93" s="771">
        <f>L93*VLOOKUP(J93,J97:O99,5)</f>
        <v>27133.363767000003</v>
      </c>
      <c r="O93" s="771">
        <f>L93*VLOOKUP(J93,J97:O99,6)</f>
        <v>0</v>
      </c>
      <c r="Q93" s="759" t="s">
        <v>359</v>
      </c>
      <c r="R93" s="760">
        <v>9</v>
      </c>
      <c r="T93" s="770">
        <v>408888.7</v>
      </c>
      <c r="U93" s="771">
        <f>T93*VLOOKUP(R93,R97:W99,4)</f>
        <v>327920.559626</v>
      </c>
      <c r="V93" s="771">
        <f>T93*VLOOKUP(R93,R97:W99,5)</f>
        <v>80968.14037400001</v>
      </c>
      <c r="W93" s="771">
        <f>T93*VLOOKUP(R93,R97:W99,6)</f>
        <v>0</v>
      </c>
    </row>
    <row r="94" spans="1:23">
      <c r="A94" s="759" t="s">
        <v>251</v>
      </c>
      <c r="D94" s="786">
        <f>SUM(D91:D93)</f>
        <v>5420213.2699999996</v>
      </c>
      <c r="E94" s="786">
        <f>SUM(E91:E93)</f>
        <v>3691977.6972772996</v>
      </c>
      <c r="F94" s="786">
        <f>SUM(F91:F93)</f>
        <v>1223071.1194585999</v>
      </c>
      <c r="G94" s="786">
        <f>SUM(G91:G93)</f>
        <v>505164.45326409995</v>
      </c>
      <c r="I94" s="759" t="s">
        <v>251</v>
      </c>
      <c r="L94" s="786">
        <f>SUM(L91:L93)</f>
        <v>7327576.4299999997</v>
      </c>
      <c r="M94" s="786">
        <f>SUM(M91:M93)</f>
        <v>5397894.6267957995</v>
      </c>
      <c r="N94" s="786">
        <f>SUM(N91:N93)</f>
        <v>1348972.7364633998</v>
      </c>
      <c r="O94" s="786">
        <f>SUM(O91:O93)</f>
        <v>580709.06674080004</v>
      </c>
      <c r="Q94" s="759" t="s">
        <v>251</v>
      </c>
      <c r="T94" s="786">
        <f>SUM(T91:T93)</f>
        <v>6509195.540000001</v>
      </c>
      <c r="U94" s="786">
        <f>SUM(U91:U93)</f>
        <v>4770143.8745853007</v>
      </c>
      <c r="V94" s="786">
        <f>SUM(V91:V93)</f>
        <v>1233203.8251234</v>
      </c>
      <c r="W94" s="786">
        <f>SUM(W91:W93)</f>
        <v>505847.84029130003</v>
      </c>
    </row>
    <row r="96" spans="1:23">
      <c r="A96" s="760" t="s">
        <v>252</v>
      </c>
      <c r="I96" s="760" t="s">
        <v>252</v>
      </c>
      <c r="Q96" s="760" t="s">
        <v>252</v>
      </c>
    </row>
    <row r="97" spans="1:23">
      <c r="A97" s="759" t="s">
        <v>253</v>
      </c>
      <c r="B97" s="760">
        <v>7</v>
      </c>
      <c r="D97" s="780">
        <f>E97+F97+G97</f>
        <v>1</v>
      </c>
      <c r="E97" s="785">
        <v>0.72399000000000002</v>
      </c>
      <c r="F97" s="785">
        <v>0.19517999999999999</v>
      </c>
      <c r="G97" s="785">
        <v>8.0829999999999999E-2</v>
      </c>
      <c r="I97" s="759" t="s">
        <v>253</v>
      </c>
      <c r="J97" s="760">
        <v>7</v>
      </c>
      <c r="L97" s="780">
        <f>M97+N97+O97</f>
        <v>1</v>
      </c>
      <c r="M97" s="785">
        <v>0.73541000000000001</v>
      </c>
      <c r="N97" s="785">
        <v>0.18382999999999999</v>
      </c>
      <c r="O97" s="785">
        <v>8.0759999999999998E-2</v>
      </c>
      <c r="Q97" s="759" t="s">
        <v>253</v>
      </c>
      <c r="R97" s="760">
        <v>7</v>
      </c>
      <c r="T97" s="780">
        <f>U97+V97+W97</f>
        <v>1</v>
      </c>
      <c r="U97" s="785">
        <v>0.73541000000000001</v>
      </c>
      <c r="V97" s="785">
        <v>0.18382999999999999</v>
      </c>
      <c r="W97" s="785">
        <v>8.0759999999999998E-2</v>
      </c>
    </row>
    <row r="98" spans="1:23">
      <c r="A98" s="759" t="s">
        <v>254</v>
      </c>
      <c r="B98" s="760">
        <v>8</v>
      </c>
      <c r="D98" s="780">
        <f>E98+F98+G98</f>
        <v>1</v>
      </c>
      <c r="E98" s="785">
        <v>0</v>
      </c>
      <c r="F98" s="785">
        <v>0.71536</v>
      </c>
      <c r="G98" s="785">
        <v>0.28464</v>
      </c>
      <c r="I98" s="759" t="s">
        <v>254</v>
      </c>
      <c r="J98" s="760">
        <v>8</v>
      </c>
      <c r="L98" s="780">
        <f>M98+N98+O98</f>
        <v>1</v>
      </c>
      <c r="M98" s="785">
        <v>0</v>
      </c>
      <c r="N98" s="785">
        <v>0.69884999999999997</v>
      </c>
      <c r="O98" s="785">
        <v>0.30114999999999997</v>
      </c>
      <c r="Q98" s="759" t="s">
        <v>254</v>
      </c>
      <c r="R98" s="760">
        <v>8</v>
      </c>
      <c r="T98" s="780">
        <f>U98+V98+W98</f>
        <v>1</v>
      </c>
      <c r="U98" s="785">
        <v>0</v>
      </c>
      <c r="V98" s="785">
        <v>0.69884999999999997</v>
      </c>
      <c r="W98" s="785">
        <v>0.30114999999999997</v>
      </c>
    </row>
    <row r="99" spans="1:23">
      <c r="A99" s="759" t="s">
        <v>255</v>
      </c>
      <c r="B99" s="760">
        <v>9</v>
      </c>
      <c r="D99" s="780">
        <f>E99+F99+G99</f>
        <v>1</v>
      </c>
      <c r="E99" s="785">
        <v>0.79318</v>
      </c>
      <c r="F99" s="785">
        <v>0.20682</v>
      </c>
      <c r="G99" s="785">
        <v>0</v>
      </c>
      <c r="I99" s="759" t="s">
        <v>255</v>
      </c>
      <c r="J99" s="760">
        <v>9</v>
      </c>
      <c r="L99" s="780">
        <f>M99+N99+O99</f>
        <v>1</v>
      </c>
      <c r="M99" s="785">
        <v>0.80198000000000003</v>
      </c>
      <c r="N99" s="785">
        <v>0.19802</v>
      </c>
      <c r="O99" s="785">
        <v>0</v>
      </c>
      <c r="Q99" s="759" t="s">
        <v>255</v>
      </c>
      <c r="R99" s="760">
        <v>9</v>
      </c>
      <c r="T99" s="780">
        <f>U99+V99+W99</f>
        <v>1</v>
      </c>
      <c r="U99" s="785">
        <v>0.80198000000000003</v>
      </c>
      <c r="V99" s="785">
        <v>0.19802</v>
      </c>
      <c r="W99" s="785">
        <v>0</v>
      </c>
    </row>
    <row r="101" spans="1:23">
      <c r="A101" s="759" t="s">
        <v>360</v>
      </c>
      <c r="D101" s="882">
        <v>184507</v>
      </c>
      <c r="I101" s="759" t="s">
        <v>360</v>
      </c>
      <c r="L101" s="882">
        <v>128243.22</v>
      </c>
      <c r="Q101" s="759" t="s">
        <v>360</v>
      </c>
      <c r="T101" s="882">
        <v>52598.83</v>
      </c>
    </row>
    <row r="102" spans="1:23">
      <c r="A102" s="759" t="s">
        <v>361</v>
      </c>
      <c r="B102" s="759"/>
      <c r="D102" s="883">
        <v>55620</v>
      </c>
      <c r="E102" s="760"/>
      <c r="F102" s="760"/>
      <c r="I102" s="759" t="s">
        <v>361</v>
      </c>
      <c r="J102" s="759"/>
      <c r="L102" s="883">
        <v>28987.87</v>
      </c>
      <c r="M102" s="760"/>
      <c r="N102" s="760"/>
      <c r="Q102" s="759" t="s">
        <v>361</v>
      </c>
      <c r="R102" s="759"/>
      <c r="T102" s="883">
        <v>162771.70000000001</v>
      </c>
      <c r="U102" s="760"/>
      <c r="V102" s="760"/>
    </row>
    <row r="103" spans="1:23">
      <c r="B103" s="759"/>
      <c r="D103" s="771"/>
      <c r="E103" s="771"/>
      <c r="F103" s="771"/>
      <c r="J103" s="759"/>
      <c r="L103" s="771"/>
      <c r="M103" s="771"/>
      <c r="N103" s="771"/>
      <c r="R103" s="759"/>
      <c r="T103" s="771"/>
      <c r="U103" s="771"/>
      <c r="V103" s="771"/>
    </row>
    <row r="104" spans="1:23">
      <c r="B104" s="759"/>
      <c r="D104" s="771"/>
      <c r="E104" s="771"/>
      <c r="F104" s="771"/>
      <c r="J104" s="759"/>
      <c r="L104" s="771"/>
      <c r="M104" s="771"/>
      <c r="N104" s="771"/>
      <c r="R104" s="759"/>
      <c r="T104" s="771"/>
      <c r="U104" s="771"/>
      <c r="V104" s="771"/>
    </row>
    <row r="105" spans="1:23">
      <c r="B105" s="759"/>
      <c r="D105" s="771">
        <f>D25+D54+D81</f>
        <v>55887060.649999999</v>
      </c>
      <c r="E105" s="771"/>
      <c r="F105" s="771"/>
      <c r="J105" s="759"/>
      <c r="L105" s="771">
        <f>L25+L54+L81</f>
        <v>71208598.24000001</v>
      </c>
      <c r="M105" s="771"/>
      <c r="N105" s="771"/>
      <c r="R105" s="759"/>
      <c r="T105" s="771">
        <f>T25+T54+T81</f>
        <v>89177799.269999996</v>
      </c>
      <c r="U105" s="771"/>
      <c r="V105" s="771"/>
    </row>
    <row r="106" spans="1:23">
      <c r="B106" s="759"/>
      <c r="D106" s="884">
        <f>56692862+-805804</f>
        <v>55887058</v>
      </c>
      <c r="E106" s="773"/>
      <c r="F106" s="773"/>
      <c r="J106" s="759"/>
      <c r="L106" s="884">
        <v>71208598.239999995</v>
      </c>
      <c r="M106" s="773"/>
      <c r="N106" s="773"/>
      <c r="R106" s="759"/>
      <c r="T106" s="884">
        <v>89177799.269999996</v>
      </c>
      <c r="U106" s="773"/>
      <c r="V106" s="773"/>
    </row>
    <row r="107" spans="1:23">
      <c r="B107" s="759"/>
      <c r="D107" s="771">
        <f>D106-D105</f>
        <v>-2.6499999985098839</v>
      </c>
      <c r="J107" s="759"/>
      <c r="L107" s="771">
        <f>L106-L105</f>
        <v>0</v>
      </c>
      <c r="R107" s="759"/>
      <c r="T107" s="771">
        <f>T106-T105</f>
        <v>0</v>
      </c>
    </row>
    <row r="108" spans="1:23">
      <c r="A108" s="762"/>
      <c r="B108" s="759"/>
      <c r="D108" s="780"/>
      <c r="E108" s="780"/>
      <c r="F108" s="780"/>
      <c r="I108" s="762"/>
      <c r="J108" s="759"/>
      <c r="L108" s="780"/>
      <c r="M108" s="780"/>
      <c r="N108" s="780"/>
      <c r="Q108" s="762"/>
      <c r="R108" s="759"/>
      <c r="T108" s="780"/>
      <c r="U108" s="780"/>
      <c r="V108" s="780"/>
    </row>
    <row r="109" spans="1:23">
      <c r="B109" s="759"/>
      <c r="D109" s="780"/>
      <c r="E109" s="780"/>
      <c r="F109" s="780"/>
      <c r="J109" s="759"/>
      <c r="L109" s="780"/>
      <c r="M109" s="780"/>
      <c r="N109" s="780"/>
      <c r="R109" s="759"/>
      <c r="T109" s="780"/>
      <c r="U109" s="780"/>
      <c r="V109" s="780"/>
    </row>
    <row r="110" spans="1:23">
      <c r="B110" s="759"/>
      <c r="D110" s="780"/>
      <c r="E110" s="780"/>
      <c r="F110" s="780"/>
      <c r="J110" s="759"/>
      <c r="L110" s="780"/>
      <c r="M110" s="780"/>
      <c r="N110" s="780"/>
      <c r="R110" s="759"/>
      <c r="T110" s="780"/>
      <c r="U110" s="780"/>
      <c r="V110" s="780"/>
    </row>
  </sheetData>
  <phoneticPr fontId="0" type="noConversion"/>
  <printOptions horizontalCentered="1"/>
  <pageMargins left="0.75" right="0.75" top="0.5" bottom="0.5" header="0.5" footer="0.5"/>
  <pageSetup orientation="portrait" horizontalDpi="4294967292" r:id="rId1"/>
  <headerFooter alignWithMargins="0">
    <oddFooter>&amp;L&amp;"Times New Roman,Regular"&amp;8&amp;F &amp;A&amp;C&amp;"Times New Roman,Regular"&amp;8Page &amp;P&amp;R&amp;"Times New Roman,Regular"&amp;8km - Rates &amp;D</oddFooter>
  </headerFooter>
  <rowBreaks count="1" manualBreakCount="1">
    <brk id="62" max="6553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"/>
  <dimension ref="A1:AD74"/>
  <sheetViews>
    <sheetView showGridLines="0" zoomScale="75" workbookViewId="0">
      <selection activeCell="F49" sqref="F49"/>
    </sheetView>
  </sheetViews>
  <sheetFormatPr defaultColWidth="10.7109375" defaultRowHeight="12"/>
  <cols>
    <col min="1" max="1" width="5.7109375" style="55" customWidth="1"/>
    <col min="2" max="4" width="1.7109375" style="26" customWidth="1"/>
    <col min="5" max="5" width="28.7109375" style="26" customWidth="1"/>
    <col min="6" max="6" width="11.7109375" style="27" customWidth="1"/>
    <col min="7" max="7" width="11.7109375" style="28" customWidth="1"/>
    <col min="8" max="8" width="12.85546875" style="28" customWidth="1"/>
    <col min="9" max="9" width="11.7109375" style="28" customWidth="1"/>
    <col min="10" max="10" width="15" style="28" customWidth="1"/>
    <col min="11" max="11" width="11.7109375" style="28" customWidth="1"/>
    <col min="12" max="12" width="11.7109375" style="27" customWidth="1"/>
    <col min="13" max="13" width="16.5703125" style="28" customWidth="1"/>
    <col min="14" max="15" width="11.7109375" style="28" customWidth="1"/>
    <col min="16" max="16" width="12.42578125" style="28" customWidth="1"/>
    <col min="17" max="25" width="11.7109375" style="28" customWidth="1"/>
    <col min="26" max="26" width="12.28515625" style="28" customWidth="1"/>
    <col min="27" max="30" width="11.7109375" style="27" customWidth="1"/>
    <col min="31" max="16384" width="10.7109375" style="26"/>
  </cols>
  <sheetData>
    <row r="1" spans="1:30">
      <c r="A1" s="25" t="str">
        <f>Inputs!$D$6</f>
        <v>AVISTA UTILITIES</v>
      </c>
    </row>
    <row r="2" spans="1:30">
      <c r="A2" s="25" t="s">
        <v>0</v>
      </c>
    </row>
    <row r="3" spans="1:30">
      <c r="A3" s="25" t="s">
        <v>119</v>
      </c>
    </row>
    <row r="4" spans="1:30">
      <c r="A4" s="25" t="str">
        <f>Inputs!$D$2</f>
        <v>TWELVE MONTHS ENDED SEPTEMBER 30, 2008</v>
      </c>
    </row>
    <row r="5" spans="1:30">
      <c r="A5" s="25" t="s">
        <v>2</v>
      </c>
    </row>
    <row r="6" spans="1:30" s="187" customFormat="1">
      <c r="A6" s="186"/>
      <c r="F6" s="30" t="s">
        <v>120</v>
      </c>
      <c r="G6" s="30" t="s">
        <v>120</v>
      </c>
      <c r="H6" s="30" t="s">
        <v>120</v>
      </c>
      <c r="I6" s="30" t="s">
        <v>120</v>
      </c>
      <c r="J6" s="30" t="s">
        <v>120</v>
      </c>
      <c r="K6" s="30" t="s">
        <v>120</v>
      </c>
      <c r="L6" s="30"/>
      <c r="M6" s="30" t="s">
        <v>120</v>
      </c>
      <c r="N6" s="30" t="s">
        <v>120</v>
      </c>
      <c r="O6" s="30" t="s">
        <v>120</v>
      </c>
      <c r="P6" s="30" t="s">
        <v>120</v>
      </c>
      <c r="Q6" s="30" t="s">
        <v>120</v>
      </c>
      <c r="R6" s="30" t="s">
        <v>120</v>
      </c>
      <c r="S6" s="30" t="s">
        <v>120</v>
      </c>
      <c r="T6" s="30" t="s">
        <v>120</v>
      </c>
      <c r="U6" s="30" t="s">
        <v>120</v>
      </c>
      <c r="V6" s="30" t="s">
        <v>120</v>
      </c>
      <c r="W6" s="30" t="s">
        <v>120</v>
      </c>
      <c r="X6" s="30" t="s">
        <v>120</v>
      </c>
      <c r="Y6" s="30" t="s">
        <v>120</v>
      </c>
      <c r="Z6" s="30" t="s">
        <v>120</v>
      </c>
      <c r="AA6" s="30"/>
      <c r="AB6" s="30"/>
      <c r="AC6" s="30"/>
      <c r="AD6" s="30"/>
    </row>
    <row r="7" spans="1:30" s="29" customFormat="1" ht="12" customHeight="1">
      <c r="A7" s="31"/>
      <c r="B7" s="32"/>
      <c r="C7" s="33"/>
      <c r="D7" s="33"/>
      <c r="E7" s="34"/>
      <c r="F7" s="35" t="str">
        <f>IF(WAGas09_08!F7=IDGas12_07!F7,WAGas09_08!F7,"mixed")</f>
        <v>Per</v>
      </c>
      <c r="G7" s="36" t="str">
        <f>IF(WAGas09_08!G7=IDGas12_07!G7,WAGas09_08!G7,"mixed")</f>
        <v xml:space="preserve">Deferred </v>
      </c>
      <c r="H7" s="36" t="str">
        <f>IF(WAGas09_08!H7=IDGas12_07!H7,WAGas09_08!H7,"mixed")</f>
        <v>Deferred Gain</v>
      </c>
      <c r="I7" s="36">
        <f>IF(WAGas09_08!I7=IDGas12_07!I7,WAGas09_08!I7,"mixed")</f>
        <v>0</v>
      </c>
      <c r="J7" s="36" t="str">
        <f>IF(WAGas09_08!J7=IDGas12_07!J7,WAGas09_08!J7,"mixed")</f>
        <v>Weatherization</v>
      </c>
      <c r="K7" s="36" t="e">
        <f>IF(WAGas09_08!L7=IDGas12_07!#REF!,WAGas09_08!L7,"mixed")</f>
        <v>#REF!</v>
      </c>
      <c r="L7" s="35">
        <f>IF(WAGas09_08!M7=IDGas12_07!L7,WAGas09_08!M7,"mixed")</f>
        <v>0</v>
      </c>
      <c r="M7" s="35" t="str">
        <f>IF(WAGas09_08!N7=IDGas12_07!N7,WAGas09_08!N7,"mixed")</f>
        <v>mixed</v>
      </c>
      <c r="N7" s="36" t="e">
        <f>IF(WAGas09_08!#REF!=IDGas12_07!#REF!,WAGas09_08!#REF!,"mixed")</f>
        <v>#REF!</v>
      </c>
      <c r="O7" s="36" t="str">
        <f>IF(WAGas09_08!O7=IDGas12_07!O7,WAGas09_08!O7,"mixed")</f>
        <v xml:space="preserve">Eliminate </v>
      </c>
      <c r="P7" s="36">
        <f>IF(WAGas09_08!P7=IDGas12_07!P7,WAGas09_08!P7,"mixed")</f>
        <v>0</v>
      </c>
      <c r="Q7" s="36">
        <f>IF(WAGas09_08!Q7=IDGas12_07!Q7,WAGas09_08!Q7,"mixed")</f>
        <v>0</v>
      </c>
      <c r="R7" s="36" t="str">
        <f>IF(WAGas09_08!R7=IDGas12_07!R7,WAGas09_08!R7,"mixed")</f>
        <v>Regulatory</v>
      </c>
      <c r="S7" s="36" t="str">
        <f>IF(WAGas09_08!S7=IDGas12_07!S7,WAGas09_08!S7,"mixed")</f>
        <v>Injuries</v>
      </c>
      <c r="T7" s="36">
        <f>IF(WAGas09_08!T7=IDGas12_07!T7,WAGas09_08!T7,"mixed")</f>
        <v>0</v>
      </c>
      <c r="U7" s="36" t="str">
        <f>IF(WAGas09_08!Z7=IDGas12_07!V7,WAGas09_08!Z7,"mixed")</f>
        <v>Restate</v>
      </c>
      <c r="V7" s="36" t="e">
        <f>IF(WAGas09_08!#REF!=IDGas12_07!#REF!,WAGas09_08!#REF!,"mixed")</f>
        <v>#REF!</v>
      </c>
      <c r="W7" s="36" t="e">
        <f>IF(WAGas09_08!#REF!=IDGas12_07!#REF!,WAGas09_08!#REF!,"mixed")</f>
        <v>#REF!</v>
      </c>
      <c r="X7" s="36" t="str">
        <f>IF(WAGas09_08!V7=IDGas12_07!U7,WAGas09_08!V7,"mixed")</f>
        <v xml:space="preserve">Eliminate </v>
      </c>
      <c r="Y7" s="36" t="str">
        <f>IF(WAGas09_08!W7=IDGas12_07!W7,WAGas09_08!W7,"mixed")</f>
        <v>mixed</v>
      </c>
      <c r="Z7" s="36">
        <f>IF(WAGas09_08!AA7=IDGas12_07!X7,WAGas09_08!AA7,"mixed")</f>
        <v>0</v>
      </c>
      <c r="AA7" s="36" t="e">
        <f>IF(WAGas09_08!#REF!=IDGas12_07!Y7,WAGas09_08!#REF!,"mixed")</f>
        <v>#REF!</v>
      </c>
      <c r="AB7" s="36">
        <f>IF(WAGas09_08!AB7=IDGas12_07!Z7,WAGas09_08!AB7,"mixed")</f>
        <v>0</v>
      </c>
      <c r="AC7" s="36" t="e">
        <f>IF(WAGas09_08!#REF!=IDGas12_07!#REF!,WAGas09_08!#REF!,"mixed")</f>
        <v>#REF!</v>
      </c>
      <c r="AD7" s="36" t="str">
        <f>IF(WAGas09_08!AF7=IDGas12_07!AD7,WAGas09_08!AF7,"mixed")</f>
        <v>Pro Forma</v>
      </c>
    </row>
    <row r="8" spans="1:30" s="29" customFormat="1">
      <c r="A8" s="37" t="s">
        <v>10</v>
      </c>
      <c r="B8" s="38"/>
      <c r="C8" s="39"/>
      <c r="D8" s="39"/>
      <c r="E8" s="40"/>
      <c r="F8" s="41" t="str">
        <f>IF(WAGas09_08!F8=IDGas12_07!F8,WAGas09_08!F8,"mixed")</f>
        <v xml:space="preserve">Results </v>
      </c>
      <c r="G8" s="42" t="str">
        <f>IF(WAGas09_08!G8=IDGas12_07!G8,WAGas09_08!G8,"mixed")</f>
        <v>FIT</v>
      </c>
      <c r="H8" s="42" t="str">
        <f>IF(WAGas09_08!H8=IDGas12_07!H8,WAGas09_08!H8,"mixed")</f>
        <v>on Office</v>
      </c>
      <c r="I8" s="42" t="str">
        <f>IF(WAGas09_08!I8=IDGas12_07!I8,WAGas09_08!I8,"mixed")</f>
        <v>Gas</v>
      </c>
      <c r="J8" s="42" t="str">
        <f>IF(WAGas09_08!J8=IDGas12_07!J8,WAGas09_08!J8,"mixed")</f>
        <v>and DSM</v>
      </c>
      <c r="K8" s="42" t="e">
        <f>IF(WAGas09_08!L8=IDGas12_07!#REF!,WAGas09_08!L8,"mixed")</f>
        <v>#REF!</v>
      </c>
      <c r="L8" s="41" t="str">
        <f>IF(WAGas09_08!M8=IDGas12_07!L8,WAGas09_08!M8,"mixed")</f>
        <v>Subtotal</v>
      </c>
      <c r="M8" s="41" t="str">
        <f>IF(WAGas09_08!N8=IDGas12_07!N8,WAGas09_08!N8,"mixed")</f>
        <v>Normalization &amp;</v>
      </c>
      <c r="N8" s="42" t="e">
        <f>IF(WAGas09_08!#REF!=IDGas12_07!#REF!,WAGas09_08!#REF!,"mixed")</f>
        <v>#REF!</v>
      </c>
      <c r="O8" s="42" t="str">
        <f>IF(WAGas09_08!O8=IDGas12_07!O8,WAGas09_08!O8,"mixed")</f>
        <v xml:space="preserve">B &amp; O </v>
      </c>
      <c r="P8" s="42" t="str">
        <f>IF(WAGas09_08!P8=IDGas12_07!P8,WAGas09_08!P8,"mixed")</f>
        <v>Property</v>
      </c>
      <c r="Q8" s="42" t="str">
        <f>IF(WAGas09_08!Q8=IDGas12_07!Q8,WAGas09_08!Q8,"mixed")</f>
        <v>Uncollectible</v>
      </c>
      <c r="R8" s="42" t="str">
        <f>IF(WAGas09_08!R8=IDGas12_07!R8,WAGas09_08!R8,"mixed")</f>
        <v>Expense</v>
      </c>
      <c r="S8" s="42" t="str">
        <f>IF(WAGas09_08!S8=IDGas12_07!S8,WAGas09_08!S8,"mixed")</f>
        <v xml:space="preserve">and </v>
      </c>
      <c r="T8" s="42">
        <f>IF(WAGas09_08!T8=IDGas12_07!T8,WAGas09_08!T8,"mixed")</f>
        <v>0</v>
      </c>
      <c r="U8" s="42" t="str">
        <f>IF(WAGas09_08!Z8=IDGas12_07!V8,WAGas09_08!Z8,"mixed")</f>
        <v>Debt</v>
      </c>
      <c r="V8" s="42" t="e">
        <f>IF(WAGas09_08!#REF!=IDGas12_07!#REF!,WAGas09_08!#REF!,"mixed")</f>
        <v>#REF!</v>
      </c>
      <c r="W8" s="42" t="e">
        <f>IF(WAGas09_08!#REF!=IDGas12_07!#REF!,WAGas09_08!#REF!,"mixed")</f>
        <v>#REF!</v>
      </c>
      <c r="X8" s="42" t="str">
        <f>IF(WAGas09_08!V8=IDGas12_07!U8,WAGas09_08!V8,"mixed")</f>
        <v>A/R</v>
      </c>
      <c r="Y8" s="42" t="str">
        <f>IF(WAGas09_08!W8=IDGas12_07!W8,WAGas09_08!W8,"mixed")</f>
        <v>mixed</v>
      </c>
      <c r="Z8" s="42">
        <f>IF(WAGas09_08!AA8=IDGas12_07!X8,WAGas09_08!AA8,"mixed")</f>
        <v>0</v>
      </c>
      <c r="AA8" s="42" t="e">
        <f>IF(WAGas09_08!#REF!=IDGas12_07!Y8,WAGas09_08!#REF!,"mixed")</f>
        <v>#REF!</v>
      </c>
      <c r="AB8" s="42" t="str">
        <f>IF(WAGas09_08!AB8=IDGas12_07!Z8,WAGas09_08!AB8,"mixed")</f>
        <v>Restated</v>
      </c>
      <c r="AC8" s="42" t="e">
        <f>IF(WAGas09_08!#REF!=IDGas12_07!#REF!,WAGas09_08!#REF!,"mixed")</f>
        <v>#REF!</v>
      </c>
      <c r="AD8" s="42" t="str">
        <f>IF(WAGas09_08!AF8=IDGas12_07!AD8,WAGas09_08!AF8,"mixed")</f>
        <v>Capital Add</v>
      </c>
    </row>
    <row r="9" spans="1:30" s="29" customFormat="1">
      <c r="A9" s="43" t="s">
        <v>27</v>
      </c>
      <c r="B9" s="44"/>
      <c r="C9" s="45"/>
      <c r="D9" s="45"/>
      <c r="E9" s="46" t="s">
        <v>28</v>
      </c>
      <c r="F9" s="47" t="str">
        <f>IF(WAGas09_08!F9=IDGas12_07!F9,WAGas09_08!F9,"mixed")</f>
        <v>Report</v>
      </c>
      <c r="G9" s="48" t="str">
        <f>IF(WAGas09_08!G9=IDGas12_07!G9,WAGas09_08!G9,"mixed")</f>
        <v>Rate Base</v>
      </c>
      <c r="H9" s="48" t="str">
        <f>IF(WAGas09_08!H9=IDGas12_07!H9,WAGas09_08!H9,"mixed")</f>
        <v>Building</v>
      </c>
      <c r="I9" s="48" t="str">
        <f>IF(WAGas09_08!I9=IDGas12_07!I9,WAGas09_08!I9,"mixed")</f>
        <v>Inventory</v>
      </c>
      <c r="J9" s="48" t="str">
        <f>IF(WAGas09_08!J9=IDGas12_07!J9,WAGas09_08!J9,"mixed")</f>
        <v>Investment</v>
      </c>
      <c r="K9" s="48" t="e">
        <f>IF(WAGas09_08!L9=IDGas12_07!#REF!,WAGas09_08!L9,"mixed")</f>
        <v>#REF!</v>
      </c>
      <c r="L9" s="47" t="str">
        <f>IF(WAGas09_08!M9=IDGas12_07!L9,WAGas09_08!M9,"mixed")</f>
        <v>Actual</v>
      </c>
      <c r="M9" s="47" t="str">
        <f>IF(WAGas09_08!N9=IDGas12_07!N9,WAGas09_08!N9,"mixed")</f>
        <v>Gas Cost Adjust</v>
      </c>
      <c r="N9" s="48" t="e">
        <f>IF(WAGas09_08!#REF!=IDGas12_07!#REF!,WAGas09_08!#REF!,"mixed")</f>
        <v>#REF!</v>
      </c>
      <c r="O9" s="48" t="str">
        <f>IF(WAGas09_08!O9=IDGas12_07!O9,WAGas09_08!O9,"mixed")</f>
        <v>Taxes</v>
      </c>
      <c r="P9" s="48" t="str">
        <f>IF(WAGas09_08!P9=IDGas12_07!P9,WAGas09_08!P9,"mixed")</f>
        <v>Tax</v>
      </c>
      <c r="Q9" s="48" t="str">
        <f>IF(WAGas09_08!Q9=IDGas12_07!Q9,WAGas09_08!Q9,"mixed")</f>
        <v>Expense</v>
      </c>
      <c r="R9" s="48" t="str">
        <f>IF(WAGas09_08!R9=IDGas12_07!R9,WAGas09_08!R9,"mixed")</f>
        <v>Adjustment</v>
      </c>
      <c r="S9" s="48" t="str">
        <f>IF(WAGas09_08!S9=IDGas12_07!S9,WAGas09_08!S9,"mixed")</f>
        <v>Damages</v>
      </c>
      <c r="T9" s="48" t="str">
        <f>IF(WAGas09_08!T9=IDGas12_07!T9,WAGas09_08!T9,"mixed")</f>
        <v>FIT</v>
      </c>
      <c r="U9" s="48" t="str">
        <f>IF(WAGas09_08!Z9=IDGas12_07!V9,WAGas09_08!Z9,"mixed")</f>
        <v>Interest</v>
      </c>
      <c r="V9" s="48" t="e">
        <f>IF(WAGas09_08!#REF!=IDGas12_07!#REF!,WAGas09_08!#REF!,"mixed")</f>
        <v>#REF!</v>
      </c>
      <c r="W9" s="48" t="e">
        <f>IF(WAGas09_08!#REF!=IDGas12_07!#REF!,WAGas09_08!#REF!,"mixed")</f>
        <v>#REF!</v>
      </c>
      <c r="X9" s="48" t="str">
        <f>IF(WAGas09_08!V9=IDGas12_07!U9,WAGas09_08!V9,"mixed")</f>
        <v>Expenses</v>
      </c>
      <c r="Y9" s="48" t="str">
        <f>IF(WAGas09_08!W9=IDGas12_07!W9,WAGas09_08!W9,"mixed")</f>
        <v>mixed</v>
      </c>
      <c r="Z9" s="48">
        <f>IF(WAGas09_08!AA9=IDGas12_07!X9,WAGas09_08!AA9,"mixed")</f>
        <v>0</v>
      </c>
      <c r="AA9" s="48" t="e">
        <f>IF(WAGas09_08!#REF!=IDGas12_07!Y9,WAGas09_08!#REF!,"mixed")</f>
        <v>#REF!</v>
      </c>
      <c r="AB9" s="48" t="str">
        <f>IF(WAGas09_08!AB9=IDGas12_07!Z9,WAGas09_08!AB9,"mixed")</f>
        <v>Total</v>
      </c>
      <c r="AC9" s="48" t="e">
        <f>IF(WAGas09_08!#REF!=IDGas12_07!#REF!,WAGas09_08!#REF!,"mixed")</f>
        <v>#REF!</v>
      </c>
      <c r="AD9" s="48" t="str">
        <f>IF(WAGas09_08!AF9=IDGas12_07!AD9,WAGas09_08!AF9,"mixed")</f>
        <v>mixed</v>
      </c>
    </row>
    <row r="10" spans="1:30" s="50" customFormat="1">
      <c r="A10" s="49"/>
      <c r="E10" s="51" t="s">
        <v>45</v>
      </c>
      <c r="F10" s="52" t="s">
        <v>46</v>
      </c>
      <c r="G10" s="53" t="s">
        <v>47</v>
      </c>
      <c r="H10" s="53" t="s">
        <v>48</v>
      </c>
      <c r="I10" s="53" t="s">
        <v>49</v>
      </c>
      <c r="J10" s="53" t="s">
        <v>49</v>
      </c>
      <c r="K10" s="53" t="s">
        <v>50</v>
      </c>
      <c r="L10" s="52" t="s">
        <v>52</v>
      </c>
      <c r="M10" s="53" t="s">
        <v>51</v>
      </c>
      <c r="N10" s="53" t="s">
        <v>53</v>
      </c>
      <c r="O10" s="53" t="s">
        <v>121</v>
      </c>
      <c r="P10" s="53" t="s">
        <v>54</v>
      </c>
      <c r="Q10" s="53" t="s">
        <v>55</v>
      </c>
      <c r="R10" s="53" t="s">
        <v>122</v>
      </c>
      <c r="S10" s="53" t="s">
        <v>56</v>
      </c>
      <c r="T10" s="53" t="s">
        <v>57</v>
      </c>
      <c r="U10" s="53" t="s">
        <v>58</v>
      </c>
      <c r="V10" s="53" t="s">
        <v>59</v>
      </c>
      <c r="W10" s="54" t="s">
        <v>60</v>
      </c>
      <c r="X10" s="53" t="s">
        <v>62</v>
      </c>
      <c r="Y10" s="53" t="s">
        <v>63</v>
      </c>
      <c r="Z10" s="53" t="s">
        <v>64</v>
      </c>
      <c r="AA10" s="52" t="s">
        <v>65</v>
      </c>
      <c r="AB10" s="52" t="s">
        <v>123</v>
      </c>
      <c r="AC10" s="52" t="s">
        <v>124</v>
      </c>
      <c r="AD10" s="52" t="s">
        <v>52</v>
      </c>
    </row>
    <row r="11" spans="1:30">
      <c r="W11" s="56"/>
    </row>
    <row r="12" spans="1:30">
      <c r="B12" s="26" t="s">
        <v>68</v>
      </c>
      <c r="AA12" s="28"/>
      <c r="AB12" s="28"/>
      <c r="AC12" s="28"/>
    </row>
    <row r="13" spans="1:30" s="57" customFormat="1">
      <c r="A13" s="55">
        <v>1</v>
      </c>
      <c r="C13" s="57" t="s">
        <v>69</v>
      </c>
      <c r="F13" s="97">
        <f>IF((WAGas09_08!F13+IDGas12_07!F13)=0,,(WAGas09_08!F13+IDGas12_07!F13))</f>
        <v>308868</v>
      </c>
      <c r="G13" s="97">
        <f>IF((WAGas09_08!G13+IDGas12_07!G13)=0,,(WAGas09_08!G13+IDGas12_07!G13))</f>
        <v>0</v>
      </c>
      <c r="H13" s="97">
        <f>IF((WAGas09_08!H13+IDGas12_07!H13)=0,,(WAGas09_08!H13+IDGas12_07!H13))</f>
        <v>0</v>
      </c>
      <c r="I13" s="97">
        <f>IF((WAGas09_08!I13+IDGas12_07!I13)=0,,(WAGas09_08!I13+IDGas12_07!I13))</f>
        <v>0</v>
      </c>
      <c r="J13" s="97">
        <f>IF((WAGas09_08!J13+IDGas12_07!J13)=0,,(WAGas09_08!J13+IDGas12_07!J13))</f>
        <v>0</v>
      </c>
      <c r="K13" s="97" t="e">
        <f>IF((WAGas09_08!L13+IDGas12_07!#REF!)=0,,(WAGas09_08!L13+IDGas12_07!#REF!))</f>
        <v>#REF!</v>
      </c>
      <c r="L13" s="97">
        <f>IF((WAGas09_08!M13+IDGas12_07!L13)=0,,(WAGas09_08!M13+IDGas12_07!L13))</f>
        <v>308868</v>
      </c>
      <c r="M13" s="97">
        <f>IF((WAGas09_08!N13+IDGas12_07!N13)=0,,(WAGas09_08!N13+IDGas12_07!N13))</f>
        <v>1695</v>
      </c>
      <c r="N13" s="97" t="e">
        <f>IF((WAGas09_08!#REF!+IDGas12_07!#REF!)=0,,(WAGas09_08!#REF!+IDGas12_07!#REF!))</f>
        <v>#REF!</v>
      </c>
      <c r="O13" s="97">
        <f>IF((WAGas09_08!O13+IDGas12_07!O13)=0,,(WAGas09_08!O13+IDGas12_07!O13))</f>
        <v>-7839</v>
      </c>
      <c r="P13" s="97">
        <f>IF((WAGas09_08!P13+IDGas12_07!P13)=0,,(WAGas09_08!P13+IDGas12_07!P13))</f>
        <v>0</v>
      </c>
      <c r="Q13" s="97">
        <f>IF((WAGas09_08!Q13+IDGas12_07!Q13)=0,,(WAGas09_08!Q13+IDGas12_07!Q13))</f>
        <v>0</v>
      </c>
      <c r="R13" s="97">
        <f>IF((WAGas09_08!R13+IDGas12_07!R13)=0,,(WAGas09_08!R13+IDGas12_07!R13))</f>
        <v>0</v>
      </c>
      <c r="S13" s="97">
        <f>IF((WAGas09_08!S13+IDGas12_07!S13)=0,,(WAGas09_08!S13+IDGas12_07!S13))</f>
        <v>0</v>
      </c>
      <c r="T13" s="97">
        <f>IF((WAGas09_08!T13+IDGas12_07!T13)=0,,(WAGas09_08!T13+IDGas12_07!T13))</f>
        <v>0</v>
      </c>
      <c r="U13" s="97">
        <f>IF((WAGas09_08!Z13+IDGas12_07!V13)=0,,(WAGas09_08!Z13+IDGas12_07!V13))</f>
        <v>0</v>
      </c>
      <c r="V13" s="97" t="e">
        <f>IF((WAGas09_08!#REF!+IDGas12_07!#REF!)=0,,(WAGas09_08!#REF!+IDGas12_07!#REF!))</f>
        <v>#REF!</v>
      </c>
      <c r="W13" s="97" t="e">
        <f>IF((WAGas09_08!#REF!+IDGas12_07!#REF!)=0,,(WAGas09_08!#REF!+IDGas12_07!#REF!))</f>
        <v>#REF!</v>
      </c>
      <c r="X13" s="97">
        <f>IF((WAGas09_08!V13+IDGas12_07!U13)=0,,(WAGas09_08!V13+IDGas12_07!U13))</f>
        <v>0</v>
      </c>
      <c r="Y13" s="97">
        <f>IF((WAGas09_08!W13+IDGas12_07!W13)=0,,(WAGas09_08!W13+IDGas12_07!W13))</f>
        <v>0</v>
      </c>
      <c r="Z13" s="97">
        <f>IF((WAGas09_08!AA13+IDGas12_07!X13)=0,,(WAGas09_08!AA13+IDGas12_07!X13))</f>
        <v>0</v>
      </c>
      <c r="AA13" s="97" t="e">
        <f>IF((WAGas09_08!#REF!+IDGas12_07!Y13)=0,,(WAGas09_08!#REF!+IDGas12_07!Y13))</f>
        <v>#REF!</v>
      </c>
      <c r="AB13" s="97">
        <f>IF((WAGas09_08!AB13+IDGas12_07!Z13)=0,,(WAGas09_08!AB13+IDGas12_07!Z13))</f>
        <v>302724</v>
      </c>
      <c r="AC13" s="97" t="e">
        <f>IF((WAGas09_08!#REF!+IDGas12_07!#REF!)=0,,(WAGas09_08!#REF!+IDGas12_07!#REF!))</f>
        <v>#REF!</v>
      </c>
      <c r="AD13" s="97">
        <f>IF((WAGas09_08!AF13+IDGas12_07!AD13)=0,,(WAGas09_08!AF13+IDGas12_07!AD13))</f>
        <v>0</v>
      </c>
    </row>
    <row r="14" spans="1:30">
      <c r="A14" s="55">
        <v>2</v>
      </c>
      <c r="C14" s="58" t="s">
        <v>70</v>
      </c>
      <c r="D14" s="58"/>
      <c r="E14" s="58"/>
      <c r="F14" s="89">
        <f>IF((WAGas09_08!F14+IDGas12_07!F14)=0,,(WAGas09_08!F14+IDGas12_07!F14))</f>
        <v>4015</v>
      </c>
      <c r="G14" s="89">
        <f>IF((WAGas09_08!G14+IDGas12_07!G14)=0,,(WAGas09_08!G14+IDGas12_07!G14))</f>
        <v>0</v>
      </c>
      <c r="H14" s="89">
        <f>IF((WAGas09_08!H14+IDGas12_07!H14)=0,,(WAGas09_08!H14+IDGas12_07!H14))</f>
        <v>0</v>
      </c>
      <c r="I14" s="89">
        <f>IF((WAGas09_08!I14+IDGas12_07!I14)=0,,(WAGas09_08!I14+IDGas12_07!I14))</f>
        <v>0</v>
      </c>
      <c r="J14" s="89">
        <f>IF((WAGas09_08!J14+IDGas12_07!J14)=0,,(WAGas09_08!J14+IDGas12_07!J14))</f>
        <v>0</v>
      </c>
      <c r="K14" s="89" t="e">
        <f>IF((WAGas09_08!L14+IDGas12_07!#REF!)=0,,(WAGas09_08!L14+IDGas12_07!#REF!))</f>
        <v>#REF!</v>
      </c>
      <c r="L14" s="89">
        <f>IF((WAGas09_08!M14+IDGas12_07!L14)=0,,(WAGas09_08!M14+IDGas12_07!L14))</f>
        <v>4015</v>
      </c>
      <c r="M14" s="89">
        <f>IF((WAGas09_08!N14+IDGas12_07!N14)=0,,(WAGas09_08!N14+IDGas12_07!N14))</f>
        <v>-1700</v>
      </c>
      <c r="N14" s="89" t="e">
        <f>IF((WAGas09_08!#REF!+IDGas12_07!#REF!)=0,,(WAGas09_08!#REF!+IDGas12_07!#REF!))</f>
        <v>#REF!</v>
      </c>
      <c r="O14" s="89">
        <f>IF((WAGas09_08!O14+IDGas12_07!O14)=0,,(WAGas09_08!O14+IDGas12_07!O14))</f>
        <v>-75</v>
      </c>
      <c r="P14" s="89">
        <f>IF((WAGas09_08!P14+IDGas12_07!P14)=0,,(WAGas09_08!P14+IDGas12_07!P14))</f>
        <v>0</v>
      </c>
      <c r="Q14" s="89">
        <f>IF((WAGas09_08!Q14+IDGas12_07!Q14)=0,,(WAGas09_08!Q14+IDGas12_07!Q14))</f>
        <v>0</v>
      </c>
      <c r="R14" s="89">
        <f>IF((WAGas09_08!R14+IDGas12_07!R14)=0,,(WAGas09_08!R14+IDGas12_07!R14))</f>
        <v>0</v>
      </c>
      <c r="S14" s="89">
        <f>IF((WAGas09_08!S14+IDGas12_07!S14)=0,,(WAGas09_08!S14+IDGas12_07!S14))</f>
        <v>0</v>
      </c>
      <c r="T14" s="89">
        <f>IF((WAGas09_08!T14+IDGas12_07!T14)=0,,(WAGas09_08!T14+IDGas12_07!T14))</f>
        <v>0</v>
      </c>
      <c r="U14" s="89">
        <f>IF((WAGas09_08!Z14+IDGas12_07!V14)=0,,(WAGas09_08!Z14+IDGas12_07!V14))</f>
        <v>0</v>
      </c>
      <c r="V14" s="89" t="e">
        <f>IF((WAGas09_08!#REF!+IDGas12_07!#REF!)=0,,(WAGas09_08!#REF!+IDGas12_07!#REF!))</f>
        <v>#REF!</v>
      </c>
      <c r="W14" s="89" t="e">
        <f>IF((WAGas09_08!#REF!+IDGas12_07!#REF!)=0,,(WAGas09_08!#REF!+IDGas12_07!#REF!))</f>
        <v>#REF!</v>
      </c>
      <c r="X14" s="89">
        <f>IF((WAGas09_08!V14+IDGas12_07!U14)=0,,(WAGas09_08!V14+IDGas12_07!U14))</f>
        <v>0</v>
      </c>
      <c r="Y14" s="89">
        <f>IF((WAGas09_08!W14+IDGas12_07!W14)=0,,(WAGas09_08!W14+IDGas12_07!W14))</f>
        <v>0</v>
      </c>
      <c r="Z14" s="89">
        <f>IF((WAGas09_08!AA14+IDGas12_07!X14)=0,,(WAGas09_08!AA14+IDGas12_07!X14))</f>
        <v>0</v>
      </c>
      <c r="AA14" s="89" t="e">
        <f>IF((WAGas09_08!#REF!+IDGas12_07!Y14)=0,,(WAGas09_08!#REF!+IDGas12_07!Y14))</f>
        <v>#REF!</v>
      </c>
      <c r="AB14" s="89">
        <f>IF((WAGas09_08!AB14+IDGas12_07!Z14)=0,,(WAGas09_08!AB14+IDGas12_07!Z14))</f>
        <v>2240</v>
      </c>
      <c r="AC14" s="89" t="e">
        <f>IF((WAGas09_08!#REF!+IDGas12_07!#REF!)=0,,(WAGas09_08!#REF!+IDGas12_07!#REF!))</f>
        <v>#REF!</v>
      </c>
      <c r="AD14" s="89">
        <f>IF((WAGas09_08!AF14+IDGas12_07!AD14)=0,,(WAGas09_08!AF14+IDGas12_07!AD14))</f>
        <v>0</v>
      </c>
    </row>
    <row r="15" spans="1:30">
      <c r="A15" s="55">
        <v>3</v>
      </c>
      <c r="C15" s="58" t="s">
        <v>71</v>
      </c>
      <c r="D15" s="58"/>
      <c r="E15" s="58"/>
      <c r="F15" s="90">
        <f>IF((WAGas09_08!F15+IDGas12_07!F15)=0,,(WAGas09_08!F15+IDGas12_07!F15))</f>
        <v>195774</v>
      </c>
      <c r="G15" s="93">
        <f>IF((WAGas09_08!G15+IDGas12_07!G15)=0,,(WAGas09_08!G15+IDGas12_07!G15))</f>
        <v>0</v>
      </c>
      <c r="H15" s="93">
        <f>IF((WAGas09_08!H15+IDGas12_07!H15)=0,,(WAGas09_08!H15+IDGas12_07!H15))</f>
        <v>0</v>
      </c>
      <c r="I15" s="93">
        <f>IF((WAGas09_08!I15+IDGas12_07!I15)=0,,(WAGas09_08!I15+IDGas12_07!I15))</f>
        <v>0</v>
      </c>
      <c r="J15" s="93">
        <f>IF((WAGas09_08!J15+IDGas12_07!J15)=0,,(WAGas09_08!J15+IDGas12_07!J15))</f>
        <v>0</v>
      </c>
      <c r="K15" s="93" t="e">
        <f>IF((WAGas09_08!L15+IDGas12_07!#REF!)=0,,(WAGas09_08!L15+IDGas12_07!#REF!))</f>
        <v>#REF!</v>
      </c>
      <c r="L15" s="90">
        <f>IF((WAGas09_08!M15+IDGas12_07!L15)=0,,(WAGas09_08!M15+IDGas12_07!L15))</f>
        <v>195774</v>
      </c>
      <c r="M15" s="93">
        <f>IF((WAGas09_08!N15+IDGas12_07!N15)=0,,(WAGas09_08!N15+IDGas12_07!N15))</f>
        <v>-131399</v>
      </c>
      <c r="N15" s="93" t="e">
        <f>IF((WAGas09_08!#REF!+IDGas12_07!#REF!)=0,,(WAGas09_08!#REF!+IDGas12_07!#REF!))</f>
        <v>#REF!</v>
      </c>
      <c r="O15" s="93">
        <f>IF((WAGas09_08!O15+IDGas12_07!O15)=0,,(WAGas09_08!O15+IDGas12_07!O15))</f>
        <v>0</v>
      </c>
      <c r="P15" s="93">
        <f>IF((WAGas09_08!P15+IDGas12_07!P15)=0,,(WAGas09_08!P15+IDGas12_07!P15))</f>
        <v>0</v>
      </c>
      <c r="Q15" s="93">
        <f>IF((WAGas09_08!Q15+IDGas12_07!Q15)=0,,(WAGas09_08!Q15+IDGas12_07!Q15))</f>
        <v>0</v>
      </c>
      <c r="R15" s="93">
        <f>IF((WAGas09_08!R15+IDGas12_07!R15)=0,,(WAGas09_08!R15+IDGas12_07!R15))</f>
        <v>0</v>
      </c>
      <c r="S15" s="93">
        <f>IF((WAGas09_08!S15+IDGas12_07!S15)=0,,(WAGas09_08!S15+IDGas12_07!S15))</f>
        <v>0</v>
      </c>
      <c r="T15" s="93">
        <f>IF((WAGas09_08!T15+IDGas12_07!T15)=0,,(WAGas09_08!T15+IDGas12_07!T15))</f>
        <v>0</v>
      </c>
      <c r="U15" s="93">
        <f>IF((WAGas09_08!Z15+IDGas12_07!V15)=0,,(WAGas09_08!Z15+IDGas12_07!V15))</f>
        <v>0</v>
      </c>
      <c r="V15" s="93" t="e">
        <f>IF((WAGas09_08!#REF!+IDGas12_07!#REF!)=0,,(WAGas09_08!#REF!+IDGas12_07!#REF!))</f>
        <v>#REF!</v>
      </c>
      <c r="W15" s="93" t="e">
        <f>IF((WAGas09_08!#REF!+IDGas12_07!#REF!)=0,,(WAGas09_08!#REF!+IDGas12_07!#REF!))</f>
        <v>#REF!</v>
      </c>
      <c r="X15" s="93">
        <f>IF((WAGas09_08!V15+IDGas12_07!U15)=0,,(WAGas09_08!V15+IDGas12_07!U15))</f>
        <v>0</v>
      </c>
      <c r="Y15" s="93">
        <f>IF((WAGas09_08!W15+IDGas12_07!W15)=0,,(WAGas09_08!W15+IDGas12_07!W15))</f>
        <v>0</v>
      </c>
      <c r="Z15" s="93">
        <f>IF((WAGas09_08!AA15+IDGas12_07!X15)=0,,(WAGas09_08!AA15+IDGas12_07!X15))</f>
        <v>0</v>
      </c>
      <c r="AA15" s="93" t="e">
        <f>IF((WAGas09_08!#REF!+IDGas12_07!Y15)=0,,(WAGas09_08!#REF!+IDGas12_07!Y15))</f>
        <v>#REF!</v>
      </c>
      <c r="AB15" s="93">
        <f>IF((WAGas09_08!AB15+IDGas12_07!Z15)=0,,(WAGas09_08!AB15+IDGas12_07!Z15))</f>
        <v>64375</v>
      </c>
      <c r="AC15" s="93" t="e">
        <f>IF((WAGas09_08!#REF!+IDGas12_07!#REF!)=0,,(WAGas09_08!#REF!+IDGas12_07!#REF!))</f>
        <v>#REF!</v>
      </c>
      <c r="AD15" s="93">
        <f>IF((WAGas09_08!AF15+IDGas12_07!AD15)=0,,(WAGas09_08!AF15+IDGas12_07!AD15))</f>
        <v>0</v>
      </c>
    </row>
    <row r="16" spans="1:30">
      <c r="A16" s="55">
        <v>4</v>
      </c>
      <c r="B16" s="26" t="s">
        <v>72</v>
      </c>
      <c r="C16" s="58"/>
      <c r="D16" s="58"/>
      <c r="E16" s="58"/>
      <c r="F16" s="89">
        <f>IF((WAGas09_08!F16+IDGas12_07!F16)=0,,(WAGas09_08!F16+IDGas12_07!F16))</f>
        <v>508657</v>
      </c>
      <c r="G16" s="94">
        <f>IF((WAGas09_08!G16+IDGas12_07!G16)=0,,(WAGas09_08!G16+IDGas12_07!G16))</f>
        <v>0</v>
      </c>
      <c r="H16" s="94">
        <f>IF((WAGas09_08!H16+IDGas12_07!H16)=0,,(WAGas09_08!H16+IDGas12_07!H16))</f>
        <v>0</v>
      </c>
      <c r="I16" s="94">
        <f>IF((WAGas09_08!I16+IDGas12_07!I16)=0,,(WAGas09_08!I16+IDGas12_07!I16))</f>
        <v>0</v>
      </c>
      <c r="J16" s="94">
        <f>IF((WAGas09_08!J16+IDGas12_07!J16)=0,,(WAGas09_08!J16+IDGas12_07!J16))</f>
        <v>0</v>
      </c>
      <c r="K16" s="94" t="e">
        <f>IF((WAGas09_08!L16+IDGas12_07!#REF!)=0,,(WAGas09_08!L16+IDGas12_07!#REF!))</f>
        <v>#REF!</v>
      </c>
      <c r="L16" s="89">
        <f>IF((WAGas09_08!M16+IDGas12_07!L16)=0,,(WAGas09_08!M16+IDGas12_07!L16))</f>
        <v>508657</v>
      </c>
      <c r="M16" s="94">
        <f>IF((WAGas09_08!N16+IDGas12_07!N16)=0,,(WAGas09_08!N16+IDGas12_07!N16))</f>
        <v>-131404</v>
      </c>
      <c r="N16" s="94" t="e">
        <f>IF((WAGas09_08!#REF!+IDGas12_07!#REF!)=0,,(WAGas09_08!#REF!+IDGas12_07!#REF!))</f>
        <v>#REF!</v>
      </c>
      <c r="O16" s="94">
        <f>IF((WAGas09_08!O16+IDGas12_07!O16)=0,,(WAGas09_08!O16+IDGas12_07!O16))</f>
        <v>-7914</v>
      </c>
      <c r="P16" s="94">
        <f>IF((WAGas09_08!P16+IDGas12_07!P16)=0,,(WAGas09_08!P16+IDGas12_07!P16))</f>
        <v>0</v>
      </c>
      <c r="Q16" s="94">
        <f>IF((WAGas09_08!Q16+IDGas12_07!Q16)=0,,(WAGas09_08!Q16+IDGas12_07!Q16))</f>
        <v>0</v>
      </c>
      <c r="R16" s="94">
        <f>IF((WAGas09_08!R16+IDGas12_07!R16)=0,,(WAGas09_08!R16+IDGas12_07!R16))</f>
        <v>0</v>
      </c>
      <c r="S16" s="94">
        <f>IF((WAGas09_08!S16+IDGas12_07!S16)=0,,(WAGas09_08!S16+IDGas12_07!S16))</f>
        <v>0</v>
      </c>
      <c r="T16" s="94">
        <f>IF((WAGas09_08!T16+IDGas12_07!T16)=0,,(WAGas09_08!T16+IDGas12_07!T16))</f>
        <v>0</v>
      </c>
      <c r="U16" s="94">
        <f>IF((WAGas09_08!Z16+IDGas12_07!V16)=0,,(WAGas09_08!Z16+IDGas12_07!V16))</f>
        <v>0</v>
      </c>
      <c r="V16" s="94" t="e">
        <f>IF((WAGas09_08!#REF!+IDGas12_07!#REF!)=0,,(WAGas09_08!#REF!+IDGas12_07!#REF!))</f>
        <v>#REF!</v>
      </c>
      <c r="W16" s="94" t="e">
        <f>IF((WAGas09_08!#REF!+IDGas12_07!#REF!)=0,,(WAGas09_08!#REF!+IDGas12_07!#REF!))</f>
        <v>#REF!</v>
      </c>
      <c r="X16" s="94">
        <f>IF((WAGas09_08!V16+IDGas12_07!U16)=0,,(WAGas09_08!V16+IDGas12_07!U16))</f>
        <v>0</v>
      </c>
      <c r="Y16" s="94">
        <f>IF((WAGas09_08!W16+IDGas12_07!W16)=0,,(WAGas09_08!W16+IDGas12_07!W16))</f>
        <v>0</v>
      </c>
      <c r="Z16" s="94">
        <f>IF((WAGas09_08!AA16+IDGas12_07!X16)=0,,(WAGas09_08!AA16+IDGas12_07!X16))</f>
        <v>0</v>
      </c>
      <c r="AA16" s="94" t="e">
        <f>IF((WAGas09_08!#REF!+IDGas12_07!Y16)=0,,(WAGas09_08!#REF!+IDGas12_07!Y16))</f>
        <v>#REF!</v>
      </c>
      <c r="AB16" s="94">
        <f>IF((WAGas09_08!AB16+IDGas12_07!Z16)=0,,(WAGas09_08!AB16+IDGas12_07!Z16))</f>
        <v>369339</v>
      </c>
      <c r="AC16" s="94" t="e">
        <f>IF((WAGas09_08!#REF!+IDGas12_07!#REF!)=0,,(WAGas09_08!#REF!+IDGas12_07!#REF!))</f>
        <v>#REF!</v>
      </c>
      <c r="AD16" s="94">
        <f>IF((WAGas09_08!AF16+IDGas12_07!AD16)=0,,(WAGas09_08!AF16+IDGas12_07!AD16))</f>
        <v>0</v>
      </c>
    </row>
    <row r="17" spans="1:30">
      <c r="C17" s="58"/>
      <c r="D17" s="58"/>
      <c r="E17" s="58"/>
      <c r="F17" s="89">
        <f>IF((WAGas09_08!F17+IDGas12_07!F17)=0,,(WAGas09_08!F17+IDGas12_07!F17))</f>
        <v>0</v>
      </c>
      <c r="G17" s="94">
        <f>IF((WAGas09_08!G17+IDGas12_07!G17)=0,,(WAGas09_08!G17+IDGas12_07!G17))</f>
        <v>0</v>
      </c>
      <c r="H17" s="94">
        <f>IF((WAGas09_08!H17+IDGas12_07!H17)=0,,(WAGas09_08!H17+IDGas12_07!H17))</f>
        <v>0</v>
      </c>
      <c r="I17" s="94">
        <f>IF((WAGas09_08!I17+IDGas12_07!I17)=0,,(WAGas09_08!I17+IDGas12_07!I17))</f>
        <v>0</v>
      </c>
      <c r="J17" s="94">
        <f>IF((WAGas09_08!J17+IDGas12_07!J17)=0,,(WAGas09_08!J17+IDGas12_07!J17))</f>
        <v>0</v>
      </c>
      <c r="K17" s="94" t="e">
        <f>IF((WAGas09_08!L17+IDGas12_07!#REF!)=0,,(WAGas09_08!L17+IDGas12_07!#REF!))</f>
        <v>#REF!</v>
      </c>
      <c r="L17" s="89">
        <f>IF((WAGas09_08!M17+IDGas12_07!L17)=0,,(WAGas09_08!M17+IDGas12_07!L17))</f>
        <v>0</v>
      </c>
      <c r="M17" s="94">
        <f>IF((WAGas09_08!N17+IDGas12_07!N17)=0,,(WAGas09_08!N17+IDGas12_07!N17))</f>
        <v>0</v>
      </c>
      <c r="N17" s="94" t="e">
        <f>IF((WAGas09_08!#REF!+IDGas12_07!#REF!)=0,,(WAGas09_08!#REF!+IDGas12_07!#REF!))</f>
        <v>#REF!</v>
      </c>
      <c r="O17" s="94">
        <f>IF((WAGas09_08!O17+IDGas12_07!O17)=0,,(WAGas09_08!O17+IDGas12_07!O17))</f>
        <v>0</v>
      </c>
      <c r="P17" s="94">
        <f>IF((WAGas09_08!P17+IDGas12_07!P17)=0,,(WAGas09_08!P17+IDGas12_07!P17))</f>
        <v>0</v>
      </c>
      <c r="Q17" s="94">
        <f>IF((WAGas09_08!Q17+IDGas12_07!Q17)=0,,(WAGas09_08!Q17+IDGas12_07!Q17))</f>
        <v>0</v>
      </c>
      <c r="R17" s="94">
        <f>IF((WAGas09_08!R17+IDGas12_07!R17)=0,,(WAGas09_08!R17+IDGas12_07!R17))</f>
        <v>0</v>
      </c>
      <c r="S17" s="94">
        <f>IF((WAGas09_08!S17+IDGas12_07!S17)=0,,(WAGas09_08!S17+IDGas12_07!S17))</f>
        <v>0</v>
      </c>
      <c r="T17" s="94">
        <f>IF((WAGas09_08!T17+IDGas12_07!T17)=0,,(WAGas09_08!T17+IDGas12_07!T17))</f>
        <v>0</v>
      </c>
      <c r="U17" s="94">
        <f>IF((WAGas09_08!Z17+IDGas12_07!V17)=0,,(WAGas09_08!Z17+IDGas12_07!V17))</f>
        <v>0</v>
      </c>
      <c r="V17" s="94" t="e">
        <f>IF((WAGas09_08!#REF!+IDGas12_07!#REF!)=0,,(WAGas09_08!#REF!+IDGas12_07!#REF!))</f>
        <v>#REF!</v>
      </c>
      <c r="W17" s="94" t="e">
        <f>IF((WAGas09_08!#REF!+IDGas12_07!#REF!)=0,,(WAGas09_08!#REF!+IDGas12_07!#REF!))</f>
        <v>#REF!</v>
      </c>
      <c r="X17" s="94">
        <f>IF((WAGas09_08!V17+IDGas12_07!U17)=0,,(WAGas09_08!V17+IDGas12_07!U17))</f>
        <v>0</v>
      </c>
      <c r="Y17" s="94">
        <f>IF((WAGas09_08!W17+IDGas12_07!W17)=0,,(WAGas09_08!W17+IDGas12_07!W17))</f>
        <v>0</v>
      </c>
      <c r="Z17" s="94">
        <f>IF((WAGas09_08!AA17+IDGas12_07!X17)=0,,(WAGas09_08!AA17+IDGas12_07!X17))</f>
        <v>0</v>
      </c>
      <c r="AA17" s="94" t="e">
        <f>IF((WAGas09_08!#REF!+IDGas12_07!Y17)=0,,(WAGas09_08!#REF!+IDGas12_07!Y17))</f>
        <v>#REF!</v>
      </c>
      <c r="AB17" s="94">
        <f>IF((WAGas09_08!AB17+IDGas12_07!Z17)=0,,(WAGas09_08!AB17+IDGas12_07!Z17))</f>
        <v>0</v>
      </c>
      <c r="AC17" s="94" t="e">
        <f>IF((WAGas09_08!#REF!+IDGas12_07!#REF!)=0,,(WAGas09_08!#REF!+IDGas12_07!#REF!))</f>
        <v>#REF!</v>
      </c>
      <c r="AD17" s="94">
        <f>IF((WAGas09_08!AF17+IDGas12_07!AD17)=0,,(WAGas09_08!AF17+IDGas12_07!AD17))</f>
        <v>0</v>
      </c>
    </row>
    <row r="18" spans="1:30">
      <c r="B18" s="26" t="s">
        <v>73</v>
      </c>
      <c r="C18" s="58"/>
      <c r="D18" s="58"/>
      <c r="E18" s="58"/>
      <c r="F18" s="89">
        <f>IF((WAGas09_08!F18+IDGas12_07!F18)=0,,(WAGas09_08!F18+IDGas12_07!F18))</f>
        <v>0</v>
      </c>
      <c r="G18" s="94">
        <f>IF((WAGas09_08!G18+IDGas12_07!G18)=0,,(WAGas09_08!G18+IDGas12_07!G18))</f>
        <v>0</v>
      </c>
      <c r="H18" s="94">
        <f>IF((WAGas09_08!H18+IDGas12_07!H18)=0,,(WAGas09_08!H18+IDGas12_07!H18))</f>
        <v>0</v>
      </c>
      <c r="I18" s="94">
        <f>IF((WAGas09_08!I18+IDGas12_07!I18)=0,,(WAGas09_08!I18+IDGas12_07!I18))</f>
        <v>0</v>
      </c>
      <c r="J18" s="94">
        <f>IF((WAGas09_08!J18+IDGas12_07!J18)=0,,(WAGas09_08!J18+IDGas12_07!J18))</f>
        <v>0</v>
      </c>
      <c r="K18" s="94" t="e">
        <f>IF((WAGas09_08!L18+IDGas12_07!#REF!)=0,,(WAGas09_08!L18+IDGas12_07!#REF!))</f>
        <v>#REF!</v>
      </c>
      <c r="L18" s="89">
        <f>IF((WAGas09_08!M18+IDGas12_07!L18)=0,,(WAGas09_08!M18+IDGas12_07!L18))</f>
        <v>0</v>
      </c>
      <c r="M18" s="94">
        <f>IF((WAGas09_08!N18+IDGas12_07!N18)=0,,(WAGas09_08!N18+IDGas12_07!N18))</f>
        <v>0</v>
      </c>
      <c r="N18" s="94" t="e">
        <f>IF((WAGas09_08!#REF!+IDGas12_07!#REF!)=0,,(WAGas09_08!#REF!+IDGas12_07!#REF!))</f>
        <v>#REF!</v>
      </c>
      <c r="O18" s="94">
        <f>IF((WAGas09_08!O18+IDGas12_07!O18)=0,,(WAGas09_08!O18+IDGas12_07!O18))</f>
        <v>0</v>
      </c>
      <c r="P18" s="94">
        <f>IF((WAGas09_08!P18+IDGas12_07!P18)=0,,(WAGas09_08!P18+IDGas12_07!P18))</f>
        <v>0</v>
      </c>
      <c r="Q18" s="94">
        <f>IF((WAGas09_08!Q18+IDGas12_07!Q18)=0,,(WAGas09_08!Q18+IDGas12_07!Q18))</f>
        <v>0</v>
      </c>
      <c r="R18" s="94">
        <f>IF((WAGas09_08!R18+IDGas12_07!R18)=0,,(WAGas09_08!R18+IDGas12_07!R18))</f>
        <v>0</v>
      </c>
      <c r="S18" s="94">
        <f>IF((WAGas09_08!S18+IDGas12_07!S18)=0,,(WAGas09_08!S18+IDGas12_07!S18))</f>
        <v>0</v>
      </c>
      <c r="T18" s="94">
        <f>IF((WAGas09_08!T18+IDGas12_07!T18)=0,,(WAGas09_08!T18+IDGas12_07!T18))</f>
        <v>0</v>
      </c>
      <c r="U18" s="94">
        <f>IF((WAGas09_08!Z18+IDGas12_07!V18)=0,,(WAGas09_08!Z18+IDGas12_07!V18))</f>
        <v>0</v>
      </c>
      <c r="V18" s="94" t="e">
        <f>IF((WAGas09_08!#REF!+IDGas12_07!#REF!)=0,,(WAGas09_08!#REF!+IDGas12_07!#REF!))</f>
        <v>#REF!</v>
      </c>
      <c r="W18" s="94" t="e">
        <f>IF((WAGas09_08!#REF!+IDGas12_07!#REF!)=0,,(WAGas09_08!#REF!+IDGas12_07!#REF!))</f>
        <v>#REF!</v>
      </c>
      <c r="X18" s="94">
        <f>IF((WAGas09_08!V18+IDGas12_07!U18)=0,,(WAGas09_08!V18+IDGas12_07!U18))</f>
        <v>0</v>
      </c>
      <c r="Y18" s="94">
        <f>IF((WAGas09_08!W18+IDGas12_07!W18)=0,,(WAGas09_08!W18+IDGas12_07!W18))</f>
        <v>0</v>
      </c>
      <c r="Z18" s="94">
        <f>IF((WAGas09_08!AA18+IDGas12_07!X18)=0,,(WAGas09_08!AA18+IDGas12_07!X18))</f>
        <v>0</v>
      </c>
      <c r="AA18" s="94" t="e">
        <f>IF((WAGas09_08!#REF!+IDGas12_07!Y18)=0,,(WAGas09_08!#REF!+IDGas12_07!Y18))</f>
        <v>#REF!</v>
      </c>
      <c r="AB18" s="94">
        <f>IF((WAGas09_08!AB18+IDGas12_07!Z18)=0,,(WAGas09_08!AB18+IDGas12_07!Z18))</f>
        <v>0</v>
      </c>
      <c r="AC18" s="94" t="e">
        <f>IF((WAGas09_08!#REF!+IDGas12_07!#REF!)=0,,(WAGas09_08!#REF!+IDGas12_07!#REF!))</f>
        <v>#REF!</v>
      </c>
      <c r="AD18" s="94">
        <f>IF((WAGas09_08!AF18+IDGas12_07!AD18)=0,,(WAGas09_08!AF18+IDGas12_07!AD18))</f>
        <v>0</v>
      </c>
    </row>
    <row r="19" spans="1:30">
      <c r="A19" s="55">
        <v>5</v>
      </c>
      <c r="C19" s="58" t="s">
        <v>74</v>
      </c>
      <c r="D19" s="58"/>
      <c r="E19" s="58"/>
      <c r="F19" s="89">
        <f>IF((WAGas09_08!F19+IDGas12_07!F19)=0,,(WAGas09_08!F19+IDGas12_07!F19))</f>
        <v>0</v>
      </c>
      <c r="G19" s="94">
        <f>IF((WAGas09_08!G19+IDGas12_07!G19)=0,,(WAGas09_08!G19+IDGas12_07!G19))</f>
        <v>0</v>
      </c>
      <c r="H19" s="94">
        <f>IF((WAGas09_08!H19+IDGas12_07!H19)=0,,(WAGas09_08!H19+IDGas12_07!H19))</f>
        <v>0</v>
      </c>
      <c r="I19" s="94">
        <f>IF((WAGas09_08!I19+IDGas12_07!I19)=0,,(WAGas09_08!I19+IDGas12_07!I19))</f>
        <v>0</v>
      </c>
      <c r="J19" s="94">
        <f>IF((WAGas09_08!J19+IDGas12_07!J19)=0,,(WAGas09_08!J19+IDGas12_07!J19))</f>
        <v>0</v>
      </c>
      <c r="K19" s="94" t="e">
        <f>IF((WAGas09_08!L19+IDGas12_07!#REF!)=0,,(WAGas09_08!L19+IDGas12_07!#REF!))</f>
        <v>#REF!</v>
      </c>
      <c r="L19" s="89">
        <f>IF((WAGas09_08!M19+IDGas12_07!L19)=0,,(WAGas09_08!M19+IDGas12_07!L19))</f>
        <v>0</v>
      </c>
      <c r="M19" s="94">
        <f>IF((WAGas09_08!N19+IDGas12_07!N19)=0,,(WAGas09_08!N19+IDGas12_07!N19))</f>
        <v>0</v>
      </c>
      <c r="N19" s="94" t="e">
        <f>IF((WAGas09_08!#REF!+IDGas12_07!#REF!)=0,,(WAGas09_08!#REF!+IDGas12_07!#REF!))</f>
        <v>#REF!</v>
      </c>
      <c r="O19" s="94">
        <f>IF((WAGas09_08!O19+IDGas12_07!O19)=0,,(WAGas09_08!O19+IDGas12_07!O19))</f>
        <v>0</v>
      </c>
      <c r="P19" s="94">
        <f>IF((WAGas09_08!P19+IDGas12_07!P19)=0,,(WAGas09_08!P19+IDGas12_07!P19))</f>
        <v>0</v>
      </c>
      <c r="Q19" s="94">
        <f>IF((WAGas09_08!Q19+IDGas12_07!Q19)=0,,(WAGas09_08!Q19+IDGas12_07!Q19))</f>
        <v>0</v>
      </c>
      <c r="R19" s="94">
        <f>IF((WAGas09_08!R19+IDGas12_07!R19)=0,,(WAGas09_08!R19+IDGas12_07!R19))</f>
        <v>0</v>
      </c>
      <c r="S19" s="94">
        <f>IF((WAGas09_08!S19+IDGas12_07!S19)=0,,(WAGas09_08!S19+IDGas12_07!S19))</f>
        <v>0</v>
      </c>
      <c r="T19" s="94">
        <f>IF((WAGas09_08!T19+IDGas12_07!T19)=0,,(WAGas09_08!T19+IDGas12_07!T19))</f>
        <v>0</v>
      </c>
      <c r="U19" s="94">
        <f>IF((WAGas09_08!Z19+IDGas12_07!V19)=0,,(WAGas09_08!Z19+IDGas12_07!V19))</f>
        <v>0</v>
      </c>
      <c r="V19" s="94" t="e">
        <f>IF((WAGas09_08!#REF!+IDGas12_07!#REF!)=0,,(WAGas09_08!#REF!+IDGas12_07!#REF!))</f>
        <v>#REF!</v>
      </c>
      <c r="W19" s="94" t="e">
        <f>IF((WAGas09_08!#REF!+IDGas12_07!#REF!)=0,,(WAGas09_08!#REF!+IDGas12_07!#REF!))</f>
        <v>#REF!</v>
      </c>
      <c r="X19" s="94">
        <f>IF((WAGas09_08!V19+IDGas12_07!U19)=0,,(WAGas09_08!V19+IDGas12_07!U19))</f>
        <v>0</v>
      </c>
      <c r="Y19" s="94">
        <f>IF((WAGas09_08!W19+IDGas12_07!W19)=0,,(WAGas09_08!W19+IDGas12_07!W19))</f>
        <v>0</v>
      </c>
      <c r="Z19" s="94">
        <f>IF((WAGas09_08!AA19+IDGas12_07!X19)=0,,(WAGas09_08!AA19+IDGas12_07!X19))</f>
        <v>0</v>
      </c>
      <c r="AA19" s="94" t="e">
        <f>IF((WAGas09_08!#REF!+IDGas12_07!Y19)=0,,(WAGas09_08!#REF!+IDGas12_07!Y19))</f>
        <v>#REF!</v>
      </c>
      <c r="AB19" s="94">
        <f>IF((WAGas09_08!AB19+IDGas12_07!Z19)=0,,(WAGas09_08!AB19+IDGas12_07!Z19))</f>
        <v>0</v>
      </c>
      <c r="AC19" s="94" t="e">
        <f>IF((WAGas09_08!#REF!+IDGas12_07!#REF!)=0,,(WAGas09_08!#REF!+IDGas12_07!#REF!))</f>
        <v>#REF!</v>
      </c>
      <c r="AD19" s="94">
        <f>IF((WAGas09_08!AF19+IDGas12_07!AD19)=0,,(WAGas09_08!AF19+IDGas12_07!AD19))</f>
        <v>0</v>
      </c>
    </row>
    <row r="20" spans="1:30">
      <c r="C20" s="58" t="s">
        <v>75</v>
      </c>
      <c r="D20" s="58"/>
      <c r="E20" s="58"/>
      <c r="F20" s="89">
        <f>IF((WAGas09_08!F20+IDGas12_07!F20)=0,,(WAGas09_08!F20+IDGas12_07!F20))</f>
        <v>0</v>
      </c>
      <c r="G20" s="94">
        <f>IF((WAGas09_08!G20+IDGas12_07!G20)=0,,(WAGas09_08!G20+IDGas12_07!G20))</f>
        <v>0</v>
      </c>
      <c r="H20" s="94">
        <f>IF((WAGas09_08!H20+IDGas12_07!H20)=0,,(WAGas09_08!H20+IDGas12_07!H20))</f>
        <v>0</v>
      </c>
      <c r="I20" s="94">
        <f>IF((WAGas09_08!I20+IDGas12_07!I20)=0,,(WAGas09_08!I20+IDGas12_07!I20))</f>
        <v>0</v>
      </c>
      <c r="J20" s="94">
        <f>IF((WAGas09_08!J20+IDGas12_07!J20)=0,,(WAGas09_08!J20+IDGas12_07!J20))</f>
        <v>0</v>
      </c>
      <c r="K20" s="94" t="e">
        <f>IF((WAGas09_08!L20+IDGas12_07!#REF!)=0,,(WAGas09_08!L20+IDGas12_07!#REF!))</f>
        <v>#REF!</v>
      </c>
      <c r="L20" s="89">
        <f>IF((WAGas09_08!M20+IDGas12_07!L20)=0,,(WAGas09_08!M20+IDGas12_07!L20))</f>
        <v>0</v>
      </c>
      <c r="M20" s="94">
        <f>IF((WAGas09_08!N20+IDGas12_07!N20)=0,,(WAGas09_08!N20+IDGas12_07!N20))</f>
        <v>0</v>
      </c>
      <c r="N20" s="94" t="e">
        <f>IF((WAGas09_08!#REF!+IDGas12_07!#REF!)=0,,(WAGas09_08!#REF!+IDGas12_07!#REF!))</f>
        <v>#REF!</v>
      </c>
      <c r="O20" s="94">
        <f>IF((WAGas09_08!O20+IDGas12_07!O20)=0,,(WAGas09_08!O20+IDGas12_07!O20))</f>
        <v>0</v>
      </c>
      <c r="P20" s="94">
        <f>IF((WAGas09_08!P20+IDGas12_07!P20)=0,,(WAGas09_08!P20+IDGas12_07!P20))</f>
        <v>0</v>
      </c>
      <c r="Q20" s="94">
        <f>IF((WAGas09_08!Q20+IDGas12_07!Q20)=0,,(WAGas09_08!Q20+IDGas12_07!Q20))</f>
        <v>0</v>
      </c>
      <c r="R20" s="94">
        <f>IF((WAGas09_08!R20+IDGas12_07!R20)=0,,(WAGas09_08!R20+IDGas12_07!R20))</f>
        <v>0</v>
      </c>
      <c r="S20" s="94">
        <f>IF((WAGas09_08!S20+IDGas12_07!S20)=0,,(WAGas09_08!S20+IDGas12_07!S20))</f>
        <v>0</v>
      </c>
      <c r="T20" s="94">
        <f>IF((WAGas09_08!T20+IDGas12_07!T20)=0,,(WAGas09_08!T20+IDGas12_07!T20))</f>
        <v>0</v>
      </c>
      <c r="U20" s="94">
        <f>IF((WAGas09_08!Z20+IDGas12_07!V20)=0,,(WAGas09_08!Z20+IDGas12_07!V20))</f>
        <v>0</v>
      </c>
      <c r="V20" s="94" t="e">
        <f>IF((WAGas09_08!#REF!+IDGas12_07!#REF!)=0,,(WAGas09_08!#REF!+IDGas12_07!#REF!))</f>
        <v>#REF!</v>
      </c>
      <c r="W20" s="94" t="e">
        <f>IF((WAGas09_08!#REF!+IDGas12_07!#REF!)=0,,(WAGas09_08!#REF!+IDGas12_07!#REF!))</f>
        <v>#REF!</v>
      </c>
      <c r="X20" s="94">
        <f>IF((WAGas09_08!V20+IDGas12_07!U20)=0,,(WAGas09_08!V20+IDGas12_07!U20))</f>
        <v>0</v>
      </c>
      <c r="Y20" s="94">
        <f>IF((WAGas09_08!W20+IDGas12_07!W20)=0,,(WAGas09_08!W20+IDGas12_07!W20))</f>
        <v>0</v>
      </c>
      <c r="Z20" s="94">
        <f>IF((WAGas09_08!AA20+IDGas12_07!X20)=0,,(WAGas09_08!AA20+IDGas12_07!X20))</f>
        <v>0</v>
      </c>
      <c r="AA20" s="94" t="e">
        <f>IF((WAGas09_08!#REF!+IDGas12_07!Y20)=0,,(WAGas09_08!#REF!+IDGas12_07!Y20))</f>
        <v>#REF!</v>
      </c>
      <c r="AB20" s="94">
        <f>IF((WAGas09_08!AB20+IDGas12_07!Z20)=0,,(WAGas09_08!AB20+IDGas12_07!Z20))</f>
        <v>0</v>
      </c>
      <c r="AC20" s="94" t="e">
        <f>IF((WAGas09_08!#REF!+IDGas12_07!#REF!)=0,,(WAGas09_08!#REF!+IDGas12_07!#REF!))</f>
        <v>#REF!</v>
      </c>
      <c r="AD20" s="94">
        <f>IF((WAGas09_08!AF20+IDGas12_07!AD20)=0,,(WAGas09_08!AF20+IDGas12_07!AD20))</f>
        <v>0</v>
      </c>
    </row>
    <row r="21" spans="1:30">
      <c r="A21" s="55">
        <v>6</v>
      </c>
      <c r="C21" s="58"/>
      <c r="D21" s="58" t="s">
        <v>76</v>
      </c>
      <c r="E21" s="58"/>
      <c r="F21" s="89">
        <f>IF((WAGas09_08!F21+IDGas12_07!F21)=0,,(WAGas09_08!F21+IDGas12_07!F21))</f>
        <v>441253</v>
      </c>
      <c r="G21" s="94">
        <f>IF((WAGas09_08!G21+IDGas12_07!G21)=0,,(WAGas09_08!G21+IDGas12_07!G21))</f>
        <v>0</v>
      </c>
      <c r="H21" s="94">
        <f>IF((WAGas09_08!H21+IDGas12_07!H21)=0,,(WAGas09_08!H21+IDGas12_07!H21))</f>
        <v>0</v>
      </c>
      <c r="I21" s="94">
        <f>IF((WAGas09_08!I21+IDGas12_07!I21)=0,,(WAGas09_08!I21+IDGas12_07!I21))</f>
        <v>0</v>
      </c>
      <c r="J21" s="94">
        <f>IF((WAGas09_08!J21+IDGas12_07!J21)=0,,(WAGas09_08!J21+IDGas12_07!J21))</f>
        <v>0</v>
      </c>
      <c r="K21" s="94" t="e">
        <f>IF((WAGas09_08!L21+IDGas12_07!#REF!)=0,,(WAGas09_08!L21+IDGas12_07!#REF!))</f>
        <v>#REF!</v>
      </c>
      <c r="L21" s="89">
        <f>IF((WAGas09_08!M21+IDGas12_07!L21)=0,,(WAGas09_08!M21+IDGas12_07!L21))</f>
        <v>441253</v>
      </c>
      <c r="M21" s="94">
        <f>IF((WAGas09_08!N21+IDGas12_07!N21)=0,,(WAGas09_08!N21+IDGas12_07!N21))</f>
        <v>-151865</v>
      </c>
      <c r="N21" s="94" t="e">
        <f>IF((WAGas09_08!#REF!+IDGas12_07!#REF!)=0,,(WAGas09_08!#REF!+IDGas12_07!#REF!))</f>
        <v>#REF!</v>
      </c>
      <c r="O21" s="94">
        <f>IF((WAGas09_08!O21+IDGas12_07!O21)=0,,(WAGas09_08!O21+IDGas12_07!O21))</f>
        <v>0</v>
      </c>
      <c r="P21" s="94">
        <f>IF((WAGas09_08!P21+IDGas12_07!P21)=0,,(WAGas09_08!P21+IDGas12_07!P21))</f>
        <v>0</v>
      </c>
      <c r="Q21" s="94">
        <f>IF((WAGas09_08!Q21+IDGas12_07!Q21)=0,,(WAGas09_08!Q21+IDGas12_07!Q21))</f>
        <v>0</v>
      </c>
      <c r="R21" s="94">
        <f>IF((WAGas09_08!R21+IDGas12_07!R21)=0,,(WAGas09_08!R21+IDGas12_07!R21))</f>
        <v>0</v>
      </c>
      <c r="S21" s="94">
        <f>IF((WAGas09_08!S21+IDGas12_07!S21)=0,,(WAGas09_08!S21+IDGas12_07!S21))</f>
        <v>0</v>
      </c>
      <c r="T21" s="94">
        <f>IF((WAGas09_08!T21+IDGas12_07!T21)=0,,(WAGas09_08!T21+IDGas12_07!T21))</f>
        <v>0</v>
      </c>
      <c r="U21" s="94">
        <f>IF((WAGas09_08!Z21+IDGas12_07!V21)=0,,(WAGas09_08!Z21+IDGas12_07!V21))</f>
        <v>0</v>
      </c>
      <c r="V21" s="94" t="e">
        <f>IF((WAGas09_08!#REF!+IDGas12_07!#REF!)=0,,(WAGas09_08!#REF!+IDGas12_07!#REF!))</f>
        <v>#REF!</v>
      </c>
      <c r="W21" s="94" t="e">
        <f>IF((WAGas09_08!#REF!+IDGas12_07!#REF!)=0,,(WAGas09_08!#REF!+IDGas12_07!#REF!))</f>
        <v>#REF!</v>
      </c>
      <c r="X21" s="94">
        <f>IF((WAGas09_08!V21+IDGas12_07!U21)=0,,(WAGas09_08!V21+IDGas12_07!U21))</f>
        <v>0</v>
      </c>
      <c r="Y21" s="94">
        <f>IF((WAGas09_08!W21+IDGas12_07!W21)=0,,(WAGas09_08!W21+IDGas12_07!W21))</f>
        <v>0</v>
      </c>
      <c r="Z21" s="94">
        <f>IF((WAGas09_08!AA21+IDGas12_07!X21)=0,,(WAGas09_08!AA21+IDGas12_07!X21))</f>
        <v>0</v>
      </c>
      <c r="AA21" s="94" t="e">
        <f>IF((WAGas09_08!#REF!+IDGas12_07!Y21)=0,,(WAGas09_08!#REF!+IDGas12_07!Y21))</f>
        <v>#REF!</v>
      </c>
      <c r="AB21" s="94">
        <f>IF((WAGas09_08!AB21+IDGas12_07!Z21)=0,,(WAGas09_08!AB21+IDGas12_07!Z21))</f>
        <v>289388</v>
      </c>
      <c r="AC21" s="94" t="e">
        <f>IF((WAGas09_08!#REF!+IDGas12_07!#REF!)=0,,(WAGas09_08!#REF!+IDGas12_07!#REF!))</f>
        <v>#REF!</v>
      </c>
      <c r="AD21" s="94">
        <f>IF((WAGas09_08!AF21+IDGas12_07!AD21)=0,,(WAGas09_08!AF21+IDGas12_07!AD21))</f>
        <v>0</v>
      </c>
    </row>
    <row r="22" spans="1:30">
      <c r="A22" s="55">
        <v>7</v>
      </c>
      <c r="C22" s="58"/>
      <c r="D22" s="58" t="s">
        <v>77</v>
      </c>
      <c r="E22" s="58"/>
      <c r="F22" s="89">
        <f>IF((WAGas09_08!F22+IDGas12_07!F22)=0,,(WAGas09_08!F22+IDGas12_07!F22))</f>
        <v>1093</v>
      </c>
      <c r="G22" s="94">
        <f>IF((WAGas09_08!G22+IDGas12_07!G22)=0,,(WAGas09_08!G22+IDGas12_07!G22))</f>
        <v>0</v>
      </c>
      <c r="H22" s="94">
        <f>IF((WAGas09_08!H22+IDGas12_07!H22)=0,,(WAGas09_08!H22+IDGas12_07!H22))</f>
        <v>0</v>
      </c>
      <c r="I22" s="94">
        <f>IF((WAGas09_08!I22+IDGas12_07!I22)=0,,(WAGas09_08!I22+IDGas12_07!I22))</f>
        <v>0</v>
      </c>
      <c r="J22" s="94">
        <f>IF((WAGas09_08!J22+IDGas12_07!J22)=0,,(WAGas09_08!J22+IDGas12_07!J22))</f>
        <v>0</v>
      </c>
      <c r="K22" s="94" t="e">
        <f>IF((WAGas09_08!L22+IDGas12_07!#REF!)=0,,(WAGas09_08!L22+IDGas12_07!#REF!))</f>
        <v>#REF!</v>
      </c>
      <c r="L22" s="89">
        <f>IF((WAGas09_08!M22+IDGas12_07!L22)=0,,(WAGas09_08!M22+IDGas12_07!L22))</f>
        <v>1093</v>
      </c>
      <c r="M22" s="94">
        <f>IF((WAGas09_08!N22+IDGas12_07!N22)=0,,(WAGas09_08!N22+IDGas12_07!N22))</f>
        <v>0</v>
      </c>
      <c r="N22" s="94" t="e">
        <f>IF((WAGas09_08!#REF!+IDGas12_07!#REF!)=0,,(WAGas09_08!#REF!+IDGas12_07!#REF!))</f>
        <v>#REF!</v>
      </c>
      <c r="O22" s="94">
        <f>IF((WAGas09_08!O22+IDGas12_07!O22)=0,,(WAGas09_08!O22+IDGas12_07!O22))</f>
        <v>0</v>
      </c>
      <c r="P22" s="94">
        <f>IF((WAGas09_08!P22+IDGas12_07!P22)=0,,(WAGas09_08!P22+IDGas12_07!P22))</f>
        <v>0</v>
      </c>
      <c r="Q22" s="94">
        <f>IF((WAGas09_08!Q22+IDGas12_07!Q22)=0,,(WAGas09_08!Q22+IDGas12_07!Q22))</f>
        <v>0</v>
      </c>
      <c r="R22" s="94">
        <f>IF((WAGas09_08!R22+IDGas12_07!R22)=0,,(WAGas09_08!R22+IDGas12_07!R22))</f>
        <v>0</v>
      </c>
      <c r="S22" s="94">
        <f>IF((WAGas09_08!S22+IDGas12_07!S22)=0,,(WAGas09_08!S22+IDGas12_07!S22))</f>
        <v>0</v>
      </c>
      <c r="T22" s="94">
        <f>IF((WAGas09_08!T22+IDGas12_07!T22)=0,,(WAGas09_08!T22+IDGas12_07!T22))</f>
        <v>0</v>
      </c>
      <c r="U22" s="94">
        <f>IF((WAGas09_08!Z22+IDGas12_07!V22)=0,,(WAGas09_08!Z22+IDGas12_07!V22))</f>
        <v>0</v>
      </c>
      <c r="V22" s="94" t="e">
        <f>IF((WAGas09_08!#REF!+IDGas12_07!#REF!)=0,,(WAGas09_08!#REF!+IDGas12_07!#REF!))</f>
        <v>#REF!</v>
      </c>
      <c r="W22" s="94" t="e">
        <f>IF((WAGas09_08!#REF!+IDGas12_07!#REF!)=0,,(WAGas09_08!#REF!+IDGas12_07!#REF!))</f>
        <v>#REF!</v>
      </c>
      <c r="X22" s="94">
        <f>IF((WAGas09_08!V22+IDGas12_07!U22)=0,,(WAGas09_08!V22+IDGas12_07!U22))</f>
        <v>0</v>
      </c>
      <c r="Y22" s="94">
        <f>IF((WAGas09_08!W22+IDGas12_07!W22)=0,,(WAGas09_08!W22+IDGas12_07!W22))</f>
        <v>0</v>
      </c>
      <c r="Z22" s="94">
        <f>IF((WAGas09_08!AA22+IDGas12_07!X22)=0,,(WAGas09_08!AA22+IDGas12_07!X22))</f>
        <v>0</v>
      </c>
      <c r="AA22" s="94" t="e">
        <f>IF((WAGas09_08!#REF!+IDGas12_07!Y22)=0,,(WAGas09_08!#REF!+IDGas12_07!Y22))</f>
        <v>#REF!</v>
      </c>
      <c r="AB22" s="94">
        <f>IF((WAGas09_08!AB22+IDGas12_07!Z22)=0,,(WAGas09_08!AB22+IDGas12_07!Z22))</f>
        <v>1093</v>
      </c>
      <c r="AC22" s="94" t="e">
        <f>IF((WAGas09_08!#REF!+IDGas12_07!#REF!)=0,,(WAGas09_08!#REF!+IDGas12_07!#REF!))</f>
        <v>#REF!</v>
      </c>
      <c r="AD22" s="94">
        <f>IF((WAGas09_08!AF22+IDGas12_07!AD22)=0,,(WAGas09_08!AF22+IDGas12_07!AD22))</f>
        <v>0</v>
      </c>
    </row>
    <row r="23" spans="1:30">
      <c r="A23" s="55">
        <v>8</v>
      </c>
      <c r="C23" s="58"/>
      <c r="D23" s="58" t="s">
        <v>78</v>
      </c>
      <c r="E23" s="58"/>
      <c r="F23" s="90">
        <f>IF((WAGas09_08!F23+IDGas12_07!F23)=0,,(WAGas09_08!F23+IDGas12_07!F23))</f>
        <v>-27613</v>
      </c>
      <c r="G23" s="93">
        <f>IF((WAGas09_08!G23+IDGas12_07!G23)=0,,(WAGas09_08!G23+IDGas12_07!G23))</f>
        <v>0</v>
      </c>
      <c r="H23" s="93">
        <f>IF((WAGas09_08!H23+IDGas12_07!H23)=0,,(WAGas09_08!H23+IDGas12_07!H23))</f>
        <v>0</v>
      </c>
      <c r="I23" s="93">
        <f>IF((WAGas09_08!I23+IDGas12_07!I23)=0,,(WAGas09_08!I23+IDGas12_07!I23))</f>
        <v>0</v>
      </c>
      <c r="J23" s="93">
        <f>IF((WAGas09_08!J23+IDGas12_07!J23)=0,,(WAGas09_08!J23+IDGas12_07!J23))</f>
        <v>0</v>
      </c>
      <c r="K23" s="93" t="e">
        <f>IF((WAGas09_08!L23+IDGas12_07!#REF!)=0,,(WAGas09_08!L23+IDGas12_07!#REF!))</f>
        <v>#REF!</v>
      </c>
      <c r="L23" s="90">
        <f>IF((WAGas09_08!M23+IDGas12_07!L23)=0,,(WAGas09_08!M23+IDGas12_07!L23))</f>
        <v>-27613</v>
      </c>
      <c r="M23" s="93">
        <f>IF((WAGas09_08!N23+IDGas12_07!N23)=0,,(WAGas09_08!N23+IDGas12_07!N23))</f>
        <v>18687</v>
      </c>
      <c r="N23" s="93" t="e">
        <f>IF((WAGas09_08!#REF!+IDGas12_07!#REF!)=0,,(WAGas09_08!#REF!+IDGas12_07!#REF!))</f>
        <v>#REF!</v>
      </c>
      <c r="O23" s="93">
        <f>IF((WAGas09_08!O23+IDGas12_07!O23)=0,,(WAGas09_08!O23+IDGas12_07!O23))</f>
        <v>0</v>
      </c>
      <c r="P23" s="93">
        <f>IF((WAGas09_08!P23+IDGas12_07!P23)=0,,(WAGas09_08!P23+IDGas12_07!P23))</f>
        <v>0</v>
      </c>
      <c r="Q23" s="93">
        <f>IF((WAGas09_08!Q23+IDGas12_07!Q23)=0,,(WAGas09_08!Q23+IDGas12_07!Q23))</f>
        <v>0</v>
      </c>
      <c r="R23" s="93">
        <f>IF((WAGas09_08!R23+IDGas12_07!R23)=0,,(WAGas09_08!R23+IDGas12_07!R23))</f>
        <v>0</v>
      </c>
      <c r="S23" s="93">
        <f>IF((WAGas09_08!S23+IDGas12_07!S23)=0,,(WAGas09_08!S23+IDGas12_07!S23))</f>
        <v>0</v>
      </c>
      <c r="T23" s="93">
        <f>IF((WAGas09_08!T23+IDGas12_07!T23)=0,,(WAGas09_08!T23+IDGas12_07!T23))</f>
        <v>0</v>
      </c>
      <c r="U23" s="93">
        <f>IF((WAGas09_08!Z23+IDGas12_07!V23)=0,,(WAGas09_08!Z23+IDGas12_07!V23))</f>
        <v>0</v>
      </c>
      <c r="V23" s="93" t="e">
        <f>IF((WAGas09_08!#REF!+IDGas12_07!#REF!)=0,,(WAGas09_08!#REF!+IDGas12_07!#REF!))</f>
        <v>#REF!</v>
      </c>
      <c r="W23" s="93" t="e">
        <f>IF((WAGas09_08!#REF!+IDGas12_07!#REF!)=0,,(WAGas09_08!#REF!+IDGas12_07!#REF!))</f>
        <v>#REF!</v>
      </c>
      <c r="X23" s="93">
        <f>IF((WAGas09_08!V23+IDGas12_07!U23)=0,,(WAGas09_08!V23+IDGas12_07!U23))</f>
        <v>0</v>
      </c>
      <c r="Y23" s="93">
        <f>IF((WAGas09_08!W23+IDGas12_07!W23)=0,,(WAGas09_08!W23+IDGas12_07!W23))</f>
        <v>0</v>
      </c>
      <c r="Z23" s="93">
        <f>IF((WAGas09_08!AA23+IDGas12_07!X23)=0,,(WAGas09_08!AA23+IDGas12_07!X23))</f>
        <v>0</v>
      </c>
      <c r="AA23" s="93" t="e">
        <f>IF((WAGas09_08!#REF!+IDGas12_07!Y23)=0,,(WAGas09_08!#REF!+IDGas12_07!Y23))</f>
        <v>#REF!</v>
      </c>
      <c r="AB23" s="93">
        <f>IF((WAGas09_08!AB23+IDGas12_07!Z23)=0,,(WAGas09_08!AB23+IDGas12_07!Z23))</f>
        <v>-8926</v>
      </c>
      <c r="AC23" s="93" t="e">
        <f>IF((WAGas09_08!#REF!+IDGas12_07!#REF!)=0,,(WAGas09_08!#REF!+IDGas12_07!#REF!))</f>
        <v>#REF!</v>
      </c>
      <c r="AD23" s="93">
        <f>IF((WAGas09_08!AF23+IDGas12_07!AD23)=0,,(WAGas09_08!AF23+IDGas12_07!AD23))</f>
        <v>0</v>
      </c>
    </row>
    <row r="24" spans="1:30">
      <c r="A24" s="55">
        <v>9</v>
      </c>
      <c r="C24" s="58"/>
      <c r="D24" s="58"/>
      <c r="E24" s="58" t="s">
        <v>79</v>
      </c>
      <c r="F24" s="89">
        <f>IF((WAGas09_08!F24+IDGas12_07!F24)=0,,(WAGas09_08!F24+IDGas12_07!F24))</f>
        <v>414733</v>
      </c>
      <c r="G24" s="94">
        <f>IF((WAGas09_08!G24+IDGas12_07!G24)=0,,(WAGas09_08!G24+IDGas12_07!G24))</f>
        <v>0</v>
      </c>
      <c r="H24" s="94">
        <f>IF((WAGas09_08!H24+IDGas12_07!H24)=0,,(WAGas09_08!H24+IDGas12_07!H24))</f>
        <v>0</v>
      </c>
      <c r="I24" s="94">
        <f>IF((WAGas09_08!I24+IDGas12_07!I24)=0,,(WAGas09_08!I24+IDGas12_07!I24))</f>
        <v>0</v>
      </c>
      <c r="J24" s="94">
        <f>IF((WAGas09_08!J24+IDGas12_07!J24)=0,,(WAGas09_08!J24+IDGas12_07!J24))</f>
        <v>0</v>
      </c>
      <c r="K24" s="94" t="e">
        <f>IF((WAGas09_08!L24+IDGas12_07!#REF!)=0,,(WAGas09_08!L24+IDGas12_07!#REF!))</f>
        <v>#REF!</v>
      </c>
      <c r="L24" s="89">
        <f>IF((WAGas09_08!M24+IDGas12_07!L24)=0,,(WAGas09_08!M24+IDGas12_07!L24))</f>
        <v>414733</v>
      </c>
      <c r="M24" s="94">
        <f>IF((WAGas09_08!N24+IDGas12_07!N24)=0,,(WAGas09_08!N24+IDGas12_07!N24))</f>
        <v>-133178</v>
      </c>
      <c r="N24" s="94" t="e">
        <f>IF((WAGas09_08!#REF!+IDGas12_07!#REF!)=0,,(WAGas09_08!#REF!+IDGas12_07!#REF!))</f>
        <v>#REF!</v>
      </c>
      <c r="O24" s="94">
        <f>IF((WAGas09_08!O24+IDGas12_07!O24)=0,,(WAGas09_08!O24+IDGas12_07!O24))</f>
        <v>0</v>
      </c>
      <c r="P24" s="94">
        <f>IF((WAGas09_08!P24+IDGas12_07!P24)=0,,(WAGas09_08!P24+IDGas12_07!P24))</f>
        <v>0</v>
      </c>
      <c r="Q24" s="94">
        <f>IF((WAGas09_08!Q24+IDGas12_07!Q24)=0,,(WAGas09_08!Q24+IDGas12_07!Q24))</f>
        <v>0</v>
      </c>
      <c r="R24" s="94">
        <f>IF((WAGas09_08!R24+IDGas12_07!R24)=0,,(WAGas09_08!R24+IDGas12_07!R24))</f>
        <v>0</v>
      </c>
      <c r="S24" s="94">
        <f>IF((WAGas09_08!S24+IDGas12_07!S24)=0,,(WAGas09_08!S24+IDGas12_07!S24))</f>
        <v>0</v>
      </c>
      <c r="T24" s="94">
        <f>IF((WAGas09_08!T24+IDGas12_07!T24)=0,,(WAGas09_08!T24+IDGas12_07!T24))</f>
        <v>0</v>
      </c>
      <c r="U24" s="94">
        <f>IF((WAGas09_08!Z24+IDGas12_07!V24)=0,,(WAGas09_08!Z24+IDGas12_07!V24))</f>
        <v>0</v>
      </c>
      <c r="V24" s="94" t="e">
        <f>IF((WAGas09_08!#REF!+IDGas12_07!#REF!)=0,,(WAGas09_08!#REF!+IDGas12_07!#REF!))</f>
        <v>#REF!</v>
      </c>
      <c r="W24" s="94" t="e">
        <f>IF((WAGas09_08!#REF!+IDGas12_07!#REF!)=0,,(WAGas09_08!#REF!+IDGas12_07!#REF!))</f>
        <v>#REF!</v>
      </c>
      <c r="X24" s="94">
        <f>IF((WAGas09_08!V24+IDGas12_07!U24)=0,,(WAGas09_08!V24+IDGas12_07!U24))</f>
        <v>0</v>
      </c>
      <c r="Y24" s="94">
        <f>IF((WAGas09_08!W24+IDGas12_07!W24)=0,,(WAGas09_08!W24+IDGas12_07!W24))</f>
        <v>0</v>
      </c>
      <c r="Z24" s="94">
        <f>IF((WAGas09_08!AA24+IDGas12_07!X24)=0,,(WAGas09_08!AA24+IDGas12_07!X24))</f>
        <v>0</v>
      </c>
      <c r="AA24" s="94" t="e">
        <f>IF((WAGas09_08!#REF!+IDGas12_07!Y24)=0,,(WAGas09_08!#REF!+IDGas12_07!Y24))</f>
        <v>#REF!</v>
      </c>
      <c r="AB24" s="94">
        <f>IF((WAGas09_08!AB24+IDGas12_07!Z24)=0,,(WAGas09_08!AB24+IDGas12_07!Z24))</f>
        <v>281555</v>
      </c>
      <c r="AC24" s="94" t="e">
        <f>IF((WAGas09_08!#REF!+IDGas12_07!#REF!)=0,,(WAGas09_08!#REF!+IDGas12_07!#REF!))</f>
        <v>#REF!</v>
      </c>
      <c r="AD24" s="94">
        <f>IF((WAGas09_08!AF24+IDGas12_07!AD24)=0,,(WAGas09_08!AF24+IDGas12_07!AD24))</f>
        <v>0</v>
      </c>
    </row>
    <row r="25" spans="1:30">
      <c r="C25" s="58" t="s">
        <v>80</v>
      </c>
      <c r="D25" s="58"/>
      <c r="E25" s="58"/>
      <c r="F25" s="89">
        <f>IF((WAGas09_08!F25+IDGas12_07!F25)=0,,(WAGas09_08!F25+IDGas12_07!F25))</f>
        <v>0</v>
      </c>
      <c r="G25" s="94">
        <f>IF((WAGas09_08!G25+IDGas12_07!G25)=0,,(WAGas09_08!G25+IDGas12_07!G25))</f>
        <v>0</v>
      </c>
      <c r="H25" s="94">
        <f>IF((WAGas09_08!H25+IDGas12_07!H25)=0,,(WAGas09_08!H25+IDGas12_07!H25))</f>
        <v>0</v>
      </c>
      <c r="I25" s="94">
        <f>IF((WAGas09_08!I25+IDGas12_07!I25)=0,,(WAGas09_08!I25+IDGas12_07!I25))</f>
        <v>0</v>
      </c>
      <c r="J25" s="94">
        <f>IF((WAGas09_08!J25+IDGas12_07!J25)=0,,(WAGas09_08!J25+IDGas12_07!J25))</f>
        <v>0</v>
      </c>
      <c r="K25" s="94" t="e">
        <f>IF((WAGas09_08!L25+IDGas12_07!#REF!)=0,,(WAGas09_08!L25+IDGas12_07!#REF!))</f>
        <v>#REF!</v>
      </c>
      <c r="L25" s="89">
        <f>IF((WAGas09_08!M25+IDGas12_07!L25)=0,,(WAGas09_08!M25+IDGas12_07!L25))</f>
        <v>0</v>
      </c>
      <c r="M25" s="94">
        <f>IF((WAGas09_08!N25+IDGas12_07!N25)=0,,(WAGas09_08!N25+IDGas12_07!N25))</f>
        <v>0</v>
      </c>
      <c r="N25" s="94" t="e">
        <f>IF((WAGas09_08!#REF!+IDGas12_07!#REF!)=0,,(WAGas09_08!#REF!+IDGas12_07!#REF!))</f>
        <v>#REF!</v>
      </c>
      <c r="O25" s="94">
        <f>IF((WAGas09_08!O25+IDGas12_07!O25)=0,,(WAGas09_08!O25+IDGas12_07!O25))</f>
        <v>0</v>
      </c>
      <c r="P25" s="94">
        <f>IF((WAGas09_08!P25+IDGas12_07!P25)=0,,(WAGas09_08!P25+IDGas12_07!P25))</f>
        <v>0</v>
      </c>
      <c r="Q25" s="94">
        <f>IF((WAGas09_08!Q25+IDGas12_07!Q25)=0,,(WAGas09_08!Q25+IDGas12_07!Q25))</f>
        <v>0</v>
      </c>
      <c r="R25" s="94">
        <f>IF((WAGas09_08!R25+IDGas12_07!R25)=0,,(WAGas09_08!R25+IDGas12_07!R25))</f>
        <v>0</v>
      </c>
      <c r="S25" s="94">
        <f>IF((WAGas09_08!S25+IDGas12_07!S25)=0,,(WAGas09_08!S25+IDGas12_07!S25))</f>
        <v>0</v>
      </c>
      <c r="T25" s="94">
        <f>IF((WAGas09_08!T25+IDGas12_07!T25)=0,,(WAGas09_08!T25+IDGas12_07!T25))</f>
        <v>0</v>
      </c>
      <c r="U25" s="94">
        <f>IF((WAGas09_08!Z25+IDGas12_07!V25)=0,,(WAGas09_08!Z25+IDGas12_07!V25))</f>
        <v>0</v>
      </c>
      <c r="V25" s="94" t="e">
        <f>IF((WAGas09_08!#REF!+IDGas12_07!#REF!)=0,,(WAGas09_08!#REF!+IDGas12_07!#REF!))</f>
        <v>#REF!</v>
      </c>
      <c r="W25" s="94" t="e">
        <f>IF((WAGas09_08!#REF!+IDGas12_07!#REF!)=0,,(WAGas09_08!#REF!+IDGas12_07!#REF!))</f>
        <v>#REF!</v>
      </c>
      <c r="X25" s="94">
        <f>IF((WAGas09_08!V25+IDGas12_07!U25)=0,,(WAGas09_08!V25+IDGas12_07!U25))</f>
        <v>0</v>
      </c>
      <c r="Y25" s="94">
        <f>IF((WAGas09_08!W25+IDGas12_07!W25)=0,,(WAGas09_08!W25+IDGas12_07!W25))</f>
        <v>0</v>
      </c>
      <c r="Z25" s="94">
        <f>IF((WAGas09_08!AA25+IDGas12_07!X25)=0,,(WAGas09_08!AA25+IDGas12_07!X25))</f>
        <v>0</v>
      </c>
      <c r="AA25" s="94" t="e">
        <f>IF((WAGas09_08!#REF!+IDGas12_07!Y25)=0,,(WAGas09_08!#REF!+IDGas12_07!Y25))</f>
        <v>#REF!</v>
      </c>
      <c r="AB25" s="94">
        <f>IF((WAGas09_08!AB25+IDGas12_07!Z25)=0,,(WAGas09_08!AB25+IDGas12_07!Z25))</f>
        <v>0</v>
      </c>
      <c r="AC25" s="94" t="e">
        <f>IF((WAGas09_08!#REF!+IDGas12_07!#REF!)=0,,(WAGas09_08!#REF!+IDGas12_07!#REF!))</f>
        <v>#REF!</v>
      </c>
      <c r="AD25" s="94">
        <f>IF((WAGas09_08!AF25+IDGas12_07!AD25)=0,,(WAGas09_08!AF25+IDGas12_07!AD25))</f>
        <v>0</v>
      </c>
    </row>
    <row r="26" spans="1:30">
      <c r="A26" s="55">
        <v>10</v>
      </c>
      <c r="C26" s="58"/>
      <c r="D26" s="58" t="s">
        <v>81</v>
      </c>
      <c r="E26" s="58"/>
      <c r="F26" s="89">
        <f>IF((WAGas09_08!F26+IDGas12_07!F26)=0,,(WAGas09_08!F26+IDGas12_07!F26))</f>
        <v>575</v>
      </c>
      <c r="G26" s="94">
        <f>IF((WAGas09_08!G26+IDGas12_07!G26)=0,,(WAGas09_08!G26+IDGas12_07!G26))</f>
        <v>0</v>
      </c>
      <c r="H26" s="94">
        <f>IF((WAGas09_08!H26+IDGas12_07!H26)=0,,(WAGas09_08!H26+IDGas12_07!H26))</f>
        <v>0</v>
      </c>
      <c r="I26" s="94">
        <f>IF((WAGas09_08!I26+IDGas12_07!I26)=0,,(WAGas09_08!I26+IDGas12_07!I26))</f>
        <v>0</v>
      </c>
      <c r="J26" s="94">
        <f>IF((WAGas09_08!J26+IDGas12_07!J26)=0,,(WAGas09_08!J26+IDGas12_07!J26))</f>
        <v>0</v>
      </c>
      <c r="K26" s="94" t="e">
        <f>IF((WAGas09_08!L26+IDGas12_07!#REF!)=0,,(WAGas09_08!L26+IDGas12_07!#REF!))</f>
        <v>#REF!</v>
      </c>
      <c r="L26" s="89">
        <f>IF((WAGas09_08!M26+IDGas12_07!L26)=0,,(WAGas09_08!M26+IDGas12_07!L26))</f>
        <v>575</v>
      </c>
      <c r="M26" s="94">
        <f>IF((WAGas09_08!N26+IDGas12_07!N26)=0,,(WAGas09_08!N26+IDGas12_07!N26))</f>
        <v>0</v>
      </c>
      <c r="N26" s="94" t="e">
        <f>IF((WAGas09_08!#REF!+IDGas12_07!#REF!)=0,,(WAGas09_08!#REF!+IDGas12_07!#REF!))</f>
        <v>#REF!</v>
      </c>
      <c r="O26" s="94">
        <f>IF((WAGas09_08!O26+IDGas12_07!O26)=0,,(WAGas09_08!O26+IDGas12_07!O26))</f>
        <v>0</v>
      </c>
      <c r="P26" s="94">
        <f>IF((WAGas09_08!P26+IDGas12_07!P26)=0,,(WAGas09_08!P26+IDGas12_07!P26))</f>
        <v>0</v>
      </c>
      <c r="Q26" s="94">
        <f>IF((WAGas09_08!Q26+IDGas12_07!Q26)=0,,(WAGas09_08!Q26+IDGas12_07!Q26))</f>
        <v>0</v>
      </c>
      <c r="R26" s="94">
        <f>IF((WAGas09_08!R26+IDGas12_07!R26)=0,,(WAGas09_08!R26+IDGas12_07!R26))</f>
        <v>0</v>
      </c>
      <c r="S26" s="94">
        <f>IF((WAGas09_08!S26+IDGas12_07!S26)=0,,(WAGas09_08!S26+IDGas12_07!S26))</f>
        <v>0</v>
      </c>
      <c r="T26" s="94">
        <f>IF((WAGas09_08!T26+IDGas12_07!T26)=0,,(WAGas09_08!T26+IDGas12_07!T26))</f>
        <v>0</v>
      </c>
      <c r="U26" s="94">
        <f>IF((WAGas09_08!Z26+IDGas12_07!V26)=0,,(WAGas09_08!Z26+IDGas12_07!V26))</f>
        <v>0</v>
      </c>
      <c r="V26" s="94" t="e">
        <f>IF((WAGas09_08!#REF!+IDGas12_07!#REF!)=0,,(WAGas09_08!#REF!+IDGas12_07!#REF!))</f>
        <v>#REF!</v>
      </c>
      <c r="W26" s="94" t="e">
        <f>IF((WAGas09_08!#REF!+IDGas12_07!#REF!)=0,,(WAGas09_08!#REF!+IDGas12_07!#REF!))</f>
        <v>#REF!</v>
      </c>
      <c r="X26" s="94">
        <f>IF((WAGas09_08!V26+IDGas12_07!U26)=0,,(WAGas09_08!V26+IDGas12_07!U26))</f>
        <v>0</v>
      </c>
      <c r="Y26" s="94">
        <f>IF((WAGas09_08!W26+IDGas12_07!W26)=0,,(WAGas09_08!W26+IDGas12_07!W26))</f>
        <v>0</v>
      </c>
      <c r="Z26" s="94">
        <f>IF((WAGas09_08!AA26+IDGas12_07!X26)=0,,(WAGas09_08!AA26+IDGas12_07!X26))</f>
        <v>0</v>
      </c>
      <c r="AA26" s="94" t="e">
        <f>IF((WAGas09_08!#REF!+IDGas12_07!Y26)=0,,(WAGas09_08!#REF!+IDGas12_07!Y26))</f>
        <v>#REF!</v>
      </c>
      <c r="AB26" s="94">
        <f>IF((WAGas09_08!AB26+IDGas12_07!Z26)=0,,(WAGas09_08!AB26+IDGas12_07!Z26))</f>
        <v>575</v>
      </c>
      <c r="AC26" s="94" t="e">
        <f>IF((WAGas09_08!#REF!+IDGas12_07!#REF!)=0,,(WAGas09_08!#REF!+IDGas12_07!#REF!))</f>
        <v>#REF!</v>
      </c>
      <c r="AD26" s="94">
        <f>IF((WAGas09_08!AF26+IDGas12_07!AD26)=0,,(WAGas09_08!AF26+IDGas12_07!AD26))</f>
        <v>0</v>
      </c>
    </row>
    <row r="27" spans="1:30">
      <c r="A27" s="55">
        <v>11</v>
      </c>
      <c r="C27" s="58"/>
      <c r="D27" s="58" t="s">
        <v>82</v>
      </c>
      <c r="E27" s="58"/>
      <c r="F27" s="89">
        <f>IF((WAGas09_08!F27+IDGas12_07!F27)=0,,(WAGas09_08!F27+IDGas12_07!F27))</f>
        <v>367</v>
      </c>
      <c r="G27" s="94">
        <f>IF((WAGas09_08!G27+IDGas12_07!G27)=0,,(WAGas09_08!G27+IDGas12_07!G27))</f>
        <v>0</v>
      </c>
      <c r="H27" s="94">
        <f>IF((WAGas09_08!H27+IDGas12_07!H27)=0,,(WAGas09_08!H27+IDGas12_07!H27))</f>
        <v>0</v>
      </c>
      <c r="I27" s="94">
        <f>IF((WAGas09_08!I27+IDGas12_07!I27)=0,,(WAGas09_08!I27+IDGas12_07!I27))</f>
        <v>0</v>
      </c>
      <c r="J27" s="94">
        <f>IF((WAGas09_08!J27+IDGas12_07!J27)=0,,(WAGas09_08!J27+IDGas12_07!J27))</f>
        <v>0</v>
      </c>
      <c r="K27" s="94" t="e">
        <f>IF((WAGas09_08!L27+IDGas12_07!#REF!)=0,,(WAGas09_08!L27+IDGas12_07!#REF!))</f>
        <v>#REF!</v>
      </c>
      <c r="L27" s="89">
        <f>IF((WAGas09_08!M27+IDGas12_07!L27)=0,,(WAGas09_08!M27+IDGas12_07!L27))</f>
        <v>352</v>
      </c>
      <c r="M27" s="94">
        <f>IF((WAGas09_08!N27+IDGas12_07!N27)=0,,(WAGas09_08!N27+IDGas12_07!N27))</f>
        <v>0</v>
      </c>
      <c r="N27" s="94" t="e">
        <f>IF((WAGas09_08!#REF!+IDGas12_07!#REF!)=0,,(WAGas09_08!#REF!+IDGas12_07!#REF!))</f>
        <v>#REF!</v>
      </c>
      <c r="O27" s="94">
        <f>IF((WAGas09_08!O27+IDGas12_07!O27)=0,,(WAGas09_08!O27+IDGas12_07!O27))</f>
        <v>0</v>
      </c>
      <c r="P27" s="94">
        <f>IF((WAGas09_08!P27+IDGas12_07!P27)=0,,(WAGas09_08!P27+IDGas12_07!P27))</f>
        <v>0</v>
      </c>
      <c r="Q27" s="94">
        <f>IF((WAGas09_08!Q27+IDGas12_07!Q27)=0,,(WAGas09_08!Q27+IDGas12_07!Q27))</f>
        <v>0</v>
      </c>
      <c r="R27" s="94">
        <f>IF((WAGas09_08!R27+IDGas12_07!R27)=0,,(WAGas09_08!R27+IDGas12_07!R27))</f>
        <v>0</v>
      </c>
      <c r="S27" s="94">
        <f>IF((WAGas09_08!S27+IDGas12_07!S27)=0,,(WAGas09_08!S27+IDGas12_07!S27))</f>
        <v>0</v>
      </c>
      <c r="T27" s="94">
        <f>IF((WAGas09_08!T27+IDGas12_07!T27)=0,,(WAGas09_08!T27+IDGas12_07!T27))</f>
        <v>0</v>
      </c>
      <c r="U27" s="94">
        <f>IF((WAGas09_08!Z27+IDGas12_07!V27)=0,,(WAGas09_08!Z27+IDGas12_07!V27))</f>
        <v>0</v>
      </c>
      <c r="V27" s="94" t="e">
        <f>IF((WAGas09_08!#REF!+IDGas12_07!#REF!)=0,,(WAGas09_08!#REF!+IDGas12_07!#REF!))</f>
        <v>#REF!</v>
      </c>
      <c r="W27" s="94" t="e">
        <f>IF((WAGas09_08!#REF!+IDGas12_07!#REF!)=0,,(WAGas09_08!#REF!+IDGas12_07!#REF!))</f>
        <v>#REF!</v>
      </c>
      <c r="X27" s="94">
        <f>IF((WAGas09_08!V27+IDGas12_07!U27)=0,,(WAGas09_08!V27+IDGas12_07!U27))</f>
        <v>0</v>
      </c>
      <c r="Y27" s="94">
        <f>IF((WAGas09_08!W27+IDGas12_07!W27)=0,,(WAGas09_08!W27+IDGas12_07!W27))</f>
        <v>0</v>
      </c>
      <c r="Z27" s="94">
        <f>IF((WAGas09_08!AA27+IDGas12_07!X27)=0,,(WAGas09_08!AA27+IDGas12_07!X27))</f>
        <v>0</v>
      </c>
      <c r="AA27" s="94" t="e">
        <f>IF((WAGas09_08!#REF!+IDGas12_07!Y27)=0,,(WAGas09_08!#REF!+IDGas12_07!Y27))</f>
        <v>#REF!</v>
      </c>
      <c r="AB27" s="94">
        <f>IF((WAGas09_08!AB27+IDGas12_07!Z27)=0,,(WAGas09_08!AB27+IDGas12_07!Z27))</f>
        <v>352</v>
      </c>
      <c r="AC27" s="94" t="e">
        <f>IF((WAGas09_08!#REF!+IDGas12_07!#REF!)=0,,(WAGas09_08!#REF!+IDGas12_07!#REF!))</f>
        <v>#REF!</v>
      </c>
      <c r="AD27" s="94">
        <f>IF((WAGas09_08!AF27+IDGas12_07!AD27)=0,,(WAGas09_08!AF27+IDGas12_07!AD27))</f>
        <v>-107</v>
      </c>
    </row>
    <row r="28" spans="1:30">
      <c r="A28" s="55">
        <v>12</v>
      </c>
      <c r="C28" s="58"/>
      <c r="D28" s="58" t="s">
        <v>37</v>
      </c>
      <c r="E28" s="58"/>
      <c r="F28" s="90">
        <f>IF((WAGas09_08!F28+IDGas12_07!F28)=0,,(WAGas09_08!F28+IDGas12_07!F28))</f>
        <v>159</v>
      </c>
      <c r="G28" s="93">
        <f>IF((WAGas09_08!G28+IDGas12_07!G28)=0,,(WAGas09_08!G28+IDGas12_07!G28))</f>
        <v>0</v>
      </c>
      <c r="H28" s="93">
        <f>IF((WAGas09_08!H28+IDGas12_07!H28)=0,,(WAGas09_08!H28+IDGas12_07!H28))</f>
        <v>0</v>
      </c>
      <c r="I28" s="93">
        <f>IF((WAGas09_08!I28+IDGas12_07!I28)=0,,(WAGas09_08!I28+IDGas12_07!I28))</f>
        <v>0</v>
      </c>
      <c r="J28" s="93">
        <f>IF((WAGas09_08!J28+IDGas12_07!J28)=0,,(WAGas09_08!J28+IDGas12_07!J28))</f>
        <v>0</v>
      </c>
      <c r="K28" s="93" t="e">
        <f>IF((WAGas09_08!L28+IDGas12_07!#REF!)=0,,(WAGas09_08!L28+IDGas12_07!#REF!))</f>
        <v>#REF!</v>
      </c>
      <c r="L28" s="90">
        <f>IF((WAGas09_08!M28+IDGas12_07!L28)=0,,(WAGas09_08!M28+IDGas12_07!L28))</f>
        <v>159</v>
      </c>
      <c r="M28" s="93">
        <f>IF((WAGas09_08!N28+IDGas12_07!N28)=0,,(WAGas09_08!N28+IDGas12_07!N28))</f>
        <v>0</v>
      </c>
      <c r="N28" s="93" t="e">
        <f>IF((WAGas09_08!#REF!+IDGas12_07!#REF!)=0,,(WAGas09_08!#REF!+IDGas12_07!#REF!))</f>
        <v>#REF!</v>
      </c>
      <c r="O28" s="93">
        <f>IF((WAGas09_08!O28+IDGas12_07!O28)=0,,(WAGas09_08!O28+IDGas12_07!O28))</f>
        <v>0</v>
      </c>
      <c r="P28" s="93">
        <f>IF((WAGas09_08!P28+IDGas12_07!P28)=0,,(WAGas09_08!P28+IDGas12_07!P28))</f>
        <v>-16</v>
      </c>
      <c r="Q28" s="93">
        <f>IF((WAGas09_08!Q28+IDGas12_07!Q28)=0,,(WAGas09_08!Q28+IDGas12_07!Q28))</f>
        <v>0</v>
      </c>
      <c r="R28" s="93">
        <f>IF((WAGas09_08!R28+IDGas12_07!R28)=0,,(WAGas09_08!R28+IDGas12_07!R28))</f>
        <v>0</v>
      </c>
      <c r="S28" s="93">
        <f>IF((WAGas09_08!S28+IDGas12_07!S28)=0,,(WAGas09_08!S28+IDGas12_07!S28))</f>
        <v>0</v>
      </c>
      <c r="T28" s="93">
        <f>IF((WAGas09_08!T28+IDGas12_07!T28)=0,,(WAGas09_08!T28+IDGas12_07!T28))</f>
        <v>0</v>
      </c>
      <c r="U28" s="93">
        <f>IF((WAGas09_08!Z28+IDGas12_07!V28)=0,,(WAGas09_08!Z28+IDGas12_07!V28))</f>
        <v>0</v>
      </c>
      <c r="V28" s="93" t="e">
        <f>IF((WAGas09_08!#REF!+IDGas12_07!#REF!)=0,,(WAGas09_08!#REF!+IDGas12_07!#REF!))</f>
        <v>#REF!</v>
      </c>
      <c r="W28" s="93" t="e">
        <f>IF((WAGas09_08!#REF!+IDGas12_07!#REF!)=0,,(WAGas09_08!#REF!+IDGas12_07!#REF!))</f>
        <v>#REF!</v>
      </c>
      <c r="X28" s="93">
        <f>IF((WAGas09_08!V28+IDGas12_07!U28)=0,,(WAGas09_08!V28+IDGas12_07!U28))</f>
        <v>0</v>
      </c>
      <c r="Y28" s="93">
        <f>IF((WAGas09_08!W28+IDGas12_07!W28)=0,,(WAGas09_08!W28+IDGas12_07!W28))</f>
        <v>0</v>
      </c>
      <c r="Z28" s="93">
        <f>IF((WAGas09_08!AA28+IDGas12_07!X28)=0,,(WAGas09_08!AA28+IDGas12_07!X28))</f>
        <v>0</v>
      </c>
      <c r="AA28" s="93" t="e">
        <f>IF((WAGas09_08!#REF!+IDGas12_07!Y28)=0,,(WAGas09_08!#REF!+IDGas12_07!Y28))</f>
        <v>#REF!</v>
      </c>
      <c r="AB28" s="93">
        <f>IF((WAGas09_08!AB28+IDGas12_07!Z28)=0,,(WAGas09_08!AB28+IDGas12_07!Z28))</f>
        <v>143</v>
      </c>
      <c r="AC28" s="93" t="e">
        <f>IF((WAGas09_08!#REF!+IDGas12_07!#REF!)=0,,(WAGas09_08!#REF!+IDGas12_07!#REF!))</f>
        <v>#REF!</v>
      </c>
      <c r="AD28" s="93">
        <f>IF((WAGas09_08!AF28+IDGas12_07!AD28)=0,,(WAGas09_08!AF28+IDGas12_07!AD28))</f>
        <v>0</v>
      </c>
    </row>
    <row r="29" spans="1:30">
      <c r="A29" s="55">
        <v>13</v>
      </c>
      <c r="C29" s="58"/>
      <c r="D29" s="58"/>
      <c r="E29" s="58" t="s">
        <v>83</v>
      </c>
      <c r="F29" s="89">
        <f>IF((WAGas09_08!F29+IDGas12_07!F29)=0,,(WAGas09_08!F29+IDGas12_07!F29))</f>
        <v>1101</v>
      </c>
      <c r="G29" s="94">
        <f>IF((WAGas09_08!G29+IDGas12_07!G29)=0,,(WAGas09_08!G29+IDGas12_07!G29))</f>
        <v>0</v>
      </c>
      <c r="H29" s="94">
        <f>IF((WAGas09_08!H29+IDGas12_07!H29)=0,,(WAGas09_08!H29+IDGas12_07!H29))</f>
        <v>0</v>
      </c>
      <c r="I29" s="94">
        <f>IF((WAGas09_08!I29+IDGas12_07!I29)=0,,(WAGas09_08!I29+IDGas12_07!I29))</f>
        <v>0</v>
      </c>
      <c r="J29" s="94">
        <f>IF((WAGas09_08!J29+IDGas12_07!J29)=0,,(WAGas09_08!J29+IDGas12_07!J29))</f>
        <v>0</v>
      </c>
      <c r="K29" s="94" t="e">
        <f>IF((WAGas09_08!L29+IDGas12_07!#REF!)=0,,(WAGas09_08!L29+IDGas12_07!#REF!))</f>
        <v>#REF!</v>
      </c>
      <c r="L29" s="89">
        <f>IF((WAGas09_08!M29+IDGas12_07!L29)=0,,(WAGas09_08!M29+IDGas12_07!L29))</f>
        <v>1086</v>
      </c>
      <c r="M29" s="94">
        <f>IF((WAGas09_08!N29+IDGas12_07!N29)=0,,(WAGas09_08!N29+IDGas12_07!N29))</f>
        <v>0</v>
      </c>
      <c r="N29" s="94" t="e">
        <f>IF((WAGas09_08!#REF!+IDGas12_07!#REF!)=0,,(WAGas09_08!#REF!+IDGas12_07!#REF!))</f>
        <v>#REF!</v>
      </c>
      <c r="O29" s="94">
        <f>IF((WAGas09_08!O29+IDGas12_07!O29)=0,,(WAGas09_08!O29+IDGas12_07!O29))</f>
        <v>0</v>
      </c>
      <c r="P29" s="94">
        <f>IF((WAGas09_08!P29+IDGas12_07!P29)=0,,(WAGas09_08!P29+IDGas12_07!P29))</f>
        <v>-16</v>
      </c>
      <c r="Q29" s="94">
        <f>IF((WAGas09_08!Q29+IDGas12_07!Q29)=0,,(WAGas09_08!Q29+IDGas12_07!Q29))</f>
        <v>0</v>
      </c>
      <c r="R29" s="94">
        <f>IF((WAGas09_08!R29+IDGas12_07!R29)=0,,(WAGas09_08!R29+IDGas12_07!R29))</f>
        <v>0</v>
      </c>
      <c r="S29" s="94">
        <f>IF((WAGas09_08!S29+IDGas12_07!S29)=0,,(WAGas09_08!S29+IDGas12_07!S29))</f>
        <v>0</v>
      </c>
      <c r="T29" s="94">
        <f>IF((WAGas09_08!T29+IDGas12_07!T29)=0,,(WAGas09_08!T29+IDGas12_07!T29))</f>
        <v>0</v>
      </c>
      <c r="U29" s="94">
        <f>IF((WAGas09_08!Z29+IDGas12_07!V29)=0,,(WAGas09_08!Z29+IDGas12_07!V29))</f>
        <v>0</v>
      </c>
      <c r="V29" s="94" t="e">
        <f>IF((WAGas09_08!#REF!+IDGas12_07!#REF!)=0,,(WAGas09_08!#REF!+IDGas12_07!#REF!))</f>
        <v>#REF!</v>
      </c>
      <c r="W29" s="94" t="e">
        <f>IF((WAGas09_08!#REF!+IDGas12_07!#REF!)=0,,(WAGas09_08!#REF!+IDGas12_07!#REF!))</f>
        <v>#REF!</v>
      </c>
      <c r="X29" s="94">
        <f>IF((WAGas09_08!V29+IDGas12_07!U29)=0,,(WAGas09_08!V29+IDGas12_07!U29))</f>
        <v>0</v>
      </c>
      <c r="Y29" s="94">
        <f>IF((WAGas09_08!W29+IDGas12_07!W29)=0,,(WAGas09_08!W29+IDGas12_07!W29))</f>
        <v>0</v>
      </c>
      <c r="Z29" s="94">
        <f>IF((WAGas09_08!AA29+IDGas12_07!X29)=0,,(WAGas09_08!AA29+IDGas12_07!X29))</f>
        <v>0</v>
      </c>
      <c r="AA29" s="94" t="e">
        <f>IF((WAGas09_08!#REF!+IDGas12_07!Y29)=0,,(WAGas09_08!#REF!+IDGas12_07!Y29))</f>
        <v>#REF!</v>
      </c>
      <c r="AB29" s="94">
        <f>IF((WAGas09_08!AB29+IDGas12_07!Z29)=0,,(WAGas09_08!AB29+IDGas12_07!Z29))</f>
        <v>1070</v>
      </c>
      <c r="AC29" s="94" t="e">
        <f>IF((WAGas09_08!#REF!+IDGas12_07!#REF!)=0,,(WAGas09_08!#REF!+IDGas12_07!#REF!))</f>
        <v>#REF!</v>
      </c>
      <c r="AD29" s="94">
        <f>IF((WAGas09_08!AF29+IDGas12_07!AD29)=0,,(WAGas09_08!AF29+IDGas12_07!AD29))</f>
        <v>-107</v>
      </c>
    </row>
    <row r="30" spans="1:30">
      <c r="C30" s="58" t="s">
        <v>84</v>
      </c>
      <c r="D30" s="58"/>
      <c r="E30" s="58"/>
      <c r="F30" s="89">
        <f>IF((WAGas09_08!F30+IDGas12_07!F30)=0,,(WAGas09_08!F30+IDGas12_07!F30))</f>
        <v>0</v>
      </c>
      <c r="G30" s="94">
        <f>IF((WAGas09_08!G30+IDGas12_07!G30)=0,,(WAGas09_08!G30+IDGas12_07!G30))</f>
        <v>0</v>
      </c>
      <c r="H30" s="94">
        <f>IF((WAGas09_08!H30+IDGas12_07!H30)=0,,(WAGas09_08!H30+IDGas12_07!H30))</f>
        <v>0</v>
      </c>
      <c r="I30" s="94">
        <f>IF((WAGas09_08!I30+IDGas12_07!I30)=0,,(WAGas09_08!I30+IDGas12_07!I30))</f>
        <v>0</v>
      </c>
      <c r="J30" s="94">
        <f>IF((WAGas09_08!J30+IDGas12_07!J30)=0,,(WAGas09_08!J30+IDGas12_07!J30))</f>
        <v>0</v>
      </c>
      <c r="K30" s="94" t="e">
        <f>IF((WAGas09_08!L30+IDGas12_07!#REF!)=0,,(WAGas09_08!L30+IDGas12_07!#REF!))</f>
        <v>#REF!</v>
      </c>
      <c r="L30" s="89">
        <f>IF((WAGas09_08!M30+IDGas12_07!L30)=0,,(WAGas09_08!M30+IDGas12_07!L30))</f>
        <v>0</v>
      </c>
      <c r="M30" s="94">
        <f>IF((WAGas09_08!N30+IDGas12_07!N30)=0,,(WAGas09_08!N30+IDGas12_07!N30))</f>
        <v>0</v>
      </c>
      <c r="N30" s="94" t="e">
        <f>IF((WAGas09_08!#REF!+IDGas12_07!#REF!)=0,,(WAGas09_08!#REF!+IDGas12_07!#REF!))</f>
        <v>#REF!</v>
      </c>
      <c r="O30" s="94">
        <f>IF((WAGas09_08!O30+IDGas12_07!O30)=0,,(WAGas09_08!O30+IDGas12_07!O30))</f>
        <v>0</v>
      </c>
      <c r="P30" s="94">
        <f>IF((WAGas09_08!P30+IDGas12_07!P30)=0,,(WAGas09_08!P30+IDGas12_07!P30))</f>
        <v>0</v>
      </c>
      <c r="Q30" s="94">
        <f>IF((WAGas09_08!Q30+IDGas12_07!Q30)=0,,(WAGas09_08!Q30+IDGas12_07!Q30))</f>
        <v>0</v>
      </c>
      <c r="R30" s="94">
        <f>IF((WAGas09_08!R30+IDGas12_07!R30)=0,,(WAGas09_08!R30+IDGas12_07!R30))</f>
        <v>0</v>
      </c>
      <c r="S30" s="94">
        <f>IF((WAGas09_08!S30+IDGas12_07!S30)=0,,(WAGas09_08!S30+IDGas12_07!S30))</f>
        <v>0</v>
      </c>
      <c r="T30" s="94">
        <f>IF((WAGas09_08!T30+IDGas12_07!T30)=0,,(WAGas09_08!T30+IDGas12_07!T30))</f>
        <v>0</v>
      </c>
      <c r="U30" s="94">
        <f>IF((WAGas09_08!Z30+IDGas12_07!V30)=0,,(WAGas09_08!Z30+IDGas12_07!V30))</f>
        <v>0</v>
      </c>
      <c r="V30" s="94" t="e">
        <f>IF((WAGas09_08!#REF!+IDGas12_07!#REF!)=0,,(WAGas09_08!#REF!+IDGas12_07!#REF!))</f>
        <v>#REF!</v>
      </c>
      <c r="W30" s="94" t="e">
        <f>IF((WAGas09_08!#REF!+IDGas12_07!#REF!)=0,,(WAGas09_08!#REF!+IDGas12_07!#REF!))</f>
        <v>#REF!</v>
      </c>
      <c r="X30" s="94">
        <f>IF((WAGas09_08!V30+IDGas12_07!U30)=0,,(WAGas09_08!V30+IDGas12_07!U30))</f>
        <v>0</v>
      </c>
      <c r="Y30" s="94">
        <f>IF((WAGas09_08!W30+IDGas12_07!W30)=0,,(WAGas09_08!W30+IDGas12_07!W30))</f>
        <v>0</v>
      </c>
      <c r="Z30" s="94">
        <f>IF((WAGas09_08!AA30+IDGas12_07!X30)=0,,(WAGas09_08!AA30+IDGas12_07!X30))</f>
        <v>0</v>
      </c>
      <c r="AA30" s="94" t="e">
        <f>IF((WAGas09_08!#REF!+IDGas12_07!Y30)=0,,(WAGas09_08!#REF!+IDGas12_07!Y30))</f>
        <v>#REF!</v>
      </c>
      <c r="AB30" s="94">
        <f>IF((WAGas09_08!AB30+IDGas12_07!Z30)=0,,(WAGas09_08!AB30+IDGas12_07!Z30))</f>
        <v>0</v>
      </c>
      <c r="AC30" s="94" t="e">
        <f>IF((WAGas09_08!#REF!+IDGas12_07!#REF!)=0,,(WAGas09_08!#REF!+IDGas12_07!#REF!))</f>
        <v>#REF!</v>
      </c>
      <c r="AD30" s="94">
        <f>IF((WAGas09_08!AF30+IDGas12_07!AD30)=0,,(WAGas09_08!AF30+IDGas12_07!AD30))</f>
        <v>0</v>
      </c>
    </row>
    <row r="31" spans="1:30">
      <c r="A31" s="55">
        <v>14</v>
      </c>
      <c r="C31" s="58"/>
      <c r="D31" s="58" t="s">
        <v>81</v>
      </c>
      <c r="E31" s="58"/>
      <c r="F31" s="89">
        <f>IF((WAGas09_08!F31+IDGas12_07!F31)=0,,(WAGas09_08!F31+IDGas12_07!F31))</f>
        <v>10093</v>
      </c>
      <c r="G31" s="94">
        <f>IF((WAGas09_08!G31+IDGas12_07!G31)=0,,(WAGas09_08!G31+IDGas12_07!G31))</f>
        <v>0</v>
      </c>
      <c r="H31" s="94">
        <f>IF((WAGas09_08!H31+IDGas12_07!H31)=0,,(WAGas09_08!H31+IDGas12_07!H31))</f>
        <v>0</v>
      </c>
      <c r="I31" s="94">
        <f>IF((WAGas09_08!I31+IDGas12_07!I31)=0,,(WAGas09_08!I31+IDGas12_07!I31))</f>
        <v>0</v>
      </c>
      <c r="J31" s="94">
        <f>IF((WAGas09_08!J31+IDGas12_07!J31)=0,,(WAGas09_08!J31+IDGas12_07!J31))</f>
        <v>0</v>
      </c>
      <c r="K31" s="94" t="e">
        <f>IF((WAGas09_08!L31+IDGas12_07!#REF!)=0,,(WAGas09_08!L31+IDGas12_07!#REF!))</f>
        <v>#REF!</v>
      </c>
      <c r="L31" s="89">
        <f>IF((WAGas09_08!M31+IDGas12_07!L31)=0,,(WAGas09_08!M31+IDGas12_07!L31))</f>
        <v>10093</v>
      </c>
      <c r="M31" s="94">
        <f>IF((WAGas09_08!N31+IDGas12_07!N31)=0,,(WAGas09_08!N31+IDGas12_07!N31))</f>
        <v>0</v>
      </c>
      <c r="N31" s="94" t="e">
        <f>IF((WAGas09_08!#REF!+IDGas12_07!#REF!)=0,,(WAGas09_08!#REF!+IDGas12_07!#REF!))</f>
        <v>#REF!</v>
      </c>
      <c r="O31" s="94">
        <f>IF((WAGas09_08!O31+IDGas12_07!O31)=0,,(WAGas09_08!O31+IDGas12_07!O31))</f>
        <v>0</v>
      </c>
      <c r="P31" s="94">
        <f>IF((WAGas09_08!P31+IDGas12_07!P31)=0,,(WAGas09_08!P31+IDGas12_07!P31))</f>
        <v>0</v>
      </c>
      <c r="Q31" s="94">
        <f>IF((WAGas09_08!Q31+IDGas12_07!Q31)=0,,(WAGas09_08!Q31+IDGas12_07!Q31))</f>
        <v>0</v>
      </c>
      <c r="R31" s="94">
        <f>IF((WAGas09_08!R31+IDGas12_07!R31)=0,,(WAGas09_08!R31+IDGas12_07!R31))</f>
        <v>0</v>
      </c>
      <c r="S31" s="94">
        <f>IF((WAGas09_08!S31+IDGas12_07!S31)=0,,(WAGas09_08!S31+IDGas12_07!S31))</f>
        <v>0</v>
      </c>
      <c r="T31" s="94">
        <f>IF((WAGas09_08!T31+IDGas12_07!T31)=0,,(WAGas09_08!T31+IDGas12_07!T31))</f>
        <v>0</v>
      </c>
      <c r="U31" s="94">
        <f>IF((WAGas09_08!Z31+IDGas12_07!V31)=0,,(WAGas09_08!Z31+IDGas12_07!V31))</f>
        <v>0</v>
      </c>
      <c r="V31" s="94" t="e">
        <f>IF((WAGas09_08!#REF!+IDGas12_07!#REF!)=0,,(WAGas09_08!#REF!+IDGas12_07!#REF!))</f>
        <v>#REF!</v>
      </c>
      <c r="W31" s="94" t="e">
        <f>IF((WAGas09_08!#REF!+IDGas12_07!#REF!)=0,,(WAGas09_08!#REF!+IDGas12_07!#REF!))</f>
        <v>#REF!</v>
      </c>
      <c r="X31" s="94">
        <f>IF((WAGas09_08!V31+IDGas12_07!U31)=0,,(WAGas09_08!V31+IDGas12_07!U31))</f>
        <v>0</v>
      </c>
      <c r="Y31" s="94">
        <f>IF((WAGas09_08!W31+IDGas12_07!W31)=0,,(WAGas09_08!W31+IDGas12_07!W31))</f>
        <v>0</v>
      </c>
      <c r="Z31" s="94">
        <f>IF((WAGas09_08!AA31+IDGas12_07!X31)=0,,(WAGas09_08!AA31+IDGas12_07!X31))</f>
        <v>0</v>
      </c>
      <c r="AA31" s="94" t="e">
        <f>IF((WAGas09_08!#REF!+IDGas12_07!Y31)=0,,(WAGas09_08!#REF!+IDGas12_07!Y31))</f>
        <v>#REF!</v>
      </c>
      <c r="AB31" s="94">
        <f>IF((WAGas09_08!AB31+IDGas12_07!Z31)=0,,(WAGas09_08!AB31+IDGas12_07!Z31))</f>
        <v>10093</v>
      </c>
      <c r="AC31" s="94" t="e">
        <f>IF((WAGas09_08!#REF!+IDGas12_07!#REF!)=0,,(WAGas09_08!#REF!+IDGas12_07!#REF!))</f>
        <v>#REF!</v>
      </c>
      <c r="AD31" s="94">
        <f>IF((WAGas09_08!AF31+IDGas12_07!AD31)=0,,(WAGas09_08!AF31+IDGas12_07!AD31))</f>
        <v>0</v>
      </c>
    </row>
    <row r="32" spans="1:30">
      <c r="A32" s="55">
        <v>15</v>
      </c>
      <c r="C32" s="58"/>
      <c r="D32" s="58" t="s">
        <v>82</v>
      </c>
      <c r="E32" s="58"/>
      <c r="F32" s="89">
        <f>IF((WAGas09_08!F32+IDGas12_07!F32)=0,,(WAGas09_08!F32+IDGas12_07!F32))</f>
        <v>8466</v>
      </c>
      <c r="G32" s="94">
        <f>IF((WAGas09_08!G32+IDGas12_07!G32)=0,,(WAGas09_08!G32+IDGas12_07!G32))</f>
        <v>0</v>
      </c>
      <c r="H32" s="94">
        <f>IF((WAGas09_08!H32+IDGas12_07!H32)=0,,(WAGas09_08!H32+IDGas12_07!H32))</f>
        <v>0</v>
      </c>
      <c r="I32" s="94">
        <f>IF((WAGas09_08!I32+IDGas12_07!I32)=0,,(WAGas09_08!I32+IDGas12_07!I32))</f>
        <v>0</v>
      </c>
      <c r="J32" s="94">
        <f>IF((WAGas09_08!J32+IDGas12_07!J32)=0,,(WAGas09_08!J32+IDGas12_07!J32))</f>
        <v>0</v>
      </c>
      <c r="K32" s="94" t="e">
        <f>IF((WAGas09_08!L32+IDGas12_07!#REF!)=0,,(WAGas09_08!L32+IDGas12_07!#REF!))</f>
        <v>#REF!</v>
      </c>
      <c r="L32" s="89">
        <f>IF((WAGas09_08!M32+IDGas12_07!L32)=0,,(WAGas09_08!M32+IDGas12_07!L32))</f>
        <v>8413</v>
      </c>
      <c r="M32" s="94">
        <f>IF((WAGas09_08!N32+IDGas12_07!N32)=0,,(WAGas09_08!N32+IDGas12_07!N32))</f>
        <v>0</v>
      </c>
      <c r="N32" s="94" t="e">
        <f>IF((WAGas09_08!#REF!+IDGas12_07!#REF!)=0,,(WAGas09_08!#REF!+IDGas12_07!#REF!))</f>
        <v>#REF!</v>
      </c>
      <c r="O32" s="94">
        <f>IF((WAGas09_08!O32+IDGas12_07!O32)=0,,(WAGas09_08!O32+IDGas12_07!O32))</f>
        <v>0</v>
      </c>
      <c r="P32" s="94">
        <f>IF((WAGas09_08!P32+IDGas12_07!P32)=0,,(WAGas09_08!P32+IDGas12_07!P32))</f>
        <v>0</v>
      </c>
      <c r="Q32" s="94">
        <f>IF((WAGas09_08!Q32+IDGas12_07!Q32)=0,,(WAGas09_08!Q32+IDGas12_07!Q32))</f>
        <v>0</v>
      </c>
      <c r="R32" s="94">
        <f>IF((WAGas09_08!R32+IDGas12_07!R32)=0,,(WAGas09_08!R32+IDGas12_07!R32))</f>
        <v>0</v>
      </c>
      <c r="S32" s="94">
        <f>IF((WAGas09_08!S32+IDGas12_07!S32)=0,,(WAGas09_08!S32+IDGas12_07!S32))</f>
        <v>0</v>
      </c>
      <c r="T32" s="94">
        <f>IF((WAGas09_08!T32+IDGas12_07!T32)=0,,(WAGas09_08!T32+IDGas12_07!T32))</f>
        <v>0</v>
      </c>
      <c r="U32" s="94">
        <f>IF((WAGas09_08!Z32+IDGas12_07!V32)=0,,(WAGas09_08!Z32+IDGas12_07!V32))</f>
        <v>0</v>
      </c>
      <c r="V32" s="94" t="e">
        <f>IF((WAGas09_08!#REF!+IDGas12_07!#REF!)=0,,(WAGas09_08!#REF!+IDGas12_07!#REF!))</f>
        <v>#REF!</v>
      </c>
      <c r="W32" s="94" t="e">
        <f>IF((WAGas09_08!#REF!+IDGas12_07!#REF!)=0,,(WAGas09_08!#REF!+IDGas12_07!#REF!))</f>
        <v>#REF!</v>
      </c>
      <c r="X32" s="94">
        <f>IF((WAGas09_08!V32+IDGas12_07!U32)=0,,(WAGas09_08!V32+IDGas12_07!U32))</f>
        <v>0</v>
      </c>
      <c r="Y32" s="94">
        <f>IF((WAGas09_08!W32+IDGas12_07!W32)=0,,(WAGas09_08!W32+IDGas12_07!W32))</f>
        <v>0</v>
      </c>
      <c r="Z32" s="94">
        <f>IF((WAGas09_08!AA32+IDGas12_07!X32)=0,,(WAGas09_08!AA32+IDGas12_07!X32))</f>
        <v>0</v>
      </c>
      <c r="AA32" s="94" t="e">
        <f>IF((WAGas09_08!#REF!+IDGas12_07!Y32)=0,,(WAGas09_08!#REF!+IDGas12_07!Y32))</f>
        <v>#REF!</v>
      </c>
      <c r="AB32" s="94">
        <f>IF((WAGas09_08!AB32+IDGas12_07!Z32)=0,,(WAGas09_08!AB32+IDGas12_07!Z32))</f>
        <v>8400</v>
      </c>
      <c r="AC32" s="94" t="e">
        <f>IF((WAGas09_08!#REF!+IDGas12_07!#REF!)=0,,(WAGas09_08!#REF!+IDGas12_07!#REF!))</f>
        <v>#REF!</v>
      </c>
      <c r="AD32" s="94">
        <f>IF((WAGas09_08!AF32+IDGas12_07!AD32)=0,,(WAGas09_08!AF32+IDGas12_07!AD32))</f>
        <v>-564</v>
      </c>
    </row>
    <row r="33" spans="1:30">
      <c r="A33" s="55">
        <v>16</v>
      </c>
      <c r="C33" s="58"/>
      <c r="D33" s="58" t="s">
        <v>37</v>
      </c>
      <c r="E33" s="58"/>
      <c r="F33" s="90">
        <f>IF((WAGas09_08!F33+IDGas12_07!F33)=0,,(WAGas09_08!F33+IDGas12_07!F33))</f>
        <v>20678</v>
      </c>
      <c r="G33" s="93">
        <f>IF((WAGas09_08!G33+IDGas12_07!G33)=0,,(WAGas09_08!G33+IDGas12_07!G33))</f>
        <v>0</v>
      </c>
      <c r="H33" s="93">
        <f>IF((WAGas09_08!H33+IDGas12_07!H33)=0,,(WAGas09_08!H33+IDGas12_07!H33))</f>
        <v>0</v>
      </c>
      <c r="I33" s="93">
        <f>IF((WAGas09_08!I33+IDGas12_07!I33)=0,,(WAGas09_08!I33+IDGas12_07!I33))</f>
        <v>0</v>
      </c>
      <c r="J33" s="93">
        <f>IF((WAGas09_08!J33+IDGas12_07!J33)=0,,(WAGas09_08!J33+IDGas12_07!J33))</f>
        <v>0</v>
      </c>
      <c r="K33" s="93" t="e">
        <f>IF((WAGas09_08!L33+IDGas12_07!#REF!)=0,,(WAGas09_08!L33+IDGas12_07!#REF!))</f>
        <v>#REF!</v>
      </c>
      <c r="L33" s="90">
        <f>IF((WAGas09_08!M33+IDGas12_07!L33)=0,,(WAGas09_08!M33+IDGas12_07!L33))</f>
        <v>20678</v>
      </c>
      <c r="M33" s="93">
        <f>IF((WAGas09_08!N33+IDGas12_07!N33)=0,,(WAGas09_08!N33+IDGas12_07!N33))</f>
        <v>67</v>
      </c>
      <c r="N33" s="93" t="e">
        <f>IF((WAGas09_08!#REF!+IDGas12_07!#REF!)=0,,(WAGas09_08!#REF!+IDGas12_07!#REF!))</f>
        <v>#REF!</v>
      </c>
      <c r="O33" s="93">
        <f>IF((WAGas09_08!O33+IDGas12_07!O33)=0,,(WAGas09_08!O33+IDGas12_07!O33))</f>
        <v>-7908</v>
      </c>
      <c r="P33" s="93">
        <f>IF((WAGas09_08!P33+IDGas12_07!P33)=0,,(WAGas09_08!P33+IDGas12_07!P33))</f>
        <v>-280</v>
      </c>
      <c r="Q33" s="93">
        <f>IF((WAGas09_08!Q33+IDGas12_07!Q33)=0,,(WAGas09_08!Q33+IDGas12_07!Q33))</f>
        <v>0</v>
      </c>
      <c r="R33" s="93">
        <f>IF((WAGas09_08!R33+IDGas12_07!R33)=0,,(WAGas09_08!R33+IDGas12_07!R33))</f>
        <v>0</v>
      </c>
      <c r="S33" s="93">
        <f>IF((WAGas09_08!S33+IDGas12_07!S33)=0,,(WAGas09_08!S33+IDGas12_07!S33))</f>
        <v>0</v>
      </c>
      <c r="T33" s="93">
        <f>IF((WAGas09_08!T33+IDGas12_07!T33)=0,,(WAGas09_08!T33+IDGas12_07!T33))</f>
        <v>0</v>
      </c>
      <c r="U33" s="93">
        <f>IF((WAGas09_08!Z33+IDGas12_07!V33)=0,,(WAGas09_08!Z33+IDGas12_07!V33))</f>
        <v>0</v>
      </c>
      <c r="V33" s="93" t="e">
        <f>IF((WAGas09_08!#REF!+IDGas12_07!#REF!)=0,,(WAGas09_08!#REF!+IDGas12_07!#REF!))</f>
        <v>#REF!</v>
      </c>
      <c r="W33" s="93" t="e">
        <f>IF((WAGas09_08!#REF!+IDGas12_07!#REF!)=0,,(WAGas09_08!#REF!+IDGas12_07!#REF!))</f>
        <v>#REF!</v>
      </c>
      <c r="X33" s="93">
        <f>IF((WAGas09_08!V33+IDGas12_07!U33)=0,,(WAGas09_08!V33+IDGas12_07!U33))</f>
        <v>0</v>
      </c>
      <c r="Y33" s="93">
        <f>IF((WAGas09_08!W33+IDGas12_07!W33)=0,,(WAGas09_08!W33+IDGas12_07!W33))</f>
        <v>0</v>
      </c>
      <c r="Z33" s="93">
        <f>IF((WAGas09_08!AA33+IDGas12_07!X33)=0,,(WAGas09_08!AA33+IDGas12_07!X33))</f>
        <v>0</v>
      </c>
      <c r="AA33" s="93" t="e">
        <f>IF((WAGas09_08!#REF!+IDGas12_07!Y33)=0,,(WAGas09_08!#REF!+IDGas12_07!Y33))</f>
        <v>#REF!</v>
      </c>
      <c r="AB33" s="93">
        <f>IF((WAGas09_08!AB33+IDGas12_07!Z33)=0,,(WAGas09_08!AB33+IDGas12_07!Z33))</f>
        <v>12636</v>
      </c>
      <c r="AC33" s="93" t="e">
        <f>IF((WAGas09_08!#REF!+IDGas12_07!#REF!)=0,,(WAGas09_08!#REF!+IDGas12_07!#REF!))</f>
        <v>#REF!</v>
      </c>
      <c r="AD33" s="93">
        <f>IF((WAGas09_08!AF33+IDGas12_07!AD33)=0,,(WAGas09_08!AF33+IDGas12_07!AD33))</f>
        <v>0</v>
      </c>
    </row>
    <row r="34" spans="1:30">
      <c r="A34" s="55">
        <v>17</v>
      </c>
      <c r="C34" s="58"/>
      <c r="D34" s="58"/>
      <c r="E34" s="58" t="s">
        <v>85</v>
      </c>
      <c r="F34" s="89">
        <f>IF((WAGas09_08!F34+IDGas12_07!F34)=0,,(WAGas09_08!F34+IDGas12_07!F34))</f>
        <v>39237</v>
      </c>
      <c r="G34" s="94">
        <f>IF((WAGas09_08!G34+IDGas12_07!G34)=0,,(WAGas09_08!G34+IDGas12_07!G34))</f>
        <v>0</v>
      </c>
      <c r="H34" s="94">
        <f>IF((WAGas09_08!H34+IDGas12_07!H34)=0,,(WAGas09_08!H34+IDGas12_07!H34))</f>
        <v>0</v>
      </c>
      <c r="I34" s="94">
        <f>IF((WAGas09_08!I34+IDGas12_07!I34)=0,,(WAGas09_08!I34+IDGas12_07!I34))</f>
        <v>0</v>
      </c>
      <c r="J34" s="94">
        <f>IF((WAGas09_08!J34+IDGas12_07!J34)=0,,(WAGas09_08!J34+IDGas12_07!J34))</f>
        <v>0</v>
      </c>
      <c r="K34" s="94" t="e">
        <f>IF((WAGas09_08!L34+IDGas12_07!#REF!)=0,,(WAGas09_08!L34+IDGas12_07!#REF!))</f>
        <v>#REF!</v>
      </c>
      <c r="L34" s="89">
        <f>IF((WAGas09_08!M34+IDGas12_07!L34)=0,,(WAGas09_08!M34+IDGas12_07!L34))</f>
        <v>39184</v>
      </c>
      <c r="M34" s="94">
        <f>IF((WAGas09_08!N34+IDGas12_07!N34)=0,,(WAGas09_08!N34+IDGas12_07!N34))</f>
        <v>67</v>
      </c>
      <c r="N34" s="94" t="e">
        <f>IF((WAGas09_08!#REF!+IDGas12_07!#REF!)=0,,(WAGas09_08!#REF!+IDGas12_07!#REF!))</f>
        <v>#REF!</v>
      </c>
      <c r="O34" s="94">
        <f>IF((WAGas09_08!O34+IDGas12_07!O34)=0,,(WAGas09_08!O34+IDGas12_07!O34))</f>
        <v>-7908</v>
      </c>
      <c r="P34" s="94">
        <f>IF((WAGas09_08!P34+IDGas12_07!P34)=0,,(WAGas09_08!P34+IDGas12_07!P34))</f>
        <v>-280</v>
      </c>
      <c r="Q34" s="94">
        <f>IF((WAGas09_08!Q34+IDGas12_07!Q34)=0,,(WAGas09_08!Q34+IDGas12_07!Q34))</f>
        <v>0</v>
      </c>
      <c r="R34" s="94">
        <f>IF((WAGas09_08!R34+IDGas12_07!R34)=0,,(WAGas09_08!R34+IDGas12_07!R34))</f>
        <v>0</v>
      </c>
      <c r="S34" s="94">
        <f>IF((WAGas09_08!S34+IDGas12_07!S34)=0,,(WAGas09_08!S34+IDGas12_07!S34))</f>
        <v>0</v>
      </c>
      <c r="T34" s="94">
        <f>IF((WAGas09_08!T34+IDGas12_07!T34)=0,,(WAGas09_08!T34+IDGas12_07!T34))</f>
        <v>0</v>
      </c>
      <c r="U34" s="94">
        <f>IF((WAGas09_08!Z34+IDGas12_07!V34)=0,,(WAGas09_08!Z34+IDGas12_07!V34))</f>
        <v>0</v>
      </c>
      <c r="V34" s="94" t="e">
        <f>IF((WAGas09_08!#REF!+IDGas12_07!#REF!)=0,,(WAGas09_08!#REF!+IDGas12_07!#REF!))</f>
        <v>#REF!</v>
      </c>
      <c r="W34" s="94" t="e">
        <f>IF((WAGas09_08!#REF!+IDGas12_07!#REF!)=0,,(WAGas09_08!#REF!+IDGas12_07!#REF!))</f>
        <v>#REF!</v>
      </c>
      <c r="X34" s="94">
        <f>IF((WAGas09_08!V34+IDGas12_07!U34)=0,,(WAGas09_08!V34+IDGas12_07!U34))</f>
        <v>0</v>
      </c>
      <c r="Y34" s="94">
        <f>IF((WAGas09_08!W34+IDGas12_07!W34)=0,,(WAGas09_08!W34+IDGas12_07!W34))</f>
        <v>0</v>
      </c>
      <c r="Z34" s="94">
        <f>IF((WAGas09_08!AA34+IDGas12_07!X34)=0,,(WAGas09_08!AA34+IDGas12_07!X34))</f>
        <v>0</v>
      </c>
      <c r="AA34" s="94" t="e">
        <f>IF((WAGas09_08!#REF!+IDGas12_07!Y34)=0,,(WAGas09_08!#REF!+IDGas12_07!Y34))</f>
        <v>#REF!</v>
      </c>
      <c r="AB34" s="94">
        <f>IF((WAGas09_08!AB34+IDGas12_07!Z34)=0,,(WAGas09_08!AB34+IDGas12_07!Z34))</f>
        <v>31129</v>
      </c>
      <c r="AC34" s="94" t="e">
        <f>IF((WAGas09_08!#REF!+IDGas12_07!#REF!)=0,,(WAGas09_08!#REF!+IDGas12_07!#REF!))</f>
        <v>#REF!</v>
      </c>
      <c r="AD34" s="94">
        <f>IF((WAGas09_08!AF34+IDGas12_07!AD34)=0,,(WAGas09_08!AF34+IDGas12_07!AD34))</f>
        <v>-564</v>
      </c>
    </row>
    <row r="35" spans="1:30">
      <c r="C35" s="58"/>
      <c r="D35" s="58"/>
      <c r="E35" s="58"/>
      <c r="F35" s="89"/>
      <c r="G35" s="94"/>
      <c r="H35" s="94"/>
      <c r="I35" s="94"/>
      <c r="J35" s="94"/>
      <c r="K35" s="94"/>
      <c r="L35" s="89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1:30">
      <c r="A36" s="55">
        <v>18</v>
      </c>
      <c r="B36" s="26" t="s">
        <v>86</v>
      </c>
      <c r="C36" s="58"/>
      <c r="D36" s="58"/>
      <c r="E36" s="58"/>
      <c r="F36" s="89">
        <f>IF((WAGas09_08!F36+IDGas12_07!F36)=0,,(WAGas09_08!F36+IDGas12_07!F36))</f>
        <v>6821</v>
      </c>
      <c r="G36" s="89">
        <f>IF((WAGas09_08!G36+IDGas12_07!G36)=0,,(WAGas09_08!G36+IDGas12_07!G36))</f>
        <v>0</v>
      </c>
      <c r="H36" s="89">
        <f>IF((WAGas09_08!H36+IDGas12_07!H36)=0,,(WAGas09_08!H36+IDGas12_07!H36))</f>
        <v>0</v>
      </c>
      <c r="I36" s="89">
        <f>IF((WAGas09_08!I36+IDGas12_07!I36)=0,,(WAGas09_08!I36+IDGas12_07!I36))</f>
        <v>0</v>
      </c>
      <c r="J36" s="89">
        <f>IF((WAGas09_08!J36+IDGas12_07!J36)=0,,(WAGas09_08!J36+IDGas12_07!J36))</f>
        <v>0</v>
      </c>
      <c r="K36" s="89" t="e">
        <f>IF((WAGas09_08!L36+IDGas12_07!#REF!)=0,,(WAGas09_08!L36+IDGas12_07!#REF!))</f>
        <v>#REF!</v>
      </c>
      <c r="L36" s="89">
        <f>IF((WAGas09_08!M36+IDGas12_07!L36)=0,,(WAGas09_08!M36+IDGas12_07!L36))</f>
        <v>6821</v>
      </c>
      <c r="M36" s="89">
        <f>IF((WAGas09_08!N36+IDGas12_07!N36)=0,,(WAGas09_08!N36+IDGas12_07!N36))</f>
        <v>5</v>
      </c>
      <c r="N36" s="89" t="e">
        <f>IF((WAGas09_08!#REF!+IDGas12_07!#REF!)=0,,(WAGas09_08!#REF!+IDGas12_07!#REF!))</f>
        <v>#REF!</v>
      </c>
      <c r="O36" s="89">
        <f>IF((WAGas09_08!O36+IDGas12_07!O36)=0,,(WAGas09_08!O36+IDGas12_07!O36))</f>
        <v>0</v>
      </c>
      <c r="P36" s="89">
        <f>IF((WAGas09_08!P36+IDGas12_07!P36)=0,,(WAGas09_08!P36+IDGas12_07!P36))</f>
        <v>0</v>
      </c>
      <c r="Q36" s="89">
        <f>IF((WAGas09_08!Q36+IDGas12_07!Q36)=0,,(WAGas09_08!Q36+IDGas12_07!Q36))</f>
        <v>-143</v>
      </c>
      <c r="R36" s="89">
        <f>IF((WAGas09_08!R36+IDGas12_07!R36)=0,,(WAGas09_08!R36+IDGas12_07!R36))</f>
        <v>0</v>
      </c>
      <c r="S36" s="89">
        <f>IF((WAGas09_08!S36+IDGas12_07!S36)=0,,(WAGas09_08!S36+IDGas12_07!S36))</f>
        <v>0</v>
      </c>
      <c r="T36" s="89">
        <f>IF((WAGas09_08!T36+IDGas12_07!T36)=0,,(WAGas09_08!T36+IDGas12_07!T36))</f>
        <v>0</v>
      </c>
      <c r="U36" s="89">
        <f>IF((WAGas09_08!Z36+IDGas12_07!V36)=0,,(WAGas09_08!Z36+IDGas12_07!V36))</f>
        <v>0</v>
      </c>
      <c r="V36" s="89" t="e">
        <f>IF((WAGas09_08!#REF!+IDGas12_07!#REF!)=0,,(WAGas09_08!#REF!+IDGas12_07!#REF!))</f>
        <v>#REF!</v>
      </c>
      <c r="W36" s="89" t="e">
        <f>IF((WAGas09_08!#REF!+IDGas12_07!#REF!)=0,,(WAGas09_08!#REF!+IDGas12_07!#REF!))</f>
        <v>#REF!</v>
      </c>
      <c r="X36" s="89">
        <f>IF((WAGas09_08!V36+IDGas12_07!U36)=0,,(WAGas09_08!V36+IDGas12_07!U36))</f>
        <v>-85</v>
      </c>
      <c r="Y36" s="89">
        <f>IF((WAGas09_08!W36+IDGas12_07!W36)=0,,(WAGas09_08!W36+IDGas12_07!W36))</f>
        <v>0</v>
      </c>
      <c r="Z36" s="89">
        <f>IF((WAGas09_08!AA36+IDGas12_07!X36)=0,,(WAGas09_08!AA36+IDGas12_07!X36))</f>
        <v>0</v>
      </c>
      <c r="AA36" s="89" t="e">
        <f>IF((WAGas09_08!#REF!+IDGas12_07!Y36)=0,,(WAGas09_08!#REF!+IDGas12_07!Y36))</f>
        <v>#REF!</v>
      </c>
      <c r="AB36" s="89">
        <f>IF((WAGas09_08!AB36+IDGas12_07!Z36)=0,,(WAGas09_08!AB36+IDGas12_07!Z36))</f>
        <v>6598</v>
      </c>
      <c r="AC36" s="89" t="e">
        <f>IF((WAGas09_08!#REF!+IDGas12_07!#REF!)=0,,(WAGas09_08!#REF!+IDGas12_07!#REF!))</f>
        <v>#REF!</v>
      </c>
      <c r="AD36" s="89">
        <f>IF((WAGas09_08!AF36+IDGas12_07!AD36)=0,,(WAGas09_08!AF36+IDGas12_07!AD36))</f>
        <v>0</v>
      </c>
    </row>
    <row r="37" spans="1:30">
      <c r="A37" s="55">
        <v>19</v>
      </c>
      <c r="B37" s="26" t="s">
        <v>87</v>
      </c>
      <c r="C37" s="58"/>
      <c r="D37" s="58"/>
      <c r="E37" s="58"/>
      <c r="F37" s="89">
        <f>IF((WAGas09_08!F37+IDGas12_07!F37)=0,,(WAGas09_08!F37+IDGas12_07!F37))</f>
        <v>6790</v>
      </c>
      <c r="G37" s="94">
        <f>IF((WAGas09_08!G37+IDGas12_07!G37)=0,,(WAGas09_08!G37+IDGas12_07!G37))</f>
        <v>0</v>
      </c>
      <c r="H37" s="94">
        <f>IF((WAGas09_08!H37+IDGas12_07!H37)=0,,(WAGas09_08!H37+IDGas12_07!H37))</f>
        <v>0</v>
      </c>
      <c r="I37" s="94">
        <f>IF((WAGas09_08!I37+IDGas12_07!I37)=0,,(WAGas09_08!I37+IDGas12_07!I37))</f>
        <v>0</v>
      </c>
      <c r="J37" s="94">
        <f>IF((WAGas09_08!J37+IDGas12_07!J37)=0,,(WAGas09_08!J37+IDGas12_07!J37))</f>
        <v>0</v>
      </c>
      <c r="K37" s="94" t="e">
        <f>IF((WAGas09_08!L37+IDGas12_07!#REF!)=0,,(WAGas09_08!L37+IDGas12_07!#REF!))</f>
        <v>#REF!</v>
      </c>
      <c r="L37" s="89">
        <f>IF((WAGas09_08!M37+IDGas12_07!L37)=0,,(WAGas09_08!M37+IDGas12_07!L37))</f>
        <v>6790</v>
      </c>
      <c r="M37" s="94">
        <f>IF((WAGas09_08!N37+IDGas12_07!N37)=0,,(WAGas09_08!N37+IDGas12_07!N37))</f>
        <v>-4270</v>
      </c>
      <c r="N37" s="94" t="e">
        <f>IF((WAGas09_08!#REF!+IDGas12_07!#REF!)=0,,(WAGas09_08!#REF!+IDGas12_07!#REF!))</f>
        <v>#REF!</v>
      </c>
      <c r="O37" s="94">
        <f>IF((WAGas09_08!O37+IDGas12_07!O37)=0,,(WAGas09_08!O37+IDGas12_07!O37))</f>
        <v>0</v>
      </c>
      <c r="P37" s="94">
        <f>IF((WAGas09_08!P37+IDGas12_07!P37)=0,,(WAGas09_08!P37+IDGas12_07!P37))</f>
        <v>0</v>
      </c>
      <c r="Q37" s="94">
        <f>IF((WAGas09_08!Q37+IDGas12_07!Q37)=0,,(WAGas09_08!Q37+IDGas12_07!Q37))</f>
        <v>0</v>
      </c>
      <c r="R37" s="94">
        <f>IF((WAGas09_08!R37+IDGas12_07!R37)=0,,(WAGas09_08!R37+IDGas12_07!R37))</f>
        <v>0</v>
      </c>
      <c r="S37" s="94">
        <f>IF((WAGas09_08!S37+IDGas12_07!S37)=0,,(WAGas09_08!S37+IDGas12_07!S37))</f>
        <v>0</v>
      </c>
      <c r="T37" s="94">
        <f>IF((WAGas09_08!T37+IDGas12_07!T37)=0,,(WAGas09_08!T37+IDGas12_07!T37))</f>
        <v>0</v>
      </c>
      <c r="U37" s="94">
        <f>IF((WAGas09_08!Z37+IDGas12_07!V37)=0,,(WAGas09_08!Z37+IDGas12_07!V37))</f>
        <v>0</v>
      </c>
      <c r="V37" s="94" t="e">
        <f>IF((WAGas09_08!#REF!+IDGas12_07!#REF!)=0,,(WAGas09_08!#REF!+IDGas12_07!#REF!))</f>
        <v>#REF!</v>
      </c>
      <c r="W37" s="94" t="e">
        <f>IF((WAGas09_08!#REF!+IDGas12_07!#REF!)=0,,(WAGas09_08!#REF!+IDGas12_07!#REF!))</f>
        <v>#REF!</v>
      </c>
      <c r="X37" s="94">
        <f>IF((WAGas09_08!V37+IDGas12_07!U37)=0,,(WAGas09_08!V37+IDGas12_07!U37))</f>
        <v>0</v>
      </c>
      <c r="Y37" s="94">
        <f>IF((WAGas09_08!W37+IDGas12_07!W37)=0,,(WAGas09_08!W37+IDGas12_07!W37))</f>
        <v>0</v>
      </c>
      <c r="Z37" s="94">
        <f>IF((WAGas09_08!AA37+IDGas12_07!X37)=0,,(WAGas09_08!AA37+IDGas12_07!X37))</f>
        <v>0</v>
      </c>
      <c r="AA37" s="94" t="e">
        <f>IF((WAGas09_08!#REF!+IDGas12_07!Y37)=0,,(WAGas09_08!#REF!+IDGas12_07!Y37))</f>
        <v>#REF!</v>
      </c>
      <c r="AB37" s="94">
        <f>IF((WAGas09_08!AB37+IDGas12_07!Z37)=0,,(WAGas09_08!AB37+IDGas12_07!Z37))</f>
        <v>2520</v>
      </c>
      <c r="AC37" s="94" t="e">
        <f>IF((WAGas09_08!#REF!+IDGas12_07!#REF!)=0,,(WAGas09_08!#REF!+IDGas12_07!#REF!))</f>
        <v>#REF!</v>
      </c>
      <c r="AD37" s="94">
        <f>IF((WAGas09_08!AF37+IDGas12_07!AD37)=0,,(WAGas09_08!AF37+IDGas12_07!AD37))</f>
        <v>0</v>
      </c>
    </row>
    <row r="38" spans="1:30">
      <c r="A38" s="55">
        <v>20</v>
      </c>
      <c r="B38" s="26" t="s">
        <v>88</v>
      </c>
      <c r="C38" s="58"/>
      <c r="D38" s="58"/>
      <c r="E38" s="58"/>
      <c r="F38" s="89">
        <f>IF((WAGas09_08!F38+IDGas12_07!F38)=0,,(WAGas09_08!F38+IDGas12_07!F38))</f>
        <v>758</v>
      </c>
      <c r="G38" s="94">
        <f>IF((WAGas09_08!G38+IDGas12_07!G38)=0,,(WAGas09_08!G38+IDGas12_07!G38))</f>
        <v>0</v>
      </c>
      <c r="H38" s="94">
        <f>IF((WAGas09_08!H38+IDGas12_07!H38)=0,,(WAGas09_08!H38+IDGas12_07!H38))</f>
        <v>0</v>
      </c>
      <c r="I38" s="94">
        <f>IF((WAGas09_08!I38+IDGas12_07!I38)=0,,(WAGas09_08!I38+IDGas12_07!I38))</f>
        <v>0</v>
      </c>
      <c r="J38" s="94">
        <f>IF((WAGas09_08!J38+IDGas12_07!J38)=0,,(WAGas09_08!J38+IDGas12_07!J38))</f>
        <v>0</v>
      </c>
      <c r="K38" s="94" t="e">
        <f>IF((WAGas09_08!L38+IDGas12_07!#REF!)=0,,(WAGas09_08!L38+IDGas12_07!#REF!))</f>
        <v>#REF!</v>
      </c>
      <c r="L38" s="89">
        <f>IF((WAGas09_08!M38+IDGas12_07!L38)=0,,(WAGas09_08!M38+IDGas12_07!L38))</f>
        <v>758</v>
      </c>
      <c r="M38" s="94">
        <f>IF((WAGas09_08!N38+IDGas12_07!N38)=0,,(WAGas09_08!N38+IDGas12_07!N38))</f>
        <v>0</v>
      </c>
      <c r="N38" s="94" t="e">
        <f>IF((WAGas09_08!#REF!+IDGas12_07!#REF!)=0,,(WAGas09_08!#REF!+IDGas12_07!#REF!))</f>
        <v>#REF!</v>
      </c>
      <c r="O38" s="94">
        <f>IF((WAGas09_08!O38+IDGas12_07!O38)=0,,(WAGas09_08!O38+IDGas12_07!O38))</f>
        <v>0</v>
      </c>
      <c r="P38" s="94">
        <f>IF((WAGas09_08!P38+IDGas12_07!P38)=0,,(WAGas09_08!P38+IDGas12_07!P38))</f>
        <v>0</v>
      </c>
      <c r="Q38" s="94">
        <f>IF((WAGas09_08!Q38+IDGas12_07!Q38)=0,,(WAGas09_08!Q38+IDGas12_07!Q38))</f>
        <v>0</v>
      </c>
      <c r="R38" s="94">
        <f>IF((WAGas09_08!R38+IDGas12_07!R38)=0,,(WAGas09_08!R38+IDGas12_07!R38))</f>
        <v>0</v>
      </c>
      <c r="S38" s="94">
        <f>IF((WAGas09_08!S38+IDGas12_07!S38)=0,,(WAGas09_08!S38+IDGas12_07!S38))</f>
        <v>0</v>
      </c>
      <c r="T38" s="94">
        <f>IF((WAGas09_08!T38+IDGas12_07!T38)=0,,(WAGas09_08!T38+IDGas12_07!T38))</f>
        <v>0</v>
      </c>
      <c r="U38" s="94">
        <f>IF((WAGas09_08!Z38+IDGas12_07!V38)=0,,(WAGas09_08!Z38+IDGas12_07!V38))</f>
        <v>0</v>
      </c>
      <c r="V38" s="94" t="e">
        <f>IF((WAGas09_08!#REF!+IDGas12_07!#REF!)=0,,(WAGas09_08!#REF!+IDGas12_07!#REF!))</f>
        <v>#REF!</v>
      </c>
      <c r="W38" s="94" t="e">
        <f>IF((WAGas09_08!#REF!+IDGas12_07!#REF!)=0,,(WAGas09_08!#REF!+IDGas12_07!#REF!))</f>
        <v>#REF!</v>
      </c>
      <c r="X38" s="94">
        <f>IF((WAGas09_08!V38+IDGas12_07!U38)=0,,(WAGas09_08!V38+IDGas12_07!U38))</f>
        <v>0</v>
      </c>
      <c r="Y38" s="94">
        <f>IF((WAGas09_08!W38+IDGas12_07!W38)=0,,(WAGas09_08!W38+IDGas12_07!W38))</f>
        <v>0</v>
      </c>
      <c r="Z38" s="94">
        <f>IF((WAGas09_08!AA38+IDGas12_07!X38)=0,,(WAGas09_08!AA38+IDGas12_07!X38))</f>
        <v>0</v>
      </c>
      <c r="AA38" s="94" t="e">
        <f>IF((WAGas09_08!#REF!+IDGas12_07!Y38)=0,,(WAGas09_08!#REF!+IDGas12_07!Y38))</f>
        <v>#REF!</v>
      </c>
      <c r="AB38" s="94">
        <f>IF((WAGas09_08!AB38+IDGas12_07!Z38)=0,,(WAGas09_08!AB38+IDGas12_07!Z38))</f>
        <v>758</v>
      </c>
      <c r="AC38" s="94" t="e">
        <f>IF((WAGas09_08!#REF!+IDGas12_07!#REF!)=0,,(WAGas09_08!#REF!+IDGas12_07!#REF!))</f>
        <v>#REF!</v>
      </c>
      <c r="AD38" s="94">
        <f>IF((WAGas09_08!AF38+IDGas12_07!AD38)=0,,(WAGas09_08!AF38+IDGas12_07!AD38))</f>
        <v>0</v>
      </c>
    </row>
    <row r="39" spans="1:30">
      <c r="B39" s="26" t="s">
        <v>89</v>
      </c>
      <c r="C39" s="58"/>
      <c r="D39" s="58"/>
      <c r="E39" s="58"/>
      <c r="F39" s="89">
        <f>IF((WAGas09_08!F39+IDGas12_07!F39)=0,,(WAGas09_08!F39+IDGas12_07!F39))</f>
        <v>0</v>
      </c>
      <c r="G39" s="94">
        <f>IF((WAGas09_08!G39+IDGas12_07!G39)=0,,(WAGas09_08!G39+IDGas12_07!G39))</f>
        <v>0</v>
      </c>
      <c r="H39" s="94">
        <f>IF((WAGas09_08!H39+IDGas12_07!H39)=0,,(WAGas09_08!H39+IDGas12_07!H39))</f>
        <v>0</v>
      </c>
      <c r="I39" s="94">
        <f>IF((WAGas09_08!I39+IDGas12_07!I39)=0,,(WAGas09_08!I39+IDGas12_07!I39))</f>
        <v>0</v>
      </c>
      <c r="J39" s="94">
        <f>IF((WAGas09_08!J39+IDGas12_07!J39)=0,,(WAGas09_08!J39+IDGas12_07!J39))</f>
        <v>0</v>
      </c>
      <c r="K39" s="94" t="e">
        <f>IF((WAGas09_08!L39+IDGas12_07!#REF!)=0,,(WAGas09_08!L39+IDGas12_07!#REF!))</f>
        <v>#REF!</v>
      </c>
      <c r="L39" s="89">
        <f>IF((WAGas09_08!M39+IDGas12_07!L39)=0,,(WAGas09_08!M39+IDGas12_07!L39))</f>
        <v>0</v>
      </c>
      <c r="M39" s="94">
        <f>IF((WAGas09_08!N39+IDGas12_07!N39)=0,,(WAGas09_08!N39+IDGas12_07!N39))</f>
        <v>0</v>
      </c>
      <c r="N39" s="94" t="e">
        <f>IF((WAGas09_08!#REF!+IDGas12_07!#REF!)=0,,(WAGas09_08!#REF!+IDGas12_07!#REF!))</f>
        <v>#REF!</v>
      </c>
      <c r="O39" s="94">
        <f>IF((WAGas09_08!O39+IDGas12_07!O39)=0,,(WAGas09_08!O39+IDGas12_07!O39))</f>
        <v>0</v>
      </c>
      <c r="P39" s="94">
        <f>IF((WAGas09_08!P39+IDGas12_07!P39)=0,,(WAGas09_08!P39+IDGas12_07!P39))</f>
        <v>0</v>
      </c>
      <c r="Q39" s="94">
        <f>IF((WAGas09_08!Q39+IDGas12_07!Q39)=0,,(WAGas09_08!Q39+IDGas12_07!Q39))</f>
        <v>0</v>
      </c>
      <c r="R39" s="94">
        <f>IF((WAGas09_08!R39+IDGas12_07!R39)=0,,(WAGas09_08!R39+IDGas12_07!R39))</f>
        <v>0</v>
      </c>
      <c r="S39" s="94">
        <f>IF((WAGas09_08!S39+IDGas12_07!S39)=0,,(WAGas09_08!S39+IDGas12_07!S39))</f>
        <v>0</v>
      </c>
      <c r="T39" s="94">
        <f>IF((WAGas09_08!T39+IDGas12_07!T39)=0,,(WAGas09_08!T39+IDGas12_07!T39))</f>
        <v>0</v>
      </c>
      <c r="U39" s="94">
        <f>IF((WAGas09_08!Z39+IDGas12_07!V39)=0,,(WAGas09_08!Z39+IDGas12_07!V39))</f>
        <v>0</v>
      </c>
      <c r="V39" s="94" t="e">
        <f>IF((WAGas09_08!#REF!+IDGas12_07!#REF!)=0,,(WAGas09_08!#REF!+IDGas12_07!#REF!))</f>
        <v>#REF!</v>
      </c>
      <c r="W39" s="94" t="e">
        <f>IF((WAGas09_08!#REF!+IDGas12_07!#REF!)=0,,(WAGas09_08!#REF!+IDGas12_07!#REF!))</f>
        <v>#REF!</v>
      </c>
      <c r="X39" s="94">
        <f>IF((WAGas09_08!V39+IDGas12_07!U39)=0,,(WAGas09_08!V39+IDGas12_07!U39))</f>
        <v>0</v>
      </c>
      <c r="Y39" s="94">
        <f>IF((WAGas09_08!W39+IDGas12_07!W39)=0,,(WAGas09_08!W39+IDGas12_07!W39))</f>
        <v>0</v>
      </c>
      <c r="Z39" s="94">
        <f>IF((WAGas09_08!AA39+IDGas12_07!X39)=0,,(WAGas09_08!AA39+IDGas12_07!X39))</f>
        <v>0</v>
      </c>
      <c r="AA39" s="94" t="e">
        <f>IF((WAGas09_08!#REF!+IDGas12_07!Y39)=0,,(WAGas09_08!#REF!+IDGas12_07!Y39))</f>
        <v>#REF!</v>
      </c>
      <c r="AB39" s="94">
        <f>IF((WAGas09_08!AB39+IDGas12_07!Z39)=0,,(WAGas09_08!AB39+IDGas12_07!Z39))</f>
        <v>0</v>
      </c>
      <c r="AC39" s="94" t="e">
        <f>IF((WAGas09_08!#REF!+IDGas12_07!#REF!)=0,,(WAGas09_08!#REF!+IDGas12_07!#REF!))</f>
        <v>#REF!</v>
      </c>
      <c r="AD39" s="94">
        <f>IF((WAGas09_08!AF39+IDGas12_07!AD39)=0,,(WAGas09_08!AF39+IDGas12_07!AD39))</f>
        <v>0</v>
      </c>
    </row>
    <row r="40" spans="1:30">
      <c r="A40" s="55">
        <v>21</v>
      </c>
      <c r="C40" s="58" t="s">
        <v>81</v>
      </c>
      <c r="D40" s="58"/>
      <c r="E40" s="58"/>
      <c r="F40" s="89">
        <f>IF((WAGas09_08!F40+IDGas12_07!F40)=0,,(WAGas09_08!F40+IDGas12_07!F40))</f>
        <v>13673</v>
      </c>
      <c r="G40" s="94">
        <f>IF((WAGas09_08!G40+IDGas12_07!G40)=0,,(WAGas09_08!G40+IDGas12_07!G40))</f>
        <v>0</v>
      </c>
      <c r="H40" s="94">
        <f>IF((WAGas09_08!H40+IDGas12_07!H40)=0,,(WAGas09_08!H40+IDGas12_07!H40))</f>
        <v>0</v>
      </c>
      <c r="I40" s="94">
        <f>IF((WAGas09_08!I40+IDGas12_07!I40)=0,,(WAGas09_08!I40+IDGas12_07!I40))</f>
        <v>0</v>
      </c>
      <c r="J40" s="94">
        <f>IF((WAGas09_08!J40+IDGas12_07!J40)=0,,(WAGas09_08!J40+IDGas12_07!J40))</f>
        <v>0</v>
      </c>
      <c r="K40" s="94" t="e">
        <f>IF((WAGas09_08!L40+IDGas12_07!#REF!)=0,,(WAGas09_08!L40+IDGas12_07!#REF!))</f>
        <v>#REF!</v>
      </c>
      <c r="L40" s="89">
        <f>IF((WAGas09_08!M40+IDGas12_07!L40)=0,,(WAGas09_08!M40+IDGas12_07!L40))</f>
        <v>13673</v>
      </c>
      <c r="M40" s="94">
        <f>IF((WAGas09_08!N40+IDGas12_07!N40)=0,,(WAGas09_08!N40+IDGas12_07!N40))</f>
        <v>3</v>
      </c>
      <c r="N40" s="94" t="e">
        <f>IF((WAGas09_08!#REF!+IDGas12_07!#REF!)=0,,(WAGas09_08!#REF!+IDGas12_07!#REF!))</f>
        <v>#REF!</v>
      </c>
      <c r="O40" s="94">
        <f>IF((WAGas09_08!O40+IDGas12_07!O40)=0,,(WAGas09_08!O40+IDGas12_07!O40))</f>
        <v>0</v>
      </c>
      <c r="P40" s="94">
        <f>IF((WAGas09_08!P40+IDGas12_07!P40)=0,,(WAGas09_08!P40+IDGas12_07!P40))</f>
        <v>0</v>
      </c>
      <c r="Q40" s="94">
        <f>IF((WAGas09_08!Q40+IDGas12_07!Q40)=0,,(WAGas09_08!Q40+IDGas12_07!Q40))</f>
        <v>0</v>
      </c>
      <c r="R40" s="94">
        <f>IF((WAGas09_08!R40+IDGas12_07!R40)=0,,(WAGas09_08!R40+IDGas12_07!R40))</f>
        <v>14</v>
      </c>
      <c r="S40" s="94">
        <f>IF((WAGas09_08!S40+IDGas12_07!S40)=0,,(WAGas09_08!S40+IDGas12_07!S40))</f>
        <v>-65</v>
      </c>
      <c r="T40" s="94">
        <f>IF((WAGas09_08!T40+IDGas12_07!T40)=0,,(WAGas09_08!T40+IDGas12_07!T40))</f>
        <v>0</v>
      </c>
      <c r="U40" s="94">
        <f>IF((WAGas09_08!Z40+IDGas12_07!V40)=0,,(WAGas09_08!Z40+IDGas12_07!V40))</f>
        <v>0</v>
      </c>
      <c r="V40" s="94" t="e">
        <f>IF((WAGas09_08!#REF!+IDGas12_07!#REF!)=0,,(WAGas09_08!#REF!+IDGas12_07!#REF!))</f>
        <v>#REF!</v>
      </c>
      <c r="W40" s="94" t="e">
        <f>IF((WAGas09_08!#REF!+IDGas12_07!#REF!)=0,,(WAGas09_08!#REF!+IDGas12_07!#REF!))</f>
        <v>#REF!</v>
      </c>
      <c r="X40" s="94">
        <f>IF((WAGas09_08!V40+IDGas12_07!U40)=0,,(WAGas09_08!V40+IDGas12_07!U40))</f>
        <v>0</v>
      </c>
      <c r="Y40" s="94">
        <f>IF((WAGas09_08!W40+IDGas12_07!W40)=0,,(WAGas09_08!W40+IDGas12_07!W40))</f>
        <v>-2</v>
      </c>
      <c r="Z40" s="94">
        <f>IF((WAGas09_08!AA40+IDGas12_07!X40)=0,,(WAGas09_08!AA40+IDGas12_07!X40))</f>
        <v>0</v>
      </c>
      <c r="AA40" s="94" t="e">
        <f>IF((WAGas09_08!#REF!+IDGas12_07!Y40)=0,,(WAGas09_08!#REF!+IDGas12_07!Y40))</f>
        <v>#REF!</v>
      </c>
      <c r="AB40" s="94">
        <f>IF((WAGas09_08!AB40+IDGas12_07!Z40)=0,,(WAGas09_08!AB40+IDGas12_07!Z40))</f>
        <v>13537</v>
      </c>
      <c r="AC40" s="94" t="e">
        <f>IF((WAGas09_08!#REF!+IDGas12_07!#REF!)=0,,(WAGas09_08!#REF!+IDGas12_07!#REF!))</f>
        <v>#REF!</v>
      </c>
      <c r="AD40" s="94">
        <f>IF((WAGas09_08!AF40+IDGas12_07!AD40)=0,,(WAGas09_08!AF40+IDGas12_07!AD40))</f>
        <v>0</v>
      </c>
    </row>
    <row r="41" spans="1:30">
      <c r="A41" s="55">
        <v>22</v>
      </c>
      <c r="C41" s="58" t="s">
        <v>82</v>
      </c>
      <c r="D41" s="58"/>
      <c r="E41" s="58"/>
      <c r="F41" s="89">
        <f>IF((WAGas09_08!F41+IDGas12_07!F41)=0,,(WAGas09_08!F41+IDGas12_07!F41))</f>
        <v>2230</v>
      </c>
      <c r="G41" s="94">
        <f>IF((WAGas09_08!G41+IDGas12_07!G41)=0,,(WAGas09_08!G41+IDGas12_07!G41))</f>
        <v>0</v>
      </c>
      <c r="H41" s="94">
        <f>IF((WAGas09_08!H41+IDGas12_07!H41)=0,,(WAGas09_08!H41+IDGas12_07!H41))</f>
        <v>0</v>
      </c>
      <c r="I41" s="94">
        <f>IF((WAGas09_08!I41+IDGas12_07!I41)=0,,(WAGas09_08!I41+IDGas12_07!I41))</f>
        <v>0</v>
      </c>
      <c r="J41" s="94">
        <f>IF((WAGas09_08!J41+IDGas12_07!J41)=0,,(WAGas09_08!J41+IDGas12_07!J41))</f>
        <v>0</v>
      </c>
      <c r="K41" s="94" t="e">
        <f>IF((WAGas09_08!L41+IDGas12_07!#REF!)=0,,(WAGas09_08!L41+IDGas12_07!#REF!))</f>
        <v>#REF!</v>
      </c>
      <c r="L41" s="89">
        <f>IF((WAGas09_08!M41+IDGas12_07!L41)=0,,(WAGas09_08!M41+IDGas12_07!L41))</f>
        <v>2215</v>
      </c>
      <c r="M41" s="94">
        <f>IF((WAGas09_08!N41+IDGas12_07!N41)=0,,(WAGas09_08!N41+IDGas12_07!N41))</f>
        <v>356</v>
      </c>
      <c r="N41" s="94" t="e">
        <f>IF((WAGas09_08!#REF!+IDGas12_07!#REF!)=0,,(WAGas09_08!#REF!+IDGas12_07!#REF!))</f>
        <v>#REF!</v>
      </c>
      <c r="O41" s="94">
        <f>IF((WAGas09_08!O41+IDGas12_07!O41)=0,,(WAGas09_08!O41+IDGas12_07!O41))</f>
        <v>0</v>
      </c>
      <c r="P41" s="94">
        <f>IF((WAGas09_08!P41+IDGas12_07!P41)=0,,(WAGas09_08!P41+IDGas12_07!P41))</f>
        <v>0</v>
      </c>
      <c r="Q41" s="94">
        <f>IF((WAGas09_08!Q41+IDGas12_07!Q41)=0,,(WAGas09_08!Q41+IDGas12_07!Q41))</f>
        <v>0</v>
      </c>
      <c r="R41" s="94">
        <f>IF((WAGas09_08!R41+IDGas12_07!R41)=0,,(WAGas09_08!R41+IDGas12_07!R41))</f>
        <v>0</v>
      </c>
      <c r="S41" s="94">
        <f>IF((WAGas09_08!S41+IDGas12_07!S41)=0,,(WAGas09_08!S41+IDGas12_07!S41))</f>
        <v>0</v>
      </c>
      <c r="T41" s="94">
        <f>IF((WAGas09_08!T41+IDGas12_07!T41)=0,,(WAGas09_08!T41+IDGas12_07!T41))</f>
        <v>0</v>
      </c>
      <c r="U41" s="94">
        <f>IF((WAGas09_08!Z41+IDGas12_07!V41)=0,,(WAGas09_08!Z41+IDGas12_07!V41))</f>
        <v>0</v>
      </c>
      <c r="V41" s="94" t="e">
        <f>IF((WAGas09_08!#REF!+IDGas12_07!#REF!)=0,,(WAGas09_08!#REF!+IDGas12_07!#REF!))</f>
        <v>#REF!</v>
      </c>
      <c r="W41" s="94" t="e">
        <f>IF((WAGas09_08!#REF!+IDGas12_07!#REF!)=0,,(WAGas09_08!#REF!+IDGas12_07!#REF!))</f>
        <v>#REF!</v>
      </c>
      <c r="X41" s="94">
        <f>IF((WAGas09_08!V41+IDGas12_07!U41)=0,,(WAGas09_08!V41+IDGas12_07!U41))</f>
        <v>0</v>
      </c>
      <c r="Y41" s="94">
        <f>IF((WAGas09_08!W41+IDGas12_07!W41)=0,,(WAGas09_08!W41+IDGas12_07!W41))</f>
        <v>0</v>
      </c>
      <c r="Z41" s="94">
        <f>IF((WAGas09_08!AA41+IDGas12_07!X41)=0,,(WAGas09_08!AA41+IDGas12_07!X41))</f>
        <v>0</v>
      </c>
      <c r="AA41" s="94" t="e">
        <f>IF((WAGas09_08!#REF!+IDGas12_07!Y41)=0,,(WAGas09_08!#REF!+IDGas12_07!Y41))</f>
        <v>#REF!</v>
      </c>
      <c r="AB41" s="94">
        <f>IF((WAGas09_08!AB41+IDGas12_07!Z41)=0,,(WAGas09_08!AB41+IDGas12_07!Z41))</f>
        <v>2571</v>
      </c>
      <c r="AC41" s="94" t="e">
        <f>IF((WAGas09_08!#REF!+IDGas12_07!#REF!)=0,,(WAGas09_08!#REF!+IDGas12_07!#REF!))</f>
        <v>#REF!</v>
      </c>
      <c r="AD41" s="94">
        <f>IF((WAGas09_08!AF41+IDGas12_07!AD41)=0,,(WAGas09_08!AF41+IDGas12_07!AD41))</f>
        <v>218</v>
      </c>
    </row>
    <row r="42" spans="1:30">
      <c r="A42" s="55">
        <v>23</v>
      </c>
      <c r="C42" s="58" t="s">
        <v>37</v>
      </c>
      <c r="D42" s="58"/>
      <c r="E42" s="58"/>
      <c r="F42" s="90">
        <f>IF((WAGas09_08!F42+IDGas12_07!F42)=0,,(WAGas09_08!F42+IDGas12_07!F42))</f>
        <v>34</v>
      </c>
      <c r="G42" s="93">
        <f>IF((WAGas09_08!G42+IDGas12_07!G42)=0,,(WAGas09_08!G42+IDGas12_07!G42))</f>
        <v>0</v>
      </c>
      <c r="H42" s="93">
        <f>IF((WAGas09_08!H42+IDGas12_07!H42)=0,,(WAGas09_08!H42+IDGas12_07!H42))</f>
        <v>0</v>
      </c>
      <c r="I42" s="93">
        <f>IF((WAGas09_08!I42+IDGas12_07!I42)=0,,(WAGas09_08!I42+IDGas12_07!I42))</f>
        <v>0</v>
      </c>
      <c r="J42" s="93">
        <f>IF((WAGas09_08!J42+IDGas12_07!J42)=0,,(WAGas09_08!J42+IDGas12_07!J42))</f>
        <v>0</v>
      </c>
      <c r="K42" s="93" t="e">
        <f>IF((WAGas09_08!L42+IDGas12_07!#REF!)=0,,(WAGas09_08!L42+IDGas12_07!#REF!))</f>
        <v>#REF!</v>
      </c>
      <c r="L42" s="90">
        <f>IF((WAGas09_08!M42+IDGas12_07!L42)=0,,(WAGas09_08!M42+IDGas12_07!L42))</f>
        <v>34</v>
      </c>
      <c r="M42" s="93">
        <f>IF((WAGas09_08!N42+IDGas12_07!N42)=0,,(WAGas09_08!N42+IDGas12_07!N42))</f>
        <v>0</v>
      </c>
      <c r="N42" s="93" t="e">
        <f>IF((WAGas09_08!#REF!+IDGas12_07!#REF!)=0,,(WAGas09_08!#REF!+IDGas12_07!#REF!))</f>
        <v>#REF!</v>
      </c>
      <c r="O42" s="93">
        <f>IF((WAGas09_08!O42+IDGas12_07!O42)=0,,(WAGas09_08!O42+IDGas12_07!O42))</f>
        <v>0</v>
      </c>
      <c r="P42" s="93">
        <f>IF((WAGas09_08!P42+IDGas12_07!P42)=0,,(WAGas09_08!P42+IDGas12_07!P42))</f>
        <v>-1</v>
      </c>
      <c r="Q42" s="93">
        <f>IF((WAGas09_08!Q42+IDGas12_07!Q42)=0,,(WAGas09_08!Q42+IDGas12_07!Q42))</f>
        <v>0</v>
      </c>
      <c r="R42" s="93">
        <f>IF((WAGas09_08!R42+IDGas12_07!R42)=0,,(WAGas09_08!R42+IDGas12_07!R42))</f>
        <v>0</v>
      </c>
      <c r="S42" s="93">
        <f>IF((WAGas09_08!S42+IDGas12_07!S42)=0,,(WAGas09_08!S42+IDGas12_07!S42))</f>
        <v>0</v>
      </c>
      <c r="T42" s="93">
        <f>IF((WAGas09_08!T42+IDGas12_07!T42)=0,,(WAGas09_08!T42+IDGas12_07!T42))</f>
        <v>0</v>
      </c>
      <c r="U42" s="93">
        <f>IF((WAGas09_08!Z42+IDGas12_07!V42)=0,,(WAGas09_08!Z42+IDGas12_07!V42))</f>
        <v>0</v>
      </c>
      <c r="V42" s="93" t="e">
        <f>IF((WAGas09_08!#REF!+IDGas12_07!#REF!)=0,,(WAGas09_08!#REF!+IDGas12_07!#REF!))</f>
        <v>#REF!</v>
      </c>
      <c r="W42" s="93" t="e">
        <f>IF((WAGas09_08!#REF!+IDGas12_07!#REF!)=0,,(WAGas09_08!#REF!+IDGas12_07!#REF!))</f>
        <v>#REF!</v>
      </c>
      <c r="X42" s="93">
        <f>IF((WAGas09_08!V42+IDGas12_07!U42)=0,,(WAGas09_08!V42+IDGas12_07!U42))</f>
        <v>0</v>
      </c>
      <c r="Y42" s="93">
        <f>IF((WAGas09_08!W42+IDGas12_07!W42)=0,,(WAGas09_08!W42+IDGas12_07!W42))</f>
        <v>0</v>
      </c>
      <c r="Z42" s="93">
        <f>IF((WAGas09_08!AA42+IDGas12_07!X42)=0,,(WAGas09_08!AA42+IDGas12_07!X42))</f>
        <v>0</v>
      </c>
      <c r="AA42" s="93" t="e">
        <f>IF((WAGas09_08!#REF!+IDGas12_07!Y42)=0,,(WAGas09_08!#REF!+IDGas12_07!Y42))</f>
        <v>#REF!</v>
      </c>
      <c r="AB42" s="93">
        <f>IF((WAGas09_08!AB42+IDGas12_07!Z42)=0,,(WAGas09_08!AB42+IDGas12_07!Z42))</f>
        <v>33</v>
      </c>
      <c r="AC42" s="93" t="e">
        <f>IF((WAGas09_08!#REF!+IDGas12_07!#REF!)=0,,(WAGas09_08!#REF!+IDGas12_07!#REF!))</f>
        <v>#REF!</v>
      </c>
      <c r="AD42" s="93">
        <f>IF((WAGas09_08!AF42+IDGas12_07!AD42)=0,,(WAGas09_08!AF42+IDGas12_07!AD42))</f>
        <v>0</v>
      </c>
    </row>
    <row r="43" spans="1:30">
      <c r="A43" s="55">
        <v>24</v>
      </c>
      <c r="C43" s="58"/>
      <c r="D43" s="58"/>
      <c r="E43" s="58" t="s">
        <v>90</v>
      </c>
      <c r="F43" s="90">
        <f>IF((WAGas09_08!F43+IDGas12_07!F43)=0,,(WAGas09_08!F43+IDGas12_07!F43))</f>
        <v>15937</v>
      </c>
      <c r="G43" s="93">
        <f>IF((WAGas09_08!G43+IDGas12_07!G43)=0,,(WAGas09_08!G43+IDGas12_07!G43))</f>
        <v>0</v>
      </c>
      <c r="H43" s="93">
        <f>IF((WAGas09_08!H43+IDGas12_07!H43)=0,,(WAGas09_08!H43+IDGas12_07!H43))</f>
        <v>0</v>
      </c>
      <c r="I43" s="93">
        <f>IF((WAGas09_08!I43+IDGas12_07!I43)=0,,(WAGas09_08!I43+IDGas12_07!I43))</f>
        <v>0</v>
      </c>
      <c r="J43" s="93">
        <f>IF((WAGas09_08!J43+IDGas12_07!J43)=0,,(WAGas09_08!J43+IDGas12_07!J43))</f>
        <v>0</v>
      </c>
      <c r="K43" s="93" t="e">
        <f>IF((WAGas09_08!L43+IDGas12_07!#REF!)=0,,(WAGas09_08!L43+IDGas12_07!#REF!))</f>
        <v>#REF!</v>
      </c>
      <c r="L43" s="90">
        <f>IF((WAGas09_08!M43+IDGas12_07!L43)=0,,(WAGas09_08!M43+IDGas12_07!L43))</f>
        <v>15922</v>
      </c>
      <c r="M43" s="93">
        <f>IF((WAGas09_08!N43+IDGas12_07!N43)=0,,(WAGas09_08!N43+IDGas12_07!N43))</f>
        <v>359</v>
      </c>
      <c r="N43" s="93" t="e">
        <f>IF((WAGas09_08!#REF!+IDGas12_07!#REF!)=0,,(WAGas09_08!#REF!+IDGas12_07!#REF!))</f>
        <v>#REF!</v>
      </c>
      <c r="O43" s="93">
        <f>IF((WAGas09_08!O43+IDGas12_07!O43)=0,,(WAGas09_08!O43+IDGas12_07!O43))</f>
        <v>0</v>
      </c>
      <c r="P43" s="93">
        <f>IF((WAGas09_08!P43+IDGas12_07!P43)=0,,(WAGas09_08!P43+IDGas12_07!P43))</f>
        <v>-1</v>
      </c>
      <c r="Q43" s="93">
        <f>IF((WAGas09_08!Q43+IDGas12_07!Q43)=0,,(WAGas09_08!Q43+IDGas12_07!Q43))</f>
        <v>0</v>
      </c>
      <c r="R43" s="93">
        <f>IF((WAGas09_08!R43+IDGas12_07!R43)=0,,(WAGas09_08!R43+IDGas12_07!R43))</f>
        <v>14</v>
      </c>
      <c r="S43" s="93">
        <f>IF((WAGas09_08!S43+IDGas12_07!S43)=0,,(WAGas09_08!S43+IDGas12_07!S43))</f>
        <v>-65</v>
      </c>
      <c r="T43" s="93">
        <f>IF((WAGas09_08!T43+IDGas12_07!T43)=0,,(WAGas09_08!T43+IDGas12_07!T43))</f>
        <v>0</v>
      </c>
      <c r="U43" s="93">
        <f>IF((WAGas09_08!Z43+IDGas12_07!V43)=0,,(WAGas09_08!Z43+IDGas12_07!V43))</f>
        <v>0</v>
      </c>
      <c r="V43" s="93" t="e">
        <f>IF((WAGas09_08!#REF!+IDGas12_07!#REF!)=0,,(WAGas09_08!#REF!+IDGas12_07!#REF!))</f>
        <v>#REF!</v>
      </c>
      <c r="W43" s="93" t="e">
        <f>IF((WAGas09_08!#REF!+IDGas12_07!#REF!)=0,,(WAGas09_08!#REF!+IDGas12_07!#REF!))</f>
        <v>#REF!</v>
      </c>
      <c r="X43" s="93">
        <f>IF((WAGas09_08!V43+IDGas12_07!U43)=0,,(WAGas09_08!V43+IDGas12_07!U43))</f>
        <v>0</v>
      </c>
      <c r="Y43" s="93">
        <f>IF((WAGas09_08!W43+IDGas12_07!W43)=0,,(WAGas09_08!W43+IDGas12_07!W43))</f>
        <v>-2</v>
      </c>
      <c r="Z43" s="93">
        <f>IF((WAGas09_08!AA43+IDGas12_07!X43)=0,,(WAGas09_08!AA43+IDGas12_07!X43))</f>
        <v>0</v>
      </c>
      <c r="AA43" s="93" t="e">
        <f>IF((WAGas09_08!#REF!+IDGas12_07!Y43)=0,,(WAGas09_08!#REF!+IDGas12_07!Y43))</f>
        <v>#REF!</v>
      </c>
      <c r="AB43" s="93">
        <f>IF((WAGas09_08!AB43+IDGas12_07!Z43)=0,,(WAGas09_08!AB43+IDGas12_07!Z43))</f>
        <v>16141</v>
      </c>
      <c r="AC43" s="93" t="e">
        <f>IF((WAGas09_08!#REF!+IDGas12_07!#REF!)=0,,(WAGas09_08!#REF!+IDGas12_07!#REF!))</f>
        <v>#REF!</v>
      </c>
      <c r="AD43" s="93">
        <f>IF((WAGas09_08!AF43+IDGas12_07!AD43)=0,,(WAGas09_08!AF43+IDGas12_07!AD43))</f>
        <v>218</v>
      </c>
    </row>
    <row r="44" spans="1:30">
      <c r="A44" s="55">
        <v>25</v>
      </c>
      <c r="B44" s="26" t="s">
        <v>91</v>
      </c>
      <c r="C44" s="58"/>
      <c r="D44" s="58"/>
      <c r="E44" s="58"/>
      <c r="F44" s="90">
        <f>IF((WAGas09_08!F44+IDGas12_07!F44)=0,,(WAGas09_08!F44+IDGas12_07!F44))</f>
        <v>485377</v>
      </c>
      <c r="G44" s="93">
        <f>IF((WAGas09_08!G44+IDGas12_07!G44)=0,,(WAGas09_08!G44+IDGas12_07!G44))</f>
        <v>0</v>
      </c>
      <c r="H44" s="93">
        <f>IF((WAGas09_08!H44+IDGas12_07!H44)=0,,(WAGas09_08!H44+IDGas12_07!H44))</f>
        <v>0</v>
      </c>
      <c r="I44" s="93">
        <f>IF((WAGas09_08!I44+IDGas12_07!I44)=0,,(WAGas09_08!I44+IDGas12_07!I44))</f>
        <v>0</v>
      </c>
      <c r="J44" s="93">
        <f>IF((WAGas09_08!J44+IDGas12_07!J44)=0,,(WAGas09_08!J44+IDGas12_07!J44))</f>
        <v>0</v>
      </c>
      <c r="K44" s="93" t="e">
        <f>IF((WAGas09_08!L44+IDGas12_07!#REF!)=0,,(WAGas09_08!L44+IDGas12_07!#REF!))</f>
        <v>#REF!</v>
      </c>
      <c r="L44" s="90">
        <f>IF((WAGas09_08!M44+IDGas12_07!L44)=0,,(WAGas09_08!M44+IDGas12_07!L44))</f>
        <v>485294</v>
      </c>
      <c r="M44" s="93">
        <f>IF((WAGas09_08!N44+IDGas12_07!N44)=0,,(WAGas09_08!N44+IDGas12_07!N44))</f>
        <v>-137017</v>
      </c>
      <c r="N44" s="93" t="e">
        <f>IF((WAGas09_08!#REF!+IDGas12_07!#REF!)=0,,(WAGas09_08!#REF!+IDGas12_07!#REF!))</f>
        <v>#REF!</v>
      </c>
      <c r="O44" s="93">
        <f>IF((WAGas09_08!O44+IDGas12_07!O44)=0,,(WAGas09_08!O44+IDGas12_07!O44))</f>
        <v>-7908</v>
      </c>
      <c r="P44" s="93">
        <f>IF((WAGas09_08!P44+IDGas12_07!P44)=0,,(WAGas09_08!P44+IDGas12_07!P44))</f>
        <v>-297</v>
      </c>
      <c r="Q44" s="93">
        <f>IF((WAGas09_08!Q44+IDGas12_07!Q44)=0,,(WAGas09_08!Q44+IDGas12_07!Q44))</f>
        <v>-143</v>
      </c>
      <c r="R44" s="93">
        <f>IF((WAGas09_08!R44+IDGas12_07!R44)=0,,(WAGas09_08!R44+IDGas12_07!R44))</f>
        <v>14</v>
      </c>
      <c r="S44" s="93">
        <f>IF((WAGas09_08!S44+IDGas12_07!S44)=0,,(WAGas09_08!S44+IDGas12_07!S44))</f>
        <v>-65</v>
      </c>
      <c r="T44" s="93">
        <f>IF((WAGas09_08!T44+IDGas12_07!T44)=0,,(WAGas09_08!T44+IDGas12_07!T44))</f>
        <v>0</v>
      </c>
      <c r="U44" s="93">
        <f>IF((WAGas09_08!Z44+IDGas12_07!V44)=0,,(WAGas09_08!Z44+IDGas12_07!V44))</f>
        <v>0</v>
      </c>
      <c r="V44" s="93" t="e">
        <f>IF((WAGas09_08!#REF!+IDGas12_07!#REF!)=0,,(WAGas09_08!#REF!+IDGas12_07!#REF!))</f>
        <v>#REF!</v>
      </c>
      <c r="W44" s="93" t="e">
        <f>IF((WAGas09_08!#REF!+IDGas12_07!#REF!)=0,,(WAGas09_08!#REF!+IDGas12_07!#REF!))</f>
        <v>#REF!</v>
      </c>
      <c r="X44" s="93">
        <f>IF((WAGas09_08!V44+IDGas12_07!U44)=0,,(WAGas09_08!V44+IDGas12_07!U44))</f>
        <v>-85</v>
      </c>
      <c r="Y44" s="93">
        <f>IF((WAGas09_08!W44+IDGas12_07!W44)=0,,(WAGas09_08!W44+IDGas12_07!W44))</f>
        <v>-2</v>
      </c>
      <c r="Z44" s="93">
        <f>IF((WAGas09_08!AA44+IDGas12_07!X44)=0,,(WAGas09_08!AA44+IDGas12_07!X44))</f>
        <v>0</v>
      </c>
      <c r="AA44" s="93" t="e">
        <f>IF((WAGas09_08!#REF!+IDGas12_07!Y44)=0,,(WAGas09_08!#REF!+IDGas12_07!Y44))</f>
        <v>#REF!</v>
      </c>
      <c r="AB44" s="93">
        <f>IF((WAGas09_08!AB44+IDGas12_07!Z44)=0,,(WAGas09_08!AB44+IDGas12_07!Z44))</f>
        <v>339771</v>
      </c>
      <c r="AC44" s="93" t="e">
        <f>IF((WAGas09_08!#REF!+IDGas12_07!#REF!)=0,,(WAGas09_08!#REF!+IDGas12_07!#REF!))</f>
        <v>#REF!</v>
      </c>
      <c r="AD44" s="93">
        <f>IF((WAGas09_08!AF44+IDGas12_07!AD44)=0,,(WAGas09_08!AF44+IDGas12_07!AD44))</f>
        <v>-453</v>
      </c>
    </row>
    <row r="45" spans="1:30">
      <c r="C45" s="58"/>
      <c r="D45" s="58"/>
      <c r="E45" s="58"/>
      <c r="F45" s="89">
        <f>IF((WAGas09_08!F45+IDGas12_07!F45)=0,,(WAGas09_08!F45+IDGas12_07!F45))</f>
        <v>0</v>
      </c>
      <c r="G45" s="94">
        <f>IF((WAGas09_08!G45+IDGas12_07!G45)=0,,(WAGas09_08!G45+IDGas12_07!G45))</f>
        <v>0</v>
      </c>
      <c r="H45" s="94">
        <f>IF((WAGas09_08!H45+IDGas12_07!H45)=0,,(WAGas09_08!H45+IDGas12_07!H45))</f>
        <v>0</v>
      </c>
      <c r="I45" s="94">
        <f>IF((WAGas09_08!I45+IDGas12_07!I45)=0,,(WAGas09_08!I45+IDGas12_07!I45))</f>
        <v>0</v>
      </c>
      <c r="J45" s="94">
        <f>IF((WAGas09_08!J45+IDGas12_07!J45)=0,,(WAGas09_08!J45+IDGas12_07!J45))</f>
        <v>0</v>
      </c>
      <c r="K45" s="94" t="e">
        <f>IF((WAGas09_08!L45+IDGas12_07!#REF!)=0,,(WAGas09_08!L45+IDGas12_07!#REF!))</f>
        <v>#REF!</v>
      </c>
      <c r="L45" s="89">
        <f>IF((WAGas09_08!M45+IDGas12_07!L45)=0,,(WAGas09_08!M45+IDGas12_07!L45))</f>
        <v>0</v>
      </c>
      <c r="M45" s="94">
        <f>IF((WAGas09_08!N45+IDGas12_07!N45)=0,,(WAGas09_08!N45+IDGas12_07!N45))</f>
        <v>0</v>
      </c>
      <c r="N45" s="94" t="e">
        <f>IF((WAGas09_08!#REF!+IDGas12_07!#REF!)=0,,(WAGas09_08!#REF!+IDGas12_07!#REF!))</f>
        <v>#REF!</v>
      </c>
      <c r="O45" s="94">
        <f>IF((WAGas09_08!O45+IDGas12_07!O45)=0,,(WAGas09_08!O45+IDGas12_07!O45))</f>
        <v>0</v>
      </c>
      <c r="P45" s="94">
        <f>IF((WAGas09_08!P45+IDGas12_07!P45)=0,,(WAGas09_08!P45+IDGas12_07!P45))</f>
        <v>0</v>
      </c>
      <c r="Q45" s="94">
        <f>IF((WAGas09_08!Q45+IDGas12_07!Q45)=0,,(WAGas09_08!Q45+IDGas12_07!Q45))</f>
        <v>0</v>
      </c>
      <c r="R45" s="94">
        <f>IF((WAGas09_08!R45+IDGas12_07!R45)=0,,(WAGas09_08!R45+IDGas12_07!R45))</f>
        <v>0</v>
      </c>
      <c r="S45" s="94">
        <f>IF((WAGas09_08!S45+IDGas12_07!S45)=0,,(WAGas09_08!S45+IDGas12_07!S45))</f>
        <v>0</v>
      </c>
      <c r="T45" s="94">
        <f>IF((WAGas09_08!T45+IDGas12_07!T45)=0,,(WAGas09_08!T45+IDGas12_07!T45))</f>
        <v>0</v>
      </c>
      <c r="U45" s="94">
        <f>IF((WAGas09_08!Z45+IDGas12_07!V45)=0,,(WAGas09_08!Z45+IDGas12_07!V45))</f>
        <v>0</v>
      </c>
      <c r="V45" s="94" t="e">
        <f>IF((WAGas09_08!#REF!+IDGas12_07!#REF!)=0,,(WAGas09_08!#REF!+IDGas12_07!#REF!))</f>
        <v>#REF!</v>
      </c>
      <c r="W45" s="94" t="e">
        <f>IF((WAGas09_08!#REF!+IDGas12_07!#REF!)=0,,(WAGas09_08!#REF!+IDGas12_07!#REF!))</f>
        <v>#REF!</v>
      </c>
      <c r="X45" s="94">
        <f>IF((WAGas09_08!V45+IDGas12_07!U45)=0,,(WAGas09_08!V45+IDGas12_07!U45))</f>
        <v>0</v>
      </c>
      <c r="Y45" s="94">
        <f>IF((WAGas09_08!W45+IDGas12_07!W45)=0,,(WAGas09_08!W45+IDGas12_07!W45))</f>
        <v>0</v>
      </c>
      <c r="Z45" s="94">
        <f>IF((WAGas09_08!AA45+IDGas12_07!X45)=0,,(WAGas09_08!AA45+IDGas12_07!X45))</f>
        <v>0</v>
      </c>
      <c r="AA45" s="94" t="e">
        <f>IF((WAGas09_08!#REF!+IDGas12_07!Y45)=0,,(WAGas09_08!#REF!+IDGas12_07!Y45))</f>
        <v>#REF!</v>
      </c>
      <c r="AB45" s="94">
        <f>IF((WAGas09_08!AB45+IDGas12_07!Z45)=0,,(WAGas09_08!AB45+IDGas12_07!Z45))</f>
        <v>0</v>
      </c>
      <c r="AC45" s="94" t="e">
        <f>IF((WAGas09_08!#REF!+IDGas12_07!#REF!)=0,,(WAGas09_08!#REF!+IDGas12_07!#REF!))</f>
        <v>#REF!</v>
      </c>
      <c r="AD45" s="94">
        <f>IF((WAGas09_08!AF45+IDGas12_07!AD45)=0,,(WAGas09_08!AF45+IDGas12_07!AD45))</f>
        <v>0</v>
      </c>
    </row>
    <row r="46" spans="1:30">
      <c r="A46" s="55">
        <v>26</v>
      </c>
      <c r="B46" s="26" t="s">
        <v>92</v>
      </c>
      <c r="C46" s="58"/>
      <c r="D46" s="58"/>
      <c r="E46" s="58"/>
      <c r="F46" s="89">
        <f>IF((WAGas09_08!F46+IDGas12_07!F46)=0,,(WAGas09_08!F46+IDGas12_07!F46))</f>
        <v>23280</v>
      </c>
      <c r="G46" s="94">
        <f>IF((WAGas09_08!G46+IDGas12_07!G46)=0,,(WAGas09_08!G46+IDGas12_07!G46))</f>
        <v>0</v>
      </c>
      <c r="H46" s="94">
        <f>IF((WAGas09_08!H46+IDGas12_07!H46)=0,,(WAGas09_08!H46+IDGas12_07!H46))</f>
        <v>0</v>
      </c>
      <c r="I46" s="94">
        <f>IF((WAGas09_08!I46+IDGas12_07!I46)=0,,(WAGas09_08!I46+IDGas12_07!I46))</f>
        <v>0</v>
      </c>
      <c r="J46" s="94">
        <f>IF((WAGas09_08!J46+IDGas12_07!J46)=0,,(WAGas09_08!J46+IDGas12_07!J46))</f>
        <v>0</v>
      </c>
      <c r="K46" s="94" t="e">
        <f>IF((WAGas09_08!L46+IDGas12_07!#REF!)=0,,(WAGas09_08!L46+IDGas12_07!#REF!))</f>
        <v>#REF!</v>
      </c>
      <c r="L46" s="89">
        <f>IF((WAGas09_08!M46+IDGas12_07!L46)=0,,(WAGas09_08!M46+IDGas12_07!L46))</f>
        <v>23363</v>
      </c>
      <c r="M46" s="94">
        <f>IF((WAGas09_08!N46+IDGas12_07!N46)=0,,(WAGas09_08!N46+IDGas12_07!N46))</f>
        <v>5613</v>
      </c>
      <c r="N46" s="94" t="e">
        <f>IF((WAGas09_08!#REF!+IDGas12_07!#REF!)=0,,(WAGas09_08!#REF!+IDGas12_07!#REF!))</f>
        <v>#REF!</v>
      </c>
      <c r="O46" s="94">
        <f>IF((WAGas09_08!O46+IDGas12_07!O46)=0,,(WAGas09_08!O46+IDGas12_07!O46))</f>
        <v>-6</v>
      </c>
      <c r="P46" s="94">
        <f>IF((WAGas09_08!P46+IDGas12_07!P46)=0,,(WAGas09_08!P46+IDGas12_07!P46))</f>
        <v>297</v>
      </c>
      <c r="Q46" s="94">
        <f>IF((WAGas09_08!Q46+IDGas12_07!Q46)=0,,(WAGas09_08!Q46+IDGas12_07!Q46))</f>
        <v>143</v>
      </c>
      <c r="R46" s="94">
        <f>IF((WAGas09_08!R46+IDGas12_07!R46)=0,,(WAGas09_08!R46+IDGas12_07!R46))</f>
        <v>-14</v>
      </c>
      <c r="S46" s="94">
        <f>IF((WAGas09_08!S46+IDGas12_07!S46)=0,,(WAGas09_08!S46+IDGas12_07!S46))</f>
        <v>65</v>
      </c>
      <c r="T46" s="94">
        <f>IF((WAGas09_08!T46+IDGas12_07!T46)=0,,(WAGas09_08!T46+IDGas12_07!T46))</f>
        <v>0</v>
      </c>
      <c r="U46" s="94">
        <f>IF((WAGas09_08!Z46+IDGas12_07!V46)=0,,(WAGas09_08!Z46+IDGas12_07!V46))</f>
        <v>0</v>
      </c>
      <c r="V46" s="94" t="e">
        <f>IF((WAGas09_08!#REF!+IDGas12_07!#REF!)=0,,(WAGas09_08!#REF!+IDGas12_07!#REF!))</f>
        <v>#REF!</v>
      </c>
      <c r="W46" s="94" t="e">
        <f>IF((WAGas09_08!#REF!+IDGas12_07!#REF!)=0,,(WAGas09_08!#REF!+IDGas12_07!#REF!))</f>
        <v>#REF!</v>
      </c>
      <c r="X46" s="94">
        <f>IF((WAGas09_08!V46+IDGas12_07!U46)=0,,(WAGas09_08!V46+IDGas12_07!U46))</f>
        <v>85</v>
      </c>
      <c r="Y46" s="94">
        <f>IF((WAGas09_08!W46+IDGas12_07!W46)=0,,(WAGas09_08!W46+IDGas12_07!W46))</f>
        <v>2</v>
      </c>
      <c r="Z46" s="94">
        <f>IF((WAGas09_08!AA46+IDGas12_07!X46)=0,,(WAGas09_08!AA46+IDGas12_07!X46))</f>
        <v>0</v>
      </c>
      <c r="AA46" s="94" t="e">
        <f>IF((WAGas09_08!#REF!+IDGas12_07!Y46)=0,,(WAGas09_08!#REF!+IDGas12_07!Y46))</f>
        <v>#REF!</v>
      </c>
      <c r="AB46" s="94">
        <f>IF((WAGas09_08!AB46+IDGas12_07!Z46)=0,,(WAGas09_08!AB46+IDGas12_07!Z46))</f>
        <v>29568</v>
      </c>
      <c r="AC46" s="94" t="e">
        <f>IF((WAGas09_08!#REF!+IDGas12_07!#REF!)=0,,(WAGas09_08!#REF!+IDGas12_07!#REF!))</f>
        <v>#REF!</v>
      </c>
      <c r="AD46" s="94">
        <f>IF((WAGas09_08!AF46+IDGas12_07!AD46)=0,,(WAGas09_08!AF46+IDGas12_07!AD46))</f>
        <v>453</v>
      </c>
    </row>
    <row r="47" spans="1:30">
      <c r="B47" s="26" t="s">
        <v>93</v>
      </c>
      <c r="C47" s="58"/>
      <c r="D47" s="58"/>
      <c r="E47" s="58"/>
      <c r="F47" s="89">
        <f>IF((WAGas09_08!F47+IDGas12_07!F47)=0,,(WAGas09_08!F47+IDGas12_07!F47))</f>
        <v>0</v>
      </c>
      <c r="G47" s="94">
        <f>IF((WAGas09_08!G47+IDGas12_07!G47)=0,,(WAGas09_08!G47+IDGas12_07!G47))</f>
        <v>0</v>
      </c>
      <c r="H47" s="94">
        <f>IF((WAGas09_08!H47+IDGas12_07!H47)=0,,(WAGas09_08!H47+IDGas12_07!H47))</f>
        <v>0</v>
      </c>
      <c r="I47" s="94">
        <f>IF((WAGas09_08!I47+IDGas12_07!I47)=0,,(WAGas09_08!I47+IDGas12_07!I47))</f>
        <v>0</v>
      </c>
      <c r="J47" s="94">
        <f>IF((WAGas09_08!J47+IDGas12_07!J47)=0,,(WAGas09_08!J47+IDGas12_07!J47))</f>
        <v>0</v>
      </c>
      <c r="K47" s="94" t="e">
        <f>IF((WAGas09_08!L47+IDGas12_07!#REF!)=0,,(WAGas09_08!L47+IDGas12_07!#REF!))</f>
        <v>#REF!</v>
      </c>
      <c r="L47" s="89">
        <f>IF((WAGas09_08!M47+IDGas12_07!L47)=0,,(WAGas09_08!M47+IDGas12_07!L47))</f>
        <v>0</v>
      </c>
      <c r="M47" s="94">
        <f>IF((WAGas09_08!N47+IDGas12_07!N47)=0,,(WAGas09_08!N47+IDGas12_07!N47))</f>
        <v>0</v>
      </c>
      <c r="N47" s="94" t="e">
        <f>IF((WAGas09_08!#REF!+IDGas12_07!#REF!)=0,,(WAGas09_08!#REF!+IDGas12_07!#REF!))</f>
        <v>#REF!</v>
      </c>
      <c r="O47" s="94">
        <f>IF((WAGas09_08!O47+IDGas12_07!O47)=0,,(WAGas09_08!O47+IDGas12_07!O47))</f>
        <v>0</v>
      </c>
      <c r="P47" s="94">
        <f>IF((WAGas09_08!P47+IDGas12_07!P47)=0,,(WAGas09_08!P47+IDGas12_07!P47))</f>
        <v>0</v>
      </c>
      <c r="Q47" s="94">
        <f>IF((WAGas09_08!Q47+IDGas12_07!Q47)=0,,(WAGas09_08!Q47+IDGas12_07!Q47))</f>
        <v>0</v>
      </c>
      <c r="R47" s="94">
        <f>IF((WAGas09_08!R47+IDGas12_07!R47)=0,,(WAGas09_08!R47+IDGas12_07!R47))</f>
        <v>0</v>
      </c>
      <c r="S47" s="94">
        <f>IF((WAGas09_08!S47+IDGas12_07!S47)=0,,(WAGas09_08!S47+IDGas12_07!S47))</f>
        <v>0</v>
      </c>
      <c r="T47" s="94">
        <f>IF((WAGas09_08!T47+IDGas12_07!T47)=0,,(WAGas09_08!T47+IDGas12_07!T47))</f>
        <v>0</v>
      </c>
      <c r="U47" s="94">
        <f>IF((WAGas09_08!Z47+IDGas12_07!V47)=0,,(WAGas09_08!Z47+IDGas12_07!V47))</f>
        <v>0</v>
      </c>
      <c r="V47" s="94" t="e">
        <f>IF((WAGas09_08!#REF!+IDGas12_07!#REF!)=0,,(WAGas09_08!#REF!+IDGas12_07!#REF!))</f>
        <v>#REF!</v>
      </c>
      <c r="W47" s="94" t="e">
        <f>IF((WAGas09_08!#REF!+IDGas12_07!#REF!)=0,,(WAGas09_08!#REF!+IDGas12_07!#REF!))</f>
        <v>#REF!</v>
      </c>
      <c r="X47" s="94">
        <f>IF((WAGas09_08!V47+IDGas12_07!U47)=0,,(WAGas09_08!V47+IDGas12_07!U47))</f>
        <v>0</v>
      </c>
      <c r="Y47" s="94">
        <f>IF((WAGas09_08!W47+IDGas12_07!W47)=0,,(WAGas09_08!W47+IDGas12_07!W47))</f>
        <v>0</v>
      </c>
      <c r="Z47" s="94">
        <f>IF((WAGas09_08!AA47+IDGas12_07!X47)=0,,(WAGas09_08!AA47+IDGas12_07!X47))</f>
        <v>0</v>
      </c>
      <c r="AA47" s="94" t="e">
        <f>IF((WAGas09_08!#REF!+IDGas12_07!Y47)=0,,(WAGas09_08!#REF!+IDGas12_07!Y47))</f>
        <v>#REF!</v>
      </c>
      <c r="AB47" s="94">
        <f>IF((WAGas09_08!AB47+IDGas12_07!Z47)=0,,(WAGas09_08!AB47+IDGas12_07!Z47))</f>
        <v>0</v>
      </c>
      <c r="AC47" s="94" t="e">
        <f>IF((WAGas09_08!#REF!+IDGas12_07!#REF!)=0,,(WAGas09_08!#REF!+IDGas12_07!#REF!))</f>
        <v>#REF!</v>
      </c>
      <c r="AD47" s="94">
        <f>IF((WAGas09_08!AF47+IDGas12_07!AD47)=0,,(WAGas09_08!AF47+IDGas12_07!AD47))</f>
        <v>0</v>
      </c>
    </row>
    <row r="48" spans="1:30">
      <c r="A48" s="55">
        <v>27</v>
      </c>
      <c r="C48" s="58" t="s">
        <v>94</v>
      </c>
      <c r="D48" s="58"/>
      <c r="E48" s="58"/>
      <c r="F48" s="89">
        <f>IF((WAGas09_08!F48+IDGas12_07!F48)=0,,(WAGas09_08!F48+IDGas12_07!F48))</f>
        <v>6227</v>
      </c>
      <c r="G48" s="94">
        <f>IF((WAGas09_08!G48+IDGas12_07!G48)=0,,(WAGas09_08!G48+IDGas12_07!G48))</f>
        <v>0</v>
      </c>
      <c r="H48" s="94">
        <f>IF((WAGas09_08!H48+IDGas12_07!H48)=0,,(WAGas09_08!H48+IDGas12_07!H48))</f>
        <v>0</v>
      </c>
      <c r="I48" s="94">
        <f>IF((WAGas09_08!I48+IDGas12_07!I48)=0,,(WAGas09_08!I48+IDGas12_07!I48))</f>
        <v>0</v>
      </c>
      <c r="J48" s="94">
        <f>IF((WAGas09_08!J48+IDGas12_07!J48)=0,,(WAGas09_08!J48+IDGas12_07!J48))</f>
        <v>0</v>
      </c>
      <c r="K48" s="94" t="e">
        <f>IF((WAGas09_08!L48+IDGas12_07!#REF!)=0,,(WAGas09_08!L48+IDGas12_07!#REF!))</f>
        <v>#REF!</v>
      </c>
      <c r="L48" s="89">
        <f>IF((WAGas09_08!M48+IDGas12_07!L48)=0,,(WAGas09_08!M48+IDGas12_07!L48))</f>
        <v>6256</v>
      </c>
      <c r="M48" s="94">
        <f>IF((WAGas09_08!N48+IDGas12_07!N48)=0,,(WAGas09_08!N48+IDGas12_07!N48))</f>
        <v>1965</v>
      </c>
      <c r="N48" s="94" t="e">
        <f>IF((WAGas09_08!#REF!+IDGas12_07!#REF!)=0,,(WAGas09_08!#REF!+IDGas12_07!#REF!))</f>
        <v>#REF!</v>
      </c>
      <c r="O48" s="94">
        <f>IF((WAGas09_08!O48+IDGas12_07!O48)=0,,(WAGas09_08!O48+IDGas12_07!O48))</f>
        <v>-2</v>
      </c>
      <c r="P48" s="94">
        <f>IF((WAGas09_08!P48+IDGas12_07!P48)=0,,(WAGas09_08!P48+IDGas12_07!P48))</f>
        <v>104</v>
      </c>
      <c r="Q48" s="94">
        <f>IF((WAGas09_08!Q48+IDGas12_07!Q48)=0,,(WAGas09_08!Q48+IDGas12_07!Q48))</f>
        <v>50</v>
      </c>
      <c r="R48" s="94">
        <f>IF((WAGas09_08!R48+IDGas12_07!R48)=0,,(WAGas09_08!R48+IDGas12_07!R48))</f>
        <v>-5</v>
      </c>
      <c r="S48" s="94">
        <f>IF((WAGas09_08!S48+IDGas12_07!S48)=0,,(WAGas09_08!S48+IDGas12_07!S48))</f>
        <v>23</v>
      </c>
      <c r="T48" s="94">
        <f>IF((WAGas09_08!T48+IDGas12_07!T48)=0,,(WAGas09_08!T48+IDGas12_07!T48))</f>
        <v>-10</v>
      </c>
      <c r="U48" s="94">
        <f>IF((WAGas09_08!Z48+IDGas12_07!V48)=0,,(WAGas09_08!Z48+IDGas12_07!V48))</f>
        <v>-30.703014999999908</v>
      </c>
      <c r="V48" s="94" t="e">
        <f>IF((WAGas09_08!#REF!+IDGas12_07!#REF!)=0,,(WAGas09_08!#REF!+IDGas12_07!#REF!))</f>
        <v>#REF!</v>
      </c>
      <c r="W48" s="94" t="e">
        <f>IF((WAGas09_08!#REF!+IDGas12_07!#REF!)=0,,(WAGas09_08!#REF!+IDGas12_07!#REF!))</f>
        <v>#REF!</v>
      </c>
      <c r="X48" s="94">
        <f>IF((WAGas09_08!V48+IDGas12_07!U48)=0,,(WAGas09_08!V48+IDGas12_07!U48))</f>
        <v>30</v>
      </c>
      <c r="Y48" s="94">
        <f>IF((WAGas09_08!W48+IDGas12_07!W48)=0,,(WAGas09_08!W48+IDGas12_07!W48))</f>
        <v>1</v>
      </c>
      <c r="Z48" s="94">
        <f>IF((WAGas09_08!AA48+IDGas12_07!X48)=0,,(WAGas09_08!AA48+IDGas12_07!X48))</f>
        <v>0</v>
      </c>
      <c r="AA48" s="94" t="e">
        <f>IF((WAGas09_08!#REF!+IDGas12_07!Y48)=0,,(WAGas09_08!#REF!+IDGas12_07!Y48))</f>
        <v>#REF!</v>
      </c>
      <c r="AB48" s="94">
        <f>IF((WAGas09_08!AB48+IDGas12_07!Z48)=0,,(WAGas09_08!AB48+IDGas12_07!Z48))</f>
        <v>8388.2969850000009</v>
      </c>
      <c r="AC48" s="94" t="e">
        <f>IF((WAGas09_08!#REF!+IDGas12_07!#REF!)=0,,(WAGas09_08!#REF!+IDGas12_07!#REF!))</f>
        <v>#REF!</v>
      </c>
      <c r="AD48" s="94">
        <f>IF((WAGas09_08!AF48+IDGas12_07!AD48)=0,,(WAGas09_08!AF48+IDGas12_07!AD48))</f>
        <v>159</v>
      </c>
    </row>
    <row r="49" spans="1:30">
      <c r="A49" s="55">
        <v>28</v>
      </c>
      <c r="C49" s="58" t="s">
        <v>95</v>
      </c>
      <c r="D49" s="58"/>
      <c r="E49" s="58"/>
      <c r="F49" s="89">
        <f>IF((WAGas09_08!F49+IDGas12_07!F49)=0,,(WAGas09_08!F49+IDGas12_07!F49))</f>
        <v>-708</v>
      </c>
      <c r="G49" s="94">
        <f>IF((WAGas09_08!G49+IDGas12_07!G49)=0,,(WAGas09_08!G49+IDGas12_07!G49))</f>
        <v>0</v>
      </c>
      <c r="H49" s="94">
        <f>IF((WAGas09_08!H49+IDGas12_07!H49)=0,,(WAGas09_08!H49+IDGas12_07!H49))</f>
        <v>0</v>
      </c>
      <c r="I49" s="94">
        <f>IF((WAGas09_08!I49+IDGas12_07!I49)=0,,(WAGas09_08!I49+IDGas12_07!I49))</f>
        <v>0</v>
      </c>
      <c r="J49" s="94">
        <f>IF((WAGas09_08!J49+IDGas12_07!J49)=0,,(WAGas09_08!J49+IDGas12_07!J49))</f>
        <v>0</v>
      </c>
      <c r="K49" s="94" t="e">
        <f>IF((WAGas09_08!L49+IDGas12_07!#REF!)=0,,(WAGas09_08!L49+IDGas12_07!#REF!))</f>
        <v>#REF!</v>
      </c>
      <c r="L49" s="89">
        <f>IF((WAGas09_08!M49+IDGas12_07!L49)=0,,(WAGas09_08!M49+IDGas12_07!L49))</f>
        <v>-708</v>
      </c>
      <c r="M49" s="94">
        <f>IF((WAGas09_08!N49+IDGas12_07!N49)=0,,(WAGas09_08!N49+IDGas12_07!N49))</f>
        <v>0</v>
      </c>
      <c r="N49" s="94" t="e">
        <f>IF((WAGas09_08!#REF!+IDGas12_07!#REF!)=0,,(WAGas09_08!#REF!+IDGas12_07!#REF!))</f>
        <v>#REF!</v>
      </c>
      <c r="O49" s="94">
        <f>IF((WAGas09_08!O49+IDGas12_07!O49)=0,,(WAGas09_08!O49+IDGas12_07!O49))</f>
        <v>0</v>
      </c>
      <c r="P49" s="94">
        <f>IF((WAGas09_08!P49+IDGas12_07!P49)=0,,(WAGas09_08!P49+IDGas12_07!P49))</f>
        <v>0</v>
      </c>
      <c r="Q49" s="94">
        <f>IF((WAGas09_08!Q49+IDGas12_07!Q49)=0,,(WAGas09_08!Q49+IDGas12_07!Q49))</f>
        <v>0</v>
      </c>
      <c r="R49" s="94">
        <f>IF((WAGas09_08!R49+IDGas12_07!R49)=0,,(WAGas09_08!R49+IDGas12_07!R49))</f>
        <v>0</v>
      </c>
      <c r="S49" s="94">
        <f>IF((WAGas09_08!S49+IDGas12_07!S49)=0,,(WAGas09_08!S49+IDGas12_07!S49))</f>
        <v>0</v>
      </c>
      <c r="T49" s="94">
        <f>IF((WAGas09_08!T49+IDGas12_07!T49)=0,,(WAGas09_08!T49+IDGas12_07!T49))</f>
        <v>10</v>
      </c>
      <c r="U49" s="94">
        <f>IF((WAGas09_08!Z49+IDGas12_07!V49)=0,,(WAGas09_08!Z49+IDGas12_07!V49))</f>
        <v>0</v>
      </c>
      <c r="V49" s="94" t="e">
        <f>IF((WAGas09_08!#REF!+IDGas12_07!#REF!)=0,,(WAGas09_08!#REF!+IDGas12_07!#REF!))</f>
        <v>#REF!</v>
      </c>
      <c r="W49" s="94" t="e">
        <f>IF((WAGas09_08!#REF!+IDGas12_07!#REF!)=0,,(WAGas09_08!#REF!+IDGas12_07!#REF!))</f>
        <v>#REF!</v>
      </c>
      <c r="X49" s="94">
        <f>IF((WAGas09_08!V49+IDGas12_07!U49)=0,,(WAGas09_08!V49+IDGas12_07!U49))</f>
        <v>0</v>
      </c>
      <c r="Y49" s="94">
        <f>IF((WAGas09_08!W49+IDGas12_07!W49)=0,,(WAGas09_08!W49+IDGas12_07!W49))</f>
        <v>0</v>
      </c>
      <c r="Z49" s="94">
        <f>IF((WAGas09_08!AA49+IDGas12_07!X49)=0,,(WAGas09_08!AA49+IDGas12_07!X49))</f>
        <v>0</v>
      </c>
      <c r="AA49" s="94" t="e">
        <f>IF((WAGas09_08!#REF!+IDGas12_07!Y49)=0,,(WAGas09_08!#REF!+IDGas12_07!Y49))</f>
        <v>#REF!</v>
      </c>
      <c r="AB49" s="94">
        <f>IF((WAGas09_08!AB49+IDGas12_07!Z49)=0,,(WAGas09_08!AB49+IDGas12_07!Z49))</f>
        <v>-698</v>
      </c>
      <c r="AC49" s="94" t="e">
        <f>IF((WAGas09_08!#REF!+IDGas12_07!#REF!)=0,,(WAGas09_08!#REF!+IDGas12_07!#REF!))</f>
        <v>#REF!</v>
      </c>
      <c r="AD49" s="94">
        <f>IF((WAGas09_08!AF49+IDGas12_07!AD49)=0,,(WAGas09_08!AF49+IDGas12_07!AD49))</f>
        <v>0</v>
      </c>
    </row>
    <row r="50" spans="1:30">
      <c r="A50" s="55">
        <v>29</v>
      </c>
      <c r="C50" s="58" t="s">
        <v>96</v>
      </c>
      <c r="D50" s="58"/>
      <c r="E50" s="58"/>
      <c r="F50" s="90">
        <f>IF((WAGas09_08!F50+IDGas12_07!F50)=0,,(WAGas09_08!F50+IDGas12_07!F50))</f>
        <v>-49</v>
      </c>
      <c r="G50" s="93">
        <f>IF((WAGas09_08!G50+IDGas12_07!G50)=0,,(WAGas09_08!G50+IDGas12_07!G50))</f>
        <v>0</v>
      </c>
      <c r="H50" s="93">
        <f>IF((WAGas09_08!H50+IDGas12_07!H50)=0,,(WAGas09_08!H50+IDGas12_07!H50))</f>
        <v>0</v>
      </c>
      <c r="I50" s="93">
        <f>IF((WAGas09_08!I50+IDGas12_07!I50)=0,,(WAGas09_08!I50+IDGas12_07!I50))</f>
        <v>0</v>
      </c>
      <c r="J50" s="93">
        <f>IF((WAGas09_08!J50+IDGas12_07!J50)=0,,(WAGas09_08!J50+IDGas12_07!J50))</f>
        <v>0</v>
      </c>
      <c r="K50" s="93" t="e">
        <f>IF((WAGas09_08!L50+IDGas12_07!#REF!)=0,,(WAGas09_08!L50+IDGas12_07!#REF!))</f>
        <v>#REF!</v>
      </c>
      <c r="L50" s="90">
        <f>IF((WAGas09_08!M50+IDGas12_07!L50)=0,,(WAGas09_08!M50+IDGas12_07!L50))</f>
        <v>-49</v>
      </c>
      <c r="M50" s="93">
        <f>IF((WAGas09_08!N50+IDGas12_07!N50)=0,,(WAGas09_08!N50+IDGas12_07!N50))</f>
        <v>0</v>
      </c>
      <c r="N50" s="93" t="e">
        <f>IF((WAGas09_08!#REF!+IDGas12_07!#REF!)=0,,(WAGas09_08!#REF!+IDGas12_07!#REF!))</f>
        <v>#REF!</v>
      </c>
      <c r="O50" s="93">
        <f>IF((WAGas09_08!O50+IDGas12_07!O50)=0,,(WAGas09_08!O50+IDGas12_07!O50))</f>
        <v>0</v>
      </c>
      <c r="P50" s="93">
        <f>IF((WAGas09_08!P50+IDGas12_07!P50)=0,,(WAGas09_08!P50+IDGas12_07!P50))</f>
        <v>0</v>
      </c>
      <c r="Q50" s="93">
        <f>IF((WAGas09_08!Q50+IDGas12_07!Q50)=0,,(WAGas09_08!Q50+IDGas12_07!Q50))</f>
        <v>0</v>
      </c>
      <c r="R50" s="93">
        <f>IF((WAGas09_08!R50+IDGas12_07!R50)=0,,(WAGas09_08!R50+IDGas12_07!R50))</f>
        <v>0</v>
      </c>
      <c r="S50" s="93">
        <f>IF((WAGas09_08!S50+IDGas12_07!S50)=0,,(WAGas09_08!S50+IDGas12_07!S50))</f>
        <v>0</v>
      </c>
      <c r="T50" s="93">
        <f>IF((WAGas09_08!T50+IDGas12_07!T50)=0,,(WAGas09_08!T50+IDGas12_07!T50))</f>
        <v>0</v>
      </c>
      <c r="U50" s="93">
        <f>IF((WAGas09_08!Z50+IDGas12_07!V50)=0,,(WAGas09_08!Z50+IDGas12_07!V50))</f>
        <v>0</v>
      </c>
      <c r="V50" s="93" t="e">
        <f>IF((WAGas09_08!#REF!+IDGas12_07!#REF!)=0,,(WAGas09_08!#REF!+IDGas12_07!#REF!))</f>
        <v>#REF!</v>
      </c>
      <c r="W50" s="93" t="e">
        <f>IF((WAGas09_08!#REF!+IDGas12_07!#REF!)=0,,(WAGas09_08!#REF!+IDGas12_07!#REF!))</f>
        <v>#REF!</v>
      </c>
      <c r="X50" s="93">
        <f>IF((WAGas09_08!V50+IDGas12_07!U50)=0,,(WAGas09_08!V50+IDGas12_07!U50))</f>
        <v>0</v>
      </c>
      <c r="Y50" s="93">
        <f>IF((WAGas09_08!W50+IDGas12_07!W50)=0,,(WAGas09_08!W50+IDGas12_07!W50))</f>
        <v>0</v>
      </c>
      <c r="Z50" s="93">
        <f>IF((WAGas09_08!AA50+IDGas12_07!X50)=0,,(WAGas09_08!AA50+IDGas12_07!X50))</f>
        <v>0</v>
      </c>
      <c r="AA50" s="93" t="e">
        <f>IF((WAGas09_08!#REF!+IDGas12_07!Y50)=0,,(WAGas09_08!#REF!+IDGas12_07!Y50))</f>
        <v>#REF!</v>
      </c>
      <c r="AB50" s="93">
        <f>IF((WAGas09_08!AB50+IDGas12_07!Z50)=0,,(WAGas09_08!AB50+IDGas12_07!Z50))</f>
        <v>-49</v>
      </c>
      <c r="AC50" s="93" t="e">
        <f>IF((WAGas09_08!#REF!+IDGas12_07!#REF!)=0,,(WAGas09_08!#REF!+IDGas12_07!#REF!))</f>
        <v>#REF!</v>
      </c>
      <c r="AD50" s="93">
        <f>IF((WAGas09_08!AF50+IDGas12_07!AD50)=0,,(WAGas09_08!AF50+IDGas12_07!AD50))</f>
        <v>0</v>
      </c>
    </row>
    <row r="51" spans="1:30">
      <c r="F51" s="89">
        <f>IF((WAGas09_08!F51+IDGas12_07!F51)=0,,(WAGas09_08!F51+IDGas12_07!F51))</f>
        <v>0</v>
      </c>
      <c r="G51" s="94">
        <f>IF((WAGas09_08!G51+IDGas12_07!G51)=0,,(WAGas09_08!G51+IDGas12_07!G51))</f>
        <v>0</v>
      </c>
      <c r="H51" s="94">
        <f>IF((WAGas09_08!H51+IDGas12_07!H51)=0,,(WAGas09_08!H51+IDGas12_07!H51))</f>
        <v>0</v>
      </c>
      <c r="I51" s="94">
        <f>IF((WAGas09_08!I51+IDGas12_07!I51)=0,,(WAGas09_08!I51+IDGas12_07!I51))</f>
        <v>0</v>
      </c>
      <c r="J51" s="94">
        <f>IF((WAGas09_08!J51+IDGas12_07!J51)=0,,(WAGas09_08!J51+IDGas12_07!J51))</f>
        <v>0</v>
      </c>
      <c r="K51" s="94" t="e">
        <f>IF((WAGas09_08!L51+IDGas12_07!#REF!)=0,,(WAGas09_08!L51+IDGas12_07!#REF!))</f>
        <v>#REF!</v>
      </c>
      <c r="L51" s="89">
        <f>IF((WAGas09_08!M51+IDGas12_07!L51)=0,,(WAGas09_08!M51+IDGas12_07!L51))</f>
        <v>0</v>
      </c>
      <c r="M51" s="94">
        <f>IF((WAGas09_08!N51+IDGas12_07!N51)=0,,(WAGas09_08!N51+IDGas12_07!N51))</f>
        <v>0</v>
      </c>
      <c r="N51" s="94" t="e">
        <f>IF((WAGas09_08!#REF!+IDGas12_07!#REF!)=0,,(WAGas09_08!#REF!+IDGas12_07!#REF!))</f>
        <v>#REF!</v>
      </c>
      <c r="O51" s="94">
        <f>IF((WAGas09_08!O51+IDGas12_07!O51)=0,,(WAGas09_08!O51+IDGas12_07!O51))</f>
        <v>0</v>
      </c>
      <c r="P51" s="94">
        <f>IF((WAGas09_08!P51+IDGas12_07!P51)=0,,(WAGas09_08!P51+IDGas12_07!P51))</f>
        <v>0</v>
      </c>
      <c r="Q51" s="94">
        <f>IF((WAGas09_08!Q51+IDGas12_07!Q51)=0,,(WAGas09_08!Q51+IDGas12_07!Q51))</f>
        <v>0</v>
      </c>
      <c r="R51" s="94">
        <f>IF((WAGas09_08!R51+IDGas12_07!R51)=0,,(WAGas09_08!R51+IDGas12_07!R51))</f>
        <v>0</v>
      </c>
      <c r="S51" s="94">
        <f>IF((WAGas09_08!S51+IDGas12_07!S51)=0,,(WAGas09_08!S51+IDGas12_07!S51))</f>
        <v>0</v>
      </c>
      <c r="T51" s="94">
        <f>IF((WAGas09_08!T51+IDGas12_07!T51)=0,,(WAGas09_08!T51+IDGas12_07!T51))</f>
        <v>0</v>
      </c>
      <c r="U51" s="94">
        <f>IF((WAGas09_08!Z51+IDGas12_07!V51)=0,,(WAGas09_08!Z51+IDGas12_07!V51))</f>
        <v>0</v>
      </c>
      <c r="V51" s="94" t="e">
        <f>IF((WAGas09_08!#REF!+IDGas12_07!#REF!)=0,,(WAGas09_08!#REF!+IDGas12_07!#REF!))</f>
        <v>#REF!</v>
      </c>
      <c r="W51" s="94" t="e">
        <f>IF((WAGas09_08!#REF!+IDGas12_07!#REF!)=0,,(WAGas09_08!#REF!+IDGas12_07!#REF!))</f>
        <v>#REF!</v>
      </c>
      <c r="X51" s="94">
        <f>IF((WAGas09_08!V51+IDGas12_07!U51)=0,,(WAGas09_08!V51+IDGas12_07!U51))</f>
        <v>0</v>
      </c>
      <c r="Y51" s="94">
        <f>IF((WAGas09_08!W51+IDGas12_07!W51)=0,,(WAGas09_08!W51+IDGas12_07!W51))</f>
        <v>0</v>
      </c>
      <c r="Z51" s="94">
        <f>IF((WAGas09_08!AA51+IDGas12_07!X51)=0,,(WAGas09_08!AA51+IDGas12_07!X51))</f>
        <v>0</v>
      </c>
      <c r="AA51" s="94" t="e">
        <f>IF((WAGas09_08!#REF!+IDGas12_07!Y51)=0,,(WAGas09_08!#REF!+IDGas12_07!Y51))</f>
        <v>#REF!</v>
      </c>
      <c r="AB51" s="94">
        <f>IF((WAGas09_08!AB51+IDGas12_07!Z51)=0,,(WAGas09_08!AB51+IDGas12_07!Z51))</f>
        <v>0</v>
      </c>
      <c r="AC51" s="94" t="e">
        <f>IF((WAGas09_08!#REF!+IDGas12_07!#REF!)=0,,(WAGas09_08!#REF!+IDGas12_07!#REF!))</f>
        <v>#REF!</v>
      </c>
      <c r="AD51" s="94">
        <f>IF((WAGas09_08!AF51+IDGas12_07!AD51)=0,,(WAGas09_08!AF51+IDGas12_07!AD51))</f>
        <v>0</v>
      </c>
    </row>
    <row r="52" spans="1:30" s="57" customFormat="1" ht="12.95" customHeight="1" thickBot="1">
      <c r="A52" s="55">
        <v>30</v>
      </c>
      <c r="B52" s="57" t="s">
        <v>97</v>
      </c>
      <c r="F52" s="98">
        <f>IF((WAGas09_08!F52+IDGas12_07!F52)=0,,(WAGas09_08!F52+IDGas12_07!F52))</f>
        <v>17810</v>
      </c>
      <c r="G52" s="99">
        <f>IF((WAGas09_08!G52+IDGas12_07!G52)=0,,(WAGas09_08!G52+IDGas12_07!G52))</f>
        <v>0</v>
      </c>
      <c r="H52" s="99">
        <f>IF((WAGas09_08!H52+IDGas12_07!H52)=0,,(WAGas09_08!H52+IDGas12_07!H52))</f>
        <v>0</v>
      </c>
      <c r="I52" s="99">
        <f>IF((WAGas09_08!I52+IDGas12_07!I52)=0,,(WAGas09_08!I52+IDGas12_07!I52))</f>
        <v>0</v>
      </c>
      <c r="J52" s="99">
        <f>IF((WAGas09_08!J52+IDGas12_07!J52)=0,,(WAGas09_08!J52+IDGas12_07!J52))</f>
        <v>0</v>
      </c>
      <c r="K52" s="99" t="e">
        <f>IF((WAGas09_08!L52+IDGas12_07!#REF!)=0,,(WAGas09_08!L52+IDGas12_07!#REF!))</f>
        <v>#REF!</v>
      </c>
      <c r="L52" s="98">
        <f>IF((WAGas09_08!M52+IDGas12_07!L52)=0,,(WAGas09_08!M52+IDGas12_07!L52))</f>
        <v>17864</v>
      </c>
      <c r="M52" s="99">
        <f>IF((WAGas09_08!N52+IDGas12_07!N52)=0,,(WAGas09_08!N52+IDGas12_07!N52))</f>
        <v>3648</v>
      </c>
      <c r="N52" s="99" t="e">
        <f>IF((WAGas09_08!#REF!+IDGas12_07!#REF!)=0,,(WAGas09_08!#REF!+IDGas12_07!#REF!))</f>
        <v>#REF!</v>
      </c>
      <c r="O52" s="99">
        <f>IF((WAGas09_08!O52+IDGas12_07!O52)=0,,(WAGas09_08!O52+IDGas12_07!O52))</f>
        <v>-4</v>
      </c>
      <c r="P52" s="99">
        <f>IF((WAGas09_08!P52+IDGas12_07!P52)=0,,(WAGas09_08!P52+IDGas12_07!P52))</f>
        <v>193</v>
      </c>
      <c r="Q52" s="99">
        <f>IF((WAGas09_08!Q52+IDGas12_07!Q52)=0,,(WAGas09_08!Q52+IDGas12_07!Q52))</f>
        <v>93</v>
      </c>
      <c r="R52" s="99">
        <f>IF((WAGas09_08!R52+IDGas12_07!R52)=0,,(WAGas09_08!R52+IDGas12_07!R52))</f>
        <v>-9</v>
      </c>
      <c r="S52" s="99">
        <f>IF((WAGas09_08!S52+IDGas12_07!S52)=0,,(WAGas09_08!S52+IDGas12_07!S52))</f>
        <v>42</v>
      </c>
      <c r="T52" s="99">
        <f>IF((WAGas09_08!T52+IDGas12_07!T52)=0,,(WAGas09_08!T52+IDGas12_07!T52))</f>
        <v>0</v>
      </c>
      <c r="U52" s="99">
        <f>IF((WAGas09_08!Z52+IDGas12_07!V52)=0,,(WAGas09_08!Z52+IDGas12_07!V52))</f>
        <v>30.703014999999908</v>
      </c>
      <c r="V52" s="99" t="e">
        <f>IF((WAGas09_08!#REF!+IDGas12_07!#REF!)=0,,(WAGas09_08!#REF!+IDGas12_07!#REF!))</f>
        <v>#REF!</v>
      </c>
      <c r="W52" s="99" t="e">
        <f>IF((WAGas09_08!#REF!+IDGas12_07!#REF!)=0,,(WAGas09_08!#REF!+IDGas12_07!#REF!))</f>
        <v>#REF!</v>
      </c>
      <c r="X52" s="99">
        <f>IF((WAGas09_08!V52+IDGas12_07!U52)=0,,(WAGas09_08!V52+IDGas12_07!U52))</f>
        <v>55</v>
      </c>
      <c r="Y52" s="99">
        <f>IF((WAGas09_08!W52+IDGas12_07!W52)=0,,(WAGas09_08!W52+IDGas12_07!W52))</f>
        <v>1</v>
      </c>
      <c r="Z52" s="99">
        <f>IF((WAGas09_08!AA52+IDGas12_07!X52)=0,,(WAGas09_08!AA52+IDGas12_07!X52))</f>
        <v>0</v>
      </c>
      <c r="AA52" s="99" t="e">
        <f>IF((WAGas09_08!#REF!+IDGas12_07!Y52)=0,,(WAGas09_08!#REF!+IDGas12_07!Y52))</f>
        <v>#REF!</v>
      </c>
      <c r="AB52" s="99">
        <f>IF((WAGas09_08!AB52+IDGas12_07!Z52)=0,,(WAGas09_08!AB52+IDGas12_07!Z52))</f>
        <v>21926.703014999999</v>
      </c>
      <c r="AC52" s="99" t="e">
        <f>IF((WAGas09_08!#REF!+IDGas12_07!#REF!)=0,,(WAGas09_08!#REF!+IDGas12_07!#REF!))</f>
        <v>#REF!</v>
      </c>
      <c r="AD52" s="99">
        <f>IF((WAGas09_08!AF52+IDGas12_07!AD52)=0,,(WAGas09_08!AF52+IDGas12_07!AD52))</f>
        <v>294</v>
      </c>
    </row>
    <row r="53" spans="1:30" ht="6" customHeight="1" thickTop="1">
      <c r="F53" s="89">
        <f>IF((WAGas09_08!F53+IDGas12_07!F51)=0,,(WAGas09_08!F53+IDGas12_07!F51))</f>
        <v>0</v>
      </c>
      <c r="G53" s="94">
        <f>IF((WAGas09_08!G53+IDGas12_07!G51)=0,,(WAGas09_08!G53+IDGas12_07!G51))</f>
        <v>0</v>
      </c>
      <c r="H53" s="94">
        <f>IF((WAGas09_08!H53+IDGas12_07!H51)=0,,(WAGas09_08!H53+IDGas12_07!H51))</f>
        <v>0</v>
      </c>
      <c r="I53" s="94">
        <f>IF((WAGas09_08!I53+IDGas12_07!I51)=0,,(WAGas09_08!I53+IDGas12_07!I51))</f>
        <v>0</v>
      </c>
      <c r="J53" s="94">
        <f>IF((WAGas09_08!J53+IDGas12_07!J51)=0,,(WAGas09_08!J53+IDGas12_07!J51))</f>
        <v>0</v>
      </c>
      <c r="K53" s="94" t="e">
        <f>IF((WAGas09_08!L53+IDGas12_07!#REF!)=0,,(WAGas09_08!L53+IDGas12_07!#REF!))</f>
        <v>#REF!</v>
      </c>
      <c r="L53" s="89">
        <f>IF((WAGas09_08!M53+IDGas12_07!L51)=0,,(WAGas09_08!M53+IDGas12_07!L51))</f>
        <v>0</v>
      </c>
      <c r="M53" s="94">
        <f>IF((WAGas09_08!N51+IDGas12_07!N51)=0,,(WAGas09_08!N51+IDGas12_07!N51))</f>
        <v>0</v>
      </c>
      <c r="N53" s="94" t="e">
        <f>IF((WAGas09_08!#REF!+IDGas12_07!#REF!)=0,,(WAGas09_08!#REF!+IDGas12_07!#REF!))</f>
        <v>#REF!</v>
      </c>
      <c r="O53" s="94">
        <f>IF((WAGas09_08!O51+IDGas12_07!O51)=0,,(WAGas09_08!O51+IDGas12_07!O51))</f>
        <v>0</v>
      </c>
      <c r="P53" s="94">
        <f>IF((WAGas09_08!P51+IDGas12_07!P51)=0,,(WAGas09_08!P51+IDGas12_07!P51))</f>
        <v>0</v>
      </c>
      <c r="Q53" s="94">
        <f>IF((WAGas09_08!Q51+IDGas12_07!Q51)=0,,(WAGas09_08!Q51+IDGas12_07!Q51))</f>
        <v>0</v>
      </c>
      <c r="R53" s="94">
        <f>IF((WAGas09_08!R51+IDGas12_07!R51)=0,,(WAGas09_08!R51+IDGas12_07!R51))</f>
        <v>0</v>
      </c>
      <c r="S53" s="94">
        <f>IF((WAGas09_08!S51+IDGas12_07!S51)=0,,(WAGas09_08!S51+IDGas12_07!S51))</f>
        <v>0</v>
      </c>
      <c r="T53" s="94">
        <f>IF((WAGas09_08!T51+IDGas12_07!T51)=0,,(WAGas09_08!T51+IDGas12_07!T51))</f>
        <v>0</v>
      </c>
      <c r="U53" s="94">
        <f>IF((WAGas09_08!Z51+IDGas12_07!V51)=0,,(WAGas09_08!Z51+IDGas12_07!V51))</f>
        <v>0</v>
      </c>
      <c r="V53" s="94" t="e">
        <f>IF((WAGas09_08!#REF!+IDGas12_07!#REF!)=0,,(WAGas09_08!#REF!+IDGas12_07!#REF!))</f>
        <v>#REF!</v>
      </c>
      <c r="W53" s="94" t="e">
        <f>IF((WAGas09_08!#REF!+IDGas12_07!#REF!)=0,,(WAGas09_08!#REF!+IDGas12_07!#REF!))</f>
        <v>#REF!</v>
      </c>
      <c r="X53" s="94">
        <f>IF((WAGas09_08!V51+IDGas12_07!U51)=0,,(WAGas09_08!V51+IDGas12_07!U51))</f>
        <v>0</v>
      </c>
      <c r="Y53" s="94">
        <f>IF((WAGas09_08!W51+IDGas12_07!W51)=0,,(WAGas09_08!W51+IDGas12_07!W51))</f>
        <v>0</v>
      </c>
      <c r="Z53" s="94">
        <f>IF((WAGas09_08!AA51+IDGas12_07!X51)=0,,(WAGas09_08!AA51+IDGas12_07!X51))</f>
        <v>0</v>
      </c>
      <c r="AA53" s="94" t="e">
        <f>IF((WAGas09_08!#REF!+IDGas12_07!Y51)=0,,(WAGas09_08!#REF!+IDGas12_07!Y51))</f>
        <v>#REF!</v>
      </c>
      <c r="AB53" s="94">
        <f>IF((WAGas09_08!AB51+IDGas12_07!Z51)=0,,(WAGas09_08!AB51+IDGas12_07!Z51))</f>
        <v>0</v>
      </c>
      <c r="AC53" s="94" t="e">
        <f>IF((WAGas09_08!#REF!+IDGas12_07!#REF!)=0,,(WAGas09_08!#REF!+IDGas12_07!#REF!))</f>
        <v>#REF!</v>
      </c>
      <c r="AD53" s="94">
        <f>IF((WAGas09_08!AF51+IDGas12_07!AD51)=0,,(WAGas09_08!AF51+IDGas12_07!AD51))</f>
        <v>0</v>
      </c>
    </row>
    <row r="54" spans="1:30" ht="6" customHeight="1"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>
      <c r="B55" s="26" t="s">
        <v>98</v>
      </c>
      <c r="F55" s="89">
        <f>IF((WAGas09_08!F55+IDGas12_07!F53)=0,,(WAGas09_08!F55+IDGas12_07!F53))</f>
        <v>0</v>
      </c>
      <c r="G55" s="94">
        <f>IF((WAGas09_08!G55+IDGas12_07!G53)=0,,(WAGas09_08!G55+IDGas12_07!G53))</f>
        <v>0</v>
      </c>
      <c r="H55" s="94">
        <f>IF((WAGas09_08!H55+IDGas12_07!H53)=0,,(WAGas09_08!H55+IDGas12_07!H53))</f>
        <v>0</v>
      </c>
      <c r="I55" s="94">
        <f>IF((WAGas09_08!I55+IDGas12_07!I53)=0,,(WAGas09_08!I55+IDGas12_07!I53))</f>
        <v>0</v>
      </c>
      <c r="J55" s="94">
        <f>IF((WAGas09_08!J55+IDGas12_07!J53)=0,,(WAGas09_08!J55+IDGas12_07!J53))</f>
        <v>0</v>
      </c>
      <c r="K55" s="94" t="e">
        <f>IF((WAGas09_08!L55+IDGas12_07!#REF!)=0,,(WAGas09_08!L55+IDGas12_07!#REF!))</f>
        <v>#REF!</v>
      </c>
      <c r="L55" s="89">
        <f>IF((WAGas09_08!M55+IDGas12_07!L53)=0,,(WAGas09_08!M55+IDGas12_07!L53))</f>
        <v>0</v>
      </c>
      <c r="M55" s="94">
        <f>IF((WAGas09_08!N53+IDGas12_07!N53)=0,,(WAGas09_08!N53+IDGas12_07!N53))</f>
        <v>0</v>
      </c>
      <c r="N55" s="94" t="e">
        <f>IF((WAGas09_08!#REF!+IDGas12_07!#REF!)=0,,(WAGas09_08!#REF!+IDGas12_07!#REF!))</f>
        <v>#REF!</v>
      </c>
      <c r="O55" s="94">
        <f>IF((WAGas09_08!O53+IDGas12_07!O53)=0,,(WAGas09_08!O53+IDGas12_07!O53))</f>
        <v>0</v>
      </c>
      <c r="P55" s="94">
        <f>IF((WAGas09_08!P53+IDGas12_07!P53)=0,,(WAGas09_08!P53+IDGas12_07!P53))</f>
        <v>0</v>
      </c>
      <c r="Q55" s="94">
        <f>IF((WAGas09_08!Q53+IDGas12_07!Q53)=0,,(WAGas09_08!Q53+IDGas12_07!Q53))</f>
        <v>0</v>
      </c>
      <c r="R55" s="94">
        <f>IF((WAGas09_08!R53+IDGas12_07!R53)=0,,(WAGas09_08!R53+IDGas12_07!R53))</f>
        <v>0</v>
      </c>
      <c r="S55" s="94">
        <f>IF((WAGas09_08!S53+IDGas12_07!S53)=0,,(WAGas09_08!S53+IDGas12_07!S53))</f>
        <v>0</v>
      </c>
      <c r="T55" s="94">
        <f>IF((WAGas09_08!T53+IDGas12_07!T53)=0,,(WAGas09_08!T53+IDGas12_07!T53))</f>
        <v>0</v>
      </c>
      <c r="U55" s="94">
        <f>IF((WAGas09_08!Z53+IDGas12_07!V53)=0,,(WAGas09_08!Z53+IDGas12_07!V53))</f>
        <v>0</v>
      </c>
      <c r="V55" s="94" t="e">
        <f>IF((WAGas09_08!#REF!+IDGas12_07!#REF!)=0,,(WAGas09_08!#REF!+IDGas12_07!#REF!))</f>
        <v>#REF!</v>
      </c>
      <c r="W55" s="94" t="e">
        <f>IF((WAGas09_08!#REF!+IDGas12_07!#REF!)=0,,(WAGas09_08!#REF!+IDGas12_07!#REF!))</f>
        <v>#REF!</v>
      </c>
      <c r="X55" s="94">
        <f>IF((WAGas09_08!V53+IDGas12_07!U53)=0,,(WAGas09_08!V53+IDGas12_07!U53))</f>
        <v>0</v>
      </c>
      <c r="Y55" s="94">
        <f>IF((WAGas09_08!W53+IDGas12_07!W53)=0,,(WAGas09_08!W53+IDGas12_07!W53))</f>
        <v>0</v>
      </c>
      <c r="Z55" s="94">
        <f>IF((WAGas09_08!AA53+IDGas12_07!X53)=0,,(WAGas09_08!AA53+IDGas12_07!X53))</f>
        <v>0</v>
      </c>
      <c r="AA55" s="94" t="e">
        <f>IF((WAGas09_08!#REF!+IDGas12_07!Y53)=0,,(WAGas09_08!#REF!+IDGas12_07!Y53))</f>
        <v>#REF!</v>
      </c>
      <c r="AB55" s="94">
        <f>IF((WAGas09_08!AB53+IDGas12_07!Z53)=0,,(WAGas09_08!AB53+IDGas12_07!Z53))</f>
        <v>0</v>
      </c>
      <c r="AC55" s="94" t="e">
        <f>IF((WAGas09_08!#REF!+IDGas12_07!#REF!)=0,,(WAGas09_08!#REF!+IDGas12_07!#REF!))</f>
        <v>#REF!</v>
      </c>
      <c r="AD55" s="94">
        <f>IF((WAGas09_08!AF53+IDGas12_07!AD53)=0,,(WAGas09_08!AF53+IDGas12_07!AD53))</f>
        <v>0</v>
      </c>
    </row>
    <row r="56" spans="1:30">
      <c r="A56" s="55">
        <v>31</v>
      </c>
      <c r="B56" s="58"/>
      <c r="C56" s="58" t="s">
        <v>80</v>
      </c>
      <c r="D56" s="58"/>
      <c r="E56" s="58"/>
      <c r="F56" s="97">
        <f>IF((WAGas09_08!F56+IDGas12_07!F56)=0,,(WAGas09_08!F56+IDGas12_07!F56))</f>
        <v>19088</v>
      </c>
      <c r="G56" s="100">
        <f>IF((WAGas09_08!G56+IDGas12_07!G56)=0,,(WAGas09_08!G56+IDGas12_07!G56))</f>
        <v>0</v>
      </c>
      <c r="H56" s="100">
        <f>IF((WAGas09_08!H56+IDGas12_07!H56)=0,,(WAGas09_08!H56+IDGas12_07!H56))</f>
        <v>0</v>
      </c>
      <c r="I56" s="100">
        <f>IF((WAGas09_08!I56+IDGas12_07!I56)=0,,(WAGas09_08!I56+IDGas12_07!I56))</f>
        <v>0</v>
      </c>
      <c r="J56" s="100">
        <f>IF((WAGas09_08!J56+IDGas12_07!J56)=0,,(WAGas09_08!J56+IDGas12_07!J56))</f>
        <v>0</v>
      </c>
      <c r="K56" s="100" t="e">
        <f>IF((WAGas09_08!L56+IDGas12_07!#REF!)=0,,(WAGas09_08!L56+IDGas12_07!#REF!))</f>
        <v>#REF!</v>
      </c>
      <c r="L56" s="97">
        <f>IF((WAGas09_08!M56+IDGas12_07!L56)=0,,(WAGas09_08!M56+IDGas12_07!L56))</f>
        <v>19088</v>
      </c>
      <c r="M56" s="100">
        <f>IF((WAGas09_08!N56+IDGas12_07!N56)=0,,(WAGas09_08!N56+IDGas12_07!N56))</f>
        <v>0</v>
      </c>
      <c r="N56" s="100" t="e">
        <f>IF((WAGas09_08!#REF!+IDGas12_07!#REF!)=0,,(WAGas09_08!#REF!+IDGas12_07!#REF!))</f>
        <v>#REF!</v>
      </c>
      <c r="O56" s="100">
        <f>IF((WAGas09_08!O56+IDGas12_07!O56)=0,,(WAGas09_08!O56+IDGas12_07!O56))</f>
        <v>0</v>
      </c>
      <c r="P56" s="100">
        <f>IF((WAGas09_08!P56+IDGas12_07!P56)=0,,(WAGas09_08!P56+IDGas12_07!P56))</f>
        <v>0</v>
      </c>
      <c r="Q56" s="100">
        <f>IF((WAGas09_08!Q56+IDGas12_07!Q56)=0,,(WAGas09_08!Q56+IDGas12_07!Q56))</f>
        <v>0</v>
      </c>
      <c r="R56" s="100">
        <f>IF((WAGas09_08!R56+IDGas12_07!R56)=0,,(WAGas09_08!R56+IDGas12_07!R56))</f>
        <v>0</v>
      </c>
      <c r="S56" s="100">
        <f>IF((WAGas09_08!S56+IDGas12_07!S56)=0,,(WAGas09_08!S56+IDGas12_07!S56))</f>
        <v>0</v>
      </c>
      <c r="T56" s="100">
        <f>IF((WAGas09_08!T56+IDGas12_07!T56)=0,,(WAGas09_08!T56+IDGas12_07!T56))</f>
        <v>0</v>
      </c>
      <c r="U56" s="100">
        <f>IF((WAGas09_08!Z56+IDGas12_07!V56)=0,,(WAGas09_08!Z56+IDGas12_07!V56))</f>
        <v>0</v>
      </c>
      <c r="V56" s="100" t="e">
        <f>IF((WAGas09_08!#REF!+IDGas12_07!#REF!)=0,,(WAGas09_08!#REF!+IDGas12_07!#REF!))</f>
        <v>#REF!</v>
      </c>
      <c r="W56" s="100" t="e">
        <f>IF((WAGas09_08!#REF!+IDGas12_07!#REF!)=0,,(WAGas09_08!#REF!+IDGas12_07!#REF!))</f>
        <v>#REF!</v>
      </c>
      <c r="X56" s="100">
        <f>IF((WAGas09_08!V56+IDGas12_07!U56)=0,,(WAGas09_08!V56+IDGas12_07!U56))</f>
        <v>0</v>
      </c>
      <c r="Y56" s="100">
        <f>IF((WAGas09_08!W56+IDGas12_07!W56)=0,,(WAGas09_08!W56+IDGas12_07!W56))</f>
        <v>0</v>
      </c>
      <c r="Z56" s="100">
        <f>IF((WAGas09_08!AA56+IDGas12_07!X56)=0,,(WAGas09_08!AA56+IDGas12_07!X56))</f>
        <v>0</v>
      </c>
      <c r="AA56" s="100" t="e">
        <f>IF((WAGas09_08!#REF!+IDGas12_07!Y56)=0,,(WAGas09_08!#REF!+IDGas12_07!Y56))</f>
        <v>#REF!</v>
      </c>
      <c r="AB56" s="100">
        <f>IF((WAGas09_08!AB56+IDGas12_07!Z56)=0,,(WAGas09_08!AB56+IDGas12_07!Z56))</f>
        <v>19088</v>
      </c>
      <c r="AC56" s="100" t="e">
        <f>IF((WAGas09_08!#REF!+IDGas12_07!#REF!)=0,,(WAGas09_08!#REF!+IDGas12_07!#REF!))</f>
        <v>#REF!</v>
      </c>
      <c r="AD56" s="100">
        <f>IF((WAGas09_08!AF56+IDGas12_07!AD56)=0,,(WAGas09_08!AF56+IDGas12_07!AD56))</f>
        <v>520</v>
      </c>
    </row>
    <row r="57" spans="1:30">
      <c r="A57" s="55">
        <v>32</v>
      </c>
      <c r="B57" s="58"/>
      <c r="C57" s="58" t="s">
        <v>99</v>
      </c>
      <c r="D57" s="58"/>
      <c r="E57" s="58"/>
      <c r="F57" s="89">
        <f>IF((WAGas09_08!F57+IDGas12_07!F57)=0,,(WAGas09_08!F57+IDGas12_07!F57))</f>
        <v>357934</v>
      </c>
      <c r="G57" s="94">
        <f>IF((WAGas09_08!G57+IDGas12_07!G57)=0,,(WAGas09_08!G57+IDGas12_07!G57))</f>
        <v>0</v>
      </c>
      <c r="H57" s="94">
        <f>IF((WAGas09_08!H57+IDGas12_07!H57)=0,,(WAGas09_08!H57+IDGas12_07!H57))</f>
        <v>0</v>
      </c>
      <c r="I57" s="94">
        <f>IF((WAGas09_08!I57+IDGas12_07!I57)=0,,(WAGas09_08!I57+IDGas12_07!I57))</f>
        <v>0</v>
      </c>
      <c r="J57" s="94">
        <f>IF((WAGas09_08!J57+IDGas12_07!J57)=0,,(WAGas09_08!J57+IDGas12_07!J57))</f>
        <v>0</v>
      </c>
      <c r="K57" s="94" t="e">
        <f>IF((WAGas09_08!L57+IDGas12_07!#REF!)=0,,(WAGas09_08!L57+IDGas12_07!#REF!))</f>
        <v>#REF!</v>
      </c>
      <c r="L57" s="89">
        <f>IF((WAGas09_08!M57+IDGas12_07!L57)=0,,(WAGas09_08!M57+IDGas12_07!L57))</f>
        <v>357882</v>
      </c>
      <c r="M57" s="94">
        <f>IF((WAGas09_08!N57+IDGas12_07!N57)=0,,(WAGas09_08!N57+IDGas12_07!N57))</f>
        <v>0</v>
      </c>
      <c r="N57" s="94" t="e">
        <f>IF((WAGas09_08!#REF!+IDGas12_07!#REF!)=0,,(WAGas09_08!#REF!+IDGas12_07!#REF!))</f>
        <v>#REF!</v>
      </c>
      <c r="O57" s="94">
        <f>IF((WAGas09_08!O57+IDGas12_07!O57)=0,,(WAGas09_08!O57+IDGas12_07!O57))</f>
        <v>0</v>
      </c>
      <c r="P57" s="94">
        <f>IF((WAGas09_08!P57+IDGas12_07!P57)=0,,(WAGas09_08!P57+IDGas12_07!P57))</f>
        <v>0</v>
      </c>
      <c r="Q57" s="94">
        <f>IF((WAGas09_08!Q57+IDGas12_07!Q57)=0,,(WAGas09_08!Q57+IDGas12_07!Q57))</f>
        <v>0</v>
      </c>
      <c r="R57" s="94">
        <f>IF((WAGas09_08!R57+IDGas12_07!R57)=0,,(WAGas09_08!R57+IDGas12_07!R57))</f>
        <v>0</v>
      </c>
      <c r="S57" s="94">
        <f>IF((WAGas09_08!S57+IDGas12_07!S57)=0,,(WAGas09_08!S57+IDGas12_07!S57))</f>
        <v>0</v>
      </c>
      <c r="T57" s="94">
        <f>IF((WAGas09_08!T57+IDGas12_07!T57)=0,,(WAGas09_08!T57+IDGas12_07!T57))</f>
        <v>0</v>
      </c>
      <c r="U57" s="94">
        <f>IF((WAGas09_08!Z57+IDGas12_07!V57)=0,,(WAGas09_08!Z57+IDGas12_07!V57))</f>
        <v>0</v>
      </c>
      <c r="V57" s="94" t="e">
        <f>IF((WAGas09_08!#REF!+IDGas12_07!#REF!)=0,,(WAGas09_08!#REF!+IDGas12_07!#REF!))</f>
        <v>#REF!</v>
      </c>
      <c r="W57" s="94" t="e">
        <f>IF((WAGas09_08!#REF!+IDGas12_07!#REF!)=0,,(WAGas09_08!#REF!+IDGas12_07!#REF!))</f>
        <v>#REF!</v>
      </c>
      <c r="X57" s="94">
        <f>IF((WAGas09_08!V57+IDGas12_07!U57)=0,,(WAGas09_08!V57+IDGas12_07!U57))</f>
        <v>0</v>
      </c>
      <c r="Y57" s="94">
        <f>IF((WAGas09_08!W57+IDGas12_07!W57)=0,,(WAGas09_08!W57+IDGas12_07!W57))</f>
        <v>0</v>
      </c>
      <c r="Z57" s="94">
        <f>IF((WAGas09_08!AA57+IDGas12_07!X57)=0,,(WAGas09_08!AA57+IDGas12_07!X57))</f>
        <v>0</v>
      </c>
      <c r="AA57" s="94" t="e">
        <f>IF((WAGas09_08!#REF!+IDGas12_07!Y57)=0,,(WAGas09_08!#REF!+IDGas12_07!Y57))</f>
        <v>#REF!</v>
      </c>
      <c r="AB57" s="94">
        <f>IF((WAGas09_08!AB57+IDGas12_07!Z57)=0,,(WAGas09_08!AB57+IDGas12_07!Z57))</f>
        <v>357882</v>
      </c>
      <c r="AC57" s="94" t="e">
        <f>IF((WAGas09_08!#REF!+IDGas12_07!#REF!)=0,,(WAGas09_08!#REF!+IDGas12_07!#REF!))</f>
        <v>#REF!</v>
      </c>
      <c r="AD57" s="94">
        <f>IF((WAGas09_08!AF57+IDGas12_07!AD57)=0,,(WAGas09_08!AF57+IDGas12_07!AD57))</f>
        <v>5289</v>
      </c>
    </row>
    <row r="58" spans="1:30">
      <c r="A58" s="55">
        <v>33</v>
      </c>
      <c r="B58" s="58"/>
      <c r="C58" s="58" t="s">
        <v>100</v>
      </c>
      <c r="D58" s="58"/>
      <c r="E58" s="58"/>
      <c r="F58" s="90">
        <f>IF((WAGas09_08!F58+IDGas12_07!F58)=0,,(WAGas09_08!F58+IDGas12_07!F58))</f>
        <v>35011</v>
      </c>
      <c r="G58" s="93">
        <f>IF((WAGas09_08!G58+IDGas12_07!G58)=0,,(WAGas09_08!G58+IDGas12_07!G58))</f>
        <v>0</v>
      </c>
      <c r="H58" s="93">
        <f>IF((WAGas09_08!H58+IDGas12_07!H58)=0,,(WAGas09_08!H58+IDGas12_07!H58))</f>
        <v>0</v>
      </c>
      <c r="I58" s="93">
        <f>IF((WAGas09_08!I58+IDGas12_07!I58)=0,,(WAGas09_08!I58+IDGas12_07!I58))</f>
        <v>0</v>
      </c>
      <c r="J58" s="93">
        <f>IF((WAGas09_08!J58+IDGas12_07!J58)=0,,(WAGas09_08!J58+IDGas12_07!J58))</f>
        <v>0</v>
      </c>
      <c r="K58" s="93" t="e">
        <f>IF((WAGas09_08!L58+IDGas12_07!#REF!)=0,,(WAGas09_08!L58+IDGas12_07!#REF!))</f>
        <v>#REF!</v>
      </c>
      <c r="L58" s="90">
        <f>IF((WAGas09_08!M58+IDGas12_07!L58)=0,,(WAGas09_08!M58+IDGas12_07!L58))</f>
        <v>35011</v>
      </c>
      <c r="M58" s="93">
        <f>IF((WAGas09_08!N58+IDGas12_07!N58)=0,,(WAGas09_08!N58+IDGas12_07!N58))</f>
        <v>0</v>
      </c>
      <c r="N58" s="93" t="e">
        <f>IF((WAGas09_08!#REF!+IDGas12_07!#REF!)=0,,(WAGas09_08!#REF!+IDGas12_07!#REF!))</f>
        <v>#REF!</v>
      </c>
      <c r="O58" s="93">
        <f>IF((WAGas09_08!O58+IDGas12_07!O58)=0,,(WAGas09_08!O58+IDGas12_07!O58))</f>
        <v>0</v>
      </c>
      <c r="P58" s="93">
        <f>IF((WAGas09_08!P58+IDGas12_07!P58)=0,,(WAGas09_08!P58+IDGas12_07!P58))</f>
        <v>0</v>
      </c>
      <c r="Q58" s="93">
        <f>IF((WAGas09_08!Q58+IDGas12_07!Q58)=0,,(WAGas09_08!Q58+IDGas12_07!Q58))</f>
        <v>0</v>
      </c>
      <c r="R58" s="93">
        <f>IF((WAGas09_08!R58+IDGas12_07!R58)=0,,(WAGas09_08!R58+IDGas12_07!R58))</f>
        <v>0</v>
      </c>
      <c r="S58" s="93">
        <f>IF((WAGas09_08!S58+IDGas12_07!S58)=0,,(WAGas09_08!S58+IDGas12_07!S58))</f>
        <v>0</v>
      </c>
      <c r="T58" s="93">
        <f>IF((WAGas09_08!T58+IDGas12_07!T58)=0,,(WAGas09_08!T58+IDGas12_07!T58))</f>
        <v>0</v>
      </c>
      <c r="U58" s="93">
        <f>IF((WAGas09_08!Z58+IDGas12_07!V58)=0,,(WAGas09_08!Z58+IDGas12_07!V58))</f>
        <v>0</v>
      </c>
      <c r="V58" s="93" t="e">
        <f>IF((WAGas09_08!#REF!+IDGas12_07!#REF!)=0,,(WAGas09_08!#REF!+IDGas12_07!#REF!))</f>
        <v>#REF!</v>
      </c>
      <c r="W58" s="93" t="e">
        <f>IF((WAGas09_08!#REF!+IDGas12_07!#REF!)=0,,(WAGas09_08!#REF!+IDGas12_07!#REF!))</f>
        <v>#REF!</v>
      </c>
      <c r="X58" s="93">
        <f>IF((WAGas09_08!V58+IDGas12_07!U58)=0,,(WAGas09_08!V58+IDGas12_07!U58))</f>
        <v>0</v>
      </c>
      <c r="Y58" s="93">
        <f>IF((WAGas09_08!W58+IDGas12_07!W58)=0,,(WAGas09_08!W58+IDGas12_07!W58))</f>
        <v>0</v>
      </c>
      <c r="Z58" s="93">
        <f>IF((WAGas09_08!AA58+IDGas12_07!X58)=0,,(WAGas09_08!AA58+IDGas12_07!X58))</f>
        <v>0</v>
      </c>
      <c r="AA58" s="93" t="e">
        <f>IF((WAGas09_08!#REF!+IDGas12_07!Y58)=0,,(WAGas09_08!#REF!+IDGas12_07!Y58))</f>
        <v>#REF!</v>
      </c>
      <c r="AB58" s="93">
        <f>IF((WAGas09_08!AB58+IDGas12_07!Z58)=0,,(WAGas09_08!AB58+IDGas12_07!Z58))</f>
        <v>35011</v>
      </c>
      <c r="AC58" s="93" t="e">
        <f>IF((WAGas09_08!#REF!+IDGas12_07!#REF!)=0,,(WAGas09_08!#REF!+IDGas12_07!#REF!))</f>
        <v>#REF!</v>
      </c>
      <c r="AD58" s="93">
        <f>IF((WAGas09_08!AF58+IDGas12_07!AD58)=0,,(WAGas09_08!AF58+IDGas12_07!AD58))</f>
        <v>2110</v>
      </c>
    </row>
    <row r="59" spans="1:30">
      <c r="A59" s="55">
        <v>34</v>
      </c>
      <c r="B59" s="58"/>
      <c r="C59" s="58"/>
      <c r="D59" s="58"/>
      <c r="E59" s="58" t="s">
        <v>101</v>
      </c>
      <c r="F59" s="89">
        <f>IF((WAGas09_08!F59+IDGas12_07!F59)=0,,(WAGas09_08!F59+IDGas12_07!F59))</f>
        <v>412033</v>
      </c>
      <c r="G59" s="94">
        <f>IF((WAGas09_08!G59+IDGas12_07!G59)=0,,(WAGas09_08!G59+IDGas12_07!G59))</f>
        <v>0</v>
      </c>
      <c r="H59" s="94">
        <f>IF((WAGas09_08!H59+IDGas12_07!H59)=0,,(WAGas09_08!H59+IDGas12_07!H59))</f>
        <v>0</v>
      </c>
      <c r="I59" s="94">
        <f>IF((WAGas09_08!I59+IDGas12_07!I59)=0,,(WAGas09_08!I59+IDGas12_07!I59))</f>
        <v>0</v>
      </c>
      <c r="J59" s="94">
        <f>IF((WAGas09_08!J59+IDGas12_07!J59)=0,,(WAGas09_08!J59+IDGas12_07!J59))</f>
        <v>0</v>
      </c>
      <c r="K59" s="94" t="e">
        <f>IF((WAGas09_08!L59+IDGas12_07!#REF!)=0,,(WAGas09_08!L59+IDGas12_07!#REF!))</f>
        <v>#REF!</v>
      </c>
      <c r="L59" s="89">
        <f>IF((WAGas09_08!M59+IDGas12_07!L59)=0,,(WAGas09_08!M59+IDGas12_07!L59))</f>
        <v>411981</v>
      </c>
      <c r="M59" s="94">
        <f>IF((WAGas09_08!N59+IDGas12_07!N59)=0,,(WAGas09_08!N59+IDGas12_07!N59))</f>
        <v>0</v>
      </c>
      <c r="N59" s="94" t="e">
        <f>IF((WAGas09_08!#REF!+IDGas12_07!#REF!)=0,,(WAGas09_08!#REF!+IDGas12_07!#REF!))</f>
        <v>#REF!</v>
      </c>
      <c r="O59" s="94">
        <f>IF((WAGas09_08!O59+IDGas12_07!O59)=0,,(WAGas09_08!O59+IDGas12_07!O59))</f>
        <v>0</v>
      </c>
      <c r="P59" s="94">
        <f>IF((WAGas09_08!P59+IDGas12_07!P59)=0,,(WAGas09_08!P59+IDGas12_07!P59))</f>
        <v>0</v>
      </c>
      <c r="Q59" s="94">
        <f>IF((WAGas09_08!Q59+IDGas12_07!Q59)=0,,(WAGas09_08!Q59+IDGas12_07!Q59))</f>
        <v>0</v>
      </c>
      <c r="R59" s="94">
        <f>IF((WAGas09_08!R59+IDGas12_07!R59)=0,,(WAGas09_08!R59+IDGas12_07!R59))</f>
        <v>0</v>
      </c>
      <c r="S59" s="94">
        <f>IF((WAGas09_08!S59+IDGas12_07!S59)=0,,(WAGas09_08!S59+IDGas12_07!S59))</f>
        <v>0</v>
      </c>
      <c r="T59" s="94">
        <f>IF((WAGas09_08!T59+IDGas12_07!T59)=0,,(WAGas09_08!T59+IDGas12_07!T59))</f>
        <v>0</v>
      </c>
      <c r="U59" s="94">
        <f>IF((WAGas09_08!Z59+IDGas12_07!V59)=0,,(WAGas09_08!Z59+IDGas12_07!V59))</f>
        <v>0</v>
      </c>
      <c r="V59" s="94" t="e">
        <f>IF((WAGas09_08!#REF!+IDGas12_07!#REF!)=0,,(WAGas09_08!#REF!+IDGas12_07!#REF!))</f>
        <v>#REF!</v>
      </c>
      <c r="W59" s="94" t="e">
        <f>IF((WAGas09_08!#REF!+IDGas12_07!#REF!)=0,,(WAGas09_08!#REF!+IDGas12_07!#REF!))</f>
        <v>#REF!</v>
      </c>
      <c r="X59" s="94">
        <f>IF((WAGas09_08!V59+IDGas12_07!U59)=0,,(WAGas09_08!V59+IDGas12_07!U59))</f>
        <v>0</v>
      </c>
      <c r="Y59" s="94">
        <f>IF((WAGas09_08!W59+IDGas12_07!W59)=0,,(WAGas09_08!W59+IDGas12_07!W59))</f>
        <v>0</v>
      </c>
      <c r="Z59" s="94">
        <f>IF((WAGas09_08!AA59+IDGas12_07!X59)=0,,(WAGas09_08!AA59+IDGas12_07!X59))</f>
        <v>0</v>
      </c>
      <c r="AA59" s="94" t="e">
        <f>IF((WAGas09_08!#REF!+IDGas12_07!Y59)=0,,(WAGas09_08!#REF!+IDGas12_07!Y59))</f>
        <v>#REF!</v>
      </c>
      <c r="AB59" s="94">
        <f>IF((WAGas09_08!AB59+IDGas12_07!Z59)=0,,(WAGas09_08!AB59+IDGas12_07!Z59))</f>
        <v>411981</v>
      </c>
      <c r="AC59" s="94" t="e">
        <f>IF((WAGas09_08!#REF!+IDGas12_07!#REF!)=0,,(WAGas09_08!#REF!+IDGas12_07!#REF!))</f>
        <v>#REF!</v>
      </c>
      <c r="AD59" s="94">
        <f>IF((WAGas09_08!AF59+IDGas12_07!AD59)=0,,(WAGas09_08!AF59+IDGas12_07!AD59))</f>
        <v>7919</v>
      </c>
    </row>
    <row r="60" spans="1:30">
      <c r="B60" s="58" t="s">
        <v>102</v>
      </c>
      <c r="C60" s="58"/>
      <c r="D60" s="58"/>
      <c r="E60" s="58"/>
      <c r="F60" s="89">
        <f>IF((WAGas09_08!F60+IDGas12_07!F60)=0,,(WAGas09_08!F60+IDGas12_07!F60))</f>
        <v>0</v>
      </c>
      <c r="G60" s="94">
        <f>IF((WAGas09_08!G60+IDGas12_07!G60)=0,,(WAGas09_08!G60+IDGas12_07!G60))</f>
        <v>0</v>
      </c>
      <c r="H60" s="94">
        <f>IF((WAGas09_08!H60+IDGas12_07!H60)=0,,(WAGas09_08!H60+IDGas12_07!H60))</f>
        <v>0</v>
      </c>
      <c r="I60" s="94">
        <f>IF((WAGas09_08!I60+IDGas12_07!I60)=0,,(WAGas09_08!I60+IDGas12_07!I60))</f>
        <v>0</v>
      </c>
      <c r="J60" s="94">
        <f>IF((WAGas09_08!J60+IDGas12_07!J60)=0,,(WAGas09_08!J60+IDGas12_07!J60))</f>
        <v>0</v>
      </c>
      <c r="K60" s="94" t="e">
        <f>IF((WAGas09_08!L60+IDGas12_07!#REF!)=0,,(WAGas09_08!L60+IDGas12_07!#REF!))</f>
        <v>#REF!</v>
      </c>
      <c r="L60" s="89">
        <f>IF((WAGas09_08!M60+IDGas12_07!L60)=0,,(WAGas09_08!M60+IDGas12_07!L60))</f>
        <v>0</v>
      </c>
      <c r="M60" s="94">
        <f>IF((WAGas09_08!N60+IDGas12_07!N60)=0,,(WAGas09_08!N60+IDGas12_07!N60))</f>
        <v>0</v>
      </c>
      <c r="N60" s="94" t="e">
        <f>IF((WAGas09_08!#REF!+IDGas12_07!#REF!)=0,,(WAGas09_08!#REF!+IDGas12_07!#REF!))</f>
        <v>#REF!</v>
      </c>
      <c r="O60" s="94">
        <f>IF((WAGas09_08!O60+IDGas12_07!O60)=0,,(WAGas09_08!O60+IDGas12_07!O60))</f>
        <v>0</v>
      </c>
      <c r="P60" s="94">
        <f>IF((WAGas09_08!P60+IDGas12_07!P60)=0,,(WAGas09_08!P60+IDGas12_07!P60))</f>
        <v>0</v>
      </c>
      <c r="Q60" s="94">
        <f>IF((WAGas09_08!Q60+IDGas12_07!Q60)=0,,(WAGas09_08!Q60+IDGas12_07!Q60))</f>
        <v>0</v>
      </c>
      <c r="R60" s="94">
        <f>IF((WAGas09_08!R60+IDGas12_07!R60)=0,,(WAGas09_08!R60+IDGas12_07!R60))</f>
        <v>0</v>
      </c>
      <c r="S60" s="94">
        <f>IF((WAGas09_08!S60+IDGas12_07!S60)=0,,(WAGas09_08!S60+IDGas12_07!S60))</f>
        <v>0</v>
      </c>
      <c r="T60" s="94">
        <f>IF((WAGas09_08!T60+IDGas12_07!T60)=0,,(WAGas09_08!T60+IDGas12_07!T60))</f>
        <v>0</v>
      </c>
      <c r="U60" s="94">
        <f>IF((WAGas09_08!Z60+IDGas12_07!V60)=0,,(WAGas09_08!Z60+IDGas12_07!V60))</f>
        <v>0</v>
      </c>
      <c r="V60" s="94" t="e">
        <f>IF((WAGas09_08!#REF!+IDGas12_07!#REF!)=0,,(WAGas09_08!#REF!+IDGas12_07!#REF!))</f>
        <v>#REF!</v>
      </c>
      <c r="W60" s="94" t="e">
        <f>IF((WAGas09_08!#REF!+IDGas12_07!#REF!)=0,,(WAGas09_08!#REF!+IDGas12_07!#REF!))</f>
        <v>#REF!</v>
      </c>
      <c r="X60" s="94">
        <f>IF((WAGas09_08!V60+IDGas12_07!U60)=0,,(WAGas09_08!V60+IDGas12_07!U60))</f>
        <v>0</v>
      </c>
      <c r="Y60" s="94">
        <f>IF((WAGas09_08!W60+IDGas12_07!W60)=0,,(WAGas09_08!W60+IDGas12_07!W60))</f>
        <v>0</v>
      </c>
      <c r="Z60" s="94">
        <f>IF((WAGas09_08!AA60+IDGas12_07!X60)=0,,(WAGas09_08!AA60+IDGas12_07!X60))</f>
        <v>0</v>
      </c>
      <c r="AA60" s="94" t="e">
        <f>IF((WAGas09_08!#REF!+IDGas12_07!Y60)=0,,(WAGas09_08!#REF!+IDGas12_07!Y60))</f>
        <v>#REF!</v>
      </c>
      <c r="AB60" s="94">
        <f>IF((WAGas09_08!AB60+IDGas12_07!Z60)=0,,(WAGas09_08!AB60+IDGas12_07!Z60))</f>
        <v>0</v>
      </c>
      <c r="AC60" s="94" t="e">
        <f>IF((WAGas09_08!#REF!+IDGas12_07!#REF!)=0,,(WAGas09_08!#REF!+IDGas12_07!#REF!))</f>
        <v>#REF!</v>
      </c>
      <c r="AD60" s="94">
        <f>IF((WAGas09_08!AF60+IDGas12_07!AD60)=0,,(WAGas09_08!AF60+IDGas12_07!AD60))</f>
        <v>0</v>
      </c>
    </row>
    <row r="61" spans="1:30">
      <c r="A61" s="55">
        <v>35</v>
      </c>
      <c r="B61" s="58"/>
      <c r="C61" s="58" t="s">
        <v>80</v>
      </c>
      <c r="D61" s="58"/>
      <c r="E61" s="58"/>
      <c r="F61" s="89">
        <f>IF((WAGas09_08!F61+IDGas12_07!F61)=0,,(WAGas09_08!F61+IDGas12_07!F61))</f>
        <v>10596</v>
      </c>
      <c r="G61" s="94">
        <f>IF((WAGas09_08!G61+IDGas12_07!G61)=0,,(WAGas09_08!G61+IDGas12_07!G61))</f>
        <v>0</v>
      </c>
      <c r="H61" s="94">
        <f>IF((WAGas09_08!H61+IDGas12_07!H61)=0,,(WAGas09_08!H61+IDGas12_07!H61))</f>
        <v>0</v>
      </c>
      <c r="I61" s="94">
        <f>IF((WAGas09_08!I61+IDGas12_07!I61)=0,,(WAGas09_08!I61+IDGas12_07!I61))</f>
        <v>0</v>
      </c>
      <c r="J61" s="94">
        <f>IF((WAGas09_08!J61+IDGas12_07!J61)=0,,(WAGas09_08!J61+IDGas12_07!J61))</f>
        <v>0</v>
      </c>
      <c r="K61" s="94" t="e">
        <f>IF((WAGas09_08!L61+IDGas12_07!#REF!)=0,,(WAGas09_08!L61+IDGas12_07!#REF!))</f>
        <v>#REF!</v>
      </c>
      <c r="L61" s="89">
        <f>IF((WAGas09_08!M61+IDGas12_07!L61)=0,,(WAGas09_08!M61+IDGas12_07!L61))</f>
        <v>10596</v>
      </c>
      <c r="M61" s="94">
        <f>IF((WAGas09_08!N61+IDGas12_07!N61)=0,,(WAGas09_08!N61+IDGas12_07!N61))</f>
        <v>0</v>
      </c>
      <c r="N61" s="94" t="e">
        <f>IF((WAGas09_08!#REF!+IDGas12_07!#REF!)=0,,(WAGas09_08!#REF!+IDGas12_07!#REF!))</f>
        <v>#REF!</v>
      </c>
      <c r="O61" s="94">
        <f>IF((WAGas09_08!O61+IDGas12_07!O61)=0,,(WAGas09_08!O61+IDGas12_07!O61))</f>
        <v>0</v>
      </c>
      <c r="P61" s="94">
        <f>IF((WAGas09_08!P61+IDGas12_07!P61)=0,,(WAGas09_08!P61+IDGas12_07!P61))</f>
        <v>0</v>
      </c>
      <c r="Q61" s="94">
        <f>IF((WAGas09_08!Q61+IDGas12_07!Q61)=0,,(WAGas09_08!Q61+IDGas12_07!Q61))</f>
        <v>0</v>
      </c>
      <c r="R61" s="94">
        <f>IF((WAGas09_08!R61+IDGas12_07!R61)=0,,(WAGas09_08!R61+IDGas12_07!R61))</f>
        <v>0</v>
      </c>
      <c r="S61" s="94">
        <f>IF((WAGas09_08!S61+IDGas12_07!S61)=0,,(WAGas09_08!S61+IDGas12_07!S61))</f>
        <v>0</v>
      </c>
      <c r="T61" s="94">
        <f>IF((WAGas09_08!T61+IDGas12_07!T61)=0,,(WAGas09_08!T61+IDGas12_07!T61))</f>
        <v>0</v>
      </c>
      <c r="U61" s="94">
        <f>IF((WAGas09_08!Z61+IDGas12_07!V61)=0,,(WAGas09_08!Z61+IDGas12_07!V61))</f>
        <v>0</v>
      </c>
      <c r="V61" s="94" t="e">
        <f>IF((WAGas09_08!#REF!+IDGas12_07!#REF!)=0,,(WAGas09_08!#REF!+IDGas12_07!#REF!))</f>
        <v>#REF!</v>
      </c>
      <c r="W61" s="94" t="e">
        <f>IF((WAGas09_08!#REF!+IDGas12_07!#REF!)=0,,(WAGas09_08!#REF!+IDGas12_07!#REF!))</f>
        <v>#REF!</v>
      </c>
      <c r="X61" s="94">
        <f>IF((WAGas09_08!V61+IDGas12_07!U61)=0,,(WAGas09_08!V61+IDGas12_07!U61))</f>
        <v>0</v>
      </c>
      <c r="Y61" s="94">
        <f>IF((WAGas09_08!W61+IDGas12_07!W61)=0,,(WAGas09_08!W61+IDGas12_07!W61))</f>
        <v>0</v>
      </c>
      <c r="Z61" s="94">
        <f>IF((WAGas09_08!AA61+IDGas12_07!X61)=0,,(WAGas09_08!AA61+IDGas12_07!X61))</f>
        <v>0</v>
      </c>
      <c r="AA61" s="94" t="e">
        <f>IF((WAGas09_08!#REF!+IDGas12_07!Y61)=0,,(WAGas09_08!#REF!+IDGas12_07!Y61))</f>
        <v>#REF!</v>
      </c>
      <c r="AB61" s="94">
        <f>IF((WAGas09_08!AB61+IDGas12_07!Z61)=0,,(WAGas09_08!AB61+IDGas12_07!Z61))</f>
        <v>10596</v>
      </c>
      <c r="AC61" s="94" t="e">
        <f>IF((WAGas09_08!#REF!+IDGas12_07!#REF!)=0,,(WAGas09_08!#REF!+IDGas12_07!#REF!))</f>
        <v>#REF!</v>
      </c>
      <c r="AD61" s="94">
        <f>IF((WAGas09_08!AF61+IDGas12_07!AD61)=0,,(WAGas09_08!AF61+IDGas12_07!AD61))</f>
        <v>246</v>
      </c>
    </row>
    <row r="62" spans="1:30">
      <c r="A62" s="55">
        <v>36</v>
      </c>
      <c r="B62" s="58"/>
      <c r="C62" s="58" t="s">
        <v>99</v>
      </c>
      <c r="D62" s="58"/>
      <c r="E62" s="58"/>
      <c r="F62" s="89">
        <f>IF((WAGas09_08!F62+IDGas12_07!F62)=0,,(WAGas09_08!F62+IDGas12_07!F62))</f>
        <v>120558</v>
      </c>
      <c r="G62" s="94">
        <f>IF((WAGas09_08!G62+IDGas12_07!G62)=0,,(WAGas09_08!G62+IDGas12_07!G62))</f>
        <v>0</v>
      </c>
      <c r="H62" s="94">
        <f>IF((WAGas09_08!H62+IDGas12_07!H62)=0,,(WAGas09_08!H62+IDGas12_07!H62))</f>
        <v>0</v>
      </c>
      <c r="I62" s="94">
        <f>IF((WAGas09_08!I62+IDGas12_07!I62)=0,,(WAGas09_08!I62+IDGas12_07!I62))</f>
        <v>0</v>
      </c>
      <c r="J62" s="94">
        <f>IF((WAGas09_08!J62+IDGas12_07!J62)=0,,(WAGas09_08!J62+IDGas12_07!J62))</f>
        <v>0</v>
      </c>
      <c r="K62" s="94" t="e">
        <f>IF((WAGas09_08!L62+IDGas12_07!#REF!)=0,,(WAGas09_08!L62+IDGas12_07!#REF!))</f>
        <v>#REF!</v>
      </c>
      <c r="L62" s="89">
        <f>IF((WAGas09_08!M62+IDGas12_07!L62)=0,,(WAGas09_08!M62+IDGas12_07!L62))</f>
        <v>120558</v>
      </c>
      <c r="M62" s="94">
        <f>IF((WAGas09_08!N62+IDGas12_07!N62)=0,,(WAGas09_08!N62+IDGas12_07!N62))</f>
        <v>0</v>
      </c>
      <c r="N62" s="94" t="e">
        <f>IF((WAGas09_08!#REF!+IDGas12_07!#REF!)=0,,(WAGas09_08!#REF!+IDGas12_07!#REF!))</f>
        <v>#REF!</v>
      </c>
      <c r="O62" s="94">
        <f>IF((WAGas09_08!O62+IDGas12_07!O62)=0,,(WAGas09_08!O62+IDGas12_07!O62))</f>
        <v>0</v>
      </c>
      <c r="P62" s="94">
        <f>IF((WAGas09_08!P62+IDGas12_07!P62)=0,,(WAGas09_08!P62+IDGas12_07!P62))</f>
        <v>0</v>
      </c>
      <c r="Q62" s="94">
        <f>IF((WAGas09_08!Q62+IDGas12_07!Q62)=0,,(WAGas09_08!Q62+IDGas12_07!Q62))</f>
        <v>0</v>
      </c>
      <c r="R62" s="94">
        <f>IF((WAGas09_08!R62+IDGas12_07!R62)=0,,(WAGas09_08!R62+IDGas12_07!R62))</f>
        <v>0</v>
      </c>
      <c r="S62" s="94">
        <f>IF((WAGas09_08!S62+IDGas12_07!S62)=0,,(WAGas09_08!S62+IDGas12_07!S62))</f>
        <v>0</v>
      </c>
      <c r="T62" s="94">
        <f>IF((WAGas09_08!T62+IDGas12_07!T62)=0,,(WAGas09_08!T62+IDGas12_07!T62))</f>
        <v>0</v>
      </c>
      <c r="U62" s="94">
        <f>IF((WAGas09_08!Z62+IDGas12_07!V62)=0,,(WAGas09_08!Z62+IDGas12_07!V62))</f>
        <v>0</v>
      </c>
      <c r="V62" s="94" t="e">
        <f>IF((WAGas09_08!#REF!+IDGas12_07!#REF!)=0,,(WAGas09_08!#REF!+IDGas12_07!#REF!))</f>
        <v>#REF!</v>
      </c>
      <c r="W62" s="94" t="e">
        <f>IF((WAGas09_08!#REF!+IDGas12_07!#REF!)=0,,(WAGas09_08!#REF!+IDGas12_07!#REF!))</f>
        <v>#REF!</v>
      </c>
      <c r="X62" s="94">
        <f>IF((WAGas09_08!V62+IDGas12_07!U62)=0,,(WAGas09_08!V62+IDGas12_07!U62))</f>
        <v>0</v>
      </c>
      <c r="Y62" s="94">
        <f>IF((WAGas09_08!W62+IDGas12_07!W62)=0,,(WAGas09_08!W62+IDGas12_07!W62))</f>
        <v>0</v>
      </c>
      <c r="Z62" s="94">
        <f>IF((WAGas09_08!AA62+IDGas12_07!X62)=0,,(WAGas09_08!AA62+IDGas12_07!X62))</f>
        <v>0</v>
      </c>
      <c r="AA62" s="94" t="e">
        <f>IF((WAGas09_08!#REF!+IDGas12_07!Y62)=0,,(WAGas09_08!#REF!+IDGas12_07!Y62))</f>
        <v>#REF!</v>
      </c>
      <c r="AB62" s="94">
        <f>IF((WAGas09_08!AB62+IDGas12_07!Z62)=0,,(WAGas09_08!AB62+IDGas12_07!Z62))</f>
        <v>120558</v>
      </c>
      <c r="AC62" s="94" t="e">
        <f>IF((WAGas09_08!#REF!+IDGas12_07!#REF!)=0,,(WAGas09_08!#REF!+IDGas12_07!#REF!))</f>
        <v>#REF!</v>
      </c>
      <c r="AD62" s="94">
        <f>IF((WAGas09_08!AF62+IDGas12_07!AD62)=0,,(WAGas09_08!AF62+IDGas12_07!AD62))</f>
        <v>3900</v>
      </c>
    </row>
    <row r="63" spans="1:30">
      <c r="A63" s="55">
        <v>37</v>
      </c>
      <c r="B63" s="58"/>
      <c r="C63" s="58" t="s">
        <v>100</v>
      </c>
      <c r="D63" s="58"/>
      <c r="E63" s="58"/>
      <c r="F63" s="89">
        <f>IF((WAGas09_08!F63+IDGas12_07!F63)=0,,(WAGas09_08!F63+IDGas12_07!F63))</f>
        <v>11626</v>
      </c>
      <c r="G63" s="94">
        <f>IF((WAGas09_08!G63+IDGas12_07!G63)=0,,(WAGas09_08!G63+IDGas12_07!G63))</f>
        <v>0</v>
      </c>
      <c r="H63" s="94">
        <f>IF((WAGas09_08!H63+IDGas12_07!H63)=0,,(WAGas09_08!H63+IDGas12_07!H63))</f>
        <v>0</v>
      </c>
      <c r="I63" s="94">
        <f>IF((WAGas09_08!I63+IDGas12_07!I63)=0,,(WAGas09_08!I63+IDGas12_07!I63))</f>
        <v>0</v>
      </c>
      <c r="J63" s="94">
        <f>IF((WAGas09_08!J63+IDGas12_07!J63)=0,,(WAGas09_08!J63+IDGas12_07!J63))</f>
        <v>0</v>
      </c>
      <c r="K63" s="94" t="e">
        <f>IF((WAGas09_08!L63+IDGas12_07!#REF!)=0,,(WAGas09_08!L63+IDGas12_07!#REF!))</f>
        <v>#REF!</v>
      </c>
      <c r="L63" s="89">
        <f>IF((WAGas09_08!M63+IDGas12_07!L63)=0,,(WAGas09_08!M63+IDGas12_07!L63))</f>
        <v>11626</v>
      </c>
      <c r="M63" s="94">
        <f>IF((WAGas09_08!N63+IDGas12_07!N63)=0,,(WAGas09_08!N63+IDGas12_07!N63))</f>
        <v>0</v>
      </c>
      <c r="N63" s="94" t="e">
        <f>IF((WAGas09_08!#REF!+IDGas12_07!#REF!)=0,,(WAGas09_08!#REF!+IDGas12_07!#REF!))</f>
        <v>#REF!</v>
      </c>
      <c r="O63" s="94">
        <f>IF((WAGas09_08!O63+IDGas12_07!O63)=0,,(WAGas09_08!O63+IDGas12_07!O63))</f>
        <v>0</v>
      </c>
      <c r="P63" s="94">
        <f>IF((WAGas09_08!P63+IDGas12_07!P63)=0,,(WAGas09_08!P63+IDGas12_07!P63))</f>
        <v>0</v>
      </c>
      <c r="Q63" s="94">
        <f>IF((WAGas09_08!Q63+IDGas12_07!Q63)=0,,(WAGas09_08!Q63+IDGas12_07!Q63))</f>
        <v>0</v>
      </c>
      <c r="R63" s="94">
        <f>IF((WAGas09_08!R63+IDGas12_07!R63)=0,,(WAGas09_08!R63+IDGas12_07!R63))</f>
        <v>0</v>
      </c>
      <c r="S63" s="94">
        <f>IF((WAGas09_08!S63+IDGas12_07!S63)=0,,(WAGas09_08!S63+IDGas12_07!S63))</f>
        <v>0</v>
      </c>
      <c r="T63" s="94">
        <f>IF((WAGas09_08!T63+IDGas12_07!T63)=0,,(WAGas09_08!T63+IDGas12_07!T63))</f>
        <v>0</v>
      </c>
      <c r="U63" s="94">
        <f>IF((WAGas09_08!Z63+IDGas12_07!V63)=0,,(WAGas09_08!Z63+IDGas12_07!V63))</f>
        <v>0</v>
      </c>
      <c r="V63" s="94" t="e">
        <f>IF((WAGas09_08!#REF!+IDGas12_07!#REF!)=0,,(WAGas09_08!#REF!+IDGas12_07!#REF!))</f>
        <v>#REF!</v>
      </c>
      <c r="W63" s="94" t="e">
        <f>IF((WAGas09_08!#REF!+IDGas12_07!#REF!)=0,,(WAGas09_08!#REF!+IDGas12_07!#REF!))</f>
        <v>#REF!</v>
      </c>
      <c r="X63" s="94">
        <f>IF((WAGas09_08!V63+IDGas12_07!U63)=0,,(WAGas09_08!V63+IDGas12_07!U63))</f>
        <v>0</v>
      </c>
      <c r="Y63" s="94">
        <f>IF((WAGas09_08!W63+IDGas12_07!W63)=0,,(WAGas09_08!W63+IDGas12_07!W63))</f>
        <v>0</v>
      </c>
      <c r="Z63" s="94">
        <f>IF((WAGas09_08!AA63+IDGas12_07!X63)=0,,(WAGas09_08!AA63+IDGas12_07!X63))</f>
        <v>0</v>
      </c>
      <c r="AA63" s="94" t="e">
        <f>IF((WAGas09_08!#REF!+IDGas12_07!Y63)=0,,(WAGas09_08!#REF!+IDGas12_07!Y63))</f>
        <v>#REF!</v>
      </c>
      <c r="AB63" s="94">
        <f>IF((WAGas09_08!AB63+IDGas12_07!Z63)=0,,(WAGas09_08!AB63+IDGas12_07!Z63))</f>
        <v>11626</v>
      </c>
      <c r="AC63" s="94" t="e">
        <f>IF((WAGas09_08!#REF!+IDGas12_07!#REF!)=0,,(WAGas09_08!#REF!+IDGas12_07!#REF!))</f>
        <v>#REF!</v>
      </c>
      <c r="AD63" s="94">
        <f>IF((WAGas09_08!AF63+IDGas12_07!AD63)=0,,(WAGas09_08!AF63+IDGas12_07!AD63))</f>
        <v>1239</v>
      </c>
    </row>
    <row r="64" spans="1:30">
      <c r="A64" s="55">
        <v>38</v>
      </c>
      <c r="B64" s="58"/>
      <c r="C64" s="58"/>
      <c r="D64" s="58"/>
      <c r="E64" s="58" t="s">
        <v>103</v>
      </c>
      <c r="F64" s="91">
        <f>IF((WAGas09_08!F64+IDGas12_07!F64)=0,,(WAGas09_08!F64+IDGas12_07!F64))</f>
        <v>142780</v>
      </c>
      <c r="G64" s="96">
        <f>IF((WAGas09_08!G64+IDGas12_07!G64)=0,,(WAGas09_08!G64+IDGas12_07!G64))</f>
        <v>0</v>
      </c>
      <c r="H64" s="96">
        <f>IF((WAGas09_08!H64+IDGas12_07!H64)=0,,(WAGas09_08!H64+IDGas12_07!H64))</f>
        <v>0</v>
      </c>
      <c r="I64" s="96">
        <f>IF((WAGas09_08!I64+IDGas12_07!I64)=0,,(WAGas09_08!I64+IDGas12_07!I64))</f>
        <v>0</v>
      </c>
      <c r="J64" s="96">
        <f>IF((WAGas09_08!J64+IDGas12_07!J64)=0,,(WAGas09_08!J64+IDGas12_07!J64))</f>
        <v>0</v>
      </c>
      <c r="K64" s="96" t="e">
        <f>IF((WAGas09_08!L64+IDGas12_07!#REF!)=0,,(WAGas09_08!L64+IDGas12_07!#REF!))</f>
        <v>#REF!</v>
      </c>
      <c r="L64" s="91">
        <f>IF((WAGas09_08!M64+IDGas12_07!L64)=0,,(WAGas09_08!M64+IDGas12_07!L64))</f>
        <v>142780</v>
      </c>
      <c r="M64" s="96">
        <f>IF((WAGas09_08!N64+IDGas12_07!N64)=0,,(WAGas09_08!N64+IDGas12_07!N64))</f>
        <v>0</v>
      </c>
      <c r="N64" s="96" t="e">
        <f>IF((WAGas09_08!#REF!+IDGas12_07!#REF!)=0,,(WAGas09_08!#REF!+IDGas12_07!#REF!))</f>
        <v>#REF!</v>
      </c>
      <c r="O64" s="96">
        <f>IF((WAGas09_08!O64+IDGas12_07!O64)=0,,(WAGas09_08!O64+IDGas12_07!O64))</f>
        <v>0</v>
      </c>
      <c r="P64" s="96">
        <f>IF((WAGas09_08!P64+IDGas12_07!P64)=0,,(WAGas09_08!P64+IDGas12_07!P64))</f>
        <v>0</v>
      </c>
      <c r="Q64" s="96">
        <f>IF((WAGas09_08!Q64+IDGas12_07!Q64)=0,,(WAGas09_08!Q64+IDGas12_07!Q64))</f>
        <v>0</v>
      </c>
      <c r="R64" s="96">
        <f>IF((WAGas09_08!R64+IDGas12_07!R64)=0,,(WAGas09_08!R64+IDGas12_07!R64))</f>
        <v>0</v>
      </c>
      <c r="S64" s="96">
        <f>IF((WAGas09_08!S64+IDGas12_07!S64)=0,,(WAGas09_08!S64+IDGas12_07!S64))</f>
        <v>0</v>
      </c>
      <c r="T64" s="96">
        <f>IF((WAGas09_08!T64+IDGas12_07!T64)=0,,(WAGas09_08!T64+IDGas12_07!T64))</f>
        <v>0</v>
      </c>
      <c r="U64" s="96">
        <f>IF((WAGas09_08!Z64+IDGas12_07!V64)=0,,(WAGas09_08!Z64+IDGas12_07!V64))</f>
        <v>0</v>
      </c>
      <c r="V64" s="96" t="e">
        <f>IF((WAGas09_08!#REF!+IDGas12_07!#REF!)=0,,(WAGas09_08!#REF!+IDGas12_07!#REF!))</f>
        <v>#REF!</v>
      </c>
      <c r="W64" s="96" t="e">
        <f>IF((WAGas09_08!#REF!+IDGas12_07!#REF!)=0,,(WAGas09_08!#REF!+IDGas12_07!#REF!))</f>
        <v>#REF!</v>
      </c>
      <c r="X64" s="96">
        <f>IF((WAGas09_08!V64+IDGas12_07!U64)=0,,(WAGas09_08!V64+IDGas12_07!U64))</f>
        <v>0</v>
      </c>
      <c r="Y64" s="96">
        <f>IF((WAGas09_08!W64+IDGas12_07!W64)=0,,(WAGas09_08!W64+IDGas12_07!W64))</f>
        <v>0</v>
      </c>
      <c r="Z64" s="96">
        <f>IF((WAGas09_08!AA64+IDGas12_07!X64)=0,,(WAGas09_08!AA64+IDGas12_07!X64))</f>
        <v>0</v>
      </c>
      <c r="AA64" s="96" t="e">
        <f>IF((WAGas09_08!#REF!+IDGas12_07!Y64)=0,,(WAGas09_08!#REF!+IDGas12_07!Y64))</f>
        <v>#REF!</v>
      </c>
      <c r="AB64" s="96">
        <f>IF((WAGas09_08!AB64+IDGas12_07!Z64)=0,,(WAGas09_08!AB64+IDGas12_07!Z64))</f>
        <v>142780</v>
      </c>
      <c r="AC64" s="96" t="e">
        <f>IF((WAGas09_08!#REF!+IDGas12_07!#REF!)=0,,(WAGas09_08!#REF!+IDGas12_07!#REF!))</f>
        <v>#REF!</v>
      </c>
      <c r="AD64" s="96">
        <f>IF((WAGas09_08!AF64+IDGas12_07!AD64)=0,,(WAGas09_08!AF64+IDGas12_07!AD64))</f>
        <v>5385</v>
      </c>
    </row>
    <row r="65" spans="1:30" s="61" customFormat="1" ht="18" customHeight="1">
      <c r="A65" s="59">
        <v>39</v>
      </c>
      <c r="B65" s="60" t="s">
        <v>104</v>
      </c>
      <c r="C65" s="60"/>
      <c r="D65" s="60"/>
      <c r="E65" s="60"/>
      <c r="F65" s="92">
        <f>IF((WAGas09_08!F65+IDGas12_07!F65)=0,,(WAGas09_08!F65+IDGas12_07!F65))</f>
        <v>0</v>
      </c>
      <c r="G65" s="95">
        <f>IF((WAGas09_08!G65+IDGas12_07!G65)=0,,(WAGas09_08!G65+IDGas12_07!G65))</f>
        <v>-41894</v>
      </c>
      <c r="H65" s="95">
        <f>IF((WAGas09_08!H65+IDGas12_07!H65)=0,,(WAGas09_08!H65+IDGas12_07!H65))</f>
        <v>23</v>
      </c>
      <c r="I65" s="95">
        <f>IF((WAGas09_08!I65+IDGas12_07!I65)=0,,(WAGas09_08!I65+IDGas12_07!I65))</f>
        <v>0</v>
      </c>
      <c r="J65" s="95">
        <f>IF((WAGas09_08!J65+IDGas12_07!J65)=0,,(WAGas09_08!J65+IDGas12_07!J65))</f>
        <v>0</v>
      </c>
      <c r="K65" s="95" t="e">
        <f>IF((WAGas09_08!L65+IDGas12_07!#REF!)=0,,(WAGas09_08!L65+IDGas12_07!#REF!))</f>
        <v>#REF!</v>
      </c>
      <c r="L65" s="92">
        <f>IF((WAGas09_08!M65+IDGas12_07!L65)=0,,(WAGas09_08!M65+IDGas12_07!L65))</f>
        <v>-41871</v>
      </c>
      <c r="M65" s="95">
        <f>IF((WAGas09_08!N65+IDGas12_07!N65)=0,,(WAGas09_08!N65+IDGas12_07!N65))</f>
        <v>0</v>
      </c>
      <c r="N65" s="95" t="e">
        <f>IF((WAGas09_08!#REF!+IDGas12_07!#REF!)=0,,(WAGas09_08!#REF!+IDGas12_07!#REF!))</f>
        <v>#REF!</v>
      </c>
      <c r="O65" s="95">
        <f>IF((WAGas09_08!O65+IDGas12_07!O65)=0,,(WAGas09_08!O65+IDGas12_07!O65))</f>
        <v>0</v>
      </c>
      <c r="P65" s="95">
        <f>IF((WAGas09_08!P65+IDGas12_07!P65)=0,,(WAGas09_08!P65+IDGas12_07!P65))</f>
        <v>0</v>
      </c>
      <c r="Q65" s="95">
        <f>IF((WAGas09_08!Q65+IDGas12_07!Q65)=0,,(WAGas09_08!Q65+IDGas12_07!Q65))</f>
        <v>0</v>
      </c>
      <c r="R65" s="95">
        <f>IF((WAGas09_08!R65+IDGas12_07!R65)=0,,(WAGas09_08!R65+IDGas12_07!R65))</f>
        <v>0</v>
      </c>
      <c r="S65" s="95">
        <f>IF((WAGas09_08!S65+IDGas12_07!S65)=0,,(WAGas09_08!S65+IDGas12_07!S65))</f>
        <v>0</v>
      </c>
      <c r="T65" s="95">
        <f>IF((WAGas09_08!T65+IDGas12_07!T65)=0,,(WAGas09_08!T65+IDGas12_07!T65))</f>
        <v>0</v>
      </c>
      <c r="U65" s="95">
        <f>IF((WAGas09_08!Z65+IDGas12_07!V65)=0,,(WAGas09_08!Z65+IDGas12_07!V65))</f>
        <v>0</v>
      </c>
      <c r="V65" s="95" t="e">
        <f>IF((WAGas09_08!#REF!+IDGas12_07!#REF!)=0,,(WAGas09_08!#REF!+IDGas12_07!#REF!))</f>
        <v>#REF!</v>
      </c>
      <c r="W65" s="95" t="e">
        <f>IF((WAGas09_08!#REF!+IDGas12_07!#REF!)=0,,(WAGas09_08!#REF!+IDGas12_07!#REF!))</f>
        <v>#REF!</v>
      </c>
      <c r="X65" s="95">
        <f>IF((WAGas09_08!V65+IDGas12_07!U65)=0,,(WAGas09_08!V65+IDGas12_07!U65))</f>
        <v>0</v>
      </c>
      <c r="Y65" s="95">
        <f>IF((WAGas09_08!W65+IDGas12_07!W65)=0,,(WAGas09_08!W65+IDGas12_07!W65))</f>
        <v>0</v>
      </c>
      <c r="Z65" s="95">
        <f>IF((WAGas09_08!AA65+IDGas12_07!X65)=0,,(WAGas09_08!AA65+IDGas12_07!X65))</f>
        <v>0</v>
      </c>
      <c r="AA65" s="95" t="e">
        <f>IF((WAGas09_08!#REF!+IDGas12_07!Y65)=0,,(WAGas09_08!#REF!+IDGas12_07!Y65))</f>
        <v>#REF!</v>
      </c>
      <c r="AB65" s="95">
        <f>IF((WAGas09_08!AB65+IDGas12_07!Z65)=0,,(WAGas09_08!AB65+IDGas12_07!Z65))</f>
        <v>-41871</v>
      </c>
      <c r="AC65" s="95" t="e">
        <f>IF((WAGas09_08!#REF!+IDGas12_07!#REF!)=0,,(WAGas09_08!#REF!+IDGas12_07!#REF!))</f>
        <v>#REF!</v>
      </c>
      <c r="AD65" s="95">
        <f>IF((WAGas09_08!AF65+IDGas12_07!AD65)=0,,(WAGas09_08!AF65+IDGas12_07!AD65))</f>
        <v>-1300</v>
      </c>
    </row>
    <row r="66" spans="1:30">
      <c r="A66" s="55">
        <v>40</v>
      </c>
      <c r="B66" s="58" t="s">
        <v>105</v>
      </c>
      <c r="C66" s="58"/>
      <c r="D66" s="58"/>
      <c r="E66" s="58"/>
      <c r="F66" s="89">
        <f>IF((WAGas09_08!F66+IDGas12_07!F66)=0,,(WAGas09_08!F66+IDGas12_07!F66))</f>
        <v>0</v>
      </c>
      <c r="G66" s="94">
        <f>IF((WAGas09_08!G66+IDGas12_07!G66)=0,,(WAGas09_08!G66+IDGas12_07!G66))</f>
        <v>0</v>
      </c>
      <c r="H66" s="94">
        <f>IF((WAGas09_08!H66+IDGas12_07!H66)=0,,(WAGas09_08!H66+IDGas12_07!H66))</f>
        <v>0</v>
      </c>
      <c r="I66" s="94">
        <f>IF((WAGas09_08!I66+IDGas12_07!I66)=0,,(WAGas09_08!I66+IDGas12_07!I66))</f>
        <v>11064</v>
      </c>
      <c r="J66" s="94">
        <f>IF((WAGas09_08!J66+IDGas12_07!J66)=0,,(WAGas09_08!J66+IDGas12_07!J66))</f>
        <v>0</v>
      </c>
      <c r="K66" s="94" t="e">
        <f>IF((WAGas09_08!L66+IDGas12_07!#REF!)=0,,(WAGas09_08!L66+IDGas12_07!#REF!))</f>
        <v>#REF!</v>
      </c>
      <c r="L66" s="92">
        <f>IF((WAGas09_08!M66+IDGas12_07!L66)=0,,(WAGas09_08!M66+IDGas12_07!L66))</f>
        <v>11064</v>
      </c>
      <c r="M66" s="94">
        <f>IF((WAGas09_08!N66+IDGas12_07!N66)=0,,(WAGas09_08!N66+IDGas12_07!N66))</f>
        <v>0</v>
      </c>
      <c r="N66" s="94" t="e">
        <f>IF((WAGas09_08!#REF!+IDGas12_07!#REF!)=0,,(WAGas09_08!#REF!+IDGas12_07!#REF!))</f>
        <v>#REF!</v>
      </c>
      <c r="O66" s="94">
        <f>IF((WAGas09_08!O66+IDGas12_07!O66)=0,,(WAGas09_08!O66+IDGas12_07!O66))</f>
        <v>0</v>
      </c>
      <c r="P66" s="94">
        <f>IF((WAGas09_08!P66+IDGas12_07!P66)=0,,(WAGas09_08!P66+IDGas12_07!P66))</f>
        <v>0</v>
      </c>
      <c r="Q66" s="94">
        <f>IF((WAGas09_08!Q66+IDGas12_07!Q66)=0,,(WAGas09_08!Q66+IDGas12_07!Q66))</f>
        <v>0</v>
      </c>
      <c r="R66" s="94">
        <f>IF((WAGas09_08!R66+IDGas12_07!R66)=0,,(WAGas09_08!R66+IDGas12_07!R66))</f>
        <v>0</v>
      </c>
      <c r="S66" s="94">
        <f>IF((WAGas09_08!S66+IDGas12_07!S66)=0,,(WAGas09_08!S66+IDGas12_07!S66))</f>
        <v>0</v>
      </c>
      <c r="T66" s="94">
        <f>IF((WAGas09_08!T66+IDGas12_07!T66)=0,,(WAGas09_08!T66+IDGas12_07!T66))</f>
        <v>0</v>
      </c>
      <c r="U66" s="94">
        <f>IF((WAGas09_08!Z66+IDGas12_07!V66)=0,,(WAGas09_08!Z66+IDGas12_07!V66))</f>
        <v>0</v>
      </c>
      <c r="V66" s="94" t="e">
        <f>IF((WAGas09_08!#REF!+IDGas12_07!#REF!)=0,,(WAGas09_08!#REF!+IDGas12_07!#REF!))</f>
        <v>#REF!</v>
      </c>
      <c r="W66" s="94" t="e">
        <f>IF((WAGas09_08!#REF!+IDGas12_07!#REF!)=0,,(WAGas09_08!#REF!+IDGas12_07!#REF!))</f>
        <v>#REF!</v>
      </c>
      <c r="X66" s="94">
        <f>IF((WAGas09_08!V66+IDGas12_07!U66)=0,,(WAGas09_08!V66+IDGas12_07!U66))</f>
        <v>0</v>
      </c>
      <c r="Y66" s="94">
        <f>IF((WAGas09_08!W66+IDGas12_07!W66)=0,,(WAGas09_08!W66+IDGas12_07!W66))</f>
        <v>0</v>
      </c>
      <c r="Z66" s="94">
        <f>IF((WAGas09_08!AA66+IDGas12_07!X66)=0,,(WAGas09_08!AA66+IDGas12_07!X66))</f>
        <v>0</v>
      </c>
      <c r="AA66" s="94" t="e">
        <f>IF((WAGas09_08!#REF!+IDGas12_07!Y66)=0,,(WAGas09_08!#REF!+IDGas12_07!Y66))</f>
        <v>#REF!</v>
      </c>
      <c r="AB66" s="94">
        <f>IF((WAGas09_08!AB66+IDGas12_07!Z66)=0,,(WAGas09_08!AB66+IDGas12_07!Z66))</f>
        <v>11064</v>
      </c>
      <c r="AC66" s="94" t="e">
        <f>IF((WAGas09_08!#REF!+IDGas12_07!#REF!)=0,,(WAGas09_08!#REF!+IDGas12_07!#REF!))</f>
        <v>#REF!</v>
      </c>
      <c r="AD66" s="94">
        <f>IF((WAGas09_08!AF66+IDGas12_07!AD66)=0,,(WAGas09_08!AF66+IDGas12_07!AD66))</f>
        <v>0</v>
      </c>
    </row>
    <row r="67" spans="1:30">
      <c r="A67" s="55">
        <v>41</v>
      </c>
      <c r="B67" s="58" t="s">
        <v>106</v>
      </c>
      <c r="C67" s="58"/>
      <c r="D67" s="58"/>
      <c r="E67" s="58"/>
      <c r="F67" s="90">
        <f>IF((WAGas09_08!F67+IDGas12_07!F67)=0,,(WAGas09_08!F67+IDGas12_07!F67))</f>
        <v>0</v>
      </c>
      <c r="G67" s="93">
        <f>IF((WAGas09_08!G67+IDGas12_07!G67)=0,,(WAGas09_08!G67+IDGas12_07!G67))</f>
        <v>0</v>
      </c>
      <c r="H67" s="93">
        <f>IF((WAGas09_08!H67+IDGas12_07!H67)=0,,(WAGas09_08!H67+IDGas12_07!H67))</f>
        <v>-65</v>
      </c>
      <c r="I67" s="93">
        <f>IF((WAGas09_08!I67+IDGas12_07!I67)=0,,(WAGas09_08!I67+IDGas12_07!I67))</f>
        <v>0</v>
      </c>
      <c r="J67" s="93">
        <f>IF((WAGas09_08!J67+IDGas12_07!J67)=0,,(WAGas09_08!J67+IDGas12_07!J67))</f>
        <v>0</v>
      </c>
      <c r="K67" s="93" t="e">
        <f>IF((WAGas09_08!L67+IDGas12_07!#REF!)=0,,(WAGas09_08!L67+IDGas12_07!#REF!))</f>
        <v>#REF!</v>
      </c>
      <c r="L67" s="90">
        <f>IF((WAGas09_08!M67+IDGas12_07!L67)=0,,(WAGas09_08!M67+IDGas12_07!L67))</f>
        <v>-65</v>
      </c>
      <c r="M67" s="93">
        <f>IF((WAGas09_08!N67+IDGas12_07!N67)=0,,(WAGas09_08!N67+IDGas12_07!N67))</f>
        <v>0</v>
      </c>
      <c r="N67" s="93" t="e">
        <f>IF((WAGas09_08!#REF!+IDGas12_07!#REF!)=0,,(WAGas09_08!#REF!+IDGas12_07!#REF!))</f>
        <v>#REF!</v>
      </c>
      <c r="O67" s="93">
        <f>IF((WAGas09_08!O67+IDGas12_07!O67)=0,,(WAGas09_08!O67+IDGas12_07!O67))</f>
        <v>0</v>
      </c>
      <c r="P67" s="93">
        <f>IF((WAGas09_08!P67+IDGas12_07!P67)=0,,(WAGas09_08!P67+IDGas12_07!P67))</f>
        <v>0</v>
      </c>
      <c r="Q67" s="93">
        <f>IF((WAGas09_08!Q67+IDGas12_07!Q67)=0,,(WAGas09_08!Q67+IDGas12_07!Q67))</f>
        <v>0</v>
      </c>
      <c r="R67" s="93">
        <f>IF((WAGas09_08!R67+IDGas12_07!R67)=0,,(WAGas09_08!R67+IDGas12_07!R67))</f>
        <v>0</v>
      </c>
      <c r="S67" s="93">
        <f>IF((WAGas09_08!S67+IDGas12_07!S67)=0,,(WAGas09_08!S67+IDGas12_07!S67))</f>
        <v>0</v>
      </c>
      <c r="T67" s="93">
        <f>IF((WAGas09_08!T67+IDGas12_07!T67)=0,,(WAGas09_08!T67+IDGas12_07!T67))</f>
        <v>0</v>
      </c>
      <c r="U67" s="93">
        <f>IF((WAGas09_08!Z67+IDGas12_07!V67)=0,,(WAGas09_08!Z67+IDGas12_07!V67))</f>
        <v>0</v>
      </c>
      <c r="V67" s="93" t="e">
        <f>IF((WAGas09_08!#REF!+IDGas12_07!#REF!)=0,,(WAGas09_08!#REF!+IDGas12_07!#REF!))</f>
        <v>#REF!</v>
      </c>
      <c r="W67" s="93" t="e">
        <f>IF((WAGas09_08!#REF!+IDGas12_07!#REF!)=0,,(WAGas09_08!#REF!+IDGas12_07!#REF!))</f>
        <v>#REF!</v>
      </c>
      <c r="X67" s="93">
        <f>IF((WAGas09_08!V67+IDGas12_07!U67)=0,,(WAGas09_08!V67+IDGas12_07!U67))</f>
        <v>0</v>
      </c>
      <c r="Y67" s="93">
        <f>IF((WAGas09_08!W67+IDGas12_07!W67)=0,,(WAGas09_08!W67+IDGas12_07!W67))</f>
        <v>0</v>
      </c>
      <c r="Z67" s="93">
        <f>IF((WAGas09_08!AA67+IDGas12_07!X67)=0,,(WAGas09_08!AA67+IDGas12_07!X67))</f>
        <v>0</v>
      </c>
      <c r="AA67" s="93" t="e">
        <f>IF((WAGas09_08!#REF!+IDGas12_07!Y67)=0,,(WAGas09_08!#REF!+IDGas12_07!Y67))</f>
        <v>#REF!</v>
      </c>
      <c r="AB67" s="93">
        <f>IF((WAGas09_08!AB67+IDGas12_07!Z67)=0,,(WAGas09_08!AB67+IDGas12_07!Z67))</f>
        <v>-65</v>
      </c>
      <c r="AC67" s="93" t="e">
        <f>IF((WAGas09_08!#REF!+IDGas12_07!#REF!)=0,,(WAGas09_08!#REF!+IDGas12_07!#REF!))</f>
        <v>#REF!</v>
      </c>
      <c r="AD67" s="93">
        <f>IF((WAGas09_08!AF67+IDGas12_07!AD67)=0,,(WAGas09_08!AF67+IDGas12_07!AD67))</f>
        <v>0</v>
      </c>
    </row>
    <row r="68" spans="1:30">
      <c r="F68" s="89">
        <f>IF((WAGas09_08!F68+IDGas12_07!F68)=0,,(WAGas09_08!F68+IDGas12_07!F68))</f>
        <v>0</v>
      </c>
      <c r="G68" s="94">
        <f>IF((WAGas09_08!G68+IDGas12_07!G68)=0,,(WAGas09_08!G68+IDGas12_07!G68))</f>
        <v>0</v>
      </c>
      <c r="H68" s="94">
        <f>IF((WAGas09_08!H68+IDGas12_07!H68)=0,,(WAGas09_08!H68+IDGas12_07!H68))</f>
        <v>0</v>
      </c>
      <c r="I68" s="94">
        <f>IF((WAGas09_08!I68+IDGas12_07!I68)=0,,(WAGas09_08!I68+IDGas12_07!I68))</f>
        <v>0</v>
      </c>
      <c r="J68" s="94">
        <f>IF((WAGas09_08!J68+IDGas12_07!J68)=0,,(WAGas09_08!J68+IDGas12_07!J68))</f>
        <v>0</v>
      </c>
      <c r="K68" s="94" t="e">
        <f>IF((WAGas09_08!L68+IDGas12_07!#REF!)=0,,(WAGas09_08!L68+IDGas12_07!#REF!))</f>
        <v>#REF!</v>
      </c>
      <c r="L68" s="89">
        <f>IF((WAGas09_08!M68+IDGas12_07!L68)=0,,(WAGas09_08!M68+IDGas12_07!L68))</f>
        <v>0</v>
      </c>
      <c r="M68" s="94">
        <f>IF((WAGas09_08!N68+IDGas12_07!N68)=0,,(WAGas09_08!N68+IDGas12_07!N68))</f>
        <v>0</v>
      </c>
      <c r="N68" s="94" t="e">
        <f>IF((WAGas09_08!#REF!+IDGas12_07!#REF!)=0,,(WAGas09_08!#REF!+IDGas12_07!#REF!))</f>
        <v>#REF!</v>
      </c>
      <c r="O68" s="94">
        <f>IF((WAGas09_08!O68+IDGas12_07!O68)=0,,(WAGas09_08!O68+IDGas12_07!O68))</f>
        <v>0</v>
      </c>
      <c r="P68" s="94">
        <f>IF((WAGas09_08!P68+IDGas12_07!P68)=0,,(WAGas09_08!P68+IDGas12_07!P68))</f>
        <v>0</v>
      </c>
      <c r="Q68" s="94">
        <f>IF((WAGas09_08!Q68+IDGas12_07!Q68)=0,,(WAGas09_08!Q68+IDGas12_07!Q68))</f>
        <v>0</v>
      </c>
      <c r="R68" s="94">
        <f>IF((WAGas09_08!R68+IDGas12_07!R68)=0,,(WAGas09_08!R68+IDGas12_07!R68))</f>
        <v>0</v>
      </c>
      <c r="S68" s="94">
        <f>IF((WAGas09_08!S68+IDGas12_07!S68)=0,,(WAGas09_08!S68+IDGas12_07!S68))</f>
        <v>0</v>
      </c>
      <c r="T68" s="94">
        <f>IF((WAGas09_08!T68+IDGas12_07!T68)=0,,(WAGas09_08!T68+IDGas12_07!T68))</f>
        <v>0</v>
      </c>
      <c r="U68" s="94">
        <f>IF((WAGas09_08!Z68+IDGas12_07!V68)=0,,(WAGas09_08!Z68+IDGas12_07!V68))</f>
        <v>0</v>
      </c>
      <c r="V68" s="94" t="e">
        <f>IF((WAGas09_08!#REF!+IDGas12_07!#REF!)=0,,(WAGas09_08!#REF!+IDGas12_07!#REF!))</f>
        <v>#REF!</v>
      </c>
      <c r="W68" s="94" t="e">
        <f>IF((WAGas09_08!#REF!+IDGas12_07!#REF!)=0,,(WAGas09_08!#REF!+IDGas12_07!#REF!))</f>
        <v>#REF!</v>
      </c>
      <c r="X68" s="94">
        <f>IF((WAGas09_08!V68+IDGas12_07!U68)=0,,(WAGas09_08!V68+IDGas12_07!U68))</f>
        <v>0</v>
      </c>
      <c r="Y68" s="94">
        <f>IF((WAGas09_08!W68+IDGas12_07!W68)=0,,(WAGas09_08!W68+IDGas12_07!W68))</f>
        <v>0</v>
      </c>
      <c r="Z68" s="94">
        <f>IF((WAGas09_08!AA68+IDGas12_07!X68)=0,,(WAGas09_08!AA68+IDGas12_07!X68))</f>
        <v>0</v>
      </c>
      <c r="AA68" s="94" t="e">
        <f>IF((WAGas09_08!#REF!+IDGas12_07!Y68)=0,,(WAGas09_08!#REF!+IDGas12_07!Y68))</f>
        <v>#REF!</v>
      </c>
      <c r="AB68" s="94">
        <f>IF((WAGas09_08!AB68+IDGas12_07!Z68)=0,,(WAGas09_08!AB68+IDGas12_07!Z68))</f>
        <v>0</v>
      </c>
      <c r="AC68" s="94" t="e">
        <f>IF((WAGas09_08!#REF!+IDGas12_07!#REF!)=0,,(WAGas09_08!#REF!+IDGas12_07!#REF!))</f>
        <v>#REF!</v>
      </c>
      <c r="AD68" s="94">
        <f>IF((WAGas09_08!AF68+IDGas12_07!AD68)=0,,(WAGas09_08!AF68+IDGas12_07!AD68))</f>
        <v>0</v>
      </c>
    </row>
    <row r="69" spans="1:30" s="57" customFormat="1" ht="12.75" thickBot="1">
      <c r="A69" s="55">
        <v>42</v>
      </c>
      <c r="B69" s="57" t="s">
        <v>107</v>
      </c>
      <c r="F69" s="98">
        <f>IF((WAGas09_08!F69+IDGas12_07!F69)=0,,(WAGas09_08!F69+IDGas12_07!F69))</f>
        <v>269253</v>
      </c>
      <c r="G69" s="99">
        <f>IF((WAGas09_08!G69+IDGas12_07!G69)=0,,(WAGas09_08!G69+IDGas12_07!G69))</f>
        <v>-41894</v>
      </c>
      <c r="H69" s="99">
        <f>IF((WAGas09_08!H69+IDGas12_07!H69)=0,,(WAGas09_08!H69+IDGas12_07!H69))</f>
        <v>-42</v>
      </c>
      <c r="I69" s="99">
        <f>IF((WAGas09_08!I69+IDGas12_07!I69)=0,,(WAGas09_08!I69+IDGas12_07!I69))</f>
        <v>11064</v>
      </c>
      <c r="J69" s="99">
        <f>IF((WAGas09_08!J69+IDGas12_07!J69)=0,,(WAGas09_08!J69+IDGas12_07!J69))</f>
        <v>0</v>
      </c>
      <c r="K69" s="99" t="e">
        <f>IF((WAGas09_08!L69+IDGas12_07!#REF!)=0,,(WAGas09_08!L69+IDGas12_07!#REF!))</f>
        <v>#REF!</v>
      </c>
      <c r="L69" s="98">
        <f>IF((WAGas09_08!M69+IDGas12_07!L69)=0,,(WAGas09_08!M69+IDGas12_07!L69))</f>
        <v>238329</v>
      </c>
      <c r="M69" s="99">
        <f>IF((WAGas09_08!N69+IDGas12_07!N69)=0,,(WAGas09_08!N69+IDGas12_07!N69))</f>
        <v>0</v>
      </c>
      <c r="N69" s="99" t="e">
        <f>IF((WAGas09_08!#REF!+IDGas12_07!#REF!)=0,,(WAGas09_08!#REF!+IDGas12_07!#REF!))</f>
        <v>#REF!</v>
      </c>
      <c r="O69" s="99">
        <f>IF((WAGas09_08!O69+IDGas12_07!O69)=0,,(WAGas09_08!O69+IDGas12_07!O69))</f>
        <v>0</v>
      </c>
      <c r="P69" s="99">
        <f>IF((WAGas09_08!P69+IDGas12_07!P69)=0,,(WAGas09_08!P69+IDGas12_07!P69))</f>
        <v>0</v>
      </c>
      <c r="Q69" s="99">
        <f>IF((WAGas09_08!Q69+IDGas12_07!Q69)=0,,(WAGas09_08!Q69+IDGas12_07!Q69))</f>
        <v>0</v>
      </c>
      <c r="R69" s="99">
        <f>IF((WAGas09_08!R69+IDGas12_07!R69)=0,,(WAGas09_08!R69+IDGas12_07!R69))</f>
        <v>0</v>
      </c>
      <c r="S69" s="99">
        <f>IF((WAGas09_08!S69+IDGas12_07!S69)=0,,(WAGas09_08!S69+IDGas12_07!S69))</f>
        <v>0</v>
      </c>
      <c r="T69" s="99">
        <f>IF((WAGas09_08!T69+IDGas12_07!T69)=0,,(WAGas09_08!T69+IDGas12_07!T69))</f>
        <v>0</v>
      </c>
      <c r="U69" s="99">
        <f>IF((WAGas09_08!Z69+IDGas12_07!V69)=0,,(WAGas09_08!Z69+IDGas12_07!V69))</f>
        <v>0</v>
      </c>
      <c r="V69" s="99" t="e">
        <f>IF((WAGas09_08!#REF!+IDGas12_07!#REF!)=0,,(WAGas09_08!#REF!+IDGas12_07!#REF!))</f>
        <v>#REF!</v>
      </c>
      <c r="W69" s="99" t="e">
        <f>IF((WAGas09_08!#REF!+IDGas12_07!#REF!)=0,,(WAGas09_08!#REF!+IDGas12_07!#REF!))</f>
        <v>#REF!</v>
      </c>
      <c r="X69" s="99">
        <f>IF((WAGas09_08!V69+IDGas12_07!U69)=0,,(WAGas09_08!V69+IDGas12_07!U69))</f>
        <v>0</v>
      </c>
      <c r="Y69" s="99">
        <f>IF((WAGas09_08!W69+IDGas12_07!W69)=0,,(WAGas09_08!W69+IDGas12_07!W69))</f>
        <v>0</v>
      </c>
      <c r="Z69" s="99">
        <f>IF((WAGas09_08!AA69+IDGas12_07!X69)=0,,(WAGas09_08!AA69+IDGas12_07!X69))</f>
        <v>0</v>
      </c>
      <c r="AA69" s="99" t="e">
        <f>IF((WAGas09_08!#REF!+IDGas12_07!Y69)=0,,(WAGas09_08!#REF!+IDGas12_07!Y69))</f>
        <v>#REF!</v>
      </c>
      <c r="AB69" s="99">
        <f>IF((WAGas09_08!AB69+IDGas12_07!Z69)=0,,(WAGas09_08!AB69+IDGas12_07!Z69))</f>
        <v>238329</v>
      </c>
      <c r="AC69" s="99" t="e">
        <f>IF((WAGas09_08!#REF!+IDGas12_07!#REF!)=0,,(WAGas09_08!#REF!+IDGas12_07!#REF!))</f>
        <v>#REF!</v>
      </c>
      <c r="AD69" s="99">
        <f>IF((WAGas09_08!AF69+IDGas12_07!AD69)=0,,(WAGas09_08!AF69+IDGas12_07!AD69))</f>
        <v>1234</v>
      </c>
    </row>
    <row r="70" spans="1:30" ht="18" customHeight="1" thickTop="1">
      <c r="A70" s="55">
        <v>43</v>
      </c>
      <c r="B70" s="26" t="s">
        <v>108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>
      <c r="F71" s="62">
        <f>ROUND(F52/F69,4)</f>
        <v>6.6100000000000006E-2</v>
      </c>
      <c r="L71" s="62">
        <f>ROUND(L52/L69,4)</f>
        <v>7.4999999999999997E-2</v>
      </c>
      <c r="AB71" s="62"/>
      <c r="AD71" s="62">
        <f>ROUND(AD52/AD69,4)</f>
        <v>0.2382</v>
      </c>
    </row>
    <row r="73" spans="1:30">
      <c r="F73" s="27">
        <f>F16-F44-F48-F49-F50</f>
        <v>17810</v>
      </c>
      <c r="G73" s="27">
        <f t="shared" ref="G73:AD73" si="0">G16-G44-G48-G49-G50</f>
        <v>0</v>
      </c>
      <c r="H73" s="27">
        <f t="shared" si="0"/>
        <v>0</v>
      </c>
      <c r="I73" s="27">
        <f t="shared" si="0"/>
        <v>0</v>
      </c>
      <c r="J73" s="27">
        <f t="shared" si="0"/>
        <v>0</v>
      </c>
      <c r="K73" s="27" t="e">
        <f t="shared" si="0"/>
        <v>#REF!</v>
      </c>
      <c r="L73" s="27">
        <f t="shared" si="0"/>
        <v>17864</v>
      </c>
      <c r="M73" s="27">
        <f t="shared" si="0"/>
        <v>3648</v>
      </c>
      <c r="N73" s="27" t="e">
        <f t="shared" si="0"/>
        <v>#REF!</v>
      </c>
      <c r="O73" s="27">
        <f t="shared" si="0"/>
        <v>-4</v>
      </c>
      <c r="P73" s="27">
        <f t="shared" si="0"/>
        <v>193</v>
      </c>
      <c r="Q73" s="27">
        <f t="shared" si="0"/>
        <v>93</v>
      </c>
      <c r="R73" s="27">
        <f t="shared" si="0"/>
        <v>-9</v>
      </c>
      <c r="S73" s="27">
        <f t="shared" si="0"/>
        <v>42</v>
      </c>
      <c r="T73" s="27">
        <f t="shared" si="0"/>
        <v>0</v>
      </c>
      <c r="U73" s="27">
        <f t="shared" si="0"/>
        <v>30.703014999999908</v>
      </c>
      <c r="V73" s="27" t="e">
        <f t="shared" si="0"/>
        <v>#REF!</v>
      </c>
      <c r="W73" s="27" t="e">
        <f t="shared" si="0"/>
        <v>#REF!</v>
      </c>
      <c r="X73" s="27">
        <f t="shared" si="0"/>
        <v>55</v>
      </c>
      <c r="Y73" s="27">
        <f t="shared" si="0"/>
        <v>1</v>
      </c>
      <c r="Z73" s="27">
        <f t="shared" si="0"/>
        <v>0</v>
      </c>
      <c r="AA73" s="27" t="e">
        <f t="shared" si="0"/>
        <v>#REF!</v>
      </c>
      <c r="AB73" s="27">
        <f t="shared" si="0"/>
        <v>21926.703014999999</v>
      </c>
      <c r="AC73" s="27" t="e">
        <f t="shared" si="0"/>
        <v>#REF!</v>
      </c>
      <c r="AD73" s="27">
        <f t="shared" si="0"/>
        <v>294</v>
      </c>
    </row>
    <row r="74" spans="1:30">
      <c r="F74" s="27">
        <f>F59-F64+F65+F66+F67</f>
        <v>269253</v>
      </c>
      <c r="G74" s="27">
        <f t="shared" ref="G74:AD74" si="1">G59-G64+G65+G66+G67</f>
        <v>-41894</v>
      </c>
      <c r="H74" s="27">
        <f t="shared" si="1"/>
        <v>-42</v>
      </c>
      <c r="I74" s="27">
        <f t="shared" si="1"/>
        <v>11064</v>
      </c>
      <c r="J74" s="27">
        <f t="shared" si="1"/>
        <v>0</v>
      </c>
      <c r="K74" s="27" t="e">
        <f t="shared" si="1"/>
        <v>#REF!</v>
      </c>
      <c r="L74" s="27">
        <f t="shared" si="1"/>
        <v>238329</v>
      </c>
      <c r="M74" s="27">
        <f t="shared" si="1"/>
        <v>0</v>
      </c>
      <c r="N74" s="27" t="e">
        <f t="shared" si="1"/>
        <v>#REF!</v>
      </c>
      <c r="O74" s="27">
        <f t="shared" si="1"/>
        <v>0</v>
      </c>
      <c r="P74" s="27">
        <f t="shared" si="1"/>
        <v>0</v>
      </c>
      <c r="Q74" s="27">
        <f t="shared" si="1"/>
        <v>0</v>
      </c>
      <c r="R74" s="27">
        <f t="shared" si="1"/>
        <v>0</v>
      </c>
      <c r="S74" s="27">
        <f t="shared" si="1"/>
        <v>0</v>
      </c>
      <c r="T74" s="27">
        <f t="shared" si="1"/>
        <v>0</v>
      </c>
      <c r="U74" s="27">
        <f t="shared" si="1"/>
        <v>0</v>
      </c>
      <c r="V74" s="27" t="e">
        <f t="shared" si="1"/>
        <v>#REF!</v>
      </c>
      <c r="W74" s="27" t="e">
        <f t="shared" si="1"/>
        <v>#REF!</v>
      </c>
      <c r="X74" s="27">
        <f t="shared" si="1"/>
        <v>0</v>
      </c>
      <c r="Y74" s="27">
        <f t="shared" si="1"/>
        <v>0</v>
      </c>
      <c r="Z74" s="27">
        <f t="shared" si="1"/>
        <v>0</v>
      </c>
      <c r="AA74" s="27" t="e">
        <f t="shared" si="1"/>
        <v>#REF!</v>
      </c>
      <c r="AB74" s="27">
        <f t="shared" si="1"/>
        <v>238329</v>
      </c>
      <c r="AC74" s="27" t="e">
        <f t="shared" si="1"/>
        <v>#REF!</v>
      </c>
      <c r="AD74" s="27">
        <f t="shared" si="1"/>
        <v>1234</v>
      </c>
    </row>
  </sheetData>
  <customSheetViews>
    <customSheetView guid="{5BE913A1-B14F-11D2-B0DC-0000832CDFF0}" scale="75" showPageBreaks="1" showGridLines="0" printArea="1" showRuler="0">
      <pageMargins left="1" right="0.75" top="0.75" bottom="0.5" header="0.5" footer="0.5"/>
      <pageSetup scale="80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showRuler="0">
      <pageMargins left="1" right="0.75" top="0.75" bottom="0.5" header="0.5" footer="0.5"/>
      <pageSetup scale="80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1" right="0.75" top="0.75" bottom="0.5" header="0.5" footer="0.5"/>
  <pageSetup scale="80" orientation="portrait" horizontalDpi="300" verticalDpi="300" r:id="rId3"/>
  <headerFooter alignWithMargins="0">
    <oddHeader>&amp;L&amp;"Times,Regular"&amp;9KM  File: &amp;F&amp;R&amp;"Times,Regular"&amp;9Page &amp;P of &amp;N  &amp;D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J72"/>
  <sheetViews>
    <sheetView workbookViewId="0">
      <selection activeCell="F3" sqref="F3"/>
    </sheetView>
  </sheetViews>
  <sheetFormatPr defaultRowHeight="12.75"/>
  <cols>
    <col min="1" max="1" width="4.7109375" style="908" customWidth="1"/>
    <col min="2" max="3" width="1.7109375" style="905" customWidth="1"/>
    <col min="4" max="4" width="2.7109375" style="905" customWidth="1"/>
    <col min="5" max="5" width="22.5703125" style="203" customWidth="1"/>
    <col min="6" max="9" width="11.7109375" style="203" customWidth="1"/>
    <col min="10" max="10" width="11.7109375" style="191" customWidth="1"/>
    <col min="11" max="11" width="9.140625" style="191"/>
    <col min="12" max="12" width="11.5703125" style="191" customWidth="1"/>
    <col min="13" max="16384" width="9.140625" style="191"/>
  </cols>
  <sheetData>
    <row r="1" spans="1:10">
      <c r="A1" s="907" t="s">
        <v>197</v>
      </c>
      <c r="D1" s="908"/>
    </row>
    <row r="2" spans="1:10">
      <c r="A2" s="907" t="s">
        <v>0</v>
      </c>
      <c r="D2" s="908"/>
    </row>
    <row r="3" spans="1:10">
      <c r="A3" s="907" t="s">
        <v>492</v>
      </c>
      <c r="D3" s="908"/>
    </row>
    <row r="4" spans="1:10">
      <c r="A4" s="907" t="str">
        <f>Inputs!D2</f>
        <v>TWELVE MONTHS ENDED SEPTEMBER 30, 2008</v>
      </c>
      <c r="D4" s="908"/>
    </row>
    <row r="5" spans="1:10">
      <c r="A5" s="907" t="s">
        <v>2</v>
      </c>
      <c r="D5" s="908"/>
    </row>
    <row r="6" spans="1:10">
      <c r="A6" s="909"/>
      <c r="B6" s="909"/>
      <c r="C6" s="910"/>
      <c r="D6" s="910"/>
      <c r="E6" s="909"/>
      <c r="F6" s="911" t="s">
        <v>394</v>
      </c>
      <c r="G6" s="912"/>
      <c r="H6" s="913"/>
      <c r="I6" s="913" t="s">
        <v>395</v>
      </c>
      <c r="J6" s="913"/>
    </row>
    <row r="7" spans="1:10">
      <c r="A7" s="914"/>
      <c r="B7" s="915"/>
      <c r="C7" s="916"/>
      <c r="D7" s="917"/>
      <c r="E7" s="918"/>
      <c r="F7" s="212" t="s">
        <v>396</v>
      </c>
      <c r="G7" s="212"/>
      <c r="H7" s="212"/>
      <c r="I7" s="212" t="s">
        <v>397</v>
      </c>
      <c r="J7" s="212" t="s">
        <v>26</v>
      </c>
    </row>
    <row r="8" spans="1:10">
      <c r="A8" s="919" t="s">
        <v>10</v>
      </c>
      <c r="B8" s="920"/>
      <c r="C8" s="921"/>
      <c r="D8" s="922"/>
      <c r="E8" s="923"/>
      <c r="F8" s="217" t="s">
        <v>11</v>
      </c>
      <c r="G8" s="217" t="s">
        <v>44</v>
      </c>
      <c r="H8" s="217" t="s">
        <v>26</v>
      </c>
      <c r="I8" s="217" t="s">
        <v>398</v>
      </c>
      <c r="J8" s="217" t="s">
        <v>397</v>
      </c>
    </row>
    <row r="9" spans="1:10">
      <c r="A9" s="924" t="s">
        <v>27</v>
      </c>
      <c r="B9" s="925"/>
      <c r="C9" s="926"/>
      <c r="D9" s="927"/>
      <c r="E9" s="928" t="s">
        <v>28</v>
      </c>
      <c r="F9" s="222" t="s">
        <v>29</v>
      </c>
      <c r="G9" s="222" t="s">
        <v>259</v>
      </c>
      <c r="H9" s="222" t="s">
        <v>44</v>
      </c>
      <c r="I9" s="222" t="s">
        <v>399</v>
      </c>
      <c r="J9" s="222" t="s">
        <v>44</v>
      </c>
    </row>
    <row r="10" spans="1:10">
      <c r="A10" s="929"/>
      <c r="B10" s="929"/>
      <c r="C10" s="930"/>
      <c r="D10" s="930"/>
      <c r="E10" s="930" t="s">
        <v>45</v>
      </c>
      <c r="F10" s="226" t="s">
        <v>46</v>
      </c>
      <c r="G10" s="226" t="s">
        <v>47</v>
      </c>
      <c r="H10" s="226" t="s">
        <v>48</v>
      </c>
      <c r="I10" s="226" t="s">
        <v>49</v>
      </c>
      <c r="J10" s="226" t="s">
        <v>50</v>
      </c>
    </row>
    <row r="11" spans="1:10">
      <c r="A11" s="18"/>
      <c r="B11" s="2" t="s">
        <v>68</v>
      </c>
      <c r="C11" s="2"/>
      <c r="D11" s="2"/>
      <c r="E11" s="2"/>
      <c r="F11" s="809"/>
      <c r="G11" s="809"/>
      <c r="J11" s="203"/>
    </row>
    <row r="12" spans="1:10">
      <c r="A12" s="18">
        <v>1</v>
      </c>
      <c r="B12" s="19"/>
      <c r="C12" s="19" t="s">
        <v>69</v>
      </c>
      <c r="D12" s="19"/>
      <c r="E12" s="19"/>
      <c r="F12" s="827">
        <f>IDGas12_07!F13</f>
        <v>88848</v>
      </c>
      <c r="G12" s="827">
        <f>H12-F12</f>
        <v>0</v>
      </c>
      <c r="H12" s="827">
        <f>IDGas12_07!AL13</f>
        <v>88848</v>
      </c>
      <c r="I12" s="827">
        <f>'ConverFac_Exh-ID'!G7</f>
        <v>1890</v>
      </c>
      <c r="J12" s="827">
        <f>H12+I12</f>
        <v>90738</v>
      </c>
    </row>
    <row r="13" spans="1:10">
      <c r="A13" s="18">
        <v>2</v>
      </c>
      <c r="B13" s="2"/>
      <c r="C13" s="20" t="s">
        <v>70</v>
      </c>
      <c r="D13" s="20"/>
      <c r="E13" s="20"/>
      <c r="F13" s="20">
        <f>IDGas12_07!F14</f>
        <v>529</v>
      </c>
      <c r="G13" s="20">
        <f>H13-F13</f>
        <v>0</v>
      </c>
      <c r="H13" s="946">
        <f>IDGas12_07!AL14</f>
        <v>529</v>
      </c>
      <c r="I13" s="20"/>
      <c r="J13" s="20">
        <f>H13+I13</f>
        <v>529</v>
      </c>
    </row>
    <row r="14" spans="1:10">
      <c r="A14" s="18">
        <v>3</v>
      </c>
      <c r="B14" s="2"/>
      <c r="C14" s="20" t="s">
        <v>71</v>
      </c>
      <c r="D14" s="20"/>
      <c r="E14" s="20"/>
      <c r="F14" s="815">
        <f>IDGas12_07!F15</f>
        <v>59962</v>
      </c>
      <c r="G14" s="815">
        <f>H14-F14</f>
        <v>0</v>
      </c>
      <c r="H14" s="947">
        <f>IDGas12_07!AL15</f>
        <v>59962</v>
      </c>
      <c r="I14" s="815"/>
      <c r="J14" s="815">
        <f>H14+I14</f>
        <v>59962</v>
      </c>
    </row>
    <row r="15" spans="1:10">
      <c r="A15" s="18">
        <v>4</v>
      </c>
      <c r="B15" s="2" t="s">
        <v>72</v>
      </c>
      <c r="C15" s="20"/>
      <c r="D15" s="20"/>
      <c r="E15" s="20"/>
      <c r="F15" s="20">
        <f>IDGas12_07!F16</f>
        <v>149339</v>
      </c>
      <c r="G15" s="20">
        <f>H15-F15</f>
        <v>0</v>
      </c>
      <c r="H15" s="946">
        <f>IDGas12_07!AL16</f>
        <v>149339</v>
      </c>
      <c r="I15" s="20">
        <f>SUM(I12:I14)</f>
        <v>1890</v>
      </c>
      <c r="J15" s="20">
        <f>H15+I15</f>
        <v>151229</v>
      </c>
    </row>
    <row r="16" spans="1:10">
      <c r="A16" s="18"/>
      <c r="B16" s="2"/>
      <c r="C16" s="20"/>
      <c r="D16" s="20"/>
      <c r="E16" s="20"/>
      <c r="F16" s="20"/>
      <c r="G16" s="20"/>
      <c r="H16" s="20"/>
      <c r="I16" s="20"/>
      <c r="J16" s="20"/>
    </row>
    <row r="17" spans="1:10">
      <c r="A17" s="18"/>
      <c r="B17" s="2" t="s">
        <v>73</v>
      </c>
      <c r="C17" s="20"/>
      <c r="D17" s="20"/>
      <c r="E17" s="20"/>
      <c r="F17" s="20"/>
      <c r="G17" s="20"/>
      <c r="H17" s="20"/>
      <c r="I17" s="20"/>
      <c r="J17" s="20"/>
    </row>
    <row r="18" spans="1:10">
      <c r="A18" s="18">
        <v>5</v>
      </c>
      <c r="B18" s="2"/>
      <c r="C18" s="20" t="s">
        <v>74</v>
      </c>
      <c r="D18" s="20"/>
      <c r="E18" s="20"/>
      <c r="F18" s="20"/>
      <c r="G18" s="20"/>
      <c r="H18" s="20"/>
      <c r="I18" s="20"/>
      <c r="J18" s="20"/>
    </row>
    <row r="19" spans="1:10">
      <c r="A19" s="18"/>
      <c r="B19" s="2"/>
      <c r="C19" s="20" t="s">
        <v>75</v>
      </c>
      <c r="D19" s="20"/>
      <c r="E19" s="20"/>
      <c r="F19" s="20"/>
      <c r="G19" s="20"/>
      <c r="H19" s="20"/>
      <c r="I19" s="20"/>
      <c r="J19" s="20"/>
    </row>
    <row r="20" spans="1:10">
      <c r="A20" s="18">
        <v>6</v>
      </c>
      <c r="B20" s="2"/>
      <c r="C20" s="20"/>
      <c r="D20" s="20" t="s">
        <v>76</v>
      </c>
      <c r="E20" s="20"/>
      <c r="F20" s="20">
        <f>IDGas12_07!F21</f>
        <v>132107</v>
      </c>
      <c r="G20" s="20">
        <f>H20-F20</f>
        <v>0</v>
      </c>
      <c r="H20" s="946">
        <f>IDGas12_07!AL21</f>
        <v>132107</v>
      </c>
      <c r="I20" s="20"/>
      <c r="J20" s="20">
        <f>H20+I20</f>
        <v>132107</v>
      </c>
    </row>
    <row r="21" spans="1:10">
      <c r="A21" s="18">
        <v>7</v>
      </c>
      <c r="B21" s="2"/>
      <c r="C21" s="20"/>
      <c r="D21" s="20" t="s">
        <v>77</v>
      </c>
      <c r="E21" s="20"/>
      <c r="F21" s="20">
        <f>IDGas12_07!F22</f>
        <v>356</v>
      </c>
      <c r="G21" s="20">
        <f>H21-F21</f>
        <v>13</v>
      </c>
      <c r="H21" s="946">
        <f>IDGas12_07!AL22</f>
        <v>369</v>
      </c>
      <c r="I21" s="20"/>
      <c r="J21" s="20">
        <f>H21+I21</f>
        <v>369</v>
      </c>
    </row>
    <row r="22" spans="1:10">
      <c r="A22" s="18">
        <v>8</v>
      </c>
      <c r="B22" s="2"/>
      <c r="C22" s="20"/>
      <c r="D22" s="20" t="s">
        <v>78</v>
      </c>
      <c r="E22" s="20"/>
      <c r="F22" s="815">
        <f>IDGas12_07!F23</f>
        <v>-8926</v>
      </c>
      <c r="G22" s="815">
        <f>H22-F22</f>
        <v>0</v>
      </c>
      <c r="H22" s="947">
        <f>IDGas12_07!AL23</f>
        <v>-8926</v>
      </c>
      <c r="I22" s="815"/>
      <c r="J22" s="815">
        <f>H22+I22</f>
        <v>-8926</v>
      </c>
    </row>
    <row r="23" spans="1:10">
      <c r="A23" s="18">
        <v>9</v>
      </c>
      <c r="B23" s="2"/>
      <c r="C23" s="20"/>
      <c r="D23" s="20"/>
      <c r="E23" s="20" t="s">
        <v>79</v>
      </c>
      <c r="F23" s="20">
        <f>IDGas12_07!F24</f>
        <v>123537</v>
      </c>
      <c r="G23" s="20">
        <f>H23-F23</f>
        <v>13</v>
      </c>
      <c r="H23" s="946">
        <f>IDGas12_07!AL24</f>
        <v>123550</v>
      </c>
      <c r="I23" s="20">
        <f>SUM(I19:I22)</f>
        <v>0</v>
      </c>
      <c r="J23" s="20">
        <f>H23+I23</f>
        <v>123550</v>
      </c>
    </row>
    <row r="24" spans="1:10">
      <c r="A24" s="18"/>
      <c r="B24" s="2"/>
      <c r="C24" s="20" t="s">
        <v>80</v>
      </c>
      <c r="D24" s="20"/>
      <c r="E24" s="20"/>
      <c r="F24" s="20"/>
      <c r="G24" s="20"/>
      <c r="H24" s="20"/>
      <c r="I24" s="20"/>
      <c r="J24" s="20"/>
    </row>
    <row r="25" spans="1:10">
      <c r="A25" s="18">
        <v>10</v>
      </c>
      <c r="B25" s="2"/>
      <c r="C25" s="20"/>
      <c r="D25" s="20" t="s">
        <v>81</v>
      </c>
      <c r="E25" s="20"/>
      <c r="F25" s="20">
        <f>IDGas12_07!F26</f>
        <v>167</v>
      </c>
      <c r="G25" s="20">
        <f>H25-F25</f>
        <v>0</v>
      </c>
      <c r="H25" s="946">
        <f>IDGas12_07!AL26</f>
        <v>167</v>
      </c>
      <c r="I25" s="20"/>
      <c r="J25" s="20">
        <f>H25+I25</f>
        <v>167</v>
      </c>
    </row>
    <row r="26" spans="1:10">
      <c r="A26" s="18">
        <v>11</v>
      </c>
      <c r="B26" s="2"/>
      <c r="C26" s="20"/>
      <c r="D26" s="20" t="s">
        <v>82</v>
      </c>
      <c r="E26" s="20"/>
      <c r="F26" s="20">
        <f>IDGas12_07!F27</f>
        <v>107</v>
      </c>
      <c r="G26" s="20">
        <f>H26-F26</f>
        <v>0</v>
      </c>
      <c r="H26" s="946">
        <f>IDGas12_07!AL27</f>
        <v>107</v>
      </c>
      <c r="I26" s="20"/>
      <c r="J26" s="20">
        <f>H26+I26</f>
        <v>107</v>
      </c>
    </row>
    <row r="27" spans="1:10">
      <c r="A27" s="18">
        <v>12</v>
      </c>
      <c r="B27" s="2"/>
      <c r="C27" s="20"/>
      <c r="D27" s="20" t="s">
        <v>37</v>
      </c>
      <c r="E27" s="20"/>
      <c r="F27" s="815">
        <f>IDGas12_07!F28</f>
        <v>46</v>
      </c>
      <c r="G27" s="815">
        <f>H27-F27</f>
        <v>0</v>
      </c>
      <c r="H27" s="947">
        <f>IDGas12_07!AL28</f>
        <v>46</v>
      </c>
      <c r="I27" s="815"/>
      <c r="J27" s="815">
        <f>H27+I27</f>
        <v>46</v>
      </c>
    </row>
    <row r="28" spans="1:10">
      <c r="A28" s="18">
        <v>13</v>
      </c>
      <c r="B28" s="2"/>
      <c r="C28" s="20"/>
      <c r="D28" s="20"/>
      <c r="E28" s="20" t="s">
        <v>83</v>
      </c>
      <c r="F28" s="20">
        <f>IDGas12_07!F29</f>
        <v>320</v>
      </c>
      <c r="G28" s="20">
        <f>H28-F28</f>
        <v>0</v>
      </c>
      <c r="H28" s="946">
        <f>IDGas12_07!AL29</f>
        <v>320</v>
      </c>
      <c r="I28" s="20">
        <f>SUM(I25:I27)</f>
        <v>0</v>
      </c>
      <c r="J28" s="20">
        <f>H28+I28</f>
        <v>320</v>
      </c>
    </row>
    <row r="29" spans="1:10">
      <c r="A29" s="18"/>
      <c r="B29" s="2"/>
      <c r="C29" s="20" t="s">
        <v>84</v>
      </c>
      <c r="D29" s="20"/>
      <c r="E29" s="20"/>
      <c r="F29" s="20"/>
      <c r="G29" s="20"/>
      <c r="H29" s="20"/>
      <c r="I29" s="20"/>
      <c r="J29" s="20"/>
    </row>
    <row r="30" spans="1:10">
      <c r="A30" s="18">
        <v>14</v>
      </c>
      <c r="B30" s="2"/>
      <c r="C30" s="20"/>
      <c r="D30" s="20" t="s">
        <v>81</v>
      </c>
      <c r="E30" s="20"/>
      <c r="F30" s="20">
        <f>IDGas12_07!F31</f>
        <v>3833</v>
      </c>
      <c r="G30" s="20">
        <f>H30-F30</f>
        <v>139</v>
      </c>
      <c r="H30" s="946">
        <f>IDGas12_07!AL31</f>
        <v>3972</v>
      </c>
      <c r="I30" s="20"/>
      <c r="J30" s="20">
        <f>H30+I30</f>
        <v>3972</v>
      </c>
    </row>
    <row r="31" spans="1:10">
      <c r="A31" s="18">
        <v>15</v>
      </c>
      <c r="B31" s="2"/>
      <c r="C31" s="20"/>
      <c r="D31" s="20" t="s">
        <v>82</v>
      </c>
      <c r="E31" s="20"/>
      <c r="F31" s="20">
        <f>IDGas12_07!F32</f>
        <v>2807</v>
      </c>
      <c r="G31" s="20">
        <f>H31-F31</f>
        <v>0</v>
      </c>
      <c r="H31" s="946">
        <f>IDGas12_07!AL32</f>
        <v>2807</v>
      </c>
      <c r="I31" s="20"/>
      <c r="J31" s="20">
        <f>H31+I31</f>
        <v>2807</v>
      </c>
    </row>
    <row r="32" spans="1:10">
      <c r="A32" s="18">
        <v>16</v>
      </c>
      <c r="B32" s="2"/>
      <c r="C32" s="20"/>
      <c r="D32" s="20" t="s">
        <v>37</v>
      </c>
      <c r="E32" s="20"/>
      <c r="F32" s="815">
        <f>IDGas12_07!F33</f>
        <v>2396</v>
      </c>
      <c r="G32" s="815">
        <f>H32-F32</f>
        <v>-4</v>
      </c>
      <c r="H32" s="947">
        <f>IDGas12_07!AL33</f>
        <v>2392</v>
      </c>
      <c r="I32" s="815">
        <f>'ConverFac_Exh-ID'!G15</f>
        <v>22</v>
      </c>
      <c r="J32" s="815">
        <f>H32+I32</f>
        <v>2414</v>
      </c>
    </row>
    <row r="33" spans="1:10">
      <c r="A33" s="18">
        <v>17</v>
      </c>
      <c r="B33" s="2"/>
      <c r="C33" s="20"/>
      <c r="D33" s="20"/>
      <c r="E33" s="20" t="s">
        <v>85</v>
      </c>
      <c r="F33" s="20">
        <f>IDGas12_07!F34</f>
        <v>9036</v>
      </c>
      <c r="G33" s="20">
        <f>H33-F33</f>
        <v>135</v>
      </c>
      <c r="H33" s="946">
        <f>IDGas12_07!AL34</f>
        <v>9171</v>
      </c>
      <c r="I33" s="20">
        <f>SUM(I30:I32)</f>
        <v>22</v>
      </c>
      <c r="J33" s="20">
        <f>H33+I33</f>
        <v>9193</v>
      </c>
    </row>
    <row r="34" spans="1:10">
      <c r="A34" s="18"/>
      <c r="B34" s="2"/>
      <c r="C34" s="20"/>
      <c r="D34" s="20"/>
      <c r="E34" s="20"/>
      <c r="F34" s="20"/>
      <c r="G34" s="20"/>
      <c r="H34" s="20"/>
      <c r="I34" s="20"/>
      <c r="J34" s="20"/>
    </row>
    <row r="35" spans="1:10">
      <c r="A35" s="18">
        <v>18</v>
      </c>
      <c r="B35" s="2" t="s">
        <v>86</v>
      </c>
      <c r="C35" s="20"/>
      <c r="D35" s="20"/>
      <c r="E35" s="20"/>
      <c r="F35" s="20">
        <f>IDGas12_07!F36</f>
        <v>1937</v>
      </c>
      <c r="G35" s="20">
        <f>H35-F35</f>
        <v>52</v>
      </c>
      <c r="H35" s="946">
        <f>IDGas12_07!AL36</f>
        <v>1989</v>
      </c>
      <c r="I35" s="20">
        <f>'ConverFac_Exh-ID'!G11</f>
        <v>4</v>
      </c>
      <c r="J35" s="20">
        <f>H35+I35</f>
        <v>1993</v>
      </c>
    </row>
    <row r="36" spans="1:10">
      <c r="A36" s="18">
        <v>19</v>
      </c>
      <c r="B36" s="2" t="s">
        <v>87</v>
      </c>
      <c r="C36" s="20"/>
      <c r="D36" s="20"/>
      <c r="E36" s="20"/>
      <c r="F36" s="20">
        <f>IDGas12_07!F37</f>
        <v>1788</v>
      </c>
      <c r="G36" s="20">
        <f>H36-F36</f>
        <v>4</v>
      </c>
      <c r="H36" s="946">
        <f>IDGas12_07!AL37</f>
        <v>1792</v>
      </c>
      <c r="I36" s="20"/>
      <c r="J36" s="20">
        <f>H36+I36</f>
        <v>1792</v>
      </c>
    </row>
    <row r="37" spans="1:10">
      <c r="A37" s="18">
        <v>20</v>
      </c>
      <c r="B37" s="2" t="s">
        <v>88</v>
      </c>
      <c r="C37" s="20"/>
      <c r="D37" s="20"/>
      <c r="E37" s="20"/>
      <c r="F37" s="20">
        <f>IDGas12_07!F38</f>
        <v>213</v>
      </c>
      <c r="G37" s="20">
        <f>H37-F37</f>
        <v>4</v>
      </c>
      <c r="H37" s="942">
        <f>IDGas12_07!AL38</f>
        <v>217</v>
      </c>
      <c r="I37" s="20"/>
      <c r="J37" s="20">
        <f>H37+I37</f>
        <v>217</v>
      </c>
    </row>
    <row r="38" spans="1:10">
      <c r="A38" s="18"/>
      <c r="B38" s="2" t="s">
        <v>89</v>
      </c>
      <c r="C38" s="20"/>
      <c r="D38" s="20"/>
      <c r="E38" s="20"/>
      <c r="F38" s="20"/>
      <c r="G38" s="20"/>
      <c r="H38" s="20"/>
      <c r="I38" s="20"/>
      <c r="J38" s="20"/>
    </row>
    <row r="39" spans="1:10">
      <c r="A39" s="18">
        <v>21</v>
      </c>
      <c r="B39" s="2"/>
      <c r="C39" s="20" t="s">
        <v>81</v>
      </c>
      <c r="D39" s="20"/>
      <c r="E39" s="20"/>
      <c r="F39" s="20">
        <f>IDGas12_07!F40</f>
        <v>4471</v>
      </c>
      <c r="G39" s="20">
        <f>H39-F39</f>
        <v>98</v>
      </c>
      <c r="H39" s="946">
        <f>IDGas12_07!AL40</f>
        <v>4569</v>
      </c>
      <c r="I39" s="20">
        <f>'ConverFac_Exh-ID'!G13</f>
        <v>5</v>
      </c>
      <c r="J39" s="20">
        <f>H39+I39</f>
        <v>4574</v>
      </c>
    </row>
    <row r="40" spans="1:10">
      <c r="A40" s="18">
        <v>22</v>
      </c>
      <c r="B40" s="2"/>
      <c r="C40" s="20" t="s">
        <v>82</v>
      </c>
      <c r="D40" s="20"/>
      <c r="E40" s="20"/>
      <c r="F40" s="20">
        <f>IDGas12_07!F41</f>
        <v>816</v>
      </c>
      <c r="G40" s="20">
        <f>H40-F40</f>
        <v>0</v>
      </c>
      <c r="H40" s="946">
        <f>IDGas12_07!AL41</f>
        <v>816</v>
      </c>
      <c r="I40" s="20"/>
      <c r="J40" s="20">
        <f>H40+I40</f>
        <v>816</v>
      </c>
    </row>
    <row r="41" spans="1:10">
      <c r="A41" s="18">
        <v>23</v>
      </c>
      <c r="B41" s="2"/>
      <c r="C41" s="20" t="s">
        <v>37</v>
      </c>
      <c r="D41" s="20"/>
      <c r="E41" s="20"/>
      <c r="F41" s="815">
        <f>IDGas12_07!F42</f>
        <v>11</v>
      </c>
      <c r="G41" s="815">
        <f>H41-F41</f>
        <v>0</v>
      </c>
      <c r="H41" s="947">
        <f>IDGas12_07!AL42</f>
        <v>11</v>
      </c>
      <c r="I41" s="815"/>
      <c r="J41" s="815">
        <f>H41+I41</f>
        <v>11</v>
      </c>
    </row>
    <row r="42" spans="1:10">
      <c r="A42" s="18">
        <v>24</v>
      </c>
      <c r="B42" s="2"/>
      <c r="C42" s="20"/>
      <c r="D42" s="20"/>
      <c r="E42" s="20" t="s">
        <v>90</v>
      </c>
      <c r="F42" s="944">
        <f>IDGas12_07!F43</f>
        <v>5298</v>
      </c>
      <c r="G42" s="815">
        <f>H42-F42</f>
        <v>98</v>
      </c>
      <c r="H42" s="948">
        <f>IDGas12_07!AL43</f>
        <v>5396</v>
      </c>
      <c r="I42" s="815">
        <f>SUM(I39:I41)</f>
        <v>5</v>
      </c>
      <c r="J42" s="815">
        <f>H42+I42</f>
        <v>5401</v>
      </c>
    </row>
    <row r="43" spans="1:10">
      <c r="A43" s="18">
        <v>25</v>
      </c>
      <c r="B43" s="2" t="s">
        <v>91</v>
      </c>
      <c r="C43" s="20"/>
      <c r="D43" s="20"/>
      <c r="E43" s="20"/>
      <c r="F43" s="815">
        <f>IDGas12_07!F44</f>
        <v>142129</v>
      </c>
      <c r="G43" s="815">
        <f>H43-F43</f>
        <v>306</v>
      </c>
      <c r="H43" s="948">
        <f>IDGas12_07!AL44</f>
        <v>142435</v>
      </c>
      <c r="I43" s="815">
        <f>I23+I28+I33+I35+I36+I37+I42</f>
        <v>31</v>
      </c>
      <c r="J43" s="815">
        <f>H43+I43</f>
        <v>142466</v>
      </c>
    </row>
    <row r="44" spans="1:10">
      <c r="A44" s="18"/>
      <c r="B44" s="2"/>
      <c r="C44" s="20"/>
      <c r="D44" s="20"/>
      <c r="E44" s="20"/>
      <c r="F44" s="20"/>
      <c r="G44" s="20"/>
      <c r="H44" s="20"/>
      <c r="I44" s="20"/>
      <c r="J44" s="20"/>
    </row>
    <row r="45" spans="1:10">
      <c r="A45" s="18">
        <v>26</v>
      </c>
      <c r="B45" s="2" t="s">
        <v>92</v>
      </c>
      <c r="C45" s="20"/>
      <c r="D45" s="20"/>
      <c r="E45" s="20"/>
      <c r="F45" s="20">
        <f>IDGas12_07!F46</f>
        <v>7210</v>
      </c>
      <c r="G45" s="20">
        <f>H45-F45</f>
        <v>-306</v>
      </c>
      <c r="H45" s="946">
        <f>IDGas12_07!AL46</f>
        <v>6904</v>
      </c>
      <c r="I45" s="20">
        <f>I15-I43</f>
        <v>1859</v>
      </c>
      <c r="J45" s="20">
        <f>H45+I45</f>
        <v>8763</v>
      </c>
    </row>
    <row r="46" spans="1:10">
      <c r="A46" s="18"/>
      <c r="B46" s="2"/>
      <c r="C46" s="20"/>
      <c r="D46" s="20"/>
      <c r="E46" s="20"/>
      <c r="F46" s="20"/>
      <c r="G46" s="20"/>
      <c r="H46" s="20"/>
      <c r="I46" s="20"/>
      <c r="J46" s="20"/>
    </row>
    <row r="47" spans="1:10">
      <c r="A47" s="18"/>
      <c r="B47" s="2" t="s">
        <v>93</v>
      </c>
      <c r="C47" s="20"/>
      <c r="D47" s="20"/>
      <c r="E47" s="20"/>
      <c r="F47" s="20"/>
      <c r="G47" s="20"/>
      <c r="H47" s="20"/>
      <c r="I47" s="20"/>
      <c r="J47" s="20"/>
    </row>
    <row r="48" spans="1:10">
      <c r="A48" s="18">
        <v>27</v>
      </c>
      <c r="B48" s="2"/>
      <c r="C48" s="20" t="s">
        <v>94</v>
      </c>
      <c r="D48" s="20"/>
      <c r="E48" s="20"/>
      <c r="F48" s="20">
        <f>IDGas12_07!F48</f>
        <v>1089</v>
      </c>
      <c r="G48" s="20">
        <f>H48-F48</f>
        <v>35.857939999999871</v>
      </c>
      <c r="H48" s="946">
        <f>IDGas12_07!AL48</f>
        <v>1124.8579399999999</v>
      </c>
      <c r="I48" s="20">
        <f>'ConverFac_Exh-ID'!G21</f>
        <v>651</v>
      </c>
      <c r="J48" s="20">
        <f>H48+I48</f>
        <v>1775.8579399999999</v>
      </c>
    </row>
    <row r="49" spans="1:10">
      <c r="A49" s="18">
        <v>28</v>
      </c>
      <c r="B49" s="2"/>
      <c r="C49" s="20" t="s">
        <v>95</v>
      </c>
      <c r="D49" s="20"/>
      <c r="E49" s="20"/>
      <c r="F49" s="20">
        <f>IDGas12_07!F49</f>
        <v>334</v>
      </c>
      <c r="G49" s="20">
        <f>H49-F49</f>
        <v>3</v>
      </c>
      <c r="H49" s="946">
        <f>IDGas12_07!AL49</f>
        <v>337</v>
      </c>
      <c r="I49" s="20"/>
      <c r="J49" s="20">
        <f>H49+I49</f>
        <v>337</v>
      </c>
    </row>
    <row r="50" spans="1:10">
      <c r="A50" s="18">
        <v>29</v>
      </c>
      <c r="B50" s="2"/>
      <c r="C50" s="20" t="s">
        <v>96</v>
      </c>
      <c r="D50" s="20"/>
      <c r="E50" s="20"/>
      <c r="F50" s="815">
        <f>IDGas12_07!F50</f>
        <v>-19</v>
      </c>
      <c r="G50" s="815">
        <f>H50-F50</f>
        <v>0</v>
      </c>
      <c r="H50" s="947">
        <f>IDGas12_07!AL50</f>
        <v>-19</v>
      </c>
      <c r="I50" s="815"/>
      <c r="J50" s="815">
        <f>H50+I50</f>
        <v>-19</v>
      </c>
    </row>
    <row r="51" spans="1:10">
      <c r="A51" s="18"/>
      <c r="B51" s="2"/>
      <c r="C51" s="2"/>
      <c r="D51" s="2"/>
      <c r="E51" s="2"/>
      <c r="F51" s="809"/>
      <c r="G51" s="809"/>
      <c r="H51" s="809"/>
      <c r="J51" s="809">
        <f>H51+I51</f>
        <v>0</v>
      </c>
    </row>
    <row r="52" spans="1:10" ht="13.5" thickBot="1">
      <c r="A52" s="18">
        <v>30</v>
      </c>
      <c r="B52" s="19" t="s">
        <v>97</v>
      </c>
      <c r="C52" s="19"/>
      <c r="D52" s="19"/>
      <c r="E52" s="19"/>
      <c r="F52" s="945">
        <f>IDGas12_07!F52</f>
        <v>5806</v>
      </c>
      <c r="G52" s="816">
        <f>H52-F52</f>
        <v>-344.85793999999987</v>
      </c>
      <c r="H52" s="949">
        <f>IDGas12_07!AL52</f>
        <v>5461.1420600000001</v>
      </c>
      <c r="I52" s="816">
        <f>I45-SUM(I47:I49)</f>
        <v>1208</v>
      </c>
      <c r="J52" s="816">
        <f>H52+I52</f>
        <v>6669.1420600000001</v>
      </c>
    </row>
    <row r="53" spans="1:10" ht="13.5" thickTop="1">
      <c r="A53" s="18"/>
      <c r="B53" s="2"/>
      <c r="C53" s="2"/>
      <c r="D53" s="2"/>
      <c r="E53" s="2"/>
      <c r="F53" s="809"/>
      <c r="G53" s="809"/>
      <c r="H53" s="809"/>
      <c r="I53" s="809"/>
      <c r="J53" s="809"/>
    </row>
    <row r="54" spans="1:10">
      <c r="A54" s="18"/>
      <c r="B54" s="2"/>
      <c r="C54" s="2"/>
      <c r="D54" s="2"/>
      <c r="E54" s="2"/>
      <c r="F54" s="809"/>
      <c r="G54" s="809"/>
      <c r="H54" s="809"/>
      <c r="I54" s="809"/>
      <c r="J54" s="809"/>
    </row>
    <row r="55" spans="1:10">
      <c r="A55" s="18"/>
      <c r="B55" s="2" t="s">
        <v>98</v>
      </c>
      <c r="C55" s="2"/>
      <c r="D55" s="2"/>
      <c r="E55" s="2"/>
      <c r="F55" s="809"/>
      <c r="G55" s="809"/>
      <c r="H55" s="809"/>
      <c r="I55" s="809"/>
      <c r="J55" s="809"/>
    </row>
    <row r="56" spans="1:10">
      <c r="A56" s="18">
        <v>31</v>
      </c>
      <c r="B56" s="20"/>
      <c r="C56" s="20" t="s">
        <v>80</v>
      </c>
      <c r="D56" s="20"/>
      <c r="E56" s="20"/>
      <c r="F56" s="20">
        <f>IDGas12_07!F56</f>
        <v>5549</v>
      </c>
      <c r="G56" s="20">
        <f>H56-F56</f>
        <v>0</v>
      </c>
      <c r="H56" s="946">
        <f>IDGas12_07!AL56</f>
        <v>5549</v>
      </c>
      <c r="I56" s="20"/>
      <c r="J56" s="20">
        <f>H56+I56</f>
        <v>5549</v>
      </c>
    </row>
    <row r="57" spans="1:10">
      <c r="A57" s="18">
        <v>32</v>
      </c>
      <c r="B57" s="20"/>
      <c r="C57" s="20" t="s">
        <v>99</v>
      </c>
      <c r="D57" s="20"/>
      <c r="E57" s="20"/>
      <c r="F57" s="20">
        <f>IDGas12_07!F57</f>
        <v>120449</v>
      </c>
      <c r="G57" s="20">
        <f>H57-F57</f>
        <v>0</v>
      </c>
      <c r="H57" s="946">
        <f>IDGas12_07!AL57</f>
        <v>120449</v>
      </c>
      <c r="I57" s="20"/>
      <c r="J57" s="20">
        <f>H57+I57</f>
        <v>120449</v>
      </c>
    </row>
    <row r="58" spans="1:10">
      <c r="A58" s="18">
        <v>33</v>
      </c>
      <c r="B58" s="20"/>
      <c r="C58" s="20" t="s">
        <v>100</v>
      </c>
      <c r="D58" s="20"/>
      <c r="E58" s="20"/>
      <c r="F58" s="815">
        <f>IDGas12_07!F58</f>
        <v>11067</v>
      </c>
      <c r="G58" s="815">
        <f>H58-F58</f>
        <v>0</v>
      </c>
      <c r="H58" s="947">
        <f>IDGas12_07!AL58</f>
        <v>11067</v>
      </c>
      <c r="I58" s="815"/>
      <c r="J58" s="815">
        <f>H58+I58</f>
        <v>11067</v>
      </c>
    </row>
    <row r="59" spans="1:10">
      <c r="A59" s="18">
        <v>34</v>
      </c>
      <c r="B59" s="20"/>
      <c r="C59" s="20"/>
      <c r="D59" s="20"/>
      <c r="E59" s="20" t="s">
        <v>101</v>
      </c>
      <c r="F59" s="22">
        <f>IDGas12_07!F59</f>
        <v>137065</v>
      </c>
      <c r="G59" s="20">
        <f>H59-F59</f>
        <v>0</v>
      </c>
      <c r="H59" s="946">
        <f>IDGas12_07!AL59</f>
        <v>137065</v>
      </c>
      <c r="I59" s="20">
        <v>0</v>
      </c>
      <c r="J59" s="20">
        <f>H59+I59</f>
        <v>137065</v>
      </c>
    </row>
    <row r="60" spans="1:10">
      <c r="A60" s="18"/>
      <c r="B60" s="20" t="s">
        <v>102</v>
      </c>
      <c r="C60" s="20"/>
      <c r="D60" s="20"/>
      <c r="E60" s="20"/>
      <c r="F60" s="20"/>
      <c r="G60" s="20"/>
      <c r="H60" s="20"/>
      <c r="I60" s="20"/>
      <c r="J60" s="20"/>
    </row>
    <row r="61" spans="1:10">
      <c r="A61" s="18">
        <v>35</v>
      </c>
      <c r="B61" s="20"/>
      <c r="C61" s="20" t="s">
        <v>80</v>
      </c>
      <c r="D61" s="20"/>
      <c r="E61" s="20"/>
      <c r="F61" s="20">
        <f>IDGas12_07!F61</f>
        <v>3080</v>
      </c>
      <c r="G61" s="20">
        <f t="shared" ref="G61:G67" si="0">H61-F61</f>
        <v>0</v>
      </c>
      <c r="H61" s="946">
        <f>IDGas12_07!AL61</f>
        <v>3080</v>
      </c>
      <c r="I61" s="20"/>
      <c r="J61" s="20">
        <f t="shared" ref="J61:J67" si="1">H61+I61</f>
        <v>3080</v>
      </c>
    </row>
    <row r="62" spans="1:10">
      <c r="A62" s="18">
        <v>36</v>
      </c>
      <c r="B62" s="20"/>
      <c r="C62" s="20" t="s">
        <v>99</v>
      </c>
      <c r="D62" s="20"/>
      <c r="E62" s="20"/>
      <c r="F62" s="20">
        <f>IDGas12_07!F62</f>
        <v>39978</v>
      </c>
      <c r="G62" s="20">
        <f t="shared" si="0"/>
        <v>0</v>
      </c>
      <c r="H62" s="946">
        <f>IDGas12_07!AL62</f>
        <v>39978</v>
      </c>
      <c r="I62" s="20"/>
      <c r="J62" s="20">
        <f t="shared" si="1"/>
        <v>39978</v>
      </c>
    </row>
    <row r="63" spans="1:10">
      <c r="A63" s="18">
        <v>37</v>
      </c>
      <c r="B63" s="20"/>
      <c r="C63" s="20" t="s">
        <v>100</v>
      </c>
      <c r="D63" s="20"/>
      <c r="E63" s="20"/>
      <c r="F63" s="815">
        <f>IDGas12_07!F63</f>
        <v>3471</v>
      </c>
      <c r="G63" s="20">
        <f t="shared" si="0"/>
        <v>0</v>
      </c>
      <c r="H63" s="947">
        <f>IDGas12_07!AL63</f>
        <v>3471</v>
      </c>
      <c r="I63" s="20"/>
      <c r="J63" s="20">
        <f t="shared" si="1"/>
        <v>3471</v>
      </c>
    </row>
    <row r="64" spans="1:10">
      <c r="A64" s="18">
        <v>38</v>
      </c>
      <c r="B64" s="20"/>
      <c r="C64" s="20"/>
      <c r="D64" s="20"/>
      <c r="E64" s="20" t="s">
        <v>103</v>
      </c>
      <c r="F64" s="22">
        <f>IDGas12_07!F64</f>
        <v>46529</v>
      </c>
      <c r="G64" s="817">
        <f t="shared" si="0"/>
        <v>0</v>
      </c>
      <c r="H64" s="946">
        <f>IDGas12_07!AL64</f>
        <v>46529</v>
      </c>
      <c r="I64" s="817">
        <v>0</v>
      </c>
      <c r="J64" s="817">
        <f t="shared" si="1"/>
        <v>46529</v>
      </c>
    </row>
    <row r="65" spans="1:10">
      <c r="A65" s="21">
        <v>39</v>
      </c>
      <c r="B65" s="22" t="s">
        <v>104</v>
      </c>
      <c r="C65" s="22"/>
      <c r="D65" s="22"/>
      <c r="E65" s="22"/>
      <c r="F65" s="20">
        <f>IDGas12_07!F65</f>
        <v>0</v>
      </c>
      <c r="G65" s="22">
        <f t="shared" si="0"/>
        <v>-14220</v>
      </c>
      <c r="H65" s="946">
        <f>IDGas12_07!AL65</f>
        <v>-14220</v>
      </c>
      <c r="I65" s="22"/>
      <c r="J65" s="22">
        <f t="shared" si="1"/>
        <v>-14220</v>
      </c>
    </row>
    <row r="66" spans="1:10">
      <c r="A66" s="18">
        <v>40</v>
      </c>
      <c r="B66" s="20" t="s">
        <v>105</v>
      </c>
      <c r="C66" s="20"/>
      <c r="D66" s="20"/>
      <c r="E66" s="20"/>
      <c r="F66" s="20">
        <f>IDGas12_07!F66</f>
        <v>0</v>
      </c>
      <c r="G66" s="20">
        <f t="shared" si="0"/>
        <v>0</v>
      </c>
      <c r="H66" s="946">
        <f>IDGas12_07!AL66</f>
        <v>0</v>
      </c>
      <c r="I66" s="20"/>
      <c r="J66" s="20">
        <f t="shared" si="1"/>
        <v>0</v>
      </c>
    </row>
    <row r="67" spans="1:10">
      <c r="A67" s="18">
        <v>41</v>
      </c>
      <c r="B67" s="20" t="s">
        <v>106</v>
      </c>
      <c r="C67" s="20"/>
      <c r="D67" s="20"/>
      <c r="E67" s="20"/>
      <c r="F67" s="815">
        <f>IDGas12_07!F67</f>
        <v>0</v>
      </c>
      <c r="G67" s="815">
        <f t="shared" si="0"/>
        <v>0</v>
      </c>
      <c r="H67" s="947">
        <f>IDGas12_07!AL67</f>
        <v>0</v>
      </c>
      <c r="I67" s="815"/>
      <c r="J67" s="815">
        <f t="shared" si="1"/>
        <v>0</v>
      </c>
    </row>
    <row r="68" spans="1:10">
      <c r="A68" s="18"/>
      <c r="B68" s="2"/>
      <c r="C68" s="2"/>
      <c r="D68" s="2"/>
      <c r="E68" s="2"/>
      <c r="F68" s="809"/>
      <c r="G68" s="809"/>
      <c r="H68" s="946"/>
      <c r="I68" s="809"/>
      <c r="J68" s="809"/>
    </row>
    <row r="69" spans="1:10" ht="13.5" thickBot="1">
      <c r="A69" s="18">
        <v>42</v>
      </c>
      <c r="B69" s="19" t="s">
        <v>107</v>
      </c>
      <c r="C69" s="19"/>
      <c r="D69" s="19"/>
      <c r="E69" s="19"/>
      <c r="F69" s="945">
        <f>IDGas12_07!F69</f>
        <v>90536</v>
      </c>
      <c r="G69" s="816">
        <f>H69-F69</f>
        <v>-14220</v>
      </c>
      <c r="H69" s="949">
        <f>IDGas12_07!AL69</f>
        <v>76316</v>
      </c>
      <c r="I69" s="816">
        <v>0</v>
      </c>
      <c r="J69" s="816">
        <f>H69+I69</f>
        <v>76316</v>
      </c>
    </row>
    <row r="70" spans="1:10" ht="13.5" thickTop="1">
      <c r="A70" s="18">
        <v>43</v>
      </c>
      <c r="B70" s="2" t="s">
        <v>108</v>
      </c>
      <c r="C70" s="2"/>
      <c r="D70" s="2"/>
      <c r="E70" s="2"/>
      <c r="F70" s="24">
        <f>ROUND(F52/F69,4)</f>
        <v>6.4100000000000004E-2</v>
      </c>
      <c r="G70" s="931"/>
      <c r="H70" s="24">
        <f>ROUND(H52/H69,4)</f>
        <v>7.1599999999999997E-2</v>
      </c>
      <c r="I70" s="24"/>
      <c r="J70" s="24">
        <f>ROUND(J52/J69,4)</f>
        <v>8.7400000000000005E-2</v>
      </c>
    </row>
    <row r="71" spans="1:10">
      <c r="A71" s="932"/>
      <c r="B71" s="933"/>
      <c r="C71" s="933"/>
      <c r="D71" s="933"/>
      <c r="E71" s="899"/>
      <c r="F71" s="899"/>
      <c r="G71" s="899"/>
      <c r="H71" s="899"/>
      <c r="I71" s="899"/>
      <c r="J71" s="899"/>
    </row>
    <row r="72" spans="1:10">
      <c r="A72" s="932"/>
      <c r="B72" s="933"/>
      <c r="C72" s="933"/>
      <c r="D72" s="933"/>
      <c r="E72" s="899"/>
      <c r="F72" s="899"/>
      <c r="G72" s="899"/>
      <c r="H72" s="899"/>
      <c r="I72" s="899"/>
      <c r="J72" s="899"/>
    </row>
  </sheetData>
  <phoneticPr fontId="0" type="noConversion"/>
  <pageMargins left="0.75" right="0.5" top="0.72" bottom="0.84" header="0.5" footer="0.5"/>
  <pageSetup scale="71" orientation="portrait" r:id="rId1"/>
  <headerFooter alignWithMargins="0">
    <oddHeader>&amp;RExhibit No. ___(EMA-3)</oddHeader>
    <oddFooter>&amp;RPage 1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19"/>
  <sheetViews>
    <sheetView topLeftCell="A14" zoomScaleNormal="100" workbookViewId="0">
      <selection activeCell="Q42" sqref="Q42"/>
    </sheetView>
  </sheetViews>
  <sheetFormatPr defaultColWidth="11.42578125" defaultRowHeight="12.75"/>
  <cols>
    <col min="1" max="1" width="6.42578125" style="191" customWidth="1"/>
    <col min="2" max="2" width="11.42578125" style="191" customWidth="1"/>
    <col min="3" max="3" width="17.140625" style="191" customWidth="1"/>
    <col min="4" max="4" width="6.140625" style="191" customWidth="1"/>
    <col min="5" max="5" width="5.140625" style="191" customWidth="1"/>
    <col min="6" max="7" width="11.42578125" style="191" customWidth="1"/>
    <col min="8" max="8" width="8.140625" style="192" customWidth="1"/>
    <col min="9" max="9" width="7.28515625" style="686" customWidth="1"/>
    <col min="10" max="10" width="10.5703125" style="1003" customWidth="1"/>
    <col min="11" max="11" width="21.28515625" style="191" customWidth="1"/>
    <col min="12" max="12" width="13" style="191" customWidth="1"/>
    <col min="13" max="13" width="5.85546875" style="191" customWidth="1"/>
    <col min="14" max="14" width="9" style="191" customWidth="1"/>
    <col min="15" max="17" width="11.42578125" style="191" customWidth="1"/>
    <col min="18" max="18" width="3" style="191" customWidth="1"/>
    <col min="19" max="16384" width="11.42578125" style="191"/>
  </cols>
  <sheetData>
    <row r="1" spans="1:18">
      <c r="A1" s="193"/>
      <c r="D1" s="686" t="str">
        <f>Inputs!$D$6</f>
        <v>AVISTA UTILITIES</v>
      </c>
      <c r="J1" s="1002"/>
      <c r="K1" s="687"/>
      <c r="L1" s="687"/>
      <c r="M1" s="687"/>
      <c r="N1" s="687"/>
      <c r="O1" s="688"/>
      <c r="P1" s="688"/>
      <c r="Q1" s="689"/>
      <c r="R1" s="686"/>
    </row>
    <row r="2" spans="1:18">
      <c r="A2" s="193"/>
      <c r="D2" s="192"/>
      <c r="J2" s="1002"/>
      <c r="K2" s="687"/>
      <c r="L2" s="687"/>
      <c r="M2" s="687"/>
      <c r="N2" s="687"/>
      <c r="O2" s="687"/>
      <c r="P2" s="687"/>
      <c r="Q2" s="687"/>
      <c r="R2" s="686"/>
    </row>
    <row r="3" spans="1:18" s="687" customFormat="1">
      <c r="B3" s="191"/>
      <c r="C3" s="191"/>
      <c r="D3" s="192" t="s">
        <v>110</v>
      </c>
      <c r="E3" s="191"/>
      <c r="F3" s="191"/>
      <c r="G3" s="191"/>
      <c r="H3" s="192"/>
      <c r="I3" s="686"/>
      <c r="J3" s="1002"/>
    </row>
    <row r="4" spans="1:18" s="687" customFormat="1">
      <c r="A4" s="191"/>
      <c r="B4" s="191"/>
      <c r="C4" s="191"/>
      <c r="D4" s="192" t="s">
        <v>111</v>
      </c>
      <c r="E4" s="191"/>
      <c r="F4" s="191"/>
      <c r="G4" s="191"/>
      <c r="H4" s="192"/>
      <c r="I4" s="686"/>
      <c r="J4" s="1003"/>
      <c r="N4" s="690"/>
      <c r="O4" s="691"/>
      <c r="P4" s="691"/>
    </row>
    <row r="5" spans="1:18" s="687" customFormat="1">
      <c r="A5" s="191"/>
      <c r="B5" s="191"/>
      <c r="C5" s="191"/>
      <c r="D5" s="692" t="str">
        <f>PROPER(Inputs!$D$2)</f>
        <v>Twelve Months Ended September 30, 2008</v>
      </c>
      <c r="E5" s="191"/>
      <c r="F5" s="191"/>
      <c r="G5" s="191"/>
      <c r="H5" s="192"/>
      <c r="I5" s="686"/>
      <c r="J5" s="1003"/>
      <c r="N5" s="690"/>
      <c r="O5" s="691"/>
      <c r="P5" s="691"/>
    </row>
    <row r="6" spans="1:18" s="687" customFormat="1">
      <c r="A6" s="191"/>
      <c r="B6" s="191"/>
      <c r="C6" s="191"/>
      <c r="D6" s="191"/>
      <c r="E6" s="191"/>
      <c r="F6" s="191"/>
      <c r="G6" s="191"/>
      <c r="H6" s="192"/>
      <c r="I6" s="686"/>
      <c r="J6" s="1003"/>
      <c r="N6" s="690"/>
      <c r="O6" s="691"/>
      <c r="P6" s="691"/>
    </row>
    <row r="7" spans="1:18" s="687" customFormat="1">
      <c r="A7" s="191"/>
      <c r="B7" s="191"/>
      <c r="C7" s="191"/>
      <c r="D7" s="191"/>
      <c r="E7" s="191"/>
      <c r="F7" s="191"/>
      <c r="G7" s="191"/>
      <c r="H7" s="192"/>
      <c r="I7" s="686"/>
      <c r="J7" s="1003"/>
      <c r="N7" s="690"/>
      <c r="O7" s="691"/>
      <c r="P7" s="691"/>
    </row>
    <row r="8" spans="1:18" s="687" customFormat="1">
      <c r="A8" s="191"/>
      <c r="B8" s="191"/>
      <c r="C8" s="191"/>
      <c r="D8" s="191"/>
      <c r="E8" s="191"/>
      <c r="F8" s="693"/>
      <c r="G8" s="693" t="s">
        <v>111</v>
      </c>
      <c r="H8" s="192"/>
      <c r="I8" s="686"/>
      <c r="J8" s="1003"/>
      <c r="N8" s="690"/>
      <c r="O8" s="694"/>
      <c r="P8" s="694"/>
      <c r="Q8" s="689"/>
    </row>
    <row r="9" spans="1:18">
      <c r="A9" s="693" t="s">
        <v>112</v>
      </c>
      <c r="B9" s="693" t="s">
        <v>113</v>
      </c>
      <c r="C9" s="192"/>
      <c r="D9" s="192"/>
      <c r="F9" s="693" t="s">
        <v>114</v>
      </c>
      <c r="G9" s="693" t="s">
        <v>30</v>
      </c>
      <c r="H9" s="705" t="s">
        <v>115</v>
      </c>
      <c r="I9" s="693" t="s">
        <v>283</v>
      </c>
      <c r="J9" s="1004" t="s">
        <v>284</v>
      </c>
      <c r="K9" s="193"/>
      <c r="L9" s="193"/>
      <c r="M9" s="193"/>
      <c r="N9" s="687"/>
      <c r="O9" s="193"/>
      <c r="P9" s="193"/>
      <c r="Q9" s="193"/>
      <c r="R9" s="686"/>
    </row>
    <row r="10" spans="1:18">
      <c r="A10" s="695" t="str">
        <f>WAGas09_08!F$10</f>
        <v>b</v>
      </c>
      <c r="B10" s="696" t="str">
        <f>TRIM(CONCATENATE(WAGas09_08!F$7," ",WAGas09_08!F$8," ",WAGas09_08!F$9))</f>
        <v>Per Results Report</v>
      </c>
      <c r="C10" s="697"/>
      <c r="D10" s="697"/>
      <c r="E10" s="697"/>
      <c r="F10" s="698">
        <f>WAGas09_08!F$52</f>
        <v>12004</v>
      </c>
      <c r="G10" s="698">
        <f>WAGas09_08!F$69</f>
        <v>178717</v>
      </c>
      <c r="I10" s="749" t="s">
        <v>501</v>
      </c>
      <c r="J10" s="192"/>
      <c r="K10" s="687"/>
      <c r="L10" s="687"/>
      <c r="M10" s="687"/>
      <c r="N10" s="687"/>
      <c r="O10" s="691"/>
      <c r="P10" s="691"/>
      <c r="Q10" s="687"/>
      <c r="R10" s="686"/>
    </row>
    <row r="11" spans="1:18" s="714" customFormat="1">
      <c r="A11" s="695" t="str">
        <f>WAGas09_08!G$10</f>
        <v>c</v>
      </c>
      <c r="B11" s="696" t="str">
        <f>TRIM(CONCATENATE(WAGas09_08!G$7," ",WAGas09_08!G$8," ",WAGas09_08!G$9))</f>
        <v>Deferred FIT Rate Base</v>
      </c>
      <c r="C11" s="697"/>
      <c r="D11" s="697"/>
      <c r="E11" s="697"/>
      <c r="F11" s="709">
        <f>WAGas09_08!G$52</f>
        <v>0</v>
      </c>
      <c r="G11" s="709">
        <f>WAGas09_08!G$69</f>
        <v>-27674</v>
      </c>
      <c r="H11" s="715"/>
      <c r="I11" s="749" t="s">
        <v>346</v>
      </c>
      <c r="K11" s="718"/>
      <c r="L11" s="718"/>
      <c r="M11" s="718"/>
      <c r="N11" s="718"/>
      <c r="O11" s="719"/>
      <c r="P11" s="719"/>
      <c r="Q11" s="718"/>
      <c r="R11" s="716"/>
    </row>
    <row r="12" spans="1:18" s="714" customFormat="1">
      <c r="A12" s="695" t="str">
        <f>WAGas09_08!H$10</f>
        <v>d</v>
      </c>
      <c r="B12" s="696" t="str">
        <f>TRIM(CONCATENATE(WAGas09_08!H$7," ",WAGas09_08!H$8," ",WAGas09_08!H$9))</f>
        <v>Deferred Gain on Office Building</v>
      </c>
      <c r="C12" s="697"/>
      <c r="D12" s="697"/>
      <c r="E12" s="697"/>
      <c r="F12" s="709">
        <f>WAGas09_08!H$52</f>
        <v>0</v>
      </c>
      <c r="G12" s="709">
        <f>WAGas09_08!H$69</f>
        <v>-42</v>
      </c>
      <c r="H12" s="715"/>
      <c r="I12" s="749" t="s">
        <v>362</v>
      </c>
      <c r="J12" s="192"/>
      <c r="K12" s="718"/>
      <c r="L12" s="718"/>
      <c r="M12" s="718"/>
      <c r="N12" s="718"/>
      <c r="O12" s="719"/>
      <c r="P12" s="719"/>
      <c r="Q12" s="718"/>
      <c r="R12" s="716"/>
    </row>
    <row r="13" spans="1:18" s="714" customFormat="1">
      <c r="A13" s="695" t="str">
        <f>WAGas09_08!I$10</f>
        <v>e</v>
      </c>
      <c r="B13" s="696" t="str">
        <f>TRIM(CONCATENATE(WAGas09_08!I$7," ",WAGas09_08!I$8," ",WAGas09_08!I$9))</f>
        <v>Gas Inventory</v>
      </c>
      <c r="C13" s="697"/>
      <c r="D13" s="697"/>
      <c r="E13" s="697"/>
      <c r="F13" s="709">
        <f>WAGas09_08!I$52</f>
        <v>0</v>
      </c>
      <c r="G13" s="709">
        <f>WAGas09_08!I$69</f>
        <v>11064</v>
      </c>
      <c r="H13" s="715"/>
      <c r="I13" s="749" t="s">
        <v>501</v>
      </c>
      <c r="J13" s="192"/>
      <c r="L13" s="1089" t="s">
        <v>493</v>
      </c>
      <c r="M13" s="1090"/>
      <c r="N13" s="718"/>
      <c r="O13" s="719"/>
      <c r="P13" s="719"/>
      <c r="Q13" s="718"/>
      <c r="R13" s="716"/>
    </row>
    <row r="14" spans="1:18" s="748" customFormat="1">
      <c r="A14" s="695" t="str">
        <f>WAGas09_08!J$10</f>
        <v>f</v>
      </c>
      <c r="B14" s="696" t="str">
        <f>TRIM(CONCATENATE(WAGas09_08!J$7," ",WAGas09_08!J$8," ",WAGas09_08!J$9))</f>
        <v>Weatherization and DSM Investment</v>
      </c>
      <c r="C14" s="697"/>
      <c r="D14" s="697"/>
      <c r="E14" s="697"/>
      <c r="F14" s="709">
        <f>WAGas09_08!J$52</f>
        <v>0</v>
      </c>
      <c r="G14" s="709">
        <f>WAGas09_08!J$69</f>
        <v>0</v>
      </c>
      <c r="H14" s="749"/>
      <c r="I14" s="749" t="s">
        <v>362</v>
      </c>
      <c r="J14" s="192"/>
      <c r="K14" s="751"/>
      <c r="L14" s="751"/>
      <c r="M14" s="751"/>
      <c r="N14" s="751"/>
      <c r="O14" s="752"/>
      <c r="P14" s="752"/>
      <c r="Q14" s="751"/>
      <c r="R14" s="750"/>
    </row>
    <row r="15" spans="1:18" s="714" customFormat="1" ht="14.25" customHeight="1">
      <c r="A15" s="695" t="str">
        <f>WAGas09_08!K$10</f>
        <v>g</v>
      </c>
      <c r="B15" s="696" t="str">
        <f>TRIM(CONCATENATE(WAGas09_08!K$7," ",WAGas09_08!K$8," ",WAGas09_08!K$9))</f>
        <v>Customer Advances</v>
      </c>
      <c r="C15" s="697"/>
      <c r="D15" s="697"/>
      <c r="E15" s="697"/>
      <c r="F15" s="709">
        <f>WAGas09_08!K$52</f>
        <v>0</v>
      </c>
      <c r="G15" s="709">
        <f>WAGas09_08!K$69</f>
        <v>-52</v>
      </c>
      <c r="H15" s="715"/>
      <c r="I15" s="749" t="s">
        <v>362</v>
      </c>
      <c r="J15" s="192"/>
      <c r="K15" s="718"/>
      <c r="L15" s="718"/>
      <c r="M15" s="718"/>
      <c r="N15" s="718"/>
      <c r="O15" s="719"/>
      <c r="P15" s="719"/>
      <c r="Q15" s="718"/>
      <c r="R15" s="716"/>
    </row>
    <row r="16" spans="1:18">
      <c r="A16" s="695" t="str">
        <f>WAGas09_08!L$10</f>
        <v>h</v>
      </c>
      <c r="B16" s="696" t="str">
        <f>TRIM(CONCATENATE(WAGas09_08!L$7," ",WAGas09_08!L$8," ",WAGas09_08!L$9))</f>
        <v>Depreciation True-up</v>
      </c>
      <c r="C16" s="697"/>
      <c r="D16" s="697"/>
      <c r="E16" s="697"/>
      <c r="F16" s="709">
        <f>WAGas09_08!L$52</f>
        <v>54</v>
      </c>
      <c r="G16" s="709">
        <f>WAGas09_08!L$69</f>
        <v>0</v>
      </c>
      <c r="H16" s="715"/>
      <c r="I16" s="749" t="s">
        <v>362</v>
      </c>
      <c r="J16" s="192"/>
      <c r="K16" s="687"/>
      <c r="L16" s="687"/>
      <c r="M16" s="687"/>
      <c r="N16" s="687"/>
      <c r="O16" s="691"/>
      <c r="P16" s="691"/>
      <c r="Q16" s="687"/>
      <c r="R16" s="686"/>
    </row>
    <row r="17" spans="1:18">
      <c r="B17" s="191" t="s">
        <v>116</v>
      </c>
      <c r="F17" s="699">
        <f>SUM(F10:F16)</f>
        <v>12058</v>
      </c>
      <c r="G17" s="699">
        <f>SUM(G10:G16)</f>
        <v>162013</v>
      </c>
      <c r="H17" s="707">
        <f>F17/G17</f>
        <v>7.4426126298506909E-2</v>
      </c>
      <c r="I17" s="750"/>
      <c r="J17" s="1005">
        <f>WAGas09_08!M70</f>
        <v>7.4399999999999994E-2</v>
      </c>
      <c r="K17" s="687"/>
      <c r="L17" s="687"/>
      <c r="M17" s="687"/>
      <c r="N17" s="687"/>
      <c r="O17" s="691"/>
      <c r="P17" s="691"/>
      <c r="Q17" s="687"/>
      <c r="R17" s="686"/>
    </row>
    <row r="18" spans="1:18">
      <c r="A18" s="695"/>
      <c r="B18" s="696"/>
      <c r="C18" s="697"/>
      <c r="D18" s="697"/>
      <c r="E18" s="697"/>
      <c r="F18" s="698"/>
      <c r="G18" s="698"/>
      <c r="I18" s="750"/>
      <c r="K18" s="687"/>
      <c r="L18" s="687"/>
      <c r="M18" s="687"/>
      <c r="N18" s="687"/>
      <c r="O18" s="691"/>
      <c r="P18" s="691"/>
      <c r="Q18" s="687"/>
      <c r="R18" s="686"/>
    </row>
    <row r="19" spans="1:18" s="697" customFormat="1">
      <c r="A19" s="695" t="str">
        <f>WAGas09_08!N$10</f>
        <v>i</v>
      </c>
      <c r="B19" s="696" t="str">
        <f>TRIM(CONCATENATE(WAGas09_08!N$7," ",WAGas09_08!N$8," ",WAGas09_08!N$9))</f>
        <v>Revenue Normalization &amp; Gas Cost Adjust</v>
      </c>
      <c r="F19" s="709">
        <f>WAGas09_08!N$52</f>
        <v>3648</v>
      </c>
      <c r="G19" s="709">
        <f>WAGas09_08!N$69</f>
        <v>0</v>
      </c>
      <c r="H19" s="710"/>
      <c r="I19" s="749"/>
      <c r="J19" s="192" t="s">
        <v>464</v>
      </c>
      <c r="K19" s="712" t="s">
        <v>368</v>
      </c>
      <c r="L19" s="712"/>
      <c r="M19" s="712"/>
      <c r="N19" s="712"/>
      <c r="O19" s="713"/>
      <c r="P19" s="713"/>
      <c r="Q19" s="712"/>
      <c r="R19" s="711"/>
    </row>
    <row r="20" spans="1:18" s="714" customFormat="1">
      <c r="A20" s="695" t="str">
        <f>WAGas09_08!O$10</f>
        <v>j</v>
      </c>
      <c r="B20" s="696" t="str">
        <f>TRIM(CONCATENATE(WAGas09_08!O$7," ",WAGas09_08!O$8," ",WAGas09_08!O$9))</f>
        <v>Eliminate B &amp; O Taxes</v>
      </c>
      <c r="C20" s="697"/>
      <c r="D20" s="697"/>
      <c r="E20" s="697"/>
      <c r="F20" s="709">
        <f>WAGas09_08!O$52</f>
        <v>-4</v>
      </c>
      <c r="G20" s="709">
        <f>WAGas09_08!O$69</f>
        <v>0</v>
      </c>
      <c r="H20" s="715"/>
      <c r="I20" s="1108" t="s">
        <v>286</v>
      </c>
      <c r="K20" s="718"/>
      <c r="L20" s="718"/>
      <c r="M20" s="718"/>
      <c r="N20" s="718"/>
      <c r="O20" s="719"/>
      <c r="P20" s="719"/>
      <c r="Q20" s="718"/>
      <c r="R20" s="716"/>
    </row>
    <row r="21" spans="1:18" s="714" customFormat="1">
      <c r="A21" s="695" t="str">
        <f>WAGas09_08!P$10</f>
        <v>k</v>
      </c>
      <c r="B21" s="696" t="str">
        <f>TRIM(CONCATENATE(WAGas09_08!P$7," ",WAGas09_08!P$8," ",WAGas09_08!P$9))</f>
        <v>Property Tax</v>
      </c>
      <c r="C21" s="697"/>
      <c r="D21" s="697"/>
      <c r="E21" s="697"/>
      <c r="F21" s="709">
        <f>WAGas09_08!P$52</f>
        <v>193</v>
      </c>
      <c r="G21" s="709">
        <f>WAGas09_08!P$69</f>
        <v>0</v>
      </c>
      <c r="H21" s="715"/>
      <c r="I21" s="749" t="s">
        <v>501</v>
      </c>
      <c r="J21" s="192"/>
      <c r="K21" s="718"/>
      <c r="L21" s="718"/>
      <c r="M21" s="718"/>
      <c r="N21" s="718"/>
      <c r="O21" s="719"/>
      <c r="P21" s="719"/>
      <c r="Q21" s="718"/>
      <c r="R21" s="716"/>
    </row>
    <row r="22" spans="1:18" s="714" customFormat="1">
      <c r="A22" s="695" t="str">
        <f>WAGas09_08!Q$10</f>
        <v>l</v>
      </c>
      <c r="B22" s="696" t="str">
        <f>TRIM(CONCATENATE(WAGas09_08!Q$7," ",WAGas09_08!Q$8," ",WAGas09_08!Q$9))</f>
        <v>Uncollectible Expense</v>
      </c>
      <c r="C22" s="697"/>
      <c r="D22" s="697"/>
      <c r="E22" s="697"/>
      <c r="F22" s="709">
        <f>WAGas09_08!Q$52</f>
        <v>93</v>
      </c>
      <c r="G22" s="709">
        <f>WAGas09_08!Q$69</f>
        <v>0</v>
      </c>
      <c r="H22" s="715"/>
      <c r="I22" s="749" t="s">
        <v>362</v>
      </c>
      <c r="J22" s="192"/>
      <c r="K22" s="718"/>
      <c r="L22" s="718"/>
      <c r="M22" s="718"/>
      <c r="N22" s="718"/>
      <c r="O22" s="719"/>
      <c r="P22" s="719"/>
      <c r="Q22" s="718"/>
      <c r="R22" s="716"/>
    </row>
    <row r="23" spans="1:18" s="714" customFormat="1">
      <c r="A23" s="695" t="str">
        <f>WAGas09_08!R$10</f>
        <v>m</v>
      </c>
      <c r="B23" s="696" t="str">
        <f>TRIM(CONCATENATE(WAGas09_08!R$7," ",WAGas09_08!R$8," ",WAGas09_08!R$9))</f>
        <v>Regulatory Expense Adjustment</v>
      </c>
      <c r="C23" s="697"/>
      <c r="D23" s="697"/>
      <c r="E23" s="697"/>
      <c r="F23" s="709">
        <f>WAGas09_08!R$52</f>
        <v>-9</v>
      </c>
      <c r="G23" s="709">
        <f>WAGas09_08!R$69</f>
        <v>0</v>
      </c>
      <c r="H23" s="715"/>
      <c r="I23" s="749" t="s">
        <v>501</v>
      </c>
      <c r="J23" s="192"/>
      <c r="K23" s="718"/>
      <c r="L23" s="718"/>
      <c r="M23" s="718"/>
      <c r="N23" s="718"/>
      <c r="O23" s="719"/>
      <c r="P23" s="719"/>
      <c r="Q23" s="718"/>
      <c r="R23" s="716"/>
    </row>
    <row r="24" spans="1:18" s="714" customFormat="1">
      <c r="A24" s="695" t="str">
        <f>WAGas09_08!S$10</f>
        <v>n</v>
      </c>
      <c r="B24" s="696" t="str">
        <f>TRIM(CONCATENATE(WAGas09_08!S$7," ",WAGas09_08!S$8," ",WAGas09_08!S$9))</f>
        <v>Injuries and Damages</v>
      </c>
      <c r="C24" s="697"/>
      <c r="D24" s="697"/>
      <c r="E24" s="697"/>
      <c r="F24" s="709">
        <f>WAGas09_08!S$52</f>
        <v>42</v>
      </c>
      <c r="G24" s="709">
        <f>WAGas09_08!S$69</f>
        <v>0</v>
      </c>
      <c r="H24" s="715"/>
      <c r="I24" s="749" t="s">
        <v>501</v>
      </c>
      <c r="J24" s="703"/>
      <c r="K24" s="718"/>
      <c r="L24" s="718"/>
      <c r="M24" s="718"/>
      <c r="N24" s="718"/>
      <c r="O24" s="719"/>
      <c r="P24" s="719"/>
      <c r="Q24" s="718"/>
      <c r="R24" s="716"/>
    </row>
    <row r="25" spans="1:18" s="714" customFormat="1">
      <c r="A25" s="695" t="str">
        <f>WAGas09_08!T$10</f>
        <v>o</v>
      </c>
      <c r="B25" s="696" t="str">
        <f>TRIM(CONCATENATE(WAGas09_08!T$7," ",WAGas09_08!T$8," ",WAGas09_08!T$9))</f>
        <v>FIT</v>
      </c>
      <c r="C25" s="697"/>
      <c r="D25" s="697"/>
      <c r="E25" s="697"/>
      <c r="F25" s="709">
        <f>WAGas09_08!T$52</f>
        <v>-10</v>
      </c>
      <c r="G25" s="709">
        <f>WAGas09_08!T$69</f>
        <v>0</v>
      </c>
      <c r="H25" s="715"/>
      <c r="I25" s="1108" t="s">
        <v>346</v>
      </c>
      <c r="K25" s="718"/>
      <c r="L25" s="1089" t="s">
        <v>493</v>
      </c>
      <c r="M25" s="718"/>
      <c r="N25" s="718"/>
      <c r="O25" s="719"/>
      <c r="P25" s="719"/>
      <c r="Q25" s="718"/>
      <c r="R25" s="716"/>
    </row>
    <row r="26" spans="1:18" s="714" customFormat="1">
      <c r="A26" s="695" t="str">
        <f>WAGas09_08!U$10</f>
        <v>p</v>
      </c>
      <c r="B26" s="696" t="str">
        <f>TRIM(CONCATENATE(WAGas09_08!U$7," ",WAGas09_08!U$8," ",WAGas09_08!U$9))</f>
        <v>Net Gains/losses</v>
      </c>
      <c r="C26" s="697"/>
      <c r="D26" s="697"/>
      <c r="E26" s="697"/>
      <c r="F26" s="709">
        <f>WAGas09_08!U$52</f>
        <v>8</v>
      </c>
      <c r="G26" s="709">
        <f>WAGas09_08!U$69</f>
        <v>0</v>
      </c>
      <c r="H26" s="715"/>
      <c r="I26" s="749" t="s">
        <v>501</v>
      </c>
      <c r="J26" s="703"/>
      <c r="K26" s="718"/>
      <c r="L26" s="718"/>
      <c r="M26" s="718"/>
      <c r="N26" s="718"/>
      <c r="O26" s="719"/>
      <c r="P26" s="719"/>
      <c r="Q26" s="718"/>
      <c r="R26" s="716"/>
    </row>
    <row r="27" spans="1:18" s="714" customFormat="1">
      <c r="A27" s="695" t="str">
        <f>WAGas09_08!V$10</f>
        <v>q</v>
      </c>
      <c r="B27" s="696" t="str">
        <f>TRIM(CONCATENATE(WAGas09_08!V$7," ",WAGas09_08!V$8," ",WAGas09_08!V$9))</f>
        <v>Eliminate A/R Expenses</v>
      </c>
      <c r="C27" s="697"/>
      <c r="D27" s="697"/>
      <c r="E27" s="697"/>
      <c r="F27" s="709">
        <f>WAGas09_08!V$52</f>
        <v>55</v>
      </c>
      <c r="G27" s="709">
        <f>WAGas09_08!V$69</f>
        <v>0</v>
      </c>
      <c r="H27" s="715"/>
      <c r="I27" s="749" t="s">
        <v>501</v>
      </c>
      <c r="J27" s="703"/>
      <c r="K27" s="718"/>
      <c r="L27" s="718"/>
      <c r="M27" s="718"/>
      <c r="N27" s="718"/>
      <c r="O27" s="719"/>
      <c r="P27" s="719"/>
      <c r="Q27" s="718"/>
      <c r="R27" s="716"/>
    </row>
    <row r="28" spans="1:18" s="714" customFormat="1">
      <c r="A28" s="695" t="str">
        <f>WAGas09_08!W$10</f>
        <v>r</v>
      </c>
      <c r="B28" s="696" t="str">
        <f>TRIM(CONCATENATE(WAGas09_08!W$7," ",WAGas09_08!W$8," ",WAGas09_08!W$9))</f>
        <v>Office Space Charges to Subs</v>
      </c>
      <c r="C28" s="697"/>
      <c r="D28" s="697"/>
      <c r="E28" s="697"/>
      <c r="F28" s="709">
        <f>WAGas09_08!W$52</f>
        <v>1</v>
      </c>
      <c r="G28" s="709">
        <f>WAGas09_08!W$69</f>
        <v>0</v>
      </c>
      <c r="H28" s="715"/>
      <c r="I28" s="749" t="s">
        <v>362</v>
      </c>
      <c r="J28" s="192"/>
      <c r="K28" s="1070"/>
      <c r="L28" s="1070"/>
      <c r="M28" s="718"/>
      <c r="N28" s="718"/>
      <c r="O28" s="719"/>
      <c r="P28" s="719"/>
      <c r="Q28" s="718"/>
      <c r="R28" s="716"/>
    </row>
    <row r="29" spans="1:18" s="714" customFormat="1">
      <c r="A29" s="695" t="str">
        <f>WAGas09_08!X$10</f>
        <v>s</v>
      </c>
      <c r="B29" s="696" t="str">
        <f>TRIM(CONCATENATE(WAGas09_08!X$7," ",WAGas09_08!X$8," ",WAGas09_08!X$9))</f>
        <v>Restate Excise Taxes</v>
      </c>
      <c r="C29" s="697"/>
      <c r="D29" s="697"/>
      <c r="E29" s="697"/>
      <c r="F29" s="709">
        <f>WAGas09_08!X$52</f>
        <v>-51</v>
      </c>
      <c r="G29" s="709">
        <f>WAGas09_08!X$69</f>
        <v>0</v>
      </c>
      <c r="H29" s="715"/>
      <c r="I29" s="1108" t="s">
        <v>286</v>
      </c>
      <c r="K29" s="718"/>
      <c r="L29" s="718"/>
      <c r="M29" s="718"/>
      <c r="N29" s="718"/>
      <c r="O29" s="719"/>
      <c r="P29" s="719"/>
      <c r="Q29" s="718"/>
      <c r="R29" s="716"/>
    </row>
    <row r="30" spans="1:18" s="1069" customFormat="1">
      <c r="A30" s="1058" t="str">
        <f>WAGas09_08!Y$10</f>
        <v>t</v>
      </c>
      <c r="B30" s="1059" t="str">
        <f>TRIM(CONCATENATE(WAGas09_08!Y$7," ",WAGas09_08!Y$8," ",WAGas09_08!Y$9))</f>
        <v>Misc Restating Adjustments</v>
      </c>
      <c r="C30" s="1060"/>
      <c r="D30" s="1060"/>
      <c r="E30" s="1060"/>
      <c r="F30" s="1061">
        <f>WAGas09_08!Y$52</f>
        <v>56</v>
      </c>
      <c r="G30" s="1061">
        <f>WAGas09_08!Y$69</f>
        <v>0</v>
      </c>
      <c r="H30" s="1062"/>
      <c r="I30" s="1107" t="s">
        <v>362</v>
      </c>
      <c r="J30" s="703"/>
      <c r="K30" s="1070"/>
      <c r="L30" s="1070"/>
      <c r="M30" s="1070"/>
      <c r="N30" s="1070"/>
      <c r="O30" s="1071"/>
      <c r="P30" s="1071"/>
      <c r="Q30" s="1070"/>
      <c r="R30" s="1072"/>
    </row>
    <row r="31" spans="1:18" s="1069" customFormat="1" ht="13.5" customHeight="1">
      <c r="A31" s="1058" t="str">
        <f>WAGas09_08!Z$10</f>
        <v>u</v>
      </c>
      <c r="B31" s="1059" t="str">
        <f>TRIM(CONCATENATE(WAGas09_08!Z$7," ",WAGas09_08!Z$8," ",WAGas09_08!Z$9))</f>
        <v>Restate Debt Interest</v>
      </c>
      <c r="C31" s="1060"/>
      <c r="D31" s="1060"/>
      <c r="E31" s="1060"/>
      <c r="F31" s="1061">
        <f>WAGas09_08!Z$52</f>
        <v>186.56095499999986</v>
      </c>
      <c r="G31" s="1061">
        <f>WAGas09_08!Z$69</f>
        <v>0</v>
      </c>
      <c r="H31" s="1062"/>
      <c r="I31" s="1107"/>
      <c r="J31" s="703" t="s">
        <v>285</v>
      </c>
      <c r="K31" s="1070" t="s">
        <v>485</v>
      </c>
      <c r="L31" s="1070"/>
      <c r="M31" s="1070"/>
      <c r="N31" s="1070"/>
      <c r="O31" s="1071"/>
      <c r="P31" s="1071"/>
      <c r="Q31" s="1070"/>
      <c r="R31" s="1072"/>
    </row>
    <row r="32" spans="1:18" hidden="1">
      <c r="A32" s="695"/>
      <c r="B32" s="696"/>
      <c r="F32" s="702"/>
      <c r="G32" s="702"/>
      <c r="I32" s="750"/>
      <c r="K32" s="687"/>
      <c r="L32" s="687"/>
      <c r="M32" s="687"/>
      <c r="N32" s="687"/>
      <c r="O32" s="691"/>
      <c r="P32" s="691"/>
      <c r="Q32" s="687"/>
      <c r="R32" s="686"/>
    </row>
    <row r="33" spans="1:18" hidden="1">
      <c r="A33" s="695"/>
      <c r="B33" s="696"/>
      <c r="F33" s="709"/>
      <c r="G33" s="709"/>
      <c r="I33" s="750"/>
      <c r="L33" s="687"/>
      <c r="M33" s="687"/>
      <c r="N33" s="687"/>
      <c r="O33" s="691"/>
      <c r="P33" s="691"/>
      <c r="Q33" s="687"/>
      <c r="R33" s="686"/>
    </row>
    <row r="34" spans="1:18" ht="13.5" thickBot="1">
      <c r="A34" s="703"/>
      <c r="B34" s="191" t="s">
        <v>117</v>
      </c>
      <c r="F34" s="704">
        <f>SUM(F17:F33)</f>
        <v>16266.560954999999</v>
      </c>
      <c r="G34" s="704">
        <f>SUM(G17:G33)</f>
        <v>162013</v>
      </c>
      <c r="H34" s="869">
        <f>F34/G34</f>
        <v>0.10040281307672841</v>
      </c>
      <c r="I34" s="750"/>
      <c r="J34" s="1006">
        <f>WAGas09_08!AB70</f>
        <v>0.1004</v>
      </c>
      <c r="K34" s="687"/>
      <c r="L34" s="687"/>
      <c r="M34" s="687"/>
      <c r="N34" s="687"/>
      <c r="O34" s="691"/>
      <c r="P34" s="691"/>
      <c r="Q34" s="687"/>
      <c r="R34" s="686"/>
    </row>
    <row r="35" spans="1:18" ht="13.5" thickTop="1">
      <c r="A35" s="192"/>
      <c r="E35" s="701"/>
      <c r="F35" s="701"/>
      <c r="I35" s="749"/>
      <c r="J35" s="191"/>
      <c r="K35" s="687"/>
      <c r="L35" s="687"/>
      <c r="M35" s="687"/>
      <c r="N35" s="687"/>
      <c r="O35" s="691"/>
      <c r="P35" s="691"/>
      <c r="Q35" s="687"/>
      <c r="R35" s="686"/>
    </row>
    <row r="36" spans="1:18">
      <c r="A36" s="695" t="str">
        <f>WAGas09_08!AC$10</f>
        <v>PF1</v>
      </c>
      <c r="B36" s="696" t="str">
        <f>TRIM(CONCATENATE(WAGas09_08!AC$7," ",WAGas09_08!AC$8," ",WAGas09_08!AC$9))</f>
        <v>Pro Forma Labor Non-Exec</v>
      </c>
      <c r="C36" s="697"/>
      <c r="D36" s="697"/>
      <c r="E36" s="697"/>
      <c r="F36" s="709">
        <f>WAGas09_08!AC$52</f>
        <v>-511</v>
      </c>
      <c r="G36" s="709">
        <f>WAGas09_08!AC$69</f>
        <v>0</v>
      </c>
      <c r="I36" s="1108" t="s">
        <v>346</v>
      </c>
      <c r="K36" s="687"/>
      <c r="L36" s="687"/>
      <c r="M36" s="687"/>
      <c r="N36" s="687"/>
      <c r="O36" s="691"/>
      <c r="P36" s="691"/>
      <c r="Q36" s="687"/>
      <c r="R36" s="686"/>
    </row>
    <row r="37" spans="1:18" ht="13.5" customHeight="1">
      <c r="A37" s="695" t="str">
        <f>WAGas09_08!AD$10</f>
        <v>PF2</v>
      </c>
      <c r="B37" s="696" t="str">
        <f>TRIM(CONCATENATE(WAGas09_08!AD$7," ",WAGas09_08!AD$8," ",WAGas09_08!AD$9))</f>
        <v>Pro Forma Labor Exec</v>
      </c>
      <c r="C37" s="697"/>
      <c r="D37" s="697"/>
      <c r="E37" s="697"/>
      <c r="F37" s="709">
        <f>WAGas09_08!AD$52</f>
        <v>-44</v>
      </c>
      <c r="G37" s="709">
        <f>WAGas09_08!AD$69</f>
        <v>0</v>
      </c>
      <c r="I37" s="1108" t="s">
        <v>346</v>
      </c>
      <c r="K37" s="687"/>
      <c r="L37" s="687"/>
      <c r="M37" s="687"/>
      <c r="N37" s="687"/>
      <c r="O37" s="691"/>
      <c r="P37" s="691"/>
      <c r="Q37" s="687"/>
      <c r="R37" s="686"/>
    </row>
    <row r="38" spans="1:18" s="1066" customFormat="1" ht="14.25" customHeight="1">
      <c r="A38" s="1058" t="str">
        <f>WAGas09_08!AE$10</f>
        <v>PF3</v>
      </c>
      <c r="B38" s="1059" t="str">
        <f>TRIM(CONCATENATE(WAGas09_08!AE$7," ",WAGas09_08!AE$8," ",WAGas09_08!AE$9))</f>
        <v>Pro Forma JP Storage</v>
      </c>
      <c r="C38" s="1060"/>
      <c r="D38" s="1060"/>
      <c r="E38" s="1060"/>
      <c r="F38" s="1061">
        <f>WAGas09_08!AE$52</f>
        <v>-1778</v>
      </c>
      <c r="G38" s="1061">
        <f>WAGas09_08!AE$69</f>
        <v>8922</v>
      </c>
      <c r="H38" s="1062"/>
      <c r="I38" s="1107" t="s">
        <v>464</v>
      </c>
      <c r="J38" s="703"/>
      <c r="K38" s="1063"/>
      <c r="L38" s="1089" t="s">
        <v>493</v>
      </c>
      <c r="M38" s="1063"/>
      <c r="N38" s="1063"/>
      <c r="O38" s="1064"/>
      <c r="P38" s="1064"/>
      <c r="Q38" s="1063"/>
      <c r="R38" s="1065"/>
    </row>
    <row r="39" spans="1:18" s="1066" customFormat="1" ht="14.25" customHeight="1">
      <c r="A39" s="1058" t="str">
        <f>WAGas09_08!AF$10</f>
        <v>PF4</v>
      </c>
      <c r="B39" s="1059" t="str">
        <f>TRIM(CONCATENATE(WAGas09_08!AF$7," ",WAGas09_08!AF$8," ",WAGas09_08!AF$9))</f>
        <v>Pro Forma Capital Add 2008</v>
      </c>
      <c r="C39" s="1060"/>
      <c r="D39" s="1060"/>
      <c r="E39" s="1060"/>
      <c r="F39" s="1061">
        <f>WAGas09_08!AF$52</f>
        <v>294</v>
      </c>
      <c r="G39" s="1061">
        <f>WAGas09_08!AF$69</f>
        <v>1234</v>
      </c>
      <c r="H39" s="1062"/>
      <c r="I39" s="1107" t="s">
        <v>362</v>
      </c>
      <c r="J39" s="1067"/>
      <c r="K39" s="1063"/>
      <c r="L39" s="1063"/>
      <c r="M39" s="1063"/>
      <c r="N39" s="1063"/>
      <c r="O39" s="1064"/>
      <c r="P39" s="1064"/>
      <c r="Q39" s="1063"/>
      <c r="R39" s="1065"/>
    </row>
    <row r="40" spans="1:18" s="1066" customFormat="1" ht="13.5" customHeight="1">
      <c r="A40" s="1058" t="str">
        <f>WAGas09_08!AG$10</f>
        <v>PF5</v>
      </c>
      <c r="B40" s="1059" t="str">
        <f>TRIM(CONCATENATE(WAGas09_08!AG$7," ",WAGas09_08!AG$8," ",WAGas09_08!AG$9))</f>
        <v>Pro Forma Capital Add 2009</v>
      </c>
      <c r="C40" s="1060"/>
      <c r="D40" s="1060"/>
      <c r="E40" s="1060"/>
      <c r="F40" s="1061">
        <f>WAGas09_08!AG$52</f>
        <v>-596</v>
      </c>
      <c r="G40" s="1061">
        <f>WAGas09_08!AG$69</f>
        <v>6094</v>
      </c>
      <c r="H40" s="1062"/>
      <c r="I40" s="1107" t="s">
        <v>362</v>
      </c>
      <c r="J40" s="1067"/>
      <c r="K40" s="1063"/>
      <c r="L40" s="1063"/>
      <c r="M40" s="1063"/>
      <c r="N40" s="1063"/>
      <c r="O40" s="1064"/>
      <c r="P40" s="1064"/>
      <c r="Q40" s="1063"/>
      <c r="R40" s="1065"/>
    </row>
    <row r="41" spans="1:18" s="1066" customFormat="1" ht="13.5" customHeight="1">
      <c r="A41" s="1058" t="str">
        <f>WAGas09_08!AH$10</f>
        <v>PF6</v>
      </c>
      <c r="B41" s="1059" t="str">
        <f>TRIM(CONCATENATE(WAGas09_08!AH$7," ",WAGas09_08!AH$8," ",WAGas09_08!AH$9))</f>
        <v>Pro Forma Asset Management</v>
      </c>
      <c r="C41" s="1060"/>
      <c r="D41" s="1060"/>
      <c r="E41" s="1060"/>
      <c r="F41" s="1061">
        <f>WAGas09_08!AH$52</f>
        <v>-57</v>
      </c>
      <c r="G41" s="1061">
        <f>WAGas09_08!AH$69</f>
        <v>0</v>
      </c>
      <c r="H41" s="1062"/>
      <c r="I41" s="1107" t="s">
        <v>285</v>
      </c>
      <c r="J41" s="1067"/>
      <c r="K41" s="1063"/>
      <c r="L41" s="1063"/>
      <c r="M41" s="1063"/>
      <c r="N41" s="1063"/>
      <c r="O41" s="1064"/>
      <c r="P41" s="1064"/>
      <c r="Q41" s="1063"/>
      <c r="R41" s="1065"/>
    </row>
    <row r="42" spans="1:18">
      <c r="A42" s="695" t="str">
        <f>WAGas09_08!AI$10</f>
        <v>PF7</v>
      </c>
      <c r="B42" s="696" t="str">
        <f>TRIM(CONCATENATE(WAGas09_08!AI$7," ",WAGas09_08!AI$8," ",WAGas09_08!AI$9))</f>
        <v>Pro Forma Incentives</v>
      </c>
      <c r="C42" s="697"/>
      <c r="D42" s="697"/>
      <c r="E42" s="697"/>
      <c r="F42" s="709">
        <f>WAGas09_08!AI$52</f>
        <v>-99</v>
      </c>
      <c r="G42" s="709">
        <f>WAGas09_08!AI$69</f>
        <v>0</v>
      </c>
      <c r="H42" s="715"/>
      <c r="I42" s="749" t="s">
        <v>362</v>
      </c>
      <c r="J42" s="192"/>
      <c r="K42" s="687"/>
      <c r="L42" s="687"/>
      <c r="M42" s="687"/>
      <c r="N42" s="687"/>
      <c r="O42" s="691"/>
      <c r="P42" s="691"/>
      <c r="Q42" s="687"/>
      <c r="R42" s="686"/>
    </row>
    <row r="43" spans="1:18">
      <c r="A43" s="695" t="str">
        <f>WAGas09_08!AJ$10</f>
        <v>PF8</v>
      </c>
      <c r="B43" s="696" t="str">
        <f>TRIM(CONCATENATE(WAGas09_08!AJ$7," ",WAGas09_08!AJ$8," ",WAGas09_08!AJ$9))</f>
        <v>Pro Forma Information Services</v>
      </c>
      <c r="C43" s="697"/>
      <c r="D43" s="697"/>
      <c r="E43" s="697"/>
      <c r="F43" s="709">
        <f>WAGas09_08!AJ$52</f>
        <v>-292</v>
      </c>
      <c r="G43" s="709">
        <f>WAGas09_08!AJ$69</f>
        <v>0</v>
      </c>
      <c r="H43" s="715"/>
      <c r="I43" s="749" t="s">
        <v>285</v>
      </c>
      <c r="J43" s="192"/>
      <c r="K43" s="687"/>
      <c r="L43" s="687"/>
      <c r="M43" s="687"/>
      <c r="N43" s="687"/>
      <c r="O43" s="691"/>
      <c r="P43" s="691"/>
      <c r="Q43" s="687"/>
      <c r="R43" s="686"/>
    </row>
    <row r="44" spans="1:18">
      <c r="A44" s="695" t="str">
        <f>WAGas09_08!AK$10</f>
        <v>PF9</v>
      </c>
      <c r="B44" s="696" t="str">
        <f>TRIM(CONCATENATE(WAGas09_08!AK$7," ",WAGas09_08!AK$8," ",WAGas09_08!AK$9))</f>
        <v>Pro Forma Employee Benefits</v>
      </c>
      <c r="C44" s="697"/>
      <c r="D44" s="697"/>
      <c r="E44" s="697"/>
      <c r="F44" s="709">
        <f>WAGas09_08!AK$52</f>
        <v>-681</v>
      </c>
      <c r="G44" s="709">
        <f>WAGas09_08!AK$69</f>
        <v>0</v>
      </c>
      <c r="I44" s="1108" t="s">
        <v>346</v>
      </c>
      <c r="K44" s="687" t="s">
        <v>508</v>
      </c>
      <c r="L44" s="687"/>
      <c r="M44" s="687"/>
      <c r="N44" s="687"/>
      <c r="O44" s="691"/>
      <c r="P44" s="691"/>
      <c r="Q44" s="687"/>
      <c r="R44" s="686"/>
    </row>
    <row r="45" spans="1:18">
      <c r="A45" s="695" t="str">
        <f>WAGas09_08!AL$10</f>
        <v>PF10</v>
      </c>
      <c r="B45" s="696" t="str">
        <f>TRIM(CONCATENATE(WAGas09_08!AL$7," ",WAGas09_08!AL$8," ",WAGas09_08!AL$9))</f>
        <v>Pro Forma Insurance</v>
      </c>
      <c r="C45" s="697"/>
      <c r="D45" s="697"/>
      <c r="E45" s="697"/>
      <c r="F45" s="709">
        <f>WAGas09_08!AL$52</f>
        <v>-51</v>
      </c>
      <c r="G45" s="709">
        <f>WAGas09_08!AL$69</f>
        <v>0</v>
      </c>
      <c r="H45" s="715"/>
      <c r="I45" s="749" t="s">
        <v>362</v>
      </c>
      <c r="J45" s="192"/>
      <c r="K45" s="687"/>
      <c r="L45" s="687"/>
      <c r="M45" s="687"/>
      <c r="N45" s="687"/>
      <c r="O45" s="691"/>
      <c r="P45" s="691"/>
      <c r="Q45" s="687"/>
      <c r="R45" s="686"/>
    </row>
    <row r="46" spans="1:18" hidden="1">
      <c r="A46" s="695" t="str">
        <f>WAGas09_08!AM$10</f>
        <v>PF11</v>
      </c>
      <c r="B46" s="696" t="str">
        <f>TRIM(CONCATENATE(WAGas09_08!AM$7," ",WAGas09_08!AM$8," ",WAGas09_08!AM$9))</f>
        <v>Pro Forma Open</v>
      </c>
      <c r="C46" s="697"/>
      <c r="D46" s="697"/>
      <c r="E46" s="697"/>
      <c r="F46" s="709">
        <f>WAGas09_08!AM$52</f>
        <v>0</v>
      </c>
      <c r="G46" s="709">
        <f>WAGas09_08!AM$69</f>
        <v>0</v>
      </c>
      <c r="H46" s="715"/>
      <c r="I46" s="749"/>
      <c r="J46" s="192"/>
      <c r="K46" s="687"/>
      <c r="L46" s="687"/>
      <c r="M46" s="687"/>
      <c r="N46" s="687"/>
      <c r="O46" s="691"/>
      <c r="P46" s="691"/>
      <c r="Q46" s="687"/>
      <c r="R46" s="686"/>
    </row>
    <row r="47" spans="1:18" ht="12" hidden="1" customHeight="1">
      <c r="A47" s="695" t="str">
        <f>WAGas09_08!AN$10</f>
        <v>PF12</v>
      </c>
      <c r="B47" s="696" t="str">
        <f>TRIM(CONCATENATE(WAGas09_08!AN$7," ",WAGas09_08!AN$8," ",WAGas09_08!AN$9))</f>
        <v>Pro Forma Open</v>
      </c>
      <c r="C47" s="697"/>
      <c r="D47" s="697"/>
      <c r="E47" s="697"/>
      <c r="F47" s="709">
        <f>WAGas09_08!AN$52</f>
        <v>0</v>
      </c>
      <c r="G47" s="709">
        <f>WAGas09_08!AN$69</f>
        <v>0</v>
      </c>
      <c r="H47" s="715"/>
      <c r="I47" s="749"/>
      <c r="K47" s="687"/>
      <c r="L47" s="687"/>
      <c r="M47" s="687"/>
      <c r="N47" s="687"/>
      <c r="O47" s="691"/>
      <c r="P47" s="691"/>
      <c r="Q47" s="687"/>
      <c r="R47" s="686"/>
    </row>
    <row r="48" spans="1:18" ht="1.5" hidden="1" customHeight="1">
      <c r="A48" s="695">
        <f>WAGas09_08!AO$10</f>
        <v>0</v>
      </c>
      <c r="B48" s="696" t="str">
        <f>TRIM(CONCATENATE(WAGas09_08!AO$7," ",WAGas09_08!AO$8," ",WAGas09_08!AO$9))</f>
        <v>keep me blank</v>
      </c>
      <c r="C48" s="697"/>
      <c r="D48" s="697"/>
      <c r="E48" s="697"/>
      <c r="F48" s="709">
        <f>WAGas09_08!AO$52</f>
        <v>0</v>
      </c>
      <c r="G48" s="709">
        <f>WAGas09_08!AO$69</f>
        <v>0</v>
      </c>
      <c r="H48" s="715"/>
      <c r="I48" s="192"/>
      <c r="K48" s="687"/>
      <c r="L48" s="687"/>
      <c r="M48" s="687"/>
      <c r="N48" s="687"/>
      <c r="O48" s="691"/>
      <c r="P48" s="691"/>
      <c r="Q48" s="687"/>
      <c r="R48" s="686"/>
    </row>
    <row r="49" spans="1:20" hidden="1">
      <c r="A49" s="695"/>
      <c r="B49" s="696"/>
      <c r="C49" s="697"/>
      <c r="D49" s="697"/>
      <c r="E49" s="697"/>
      <c r="F49" s="709"/>
      <c r="G49" s="709"/>
      <c r="H49" s="717"/>
      <c r="I49" s="192"/>
      <c r="K49" s="687"/>
      <c r="L49" s="687"/>
      <c r="M49" s="687"/>
      <c r="N49" s="687"/>
      <c r="O49" s="691"/>
      <c r="P49" s="691"/>
      <c r="Q49" s="687"/>
      <c r="R49" s="686"/>
    </row>
    <row r="50" spans="1:20" ht="13.5" thickBot="1">
      <c r="A50" s="192"/>
      <c r="B50" s="191" t="s">
        <v>290</v>
      </c>
      <c r="F50" s="704">
        <f>SUM(F34:F49)</f>
        <v>12451.560954999999</v>
      </c>
      <c r="G50" s="704">
        <f>SUM(G34:G49)</f>
        <v>178263</v>
      </c>
      <c r="H50" s="708">
        <f>F50/G50</f>
        <v>6.9849385206128017E-2</v>
      </c>
      <c r="I50" s="829"/>
      <c r="J50" s="1005">
        <f>WAGas09_08!AP70</f>
        <v>6.9800000000000001E-2</v>
      </c>
      <c r="K50" s="687"/>
      <c r="L50" s="687"/>
      <c r="M50" s="687"/>
      <c r="N50" s="687"/>
      <c r="O50" s="691"/>
      <c r="P50" s="691"/>
      <c r="Q50" s="687"/>
      <c r="R50" s="686"/>
    </row>
    <row r="51" spans="1:20" ht="13.5" thickTop="1">
      <c r="A51" s="192"/>
      <c r="E51" s="701"/>
      <c r="F51" s="701"/>
      <c r="I51" s="192"/>
      <c r="K51" s="687"/>
      <c r="L51" s="687"/>
      <c r="M51" s="687"/>
      <c r="N51" s="687"/>
      <c r="O51" s="691"/>
      <c r="P51" s="691"/>
      <c r="Q51" s="687"/>
      <c r="R51" s="686"/>
    </row>
    <row r="52" spans="1:20" hidden="1">
      <c r="A52" s="192"/>
      <c r="E52" s="701"/>
      <c r="F52" s="701"/>
      <c r="I52" s="192"/>
      <c r="J52" s="1005"/>
      <c r="K52" s="687"/>
      <c r="L52" s="687"/>
      <c r="M52" s="687"/>
      <c r="N52" s="687"/>
      <c r="O52" s="691"/>
      <c r="P52" s="691"/>
      <c r="Q52" s="687"/>
      <c r="R52" s="686"/>
    </row>
    <row r="53" spans="1:20" hidden="1">
      <c r="A53" s="695"/>
      <c r="B53" s="696"/>
      <c r="E53" s="701"/>
      <c r="F53" s="701"/>
      <c r="M53" s="687"/>
      <c r="N53" s="687"/>
      <c r="O53" s="691"/>
      <c r="P53" s="691"/>
      <c r="Q53" s="687"/>
      <c r="R53" s="686"/>
      <c r="S53" s="687"/>
      <c r="T53" s="1027" t="s">
        <v>476</v>
      </c>
    </row>
    <row r="54" spans="1:20" hidden="1">
      <c r="A54" s="695"/>
      <c r="B54" s="696"/>
      <c r="E54" s="701"/>
      <c r="F54" s="701"/>
      <c r="M54" s="687"/>
      <c r="N54" s="687"/>
      <c r="O54" s="691"/>
      <c r="P54" s="691"/>
      <c r="Q54" s="687"/>
      <c r="R54" s="686"/>
      <c r="S54" s="1041"/>
      <c r="T54" s="1039">
        <v>8.4099999999999994E-2</v>
      </c>
    </row>
    <row r="55" spans="1:20" hidden="1">
      <c r="A55" s="695"/>
      <c r="B55" s="696"/>
      <c r="E55" s="701"/>
      <c r="F55" s="701"/>
      <c r="M55" s="687"/>
      <c r="N55" s="687"/>
      <c r="O55" s="691"/>
      <c r="P55" s="691"/>
      <c r="Q55" s="687"/>
      <c r="R55" s="686"/>
      <c r="S55" s="1041" t="s">
        <v>473</v>
      </c>
      <c r="T55" s="1040">
        <f>WAGas09_08!AP13+WAGas09_08!AP14</f>
        <v>215587</v>
      </c>
    </row>
    <row r="56" spans="1:20" hidden="1">
      <c r="A56" s="695"/>
      <c r="B56" s="696"/>
      <c r="E56" s="701"/>
      <c r="F56" s="701"/>
      <c r="M56" s="687"/>
      <c r="N56" s="687"/>
      <c r="O56" s="691"/>
      <c r="P56" s="691"/>
      <c r="Q56" s="687"/>
      <c r="R56" s="686"/>
      <c r="S56" s="1041"/>
      <c r="T56" s="1041"/>
    </row>
    <row r="57" spans="1:20" hidden="1">
      <c r="A57" s="695"/>
      <c r="B57" s="696"/>
      <c r="E57" s="701"/>
      <c r="F57" s="701"/>
      <c r="J57" s="192"/>
      <c r="M57" s="687"/>
      <c r="N57" s="687"/>
      <c r="O57" s="691"/>
      <c r="P57" s="691"/>
      <c r="Q57" s="687"/>
      <c r="R57" s="686"/>
      <c r="S57" s="1042" t="s">
        <v>475</v>
      </c>
      <c r="T57" s="1038">
        <f>((G34*T54)-F34)/0.622/T55</f>
        <v>-1.9696971621203138E-2</v>
      </c>
    </row>
    <row r="58" spans="1:20" hidden="1">
      <c r="A58" s="867"/>
      <c r="B58" s="696"/>
      <c r="E58" s="701"/>
      <c r="F58" s="701"/>
      <c r="J58" s="192"/>
      <c r="M58" s="687"/>
      <c r="N58" s="687"/>
      <c r="O58" s="691"/>
      <c r="P58" s="691"/>
      <c r="Q58" s="687"/>
      <c r="R58" s="686"/>
      <c r="S58" s="1042" t="s">
        <v>474</v>
      </c>
      <c r="T58" s="1038">
        <f>((G50*T54)-F50)/0.64/T55</f>
        <v>1.8411631274439091E-2</v>
      </c>
    </row>
    <row r="59" spans="1:20" hidden="1">
      <c r="A59" s="867"/>
      <c r="B59" s="696"/>
      <c r="E59" s="701"/>
      <c r="F59" s="701"/>
      <c r="I59" s="192"/>
      <c r="K59" s="687"/>
      <c r="L59" s="687"/>
      <c r="M59" s="687"/>
      <c r="N59" s="687"/>
      <c r="O59" s="691"/>
      <c r="P59" s="691"/>
      <c r="Q59" s="687"/>
      <c r="R59" s="686"/>
    </row>
    <row r="60" spans="1:20" hidden="1">
      <c r="A60" s="867"/>
      <c r="E60" s="701"/>
      <c r="J60" s="1007"/>
      <c r="K60" s="687"/>
      <c r="L60" s="687"/>
      <c r="M60" s="687"/>
      <c r="N60" s="687"/>
      <c r="O60" s="691"/>
      <c r="P60" s="691"/>
      <c r="Q60" s="687"/>
      <c r="R60" s="686"/>
    </row>
    <row r="61" spans="1:20" hidden="1">
      <c r="B61" s="687"/>
      <c r="C61" s="687"/>
      <c r="D61" s="687"/>
      <c r="E61" s="690"/>
      <c r="H61" s="191"/>
      <c r="I61" s="192"/>
      <c r="K61" s="687"/>
      <c r="L61" s="687"/>
      <c r="M61" s="687"/>
      <c r="N61" s="690"/>
      <c r="O61" s="690"/>
      <c r="P61" s="687"/>
      <c r="Q61" s="687"/>
      <c r="R61" s="686"/>
    </row>
    <row r="62" spans="1:20" hidden="1">
      <c r="H62" s="191"/>
      <c r="I62" s="192"/>
      <c r="K62" s="687"/>
      <c r="L62" s="687"/>
      <c r="M62" s="687"/>
      <c r="N62" s="690"/>
      <c r="O62" s="690"/>
      <c r="P62" s="687"/>
      <c r="Q62" s="687"/>
      <c r="R62" s="686"/>
    </row>
    <row r="63" spans="1:20" hidden="1">
      <c r="B63" s="687"/>
      <c r="C63" s="687"/>
      <c r="D63" s="687"/>
      <c r="E63" s="690"/>
      <c r="H63" s="191"/>
      <c r="I63" s="192"/>
      <c r="K63" s="687"/>
      <c r="L63" s="687"/>
      <c r="M63" s="687"/>
      <c r="N63" s="690"/>
      <c r="O63" s="690"/>
      <c r="P63" s="687"/>
      <c r="Q63" s="687"/>
      <c r="R63" s="686"/>
    </row>
    <row r="64" spans="1:20" hidden="1">
      <c r="B64" s="687"/>
      <c r="C64" s="687"/>
      <c r="D64" s="687"/>
      <c r="E64" s="690"/>
      <c r="H64" s="191"/>
      <c r="I64" s="192"/>
      <c r="K64" s="687"/>
      <c r="L64" s="687"/>
      <c r="M64" s="687"/>
      <c r="N64" s="690"/>
      <c r="O64" s="690"/>
      <c r="P64" s="687"/>
      <c r="Q64" s="687"/>
      <c r="R64" s="686"/>
    </row>
    <row r="65" spans="1:18" hidden="1">
      <c r="D65" s="686" t="str">
        <f>Inputs!$D$6</f>
        <v>AVISTA UTILITIES</v>
      </c>
      <c r="J65" s="1008"/>
    </row>
    <row r="66" spans="1:18" hidden="1">
      <c r="D66" s="192"/>
      <c r="J66" s="1008"/>
    </row>
    <row r="67" spans="1:18" s="687" customFormat="1" hidden="1">
      <c r="A67" s="191"/>
      <c r="B67" s="191"/>
      <c r="C67" s="191"/>
      <c r="D67" s="192" t="s">
        <v>110</v>
      </c>
      <c r="E67" s="191"/>
      <c r="F67" s="191"/>
      <c r="G67" s="191"/>
      <c r="H67" s="192"/>
      <c r="I67" s="686"/>
      <c r="J67" s="1008"/>
    </row>
    <row r="68" spans="1:18" s="687" customFormat="1" hidden="1">
      <c r="A68" s="191"/>
      <c r="B68" s="191"/>
      <c r="C68" s="191"/>
      <c r="D68" s="192" t="s">
        <v>118</v>
      </c>
      <c r="E68" s="191"/>
      <c r="F68" s="191"/>
      <c r="G68" s="191"/>
      <c r="H68" s="192"/>
      <c r="I68" s="686"/>
      <c r="J68" s="1008"/>
      <c r="N68" s="690"/>
      <c r="O68" s="691"/>
      <c r="P68" s="691"/>
    </row>
    <row r="69" spans="1:18" s="687" customFormat="1" hidden="1">
      <c r="A69" s="191"/>
      <c r="B69" s="191"/>
      <c r="C69" s="191"/>
      <c r="D69" s="194" t="str">
        <f>$D$5</f>
        <v>Twelve Months Ended September 30, 2008</v>
      </c>
      <c r="E69" s="191"/>
      <c r="F69" s="191"/>
      <c r="G69" s="191"/>
      <c r="H69" s="192"/>
      <c r="I69" s="686"/>
      <c r="J69" s="1008"/>
      <c r="N69" s="690"/>
      <c r="O69" s="691"/>
      <c r="P69" s="691"/>
    </row>
    <row r="70" spans="1:18" hidden="1">
      <c r="J70" s="1008"/>
    </row>
    <row r="71" spans="1:18" hidden="1">
      <c r="J71" s="1008"/>
    </row>
    <row r="72" spans="1:18" hidden="1">
      <c r="F72" s="693"/>
      <c r="G72" s="693" t="s">
        <v>118</v>
      </c>
      <c r="J72" s="1008"/>
    </row>
    <row r="73" spans="1:18" hidden="1">
      <c r="A73" s="693" t="s">
        <v>112</v>
      </c>
      <c r="B73" s="693" t="s">
        <v>113</v>
      </c>
      <c r="C73" s="192"/>
      <c r="D73" s="192"/>
      <c r="F73" s="693" t="s">
        <v>114</v>
      </c>
      <c r="G73" s="693" t="s">
        <v>30</v>
      </c>
      <c r="H73" s="705" t="s">
        <v>115</v>
      </c>
      <c r="I73" s="693" t="s">
        <v>283</v>
      </c>
      <c r="J73" s="1004" t="s">
        <v>284</v>
      </c>
      <c r="K73" s="687"/>
      <c r="L73" s="687"/>
      <c r="M73" s="193"/>
      <c r="N73" s="687"/>
      <c r="O73" s="687"/>
      <c r="P73" s="687"/>
      <c r="Q73" s="687"/>
      <c r="R73" s="686"/>
    </row>
    <row r="74" spans="1:18" hidden="1">
      <c r="A74" s="695" t="str">
        <f>IDGas12_07!F$10</f>
        <v>b</v>
      </c>
      <c r="B74" s="696" t="str">
        <f>TRIM(CONCATENATE(IDGas12_07!F$7," ",IDGas12_07!F$8," ",IDGas12_07!F$9))</f>
        <v>Per Results Report</v>
      </c>
      <c r="C74" s="697"/>
      <c r="D74" s="697"/>
      <c r="E74" s="697"/>
      <c r="F74" s="698">
        <f>IDGas12_07!F$52</f>
        <v>5806</v>
      </c>
      <c r="G74" s="698">
        <f>IDGas12_07!F$69</f>
        <v>90536</v>
      </c>
      <c r="I74" s="192" t="s">
        <v>285</v>
      </c>
      <c r="K74" s="687"/>
      <c r="L74" s="687"/>
      <c r="M74" s="687"/>
      <c r="N74" s="687"/>
      <c r="O74" s="687"/>
      <c r="P74" s="687"/>
      <c r="Q74" s="687"/>
      <c r="R74" s="686"/>
    </row>
    <row r="75" spans="1:18" s="714" customFormat="1" hidden="1">
      <c r="A75" s="695" t="str">
        <f>IDGas12_07!G$10</f>
        <v>c</v>
      </c>
      <c r="B75" s="696" t="str">
        <f>TRIM(CONCATENATE(IDGas12_07!G$7," ",IDGas12_07!G$8," ",IDGas12_07!G$9))</f>
        <v>Deferred FIT Rate Base</v>
      </c>
      <c r="C75" s="697"/>
      <c r="D75" s="697"/>
      <c r="E75" s="697"/>
      <c r="F75" s="709">
        <f>IDGas12_07!G$52</f>
        <v>0</v>
      </c>
      <c r="G75" s="709">
        <f>IDGas12_07!G$69</f>
        <v>-14220</v>
      </c>
      <c r="H75" s="715"/>
      <c r="I75" s="192" t="s">
        <v>346</v>
      </c>
      <c r="J75" s="1003"/>
      <c r="K75" s="718"/>
      <c r="L75" s="718"/>
      <c r="M75" s="718"/>
      <c r="N75" s="718"/>
      <c r="O75" s="718"/>
      <c r="P75" s="718"/>
      <c r="Q75" s="718"/>
      <c r="R75" s="716"/>
    </row>
    <row r="76" spans="1:18" s="714" customFormat="1" hidden="1">
      <c r="A76" s="695" t="str">
        <f>IDGas12_07!H$10</f>
        <v>d</v>
      </c>
      <c r="B76" s="1059" t="str">
        <f>TRIM(CONCATENATE(IDGas12_07!H$7," ",IDGas12_07!H$8," ",IDGas12_07!H$9))</f>
        <v>Deferred Gain on Office Building</v>
      </c>
      <c r="C76" s="1060"/>
      <c r="D76" s="1060"/>
      <c r="E76" s="1060"/>
      <c r="F76" s="1061">
        <f>IDGas12_07!H$52</f>
        <v>0</v>
      </c>
      <c r="G76" s="1061">
        <f>IDGas12_07!H$69</f>
        <v>0</v>
      </c>
      <c r="H76" s="1062"/>
      <c r="I76" s="703" t="s">
        <v>463</v>
      </c>
      <c r="J76" s="1003"/>
      <c r="K76" s="718"/>
      <c r="L76" s="718"/>
      <c r="M76" s="718"/>
      <c r="N76" s="718"/>
      <c r="O76" s="718"/>
      <c r="P76" s="717"/>
      <c r="Q76" s="718"/>
      <c r="R76" s="716"/>
    </row>
    <row r="77" spans="1:18" s="714" customFormat="1" hidden="1">
      <c r="A77" s="695" t="str">
        <f>IDGas12_07!I$10</f>
        <v>e</v>
      </c>
      <c r="B77" s="696" t="str">
        <f>TRIM(CONCATENATE(IDGas12_07!I$7," ",IDGas12_07!I$8," ",IDGas12_07!I$9))</f>
        <v>Gas Inventory</v>
      </c>
      <c r="C77" s="697"/>
      <c r="D77" s="697"/>
      <c r="E77" s="697"/>
      <c r="F77" s="709">
        <f>IDGas12_07!I$52</f>
        <v>0</v>
      </c>
      <c r="G77" s="709">
        <f>IDGas12_07!I$69</f>
        <v>0</v>
      </c>
      <c r="H77" s="715"/>
      <c r="I77" s="192" t="s">
        <v>463</v>
      </c>
      <c r="J77" s="1003"/>
      <c r="K77" s="717"/>
      <c r="L77" s="1089" t="s">
        <v>486</v>
      </c>
      <c r="M77" s="717"/>
      <c r="N77" s="718"/>
      <c r="O77" s="717"/>
      <c r="P77" s="717"/>
      <c r="Q77" s="717"/>
      <c r="R77" s="716"/>
    </row>
    <row r="78" spans="1:18" s="714" customFormat="1" hidden="1">
      <c r="A78" s="695" t="str">
        <f>IDGas12_07!J$10</f>
        <v>f</v>
      </c>
      <c r="B78" s="696" t="str">
        <f>TRIM(CONCATENATE(IDGas12_07!J$7," ",IDGas12_07!J$8," ",IDGas12_07!J$9))</f>
        <v>Weatherization and DSM Investment</v>
      </c>
      <c r="C78" s="697"/>
      <c r="D78" s="697"/>
      <c r="E78" s="697"/>
      <c r="F78" s="709">
        <f>IDGas12_07!J$52</f>
        <v>0</v>
      </c>
      <c r="G78" s="709">
        <f>IDGas12_07!J$69</f>
        <v>0</v>
      </c>
      <c r="H78" s="715"/>
      <c r="I78" s="192" t="s">
        <v>286</v>
      </c>
      <c r="J78" s="1003"/>
      <c r="K78" s="717"/>
      <c r="L78" s="717"/>
      <c r="M78" s="717"/>
      <c r="N78" s="718"/>
      <c r="O78" s="717"/>
      <c r="P78" s="717"/>
      <c r="Q78" s="717"/>
      <c r="R78" s="716"/>
    </row>
    <row r="79" spans="1:18" s="714" customFormat="1" hidden="1">
      <c r="A79" s="695" t="str">
        <f>IDGas12_07!K$10</f>
        <v>g</v>
      </c>
      <c r="B79" s="696" t="str">
        <f>TRIM(CONCATENATE(IDGas12_07!K$7," ",IDGas12_07!K$8," ",IDGas12_07!K$9))</f>
        <v>Customer Advances</v>
      </c>
      <c r="C79" s="697"/>
      <c r="D79" s="697"/>
      <c r="E79" s="697"/>
      <c r="F79" s="709">
        <f>IDGas12_07!K$52</f>
        <v>0</v>
      </c>
      <c r="G79" s="709">
        <f>IDGas12_07!K$69</f>
        <v>0</v>
      </c>
      <c r="H79" s="715"/>
      <c r="I79" s="192" t="s">
        <v>463</v>
      </c>
      <c r="J79" s="1003"/>
      <c r="K79" s="717"/>
      <c r="L79" s="717"/>
      <c r="M79" s="717"/>
      <c r="N79" s="718"/>
      <c r="O79" s="717"/>
      <c r="P79" s="717"/>
      <c r="Q79" s="717"/>
      <c r="R79" s="716"/>
    </row>
    <row r="80" spans="1:18" hidden="1">
      <c r="A80" s="695"/>
      <c r="B80" s="696"/>
      <c r="C80" s="697"/>
      <c r="D80" s="697"/>
      <c r="E80" s="697"/>
      <c r="F80" s="698"/>
      <c r="G80" s="698"/>
      <c r="J80" s="1008"/>
      <c r="K80" s="687"/>
      <c r="L80" s="687"/>
      <c r="M80" s="687"/>
      <c r="N80" s="687"/>
      <c r="O80" s="691"/>
      <c r="P80" s="691"/>
      <c r="Q80" s="687"/>
      <c r="R80" s="686"/>
    </row>
    <row r="81" spans="1:18" hidden="1">
      <c r="B81" s="191" t="s">
        <v>116</v>
      </c>
      <c r="F81" s="699">
        <f>SUM(F74:F80)</f>
        <v>5806</v>
      </c>
      <c r="G81" s="699">
        <f>SUM(G74:G80)</f>
        <v>76316</v>
      </c>
      <c r="H81" s="707">
        <f>F81/G81</f>
        <v>7.6078410818177053E-2</v>
      </c>
      <c r="J81" s="1008"/>
      <c r="K81" s="849">
        <f>IDGas12_07!L70</f>
        <v>7.6100000000000001E-2</v>
      </c>
      <c r="L81" s="687"/>
      <c r="M81" s="687"/>
      <c r="N81" s="687"/>
      <c r="O81" s="691"/>
      <c r="P81" s="691"/>
      <c r="Q81" s="687"/>
      <c r="R81" s="686"/>
    </row>
    <row r="82" spans="1:18" hidden="1">
      <c r="A82" s="695"/>
      <c r="B82" s="696"/>
      <c r="C82" s="697"/>
      <c r="D82" s="697"/>
      <c r="E82" s="697"/>
      <c r="F82" s="698"/>
      <c r="G82" s="698"/>
      <c r="J82" s="1008"/>
      <c r="K82" s="687"/>
      <c r="L82" s="687"/>
      <c r="M82" s="687"/>
      <c r="N82" s="687"/>
      <c r="O82" s="691"/>
      <c r="P82" s="691"/>
      <c r="Q82" s="687"/>
      <c r="R82" s="686"/>
    </row>
    <row r="83" spans="1:18" s="714" customFormat="1" hidden="1">
      <c r="A83" s="695" t="str">
        <f>IDGas12_07!M$10</f>
        <v>h</v>
      </c>
      <c r="B83" s="696" t="str">
        <f>TRIM(CONCATENATE(IDGas12_07!M$7," ",IDGas12_07!M$8," ",IDGas12_07!M$9))</f>
        <v>Depreciation True-up</v>
      </c>
      <c r="C83" s="697"/>
      <c r="D83" s="697"/>
      <c r="E83" s="697"/>
      <c r="F83" s="709">
        <f>IDGas12_07!M$52</f>
        <v>0</v>
      </c>
      <c r="G83" s="709">
        <f>IDGas12_07!M$69</f>
        <v>0</v>
      </c>
      <c r="H83" s="710"/>
      <c r="I83" s="192" t="s">
        <v>362</v>
      </c>
      <c r="J83" s="1003"/>
      <c r="K83" s="718"/>
      <c r="L83" s="718"/>
      <c r="M83" s="718"/>
      <c r="N83" s="718"/>
      <c r="O83" s="720"/>
      <c r="P83" s="720"/>
      <c r="Q83" s="718"/>
      <c r="R83" s="716"/>
    </row>
    <row r="84" spans="1:18" s="697" customFormat="1" hidden="1">
      <c r="A84" s="695" t="str">
        <f>IDGas12_07!N$10</f>
        <v>i</v>
      </c>
      <c r="B84" s="696" t="str">
        <f>TRIM(CONCATENATE(IDGas12_07!N$7," ",IDGas12_07!N$8," ",IDGas12_07!N$9))</f>
        <v>Weather Normalization &amp; Gas Cost Adjust</v>
      </c>
      <c r="F84" s="709">
        <f>IDGas12_07!N$52</f>
        <v>0</v>
      </c>
      <c r="G84" s="709">
        <f>IDGas12_07!N$69</f>
        <v>0</v>
      </c>
      <c r="H84" s="710"/>
      <c r="I84" s="192" t="s">
        <v>464</v>
      </c>
      <c r="K84" s="712" t="s">
        <v>369</v>
      </c>
      <c r="L84" s="712"/>
      <c r="M84" s="712"/>
      <c r="N84" s="712"/>
      <c r="O84" s="713"/>
      <c r="P84" s="713"/>
      <c r="Q84" s="712"/>
      <c r="R84" s="711"/>
    </row>
    <row r="85" spans="1:18" s="714" customFormat="1" hidden="1">
      <c r="A85" s="695" t="str">
        <f>IDGas12_07!O$10</f>
        <v>j</v>
      </c>
      <c r="B85" s="696" t="str">
        <f>TRIM(CONCATENATE(IDGas12_07!O$7," ",IDGas12_07!O$8," ",IDGas12_07!O$9))</f>
        <v>Eliminate B &amp; O Taxes</v>
      </c>
      <c r="C85" s="697"/>
      <c r="D85" s="697"/>
      <c r="E85" s="697"/>
      <c r="F85" s="709">
        <f>IDGas12_07!O$52</f>
        <v>0</v>
      </c>
      <c r="G85" s="709">
        <f>IDGas12_07!O$69</f>
        <v>0</v>
      </c>
      <c r="H85" s="715"/>
      <c r="I85" s="192" t="s">
        <v>286</v>
      </c>
      <c r="K85" s="718"/>
      <c r="L85" s="718"/>
      <c r="M85" s="718"/>
      <c r="N85" s="718"/>
      <c r="O85" s="719"/>
      <c r="P85" s="719"/>
      <c r="Q85" s="718"/>
      <c r="R85" s="716"/>
    </row>
    <row r="86" spans="1:18" s="714" customFormat="1" hidden="1">
      <c r="A86" s="695" t="str">
        <f>IDGas12_07!P$10</f>
        <v>k</v>
      </c>
      <c r="B86" s="696" t="str">
        <f>TRIM(CONCATENATE(IDGas12_07!P$7," ",IDGas12_07!P$8," ",IDGas12_07!P$9))</f>
        <v>Property Tax</v>
      </c>
      <c r="C86" s="697"/>
      <c r="D86" s="697"/>
      <c r="E86" s="697"/>
      <c r="F86" s="709">
        <f>IDGas12_07!P$52</f>
        <v>0</v>
      </c>
      <c r="G86" s="709">
        <f>IDGas12_07!P$69</f>
        <v>0</v>
      </c>
      <c r="I86" s="192" t="s">
        <v>346</v>
      </c>
      <c r="J86" s="1003"/>
      <c r="K86" s="718"/>
      <c r="L86" s="718"/>
      <c r="M86" s="718"/>
      <c r="N86" s="718"/>
      <c r="O86" s="719"/>
      <c r="P86" s="719"/>
      <c r="Q86" s="718"/>
      <c r="R86" s="716"/>
    </row>
    <row r="87" spans="1:18" s="714" customFormat="1" hidden="1">
      <c r="A87" s="695" t="str">
        <f>IDGas12_07!Q$10</f>
        <v>l</v>
      </c>
      <c r="B87" s="696" t="str">
        <f>TRIM(CONCATENATE(IDGas12_07!Q$7," ",IDGas12_07!Q$8," ",IDGas12_07!Q$9))</f>
        <v>Uncollectible Expense</v>
      </c>
      <c r="C87" s="697"/>
      <c r="D87" s="697"/>
      <c r="E87" s="697"/>
      <c r="F87" s="709">
        <f>IDGas12_07!Q$52</f>
        <v>0</v>
      </c>
      <c r="G87" s="709">
        <f>IDGas12_07!Q$69</f>
        <v>0</v>
      </c>
      <c r="H87" s="715"/>
      <c r="I87" s="192" t="s">
        <v>346</v>
      </c>
      <c r="J87" s="1003"/>
      <c r="K87" s="718"/>
      <c r="L87" s="718"/>
      <c r="M87" s="718"/>
      <c r="N87" s="718"/>
      <c r="O87" s="719"/>
      <c r="P87" s="719"/>
      <c r="Q87" s="718"/>
      <c r="R87" s="716"/>
    </row>
    <row r="88" spans="1:18" s="714" customFormat="1" hidden="1">
      <c r="A88" s="695" t="str">
        <f>IDGas12_07!R$10</f>
        <v>m</v>
      </c>
      <c r="B88" s="696" t="str">
        <f>TRIM(CONCATENATE(IDGas12_07!R$7," ",IDGas12_07!R$8," ",IDGas12_07!R$9))</f>
        <v>Regulatory Expense Adjustment</v>
      </c>
      <c r="C88" s="697"/>
      <c r="D88" s="697"/>
      <c r="E88" s="697"/>
      <c r="F88" s="709">
        <f>IDGas12_07!R$52</f>
        <v>0</v>
      </c>
      <c r="G88" s="709">
        <f>IDGas12_07!R$69</f>
        <v>0</v>
      </c>
      <c r="H88" s="715"/>
      <c r="I88" s="192" t="s">
        <v>346</v>
      </c>
      <c r="J88" s="1003"/>
      <c r="K88" s="718"/>
      <c r="L88" s="1089" t="s">
        <v>486</v>
      </c>
      <c r="M88" s="718"/>
      <c r="N88" s="718"/>
      <c r="O88" s="719"/>
      <c r="P88" s="719"/>
      <c r="Q88" s="718"/>
      <c r="R88" s="716"/>
    </row>
    <row r="89" spans="1:18" s="714" customFormat="1" hidden="1">
      <c r="A89" s="695" t="str">
        <f>IDGas12_07!S$10</f>
        <v>n</v>
      </c>
      <c r="B89" s="696" t="str">
        <f>TRIM(CONCATENATE(IDGas12_07!S$7," ",IDGas12_07!S$8," ",IDGas12_07!S$9))</f>
        <v>Injuries and Damages</v>
      </c>
      <c r="C89" s="697"/>
      <c r="D89" s="697"/>
      <c r="E89" s="697"/>
      <c r="F89" s="709">
        <f>IDGas12_07!S$52</f>
        <v>0</v>
      </c>
      <c r="G89" s="709">
        <f>IDGas12_07!S$69</f>
        <v>0</v>
      </c>
      <c r="H89" s="715"/>
      <c r="I89" s="192" t="s">
        <v>463</v>
      </c>
      <c r="J89" s="1003"/>
      <c r="K89" s="718"/>
      <c r="L89" s="718"/>
      <c r="M89" s="718"/>
      <c r="N89" s="718"/>
      <c r="O89" s="719"/>
      <c r="P89" s="719"/>
      <c r="Q89" s="718"/>
      <c r="R89" s="716"/>
    </row>
    <row r="90" spans="1:18" s="714" customFormat="1" hidden="1">
      <c r="A90" s="695" t="str">
        <f>IDGas12_07!T$10</f>
        <v>o</v>
      </c>
      <c r="B90" s="696" t="str">
        <f>TRIM(CONCATENATE(IDGas12_07!T$7," ",IDGas12_07!T$8," ",IDGas12_07!T$9))</f>
        <v>FIT</v>
      </c>
      <c r="C90" s="697"/>
      <c r="D90" s="697"/>
      <c r="E90" s="697"/>
      <c r="F90" s="709">
        <f>IDGas12_07!T$52</f>
        <v>10</v>
      </c>
      <c r="G90" s="709">
        <f>IDGas12_07!T$69</f>
        <v>0</v>
      </c>
      <c r="H90" s="715"/>
      <c r="I90" s="192" t="s">
        <v>346</v>
      </c>
      <c r="J90" s="1003"/>
      <c r="K90" s="718"/>
      <c r="L90" s="718"/>
      <c r="M90" s="718"/>
      <c r="N90" s="718"/>
      <c r="O90" s="719"/>
      <c r="P90" s="719"/>
      <c r="Q90" s="718"/>
      <c r="R90" s="716"/>
    </row>
    <row r="91" spans="1:18" s="714" customFormat="1" ht="12" hidden="1" customHeight="1">
      <c r="A91" s="1058" t="str">
        <f>IDGas12_07!U$10</f>
        <v>p</v>
      </c>
      <c r="B91" s="1059" t="str">
        <f>TRIM(CONCATENATE(IDGas12_07!U$7," ",IDGas12_07!U$8," ",IDGas12_07!U$9))</f>
        <v>Eliminate A/R Expenses</v>
      </c>
      <c r="C91" s="1060"/>
      <c r="D91" s="1060"/>
      <c r="E91" s="1060"/>
      <c r="F91" s="1061">
        <f>IDGas12_07!U$52</f>
        <v>0</v>
      </c>
      <c r="G91" s="1061">
        <f>IDGas12_07!U$69</f>
        <v>0</v>
      </c>
      <c r="H91" s="1062"/>
      <c r="I91" s="703" t="s">
        <v>463</v>
      </c>
      <c r="K91" s="718"/>
      <c r="L91" s="718"/>
      <c r="M91" s="718"/>
      <c r="N91" s="718"/>
      <c r="O91" s="719"/>
      <c r="P91" s="719"/>
      <c r="Q91" s="718"/>
      <c r="R91" s="716"/>
    </row>
    <row r="92" spans="1:18" s="1069" customFormat="1" hidden="1">
      <c r="A92" s="1058" t="str">
        <f>IDGas12_07!V$10</f>
        <v>q</v>
      </c>
      <c r="B92" s="1059" t="str">
        <f>TRIM(CONCATENATE(IDGas12_07!V$7," ",IDGas12_07!V$8," ",IDGas12_07!V$9))</f>
        <v>Restate Debt Interest</v>
      </c>
      <c r="C92" s="1060"/>
      <c r="D92" s="1060"/>
      <c r="E92" s="1060"/>
      <c r="F92" s="1061">
        <f>IDGas12_07!V$52</f>
        <v>-155.85793999999996</v>
      </c>
      <c r="G92" s="1061">
        <f>IDGas12_07!V$69</f>
        <v>0</v>
      </c>
      <c r="H92" s="1062"/>
      <c r="I92" s="703" t="s">
        <v>285</v>
      </c>
      <c r="K92" s="1070"/>
      <c r="L92" s="1070"/>
      <c r="M92" s="1070"/>
      <c r="N92" s="1070"/>
      <c r="O92" s="1071"/>
      <c r="P92" s="1071"/>
      <c r="Q92" s="1075"/>
      <c r="R92" s="1072"/>
    </row>
    <row r="93" spans="1:18" ht="4.5" hidden="1" customHeight="1">
      <c r="B93" s="701"/>
      <c r="F93" s="702"/>
      <c r="G93" s="702"/>
      <c r="K93" s="687"/>
      <c r="L93" s="687"/>
      <c r="M93" s="687"/>
      <c r="N93" s="687"/>
      <c r="O93" s="691"/>
      <c r="P93" s="691"/>
      <c r="Q93" s="687"/>
      <c r="R93" s="686"/>
    </row>
    <row r="94" spans="1:18" ht="12" hidden="1" customHeight="1">
      <c r="A94" s="700"/>
      <c r="B94" s="701"/>
      <c r="F94" s="702"/>
      <c r="G94" s="702"/>
      <c r="I94" s="193"/>
      <c r="J94" s="1002"/>
      <c r="K94" s="687"/>
      <c r="L94" s="687"/>
      <c r="M94" s="687"/>
      <c r="N94" s="687"/>
      <c r="O94" s="691"/>
      <c r="P94" s="691"/>
      <c r="Q94" s="687"/>
      <c r="R94" s="686"/>
    </row>
    <row r="95" spans="1:18" ht="12" hidden="1" customHeight="1">
      <c r="A95" s="700"/>
      <c r="B95" s="701"/>
      <c r="F95" s="702"/>
      <c r="G95" s="702"/>
      <c r="H95" s="693"/>
      <c r="K95" s="687"/>
      <c r="L95" s="687"/>
      <c r="M95" s="687"/>
      <c r="N95" s="687"/>
      <c r="O95" s="691"/>
      <c r="P95" s="691"/>
      <c r="Q95" s="687"/>
      <c r="R95" s="686"/>
    </row>
    <row r="96" spans="1:18" ht="12" hidden="1" customHeight="1" thickBot="1">
      <c r="A96" s="703"/>
      <c r="B96" s="191" t="s">
        <v>117</v>
      </c>
      <c r="F96" s="704">
        <f>SUM(F81:F94)</f>
        <v>5660.1420600000001</v>
      </c>
      <c r="G96" s="704">
        <f>SUM(G81:G94)</f>
        <v>76316</v>
      </c>
      <c r="H96" s="708">
        <f>F96/G96</f>
        <v>7.4167174118140361E-2</v>
      </c>
      <c r="I96" s="706"/>
      <c r="J96" s="1002"/>
      <c r="K96" s="849">
        <f>IDGas12_07!Z70</f>
        <v>7.4200000000000002E-2</v>
      </c>
      <c r="L96" s="687"/>
      <c r="M96" s="687"/>
      <c r="N96" s="687"/>
      <c r="O96" s="691"/>
      <c r="P96" s="691"/>
      <c r="Q96" s="687"/>
      <c r="R96" s="686"/>
    </row>
    <row r="97" spans="1:20" ht="12" hidden="1" customHeight="1" thickTop="1">
      <c r="A97" s="192"/>
      <c r="E97" s="701"/>
      <c r="F97" s="701"/>
      <c r="I97" s="706"/>
      <c r="J97" s="1002"/>
      <c r="K97" s="687"/>
      <c r="L97" s="687"/>
      <c r="M97" s="687"/>
      <c r="N97" s="687"/>
      <c r="O97" s="691"/>
      <c r="P97" s="691"/>
      <c r="Q97" s="687"/>
      <c r="R97" s="686"/>
    </row>
    <row r="98" spans="1:20" hidden="1">
      <c r="A98" s="695" t="str">
        <f>IDGas12_07!AA$10</f>
        <v>PF1</v>
      </c>
      <c r="B98" s="696" t="str">
        <f>TRIM(CONCATENATE(IDGas12_07!AA$7," ",IDGas12_07!AA$8," ",IDGas12_07!AA$9))</f>
        <v>Pro Forma Labor Non-Exec</v>
      </c>
      <c r="C98" s="697"/>
      <c r="D98" s="697"/>
      <c r="E98" s="697"/>
      <c r="F98" s="709">
        <f>IDGas12_07!AA$52</f>
        <v>-179</v>
      </c>
      <c r="G98" s="709">
        <f>IDGas12_07!AA$69</f>
        <v>0</v>
      </c>
      <c r="H98" s="715"/>
      <c r="I98" s="192" t="s">
        <v>346</v>
      </c>
      <c r="K98" s="687"/>
      <c r="L98" s="687"/>
      <c r="M98" s="687"/>
      <c r="N98" s="687"/>
      <c r="O98" s="691"/>
      <c r="P98" s="691"/>
      <c r="Q98" s="687"/>
      <c r="R98" s="686"/>
    </row>
    <row r="99" spans="1:20" ht="14.25" hidden="1" customHeight="1">
      <c r="A99" s="695" t="str">
        <f>IDGas12_07!AB$10</f>
        <v>PF2</v>
      </c>
      <c r="B99" s="696" t="str">
        <f>TRIM(CONCATENATE(IDGas12_07!AB$7," ",IDGas12_07!AB$8," ",IDGas12_07!AB$9))</f>
        <v>Pro Forma Labor Exec</v>
      </c>
      <c r="C99" s="697"/>
      <c r="D99" s="697"/>
      <c r="E99" s="697"/>
      <c r="F99" s="709">
        <f>IDGas12_07!AB$52</f>
        <v>-21</v>
      </c>
      <c r="G99" s="709">
        <f>IDGas12_07!AB$69</f>
        <v>0</v>
      </c>
      <c r="H99" s="715"/>
      <c r="I99" s="192" t="s">
        <v>346</v>
      </c>
      <c r="K99" s="687"/>
      <c r="L99" s="687"/>
      <c r="M99" s="687"/>
      <c r="N99" s="687"/>
      <c r="O99" s="691"/>
      <c r="P99" s="691"/>
      <c r="Q99" s="687"/>
      <c r="R99" s="686"/>
    </row>
    <row r="100" spans="1:20" s="1066" customFormat="1" ht="15" hidden="1" customHeight="1">
      <c r="A100" s="1058" t="str">
        <f>IDGas12_07!AC$10</f>
        <v>PF3</v>
      </c>
      <c r="B100" s="1059" t="str">
        <f>TRIM(CONCATENATE(IDGas12_07!AC$7," ",IDGas12_07!AC$8," ",IDGas12_07!AC$9))</f>
        <v>Pro Forma JP Storage Contract</v>
      </c>
      <c r="C100" s="1060"/>
      <c r="D100" s="1060"/>
      <c r="E100" s="1060"/>
      <c r="F100" s="1061">
        <f>IDGas12_07!AC$52</f>
        <v>0</v>
      </c>
      <c r="G100" s="1061">
        <f>IDGas12_07!AC$69</f>
        <v>0</v>
      </c>
      <c r="H100" s="1062"/>
      <c r="I100" s="703" t="s">
        <v>464</v>
      </c>
      <c r="J100" s="1073"/>
      <c r="K100" s="1063"/>
      <c r="L100" s="1089" t="s">
        <v>486</v>
      </c>
      <c r="M100" s="1063"/>
      <c r="N100" s="1063"/>
      <c r="O100" s="1064"/>
      <c r="P100" s="1064"/>
      <c r="Q100" s="1063"/>
      <c r="R100" s="1065"/>
    </row>
    <row r="101" spans="1:20" ht="15" hidden="1" customHeight="1">
      <c r="A101" s="695" t="str">
        <f>IDGas12_07!AD$10</f>
        <v>PF4</v>
      </c>
      <c r="B101" s="696" t="str">
        <f>TRIM(CONCATENATE(IDGas12_07!AD$7," ",IDGas12_07!AD$8," ",IDGas12_07!AD$9))</f>
        <v>Pro Forma Capital Add 2007</v>
      </c>
      <c r="C101" s="697"/>
      <c r="D101" s="697"/>
      <c r="E101" s="697"/>
      <c r="F101" s="709">
        <f>IDGas12_07!AD$52</f>
        <v>0</v>
      </c>
      <c r="G101" s="709">
        <f>IDGas12_07!AD$69</f>
        <v>0</v>
      </c>
      <c r="H101" s="715"/>
      <c r="I101" s="1068" t="s">
        <v>481</v>
      </c>
      <c r="K101" s="687"/>
      <c r="L101" s="687"/>
      <c r="M101" s="687"/>
      <c r="N101" s="687"/>
      <c r="O101" s="691"/>
      <c r="P101" s="691"/>
      <c r="Q101" s="687"/>
      <c r="R101" s="686"/>
    </row>
    <row r="102" spans="1:20" ht="15" hidden="1" customHeight="1">
      <c r="A102" s="695" t="str">
        <f>IDGas12_07!AE$10</f>
        <v>PF5</v>
      </c>
      <c r="B102" s="696" t="str">
        <f>TRIM(CONCATENATE(IDGas12_07!AE$7," ",IDGas12_07!AE$8," ",IDGas12_07!AE$9))</f>
        <v>Pro Forma Capital Add 2008</v>
      </c>
      <c r="C102" s="697"/>
      <c r="D102" s="697"/>
      <c r="E102" s="697"/>
      <c r="F102" s="709">
        <f>IDGas12_07!AE$52</f>
        <v>0</v>
      </c>
      <c r="G102" s="709">
        <f>IDGas12_07!AE$69</f>
        <v>0</v>
      </c>
      <c r="H102" s="715"/>
      <c r="I102" s="1068" t="s">
        <v>481</v>
      </c>
      <c r="K102" s="687"/>
      <c r="L102" s="687"/>
      <c r="M102" s="687"/>
      <c r="N102" s="687"/>
      <c r="O102" s="691"/>
      <c r="P102" s="691"/>
      <c r="Q102" s="687"/>
      <c r="R102" s="686"/>
    </row>
    <row r="103" spans="1:20" hidden="1">
      <c r="A103" s="695" t="str">
        <f>IDGas12_07!AF$10</f>
        <v>PF6</v>
      </c>
      <c r="B103" s="696" t="str">
        <f>TRIM(CONCATENATE(IDGas12_07!AF$7," ",IDGas12_07!AF$8," ",IDGas12_07!AF$9))</f>
        <v>Pro Forma Incentives</v>
      </c>
      <c r="C103" s="697"/>
      <c r="D103" s="697"/>
      <c r="E103" s="697"/>
      <c r="F103" s="709">
        <f>IDGas12_07!AF$52</f>
        <v>0</v>
      </c>
      <c r="G103" s="709">
        <f>IDGas12_07!AF$69</f>
        <v>0</v>
      </c>
      <c r="H103" s="715"/>
      <c r="I103" s="192" t="s">
        <v>362</v>
      </c>
      <c r="K103" s="687"/>
      <c r="L103" s="687"/>
      <c r="M103" s="687"/>
      <c r="N103" s="687"/>
      <c r="O103" s="691"/>
      <c r="P103" s="691"/>
      <c r="Q103" s="687"/>
      <c r="R103" s="686"/>
    </row>
    <row r="104" spans="1:20" s="1066" customFormat="1" hidden="1">
      <c r="A104" s="1058" t="str">
        <f>IDGas12_07!AG$10</f>
        <v>PF7</v>
      </c>
      <c r="B104" s="1059" t="str">
        <f>TRIM(CONCATENATE(IDGas12_07!AG$7," ",IDGas12_07!AG$8," ",IDGas12_07!AG$9))</f>
        <v>Pro Forma AMR</v>
      </c>
      <c r="C104" s="1060"/>
      <c r="D104" s="1060"/>
      <c r="E104" s="1060"/>
      <c r="F104" s="1061">
        <f>IDGas12_07!AG$52</f>
        <v>1</v>
      </c>
      <c r="G104" s="1061">
        <f>IDGas12_07!AG$69</f>
        <v>0</v>
      </c>
      <c r="H104" s="1062"/>
      <c r="I104" s="1066" t="s">
        <v>362</v>
      </c>
      <c r="J104" s="1073"/>
      <c r="K104" s="1063"/>
      <c r="L104" s="1063"/>
      <c r="M104" s="1063"/>
      <c r="N104" s="1063"/>
      <c r="O104" s="1064"/>
      <c r="P104" s="1064"/>
      <c r="Q104" s="1063"/>
      <c r="R104" s="1065"/>
    </row>
    <row r="105" spans="1:20" hidden="1">
      <c r="A105" s="695" t="str">
        <f>IDGas12_07!AH$10</f>
        <v>PF9</v>
      </c>
      <c r="B105" s="696" t="str">
        <f>TRIM(CONCATENATE(IDGas12_07!AH$7," ",IDGas12_07!AH$8," ",IDGas12_07!AH$9))</f>
        <v>Pro Forma Open</v>
      </c>
      <c r="C105" s="697"/>
      <c r="D105" s="697"/>
      <c r="E105" s="697"/>
      <c r="F105" s="709">
        <f>IDGas12_07!AH$52</f>
        <v>0</v>
      </c>
      <c r="G105" s="709">
        <f>IDGas12_07!AH$69</f>
        <v>0</v>
      </c>
      <c r="H105" s="715"/>
      <c r="I105" s="192"/>
      <c r="K105" s="687"/>
      <c r="L105" s="687"/>
      <c r="M105" s="687"/>
      <c r="N105" s="687"/>
      <c r="O105" s="691"/>
      <c r="P105" s="691"/>
      <c r="Q105" s="687"/>
      <c r="R105" s="686"/>
      <c r="S105" s="1041"/>
      <c r="T105" s="1027" t="s">
        <v>477</v>
      </c>
    </row>
    <row r="106" spans="1:20" hidden="1">
      <c r="A106" s="695"/>
      <c r="B106" s="696"/>
      <c r="C106" s="697"/>
      <c r="D106" s="697"/>
      <c r="E106" s="697"/>
      <c r="F106" s="709"/>
      <c r="G106" s="709"/>
      <c r="H106" s="715"/>
      <c r="I106" s="192"/>
      <c r="K106" s="687"/>
      <c r="L106" s="687"/>
      <c r="M106" s="687"/>
      <c r="N106" s="687"/>
      <c r="O106" s="691"/>
      <c r="P106" s="691"/>
      <c r="Q106" s="687"/>
      <c r="R106" s="686"/>
      <c r="S106" s="1008"/>
      <c r="T106" s="1005">
        <v>8.14E-2</v>
      </c>
    </row>
    <row r="107" spans="1:20" ht="13.5" hidden="1" thickBot="1">
      <c r="A107" s="192"/>
      <c r="B107" s="191" t="s">
        <v>290</v>
      </c>
      <c r="F107" s="704">
        <f>SUM(F96:F106)</f>
        <v>5461.1420600000001</v>
      </c>
      <c r="G107" s="704">
        <f>SUM(G96:G106)</f>
        <v>76316</v>
      </c>
      <c r="H107" s="708">
        <f>F107/G107</f>
        <v>7.1559595104565235E-2</v>
      </c>
      <c r="I107" s="829"/>
      <c r="K107" s="849">
        <f>IDGas12_07!AL70</f>
        <v>7.1599999999999997E-2</v>
      </c>
      <c r="L107" s="687"/>
      <c r="M107" s="687"/>
      <c r="N107" s="687"/>
      <c r="O107" s="691"/>
      <c r="P107" s="691"/>
      <c r="Q107" s="687"/>
      <c r="R107" s="686"/>
      <c r="S107" s="1008" t="s">
        <v>472</v>
      </c>
      <c r="T107" s="1037">
        <f>IDGas12_07!AL13</f>
        <v>88848</v>
      </c>
    </row>
    <row r="108" spans="1:20" ht="13.5" hidden="1" thickTop="1">
      <c r="A108" s="192"/>
      <c r="E108" s="701"/>
      <c r="F108" s="701"/>
      <c r="I108" s="192"/>
      <c r="K108" s="687"/>
      <c r="L108" s="687"/>
      <c r="M108" s="687"/>
      <c r="N108" s="687"/>
      <c r="O108" s="691"/>
      <c r="P108" s="691"/>
      <c r="Q108" s="687"/>
      <c r="R108" s="686"/>
      <c r="S108" s="1008"/>
      <c r="T108" s="1003"/>
    </row>
    <row r="109" spans="1:20" hidden="1">
      <c r="A109" s="695"/>
      <c r="B109" s="696"/>
      <c r="E109" s="701"/>
      <c r="F109" s="701"/>
      <c r="M109" s="687"/>
      <c r="N109" s="687"/>
      <c r="O109" s="691"/>
      <c r="P109" s="691"/>
      <c r="Q109" s="687"/>
      <c r="R109" s="686"/>
      <c r="S109" s="1042" t="s">
        <v>475</v>
      </c>
      <c r="T109" s="1038">
        <f>((G96*T106)-F96)/0.64/T107</f>
        <v>9.7072447466459589E-3</v>
      </c>
    </row>
    <row r="110" spans="1:20">
      <c r="A110" s="695"/>
      <c r="B110" s="696"/>
      <c r="E110" s="701"/>
      <c r="F110" s="701"/>
      <c r="J110" s="192"/>
      <c r="M110" s="687"/>
      <c r="N110" s="687"/>
      <c r="O110" s="691"/>
      <c r="P110" s="691"/>
      <c r="Q110" s="687"/>
      <c r="R110" s="686"/>
      <c r="S110" s="1042" t="s">
        <v>474</v>
      </c>
      <c r="T110" s="1038">
        <f>((G107*T106)-F107)/0.64/T107</f>
        <v>1.3206901463735819E-2</v>
      </c>
    </row>
    <row r="111" spans="1:20">
      <c r="A111" s="695"/>
      <c r="B111" s="696"/>
      <c r="E111" s="701"/>
      <c r="F111" s="701"/>
      <c r="J111" s="192"/>
      <c r="M111" s="687"/>
      <c r="N111" s="687"/>
      <c r="O111" s="691"/>
      <c r="P111" s="691"/>
      <c r="Q111" s="687"/>
      <c r="R111" s="686"/>
    </row>
    <row r="112" spans="1:20">
      <c r="A112" s="695"/>
      <c r="B112" s="696"/>
      <c r="E112" s="701"/>
      <c r="F112" s="701"/>
      <c r="J112" s="192"/>
      <c r="M112" s="687"/>
      <c r="N112" s="687"/>
      <c r="O112" s="691"/>
      <c r="P112" s="691"/>
      <c r="Q112" s="687"/>
      <c r="R112" s="686"/>
    </row>
    <row r="113" spans="1:18">
      <c r="A113" s="695"/>
      <c r="B113" s="696"/>
      <c r="E113" s="701"/>
      <c r="F113" s="701"/>
      <c r="J113" s="192"/>
      <c r="M113" s="687"/>
      <c r="N113" s="687"/>
      <c r="O113" s="691"/>
      <c r="P113" s="691"/>
      <c r="Q113" s="687"/>
      <c r="R113" s="686"/>
    </row>
    <row r="114" spans="1:18">
      <c r="A114" s="695"/>
      <c r="B114" s="696"/>
      <c r="E114" s="701"/>
      <c r="F114" s="701"/>
      <c r="J114" s="192"/>
      <c r="M114" s="687"/>
      <c r="N114" s="687"/>
      <c r="O114" s="691"/>
      <c r="P114" s="691"/>
      <c r="Q114" s="687"/>
      <c r="R114" s="686"/>
    </row>
    <row r="115" spans="1:18">
      <c r="A115" s="192"/>
      <c r="E115" s="701"/>
      <c r="F115" s="701"/>
      <c r="I115" s="192"/>
      <c r="K115" s="687"/>
      <c r="L115" s="687"/>
      <c r="M115" s="687"/>
      <c r="N115" s="687"/>
      <c r="O115" s="691"/>
      <c r="P115" s="691"/>
      <c r="Q115" s="687"/>
      <c r="R115" s="686"/>
    </row>
    <row r="116" spans="1:18">
      <c r="A116" s="192"/>
      <c r="E116" s="701"/>
      <c r="F116" s="701"/>
      <c r="I116" s="192"/>
      <c r="K116" s="687"/>
      <c r="L116" s="687"/>
      <c r="M116" s="687"/>
      <c r="N116" s="687"/>
      <c r="O116" s="691"/>
      <c r="P116" s="691"/>
      <c r="Q116" s="687"/>
      <c r="R116" s="686"/>
    </row>
    <row r="117" spans="1:18">
      <c r="A117" s="192"/>
      <c r="E117" s="701"/>
      <c r="F117" s="701"/>
      <c r="I117" s="192"/>
      <c r="K117" s="687"/>
      <c r="L117" s="687"/>
      <c r="M117" s="687"/>
      <c r="N117" s="687"/>
      <c r="O117" s="691"/>
      <c r="P117" s="691"/>
      <c r="Q117" s="687"/>
      <c r="R117" s="686"/>
    </row>
    <row r="118" spans="1:18">
      <c r="A118" s="192"/>
      <c r="I118" s="192"/>
      <c r="K118" s="687"/>
      <c r="L118" s="687"/>
      <c r="M118" s="687"/>
      <c r="N118" s="687"/>
      <c r="O118" s="691"/>
      <c r="P118" s="691"/>
      <c r="Q118" s="687"/>
      <c r="R118" s="686"/>
    </row>
    <row r="119" spans="1:18">
      <c r="A119" s="192"/>
      <c r="I119" s="192"/>
      <c r="K119" s="687"/>
      <c r="L119" s="687"/>
      <c r="M119" s="687"/>
      <c r="N119" s="687"/>
      <c r="O119" s="691"/>
      <c r="P119" s="691"/>
      <c r="Q119" s="687"/>
      <c r="R119" s="686"/>
    </row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phoneticPr fontId="0" type="noConversion"/>
  <pageMargins left="0.75" right="0.5" top="1" bottom="1" header="0.5" footer="0.5"/>
  <pageSetup orientation="portrait" horizontalDpi="4294967292" r:id="rId3"/>
  <headerFooter alignWithMargins="0"/>
  <rowBreaks count="1" manualBreakCount="1">
    <brk id="64" max="7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8"/>
  <dimension ref="A1:V35"/>
  <sheetViews>
    <sheetView workbookViewId="0">
      <selection activeCell="F3" sqref="F3"/>
    </sheetView>
  </sheetViews>
  <sheetFormatPr defaultRowHeight="12.75"/>
  <cols>
    <col min="1" max="1" width="10.7109375" style="191" customWidth="1"/>
    <col min="2" max="3" width="9.140625" style="191"/>
    <col min="4" max="4" width="22" style="191" customWidth="1"/>
    <col min="5" max="5" width="10.7109375" style="191" customWidth="1"/>
    <col min="6" max="12" width="9.140625" style="191"/>
    <col min="13" max="13" width="11.5703125" style="191" customWidth="1"/>
    <col min="14" max="14" width="10.140625" customWidth="1"/>
  </cols>
  <sheetData>
    <row r="1" spans="1:22">
      <c r="A1" s="895" t="s">
        <v>197</v>
      </c>
      <c r="B1" s="641"/>
      <c r="C1" s="641"/>
      <c r="D1" s="641"/>
      <c r="E1" s="641"/>
      <c r="F1" s="641"/>
      <c r="G1" s="202"/>
      <c r="H1" s="202"/>
      <c r="I1" s="202"/>
      <c r="J1" s="202"/>
      <c r="K1" s="202"/>
      <c r="L1" s="202"/>
      <c r="M1" s="202"/>
    </row>
    <row r="2" spans="1:22">
      <c r="A2" s="895" t="s">
        <v>375</v>
      </c>
      <c r="B2" s="641"/>
      <c r="C2" s="641"/>
      <c r="D2" s="641"/>
      <c r="E2" s="641"/>
      <c r="F2" s="641"/>
      <c r="G2" s="202"/>
      <c r="H2" s="202"/>
      <c r="I2" s="202"/>
      <c r="J2" s="202"/>
      <c r="K2" s="202"/>
      <c r="L2" s="202"/>
      <c r="M2" s="202"/>
    </row>
    <row r="3" spans="1:22">
      <c r="A3" s="895" t="s">
        <v>282</v>
      </c>
      <c r="B3" s="641"/>
      <c r="C3" s="641"/>
      <c r="D3" s="641"/>
      <c r="E3" s="641"/>
      <c r="F3" s="641"/>
      <c r="G3" s="202"/>
      <c r="H3" s="202"/>
      <c r="I3" s="202"/>
      <c r="J3" s="202"/>
      <c r="K3" s="202"/>
      <c r="L3" s="202"/>
      <c r="M3" s="202"/>
    </row>
    <row r="4" spans="1:22">
      <c r="A4" s="895" t="str">
        <f>Inputs!D2</f>
        <v>TWELVE MONTHS ENDED SEPTEMBER 30, 2008</v>
      </c>
      <c r="B4" s="641"/>
      <c r="C4" s="641"/>
      <c r="D4" s="641"/>
      <c r="E4" s="641"/>
      <c r="F4" s="641"/>
      <c r="G4" s="202"/>
      <c r="H4" s="202"/>
      <c r="I4" s="202"/>
      <c r="J4" s="202"/>
      <c r="K4" s="202"/>
      <c r="L4" s="202"/>
      <c r="M4" s="202"/>
    </row>
    <row r="5" spans="1:22">
      <c r="A5" s="1157" t="s">
        <v>400</v>
      </c>
      <c r="B5" s="1157"/>
      <c r="C5" s="1157"/>
      <c r="D5" s="1157"/>
      <c r="E5" s="1157"/>
      <c r="F5" s="1157"/>
    </row>
    <row r="8" spans="1:22">
      <c r="A8" s="202"/>
      <c r="B8" s="202"/>
      <c r="C8" s="202"/>
      <c r="D8" s="202"/>
      <c r="E8" s="202"/>
      <c r="F8" s="215"/>
      <c r="G8" s="896"/>
      <c r="H8" s="896"/>
      <c r="I8" s="896"/>
      <c r="J8" s="934"/>
      <c r="K8" s="935" t="s">
        <v>401</v>
      </c>
      <c r="L8" s="936"/>
      <c r="M8" s="906"/>
      <c r="P8" s="997" t="s">
        <v>451</v>
      </c>
      <c r="Q8" s="896"/>
      <c r="R8" s="934"/>
      <c r="S8" s="935" t="s">
        <v>401</v>
      </c>
      <c r="T8" s="936"/>
      <c r="U8" s="906"/>
    </row>
    <row r="9" spans="1:22" ht="13.5">
      <c r="A9" s="937" t="s">
        <v>376</v>
      </c>
      <c r="B9" s="205"/>
      <c r="C9" s="1158" t="s">
        <v>113</v>
      </c>
      <c r="D9" s="1159"/>
      <c r="E9" s="215"/>
      <c r="F9" s="937"/>
      <c r="G9" s="896"/>
      <c r="H9" s="1010" t="s">
        <v>131</v>
      </c>
      <c r="I9" s="215"/>
      <c r="J9" s="205" t="s">
        <v>377</v>
      </c>
      <c r="K9" s="205"/>
      <c r="L9" s="205" t="s">
        <v>378</v>
      </c>
      <c r="M9" s="906"/>
      <c r="P9" s="998" t="s">
        <v>452</v>
      </c>
      <c r="Q9" s="215"/>
      <c r="R9" s="205" t="s">
        <v>377</v>
      </c>
      <c r="S9" s="205"/>
      <c r="T9" s="205" t="s">
        <v>378</v>
      </c>
      <c r="U9" s="906"/>
    </row>
    <row r="10" spans="1:22">
      <c r="A10" s="938" t="s">
        <v>27</v>
      </c>
      <c r="B10" s="205"/>
      <c r="C10" s="1160"/>
      <c r="D10" s="1161"/>
      <c r="E10" s="215"/>
      <c r="F10" s="938" t="s">
        <v>486</v>
      </c>
      <c r="G10" s="896"/>
      <c r="H10" s="220" t="s">
        <v>379</v>
      </c>
      <c r="I10" s="215"/>
      <c r="J10" s="220" t="s">
        <v>380</v>
      </c>
      <c r="K10" s="220" t="s">
        <v>381</v>
      </c>
      <c r="L10" s="220" t="s">
        <v>381</v>
      </c>
      <c r="M10" s="906"/>
      <c r="P10" s="220" t="s">
        <v>379</v>
      </c>
      <c r="Q10" s="215"/>
      <c r="R10" s="220" t="s">
        <v>380</v>
      </c>
      <c r="S10" s="220" t="s">
        <v>381</v>
      </c>
      <c r="T10" s="220" t="s">
        <v>381</v>
      </c>
      <c r="U10" s="906"/>
    </row>
    <row r="11" spans="1:22">
      <c r="A11" s="202"/>
      <c r="B11" s="202"/>
      <c r="C11" s="202"/>
      <c r="D11" s="202"/>
      <c r="E11" s="939"/>
      <c r="G11" s="896"/>
      <c r="H11" s="896"/>
      <c r="I11" s="897"/>
      <c r="J11" s="896"/>
      <c r="K11" s="896"/>
      <c r="L11" s="896"/>
      <c r="M11" s="906"/>
      <c r="P11" s="896"/>
      <c r="Q11" s="897"/>
      <c r="R11" s="896"/>
      <c r="S11" s="896"/>
      <c r="T11" s="896"/>
      <c r="U11" s="906"/>
    </row>
    <row r="12" spans="1:22">
      <c r="A12" s="225">
        <v>1</v>
      </c>
      <c r="B12" s="202"/>
      <c r="C12" s="202" t="s">
        <v>403</v>
      </c>
      <c r="D12" s="202"/>
      <c r="E12" s="202"/>
      <c r="F12" s="228">
        <f>IDGas12_07!AL69</f>
        <v>76316</v>
      </c>
      <c r="G12" s="896"/>
      <c r="H12" s="202" t="s">
        <v>440</v>
      </c>
      <c r="I12" s="940"/>
      <c r="J12" s="900">
        <f>100%-J14-J18</f>
        <v>0.53699999999999992</v>
      </c>
      <c r="K12" s="900">
        <v>6.3799999999999996E-2</v>
      </c>
      <c r="L12" s="900">
        <f>ROUND(J12*K12,4)</f>
        <v>3.4299999999999997E-2</v>
      </c>
      <c r="M12" s="906"/>
      <c r="N12" s="995"/>
      <c r="P12" s="202" t="s">
        <v>440</v>
      </c>
      <c r="Q12" s="940"/>
      <c r="R12" s="900">
        <f>0.4415</f>
        <v>0.4415</v>
      </c>
      <c r="S12" s="900">
        <v>7.7499999999999999E-2</v>
      </c>
      <c r="T12" s="900">
        <f>ROUND(R12*S12,4)</f>
        <v>3.4200000000000001E-2</v>
      </c>
      <c r="U12" s="906"/>
    </row>
    <row r="13" spans="1:22">
      <c r="A13" s="225"/>
      <c r="B13" s="202"/>
      <c r="C13" s="202"/>
      <c r="D13" s="202"/>
      <c r="E13" s="202"/>
      <c r="F13" s="228"/>
      <c r="G13" s="896"/>
      <c r="H13" s="202"/>
      <c r="I13" s="942"/>
      <c r="J13" s="900"/>
      <c r="K13" s="1035"/>
      <c r="L13" s="900"/>
      <c r="M13" s="973" t="s">
        <v>442</v>
      </c>
      <c r="N13" s="996"/>
      <c r="P13" s="202" t="s">
        <v>439</v>
      </c>
      <c r="Q13" s="942"/>
      <c r="R13" s="900">
        <v>3.39E-2</v>
      </c>
      <c r="S13" s="900">
        <v>7.0800000000000002E-2</v>
      </c>
      <c r="T13" s="900">
        <f>ROUND(R13*S13,4)</f>
        <v>2.3999999999999998E-3</v>
      </c>
      <c r="U13" s="973" t="s">
        <v>442</v>
      </c>
      <c r="V13" s="975" t="s">
        <v>443</v>
      </c>
    </row>
    <row r="14" spans="1:22">
      <c r="A14" s="225">
        <v>2</v>
      </c>
      <c r="B14" s="202"/>
      <c r="C14" s="202" t="s">
        <v>382</v>
      </c>
      <c r="D14" s="202"/>
      <c r="E14" s="202"/>
      <c r="F14" s="898">
        <f>L34</f>
        <v>8.7400000000000005E-2</v>
      </c>
      <c r="G14" s="896"/>
      <c r="H14" s="202" t="s">
        <v>385</v>
      </c>
      <c r="I14" s="940"/>
      <c r="J14" s="900">
        <v>0</v>
      </c>
      <c r="K14" s="1035">
        <v>0</v>
      </c>
      <c r="L14" s="900">
        <f>ROUND(J14*K14,4)</f>
        <v>0</v>
      </c>
      <c r="M14" s="974">
        <f>SUM(L12:L14)</f>
        <v>3.4299999999999997E-2</v>
      </c>
      <c r="N14" s="62"/>
      <c r="P14" s="202" t="s">
        <v>385</v>
      </c>
      <c r="Q14" s="940"/>
      <c r="R14" s="900">
        <v>4.6800000000000001E-2</v>
      </c>
      <c r="S14" s="900">
        <v>7.0400000000000004E-2</v>
      </c>
      <c r="T14" s="900">
        <f>ROUND(R14*S14,4)</f>
        <v>3.3E-3</v>
      </c>
      <c r="U14" s="974">
        <f>SUM(T12:T14)</f>
        <v>3.9899999999999998E-2</v>
      </c>
      <c r="V14" s="976">
        <f>T12+T14</f>
        <v>3.7499999999999999E-2</v>
      </c>
    </row>
    <row r="15" spans="1:22">
      <c r="A15" s="225"/>
      <c r="B15" s="202"/>
      <c r="C15" s="202"/>
      <c r="D15" s="202"/>
      <c r="E15" s="202"/>
      <c r="F15" s="899"/>
      <c r="G15" s="896"/>
      <c r="H15" s="202"/>
      <c r="I15" s="942"/>
      <c r="J15" s="941"/>
      <c r="K15" s="941"/>
      <c r="L15" s="943"/>
      <c r="M15" s="906"/>
      <c r="N15" s="995"/>
      <c r="P15" s="202"/>
      <c r="Q15" s="942"/>
      <c r="R15" s="941"/>
      <c r="S15" s="941"/>
      <c r="T15" s="943"/>
      <c r="U15" s="906"/>
    </row>
    <row r="16" spans="1:22">
      <c r="A16" s="225">
        <v>3</v>
      </c>
      <c r="B16" s="202"/>
      <c r="C16" s="202" t="s">
        <v>383</v>
      </c>
      <c r="D16" s="202"/>
      <c r="E16" s="202"/>
      <c r="F16" s="228">
        <f>ROUND(F12*F14,0)</f>
        <v>6670</v>
      </c>
      <c r="G16" s="896"/>
      <c r="H16" s="202" t="s">
        <v>392</v>
      </c>
      <c r="I16" s="940"/>
      <c r="J16" s="941"/>
      <c r="K16" s="941"/>
      <c r="L16" s="24">
        <f>ROUND(J16*K16,4)</f>
        <v>0</v>
      </c>
      <c r="M16" s="906"/>
      <c r="P16" s="202" t="s">
        <v>392</v>
      </c>
      <c r="Q16" s="940"/>
      <c r="R16" s="941"/>
      <c r="S16" s="941"/>
      <c r="T16" s="24">
        <f>ROUND(R16*S16,4)</f>
        <v>0</v>
      </c>
      <c r="U16" s="906"/>
    </row>
    <row r="17" spans="1:21">
      <c r="A17" s="225"/>
      <c r="B17" s="202"/>
      <c r="C17" s="202"/>
      <c r="D17" s="202"/>
      <c r="E17" s="202"/>
      <c r="F17" s="228"/>
      <c r="G17" s="896"/>
      <c r="M17" s="906"/>
      <c r="P17" s="191"/>
      <c r="Q17" s="191"/>
      <c r="R17" s="191"/>
      <c r="S17" s="191"/>
      <c r="T17" s="191"/>
      <c r="U17" s="906"/>
    </row>
    <row r="18" spans="1:21">
      <c r="A18" s="225">
        <v>4</v>
      </c>
      <c r="B18" s="202"/>
      <c r="C18" s="202" t="s">
        <v>384</v>
      </c>
      <c r="D18" s="202"/>
      <c r="E18" s="202"/>
      <c r="F18" s="901">
        <f>IDGas12_07!AL52</f>
        <v>5461.1420600000001</v>
      </c>
      <c r="G18" s="896"/>
      <c r="H18" s="202" t="s">
        <v>388</v>
      </c>
      <c r="I18" s="940"/>
      <c r="J18" s="900">
        <v>0.46300000000000002</v>
      </c>
      <c r="K18" s="900">
        <v>0.108</v>
      </c>
      <c r="L18" s="900">
        <f>ROUND(J18*K18,4)</f>
        <v>0.05</v>
      </c>
      <c r="M18" s="906"/>
      <c r="P18" s="202" t="s">
        <v>388</v>
      </c>
      <c r="Q18" s="940"/>
      <c r="R18" s="900">
        <v>0.4778</v>
      </c>
      <c r="S18" s="900">
        <v>0.113</v>
      </c>
      <c r="T18" s="900">
        <f>ROUND(R18*S18,4)</f>
        <v>5.3999999999999999E-2</v>
      </c>
      <c r="U18" s="906"/>
    </row>
    <row r="19" spans="1:21">
      <c r="A19" s="225"/>
      <c r="B19" s="202"/>
      <c r="C19" s="202"/>
      <c r="D19" s="202"/>
      <c r="E19" s="202"/>
      <c r="F19" s="202"/>
      <c r="G19" s="896"/>
      <c r="H19" s="202"/>
      <c r="I19" s="942"/>
      <c r="J19" s="941"/>
      <c r="K19" s="941"/>
      <c r="L19" s="943"/>
      <c r="M19" s="906"/>
      <c r="P19" s="202"/>
      <c r="Q19" s="942"/>
      <c r="R19" s="941"/>
      <c r="S19" s="941"/>
      <c r="T19" s="943"/>
      <c r="U19" s="906"/>
    </row>
    <row r="20" spans="1:21" ht="13.5" thickBot="1">
      <c r="A20" s="225">
        <v>5</v>
      </c>
      <c r="B20" s="202"/>
      <c r="C20" s="202" t="s">
        <v>386</v>
      </c>
      <c r="D20" s="202"/>
      <c r="E20" s="202"/>
      <c r="F20" s="228">
        <f>F16-F18</f>
        <v>1208.8579399999999</v>
      </c>
      <c r="G20" s="896"/>
      <c r="H20" s="202" t="s">
        <v>44</v>
      </c>
      <c r="I20" s="902"/>
      <c r="J20" s="904">
        <f>SUM(J12:J19)</f>
        <v>1</v>
      </c>
      <c r="K20" s="24"/>
      <c r="L20" s="904">
        <f>SUM(L12:L19)</f>
        <v>8.43E-2</v>
      </c>
      <c r="M20" s="906"/>
      <c r="P20" s="202" t="s">
        <v>44</v>
      </c>
      <c r="Q20" s="902"/>
      <c r="R20" s="904">
        <f>SUM(R12:R19)</f>
        <v>1</v>
      </c>
      <c r="S20" s="24"/>
      <c r="T20" s="904">
        <f>SUM(T12:T19)</f>
        <v>9.3899999999999997E-2</v>
      </c>
      <c r="U20" s="906"/>
    </row>
    <row r="21" spans="1:21" ht="13.5" thickTop="1">
      <c r="A21" s="225"/>
      <c r="B21" s="202"/>
      <c r="C21" s="202"/>
      <c r="D21" s="202"/>
      <c r="E21" s="202"/>
      <c r="F21" s="202"/>
      <c r="G21" s="896"/>
      <c r="H21" s="202"/>
      <c r="I21" s="942"/>
      <c r="J21" s="24"/>
      <c r="K21" s="24"/>
      <c r="L21" s="943"/>
      <c r="M21" s="906"/>
    </row>
    <row r="22" spans="1:21">
      <c r="A22" s="225">
        <v>6</v>
      </c>
      <c r="B22" s="202"/>
      <c r="C22" s="202" t="s">
        <v>387</v>
      </c>
      <c r="D22" s="202"/>
      <c r="E22" s="202"/>
      <c r="F22" s="1074">
        <f>F33</f>
        <v>0.63956230000000003</v>
      </c>
      <c r="G22" s="896"/>
      <c r="H22" s="1012"/>
      <c r="I22" s="1012"/>
      <c r="J22" s="1013"/>
      <c r="K22" s="1014" t="s">
        <v>401</v>
      </c>
      <c r="L22" s="1015"/>
      <c r="M22" s="1016"/>
      <c r="N22" s="1011"/>
    </row>
    <row r="23" spans="1:21" ht="13.5" thickBot="1">
      <c r="A23" s="225"/>
      <c r="B23" s="202"/>
      <c r="C23" s="202"/>
      <c r="D23" s="202"/>
      <c r="E23" s="202"/>
      <c r="F23" s="202"/>
      <c r="G23" s="896"/>
      <c r="H23" s="1010" t="s">
        <v>132</v>
      </c>
      <c r="I23" s="1017"/>
      <c r="J23" s="1018" t="s">
        <v>377</v>
      </c>
      <c r="K23" s="1018"/>
      <c r="L23" s="1018" t="s">
        <v>378</v>
      </c>
      <c r="M23" s="1016"/>
      <c r="N23" s="1011"/>
    </row>
    <row r="24" spans="1:21" ht="13.5" thickBot="1">
      <c r="A24" s="225">
        <v>7</v>
      </c>
      <c r="B24" s="202"/>
      <c r="C24" s="202" t="s">
        <v>389</v>
      </c>
      <c r="D24" s="202"/>
      <c r="E24" s="202"/>
      <c r="F24" s="903">
        <f>ROUND(F20/F22,0)</f>
        <v>1890</v>
      </c>
      <c r="G24" s="896"/>
      <c r="H24" s="1019" t="s">
        <v>379</v>
      </c>
      <c r="I24" s="1017"/>
      <c r="J24" s="1019" t="s">
        <v>380</v>
      </c>
      <c r="K24" s="1019" t="s">
        <v>381</v>
      </c>
      <c r="L24" s="1019" t="s">
        <v>381</v>
      </c>
      <c r="M24" s="1016"/>
      <c r="N24" s="1011"/>
    </row>
    <row r="25" spans="1:21">
      <c r="A25" s="202"/>
      <c r="B25" s="202"/>
      <c r="C25" s="202"/>
      <c r="D25" s="202"/>
      <c r="E25" s="202"/>
      <c r="F25" s="202"/>
      <c r="G25" s="896"/>
      <c r="H25" s="1012"/>
      <c r="I25" s="1020"/>
      <c r="J25" s="1012"/>
      <c r="K25" s="1012"/>
      <c r="L25" s="1012"/>
      <c r="M25" s="1016"/>
      <c r="N25" s="1011"/>
    </row>
    <row r="26" spans="1:21">
      <c r="A26" s="225">
        <v>8</v>
      </c>
      <c r="B26" s="202"/>
      <c r="C26" s="202" t="s">
        <v>390</v>
      </c>
      <c r="D26" s="202"/>
      <c r="E26" s="202"/>
      <c r="F26" s="902">
        <f>IDGas12_07!AL13+IDGas12_07!AL14</f>
        <v>89377</v>
      </c>
      <c r="G26" s="896"/>
      <c r="H26" s="1021" t="s">
        <v>440</v>
      </c>
      <c r="I26" s="1022"/>
      <c r="J26" s="1023">
        <v>0.52059999999999995</v>
      </c>
      <c r="K26" s="1036">
        <v>6.8400000000000002E-2</v>
      </c>
      <c r="L26" s="1023">
        <f>ROUND(J26*K26,4)</f>
        <v>3.56E-2</v>
      </c>
      <c r="M26" s="1031" t="s">
        <v>470</v>
      </c>
      <c r="N26" s="1032"/>
    </row>
    <row r="27" spans="1:21">
      <c r="A27" s="202"/>
      <c r="B27" s="202"/>
      <c r="C27" s="202"/>
      <c r="D27" s="202"/>
      <c r="E27" s="202"/>
      <c r="F27" s="202"/>
      <c r="G27" s="896"/>
      <c r="H27" s="1021"/>
      <c r="I27" s="1024"/>
      <c r="J27" s="1023"/>
      <c r="K27" s="1036"/>
      <c r="L27" s="1023"/>
      <c r="M27" s="973" t="s">
        <v>443</v>
      </c>
      <c r="N27" s="1033"/>
    </row>
    <row r="28" spans="1:21" ht="13.5" thickBot="1">
      <c r="A28" s="225">
        <v>9</v>
      </c>
      <c r="B28" s="202"/>
      <c r="C28" s="202" t="s">
        <v>391</v>
      </c>
      <c r="D28" s="202"/>
      <c r="E28" s="202"/>
      <c r="F28" s="904">
        <f>ROUND(F24/F26,4)</f>
        <v>2.1100000000000001E-2</v>
      </c>
      <c r="H28" s="1021" t="s">
        <v>385</v>
      </c>
      <c r="I28" s="1022"/>
      <c r="J28" s="1023">
        <v>0</v>
      </c>
      <c r="K28" s="1036">
        <v>0</v>
      </c>
      <c r="L28" s="1023">
        <f>ROUND(J28*K28,4)</f>
        <v>0</v>
      </c>
      <c r="M28" s="1025">
        <f>SUM(L26:L28)</f>
        <v>3.56E-2</v>
      </c>
      <c r="N28" s="1011"/>
    </row>
    <row r="29" spans="1:21" ht="13.5" thickTop="1">
      <c r="B29" s="202"/>
      <c r="C29" s="896"/>
      <c r="D29" s="896"/>
      <c r="E29" s="896"/>
      <c r="F29" s="896"/>
      <c r="H29" s="1021"/>
      <c r="I29" s="1024"/>
      <c r="J29" s="1026"/>
      <c r="K29" s="1026"/>
      <c r="L29" s="1028"/>
      <c r="M29" s="1016"/>
      <c r="N29" s="1011"/>
    </row>
    <row r="30" spans="1:21">
      <c r="H30" s="1021" t="s">
        <v>392</v>
      </c>
      <c r="I30" s="1022"/>
      <c r="J30" s="1026"/>
      <c r="K30" s="1026"/>
      <c r="L30" s="1025">
        <f>ROUND(J30*K30,4)</f>
        <v>0</v>
      </c>
      <c r="M30" s="1016"/>
      <c r="N30" s="1011"/>
    </row>
    <row r="31" spans="1:21">
      <c r="H31" s="1016"/>
      <c r="I31" s="1016"/>
      <c r="J31" s="1016"/>
      <c r="K31" s="1016"/>
      <c r="L31" s="1016"/>
      <c r="M31" s="1016"/>
      <c r="N31" s="1011"/>
    </row>
    <row r="32" spans="1:21" ht="10.5" customHeight="1">
      <c r="H32" s="1021" t="s">
        <v>388</v>
      </c>
      <c r="I32" s="1022"/>
      <c r="J32" s="1023">
        <v>0.47939999999999999</v>
      </c>
      <c r="K32" s="1023">
        <v>0.108</v>
      </c>
      <c r="L32" s="1023">
        <f>ROUND(J32*K32,4)</f>
        <v>5.1799999999999999E-2</v>
      </c>
      <c r="M32" s="1016"/>
      <c r="N32" s="1011"/>
    </row>
    <row r="33" spans="5:14">
      <c r="E33" s="191" t="s">
        <v>484</v>
      </c>
      <c r="F33" s="191">
        <f>'ConverFac_Exh-ID'!E23</f>
        <v>0.63956230000000003</v>
      </c>
      <c r="H33" s="1021"/>
      <c r="I33" s="1024"/>
      <c r="J33" s="1026"/>
      <c r="K33" s="1026"/>
      <c r="L33" s="1028"/>
      <c r="M33" s="1016"/>
      <c r="N33" s="1011"/>
    </row>
    <row r="34" spans="5:14" ht="13.5" thickBot="1">
      <c r="H34" s="1021" t="s">
        <v>44</v>
      </c>
      <c r="I34" s="1029"/>
      <c r="J34" s="1030">
        <f>SUM(J26:J33)</f>
        <v>1</v>
      </c>
      <c r="K34" s="1025"/>
      <c r="L34" s="1030">
        <f>SUM(L26:L33)</f>
        <v>8.7400000000000005E-2</v>
      </c>
      <c r="M34" s="1016"/>
      <c r="N34" s="1011"/>
    </row>
    <row r="35" spans="5:14" ht="13.5" thickTop="1"/>
  </sheetData>
  <mergeCells count="2">
    <mergeCell ref="A5:F5"/>
    <mergeCell ref="C9:D10"/>
  </mergeCells>
  <phoneticPr fontId="0" type="noConversion"/>
  <pageMargins left="0.75" right="0.75" top="1" bottom="1" header="0.5" footer="0.5"/>
  <pageSetup orientation="portrait" r:id="rId1"/>
  <headerFooter alignWithMargins="0">
    <oddFooter xml:space="preserve">&amp;R&amp;"Times,Regular"                                                                
  Page 2 of 8               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8"/>
  <dimension ref="A1:G61"/>
  <sheetViews>
    <sheetView workbookViewId="0">
      <selection activeCell="F3" sqref="F3"/>
    </sheetView>
  </sheetViews>
  <sheetFormatPr defaultRowHeight="12.75"/>
  <cols>
    <col min="1" max="1" width="9.140625" style="191"/>
    <col min="2" max="2" width="6.5703125" style="191" customWidth="1"/>
    <col min="3" max="3" width="42" style="191" customWidth="1"/>
    <col min="4" max="4" width="9.140625" style="191"/>
    <col min="5" max="5" width="20.140625" style="966" customWidth="1"/>
    <col min="6" max="6" width="9.140625" style="191"/>
    <col min="7" max="7" width="19.85546875" style="191" bestFit="1" customWidth="1"/>
    <col min="8" max="16384" width="9.140625" style="191"/>
  </cols>
  <sheetData>
    <row r="1" spans="1:7" s="953" customFormat="1">
      <c r="A1" s="1077" t="str">
        <f>'ConverFac_Exh-WA'!C1</f>
        <v>AVISTA UTILITIES</v>
      </c>
      <c r="B1" s="951"/>
      <c r="C1" s="951"/>
      <c r="D1" s="951"/>
      <c r="E1" s="952"/>
      <c r="G1" s="191"/>
    </row>
    <row r="2" spans="1:7" s="953" customFormat="1">
      <c r="A2" s="951" t="s">
        <v>487</v>
      </c>
      <c r="B2" s="951"/>
      <c r="C2" s="951"/>
      <c r="D2" s="951"/>
      <c r="E2" s="954"/>
      <c r="G2" s="191"/>
    </row>
    <row r="3" spans="1:7" s="953" customFormat="1">
      <c r="A3" s="1078" t="str">
        <f>Inputs!D2</f>
        <v>TWELVE MONTHS ENDED SEPTEMBER 30, 2008</v>
      </c>
      <c r="B3" s="951"/>
      <c r="C3" s="951"/>
      <c r="D3" s="951"/>
      <c r="E3" s="951"/>
      <c r="G3" s="191"/>
    </row>
    <row r="4" spans="1:7">
      <c r="A4" s="955"/>
      <c r="B4" s="955"/>
      <c r="C4" s="955"/>
      <c r="D4" s="955"/>
      <c r="E4" s="955"/>
      <c r="G4" s="978" t="s">
        <v>444</v>
      </c>
    </row>
    <row r="5" spans="1:7">
      <c r="A5" s="955"/>
      <c r="B5" s="955"/>
      <c r="C5" s="955"/>
      <c r="D5" s="955"/>
      <c r="E5" s="955"/>
    </row>
    <row r="6" spans="1:7">
      <c r="A6" s="955"/>
      <c r="B6" s="955"/>
      <c r="C6" s="955"/>
      <c r="D6" s="955"/>
      <c r="E6" s="955"/>
    </row>
    <row r="7" spans="1:7">
      <c r="A7" s="955" t="s">
        <v>407</v>
      </c>
      <c r="B7" s="955"/>
      <c r="C7" s="955"/>
      <c r="D7" s="955"/>
      <c r="E7" s="955">
        <v>1</v>
      </c>
      <c r="G7" s="958">
        <f>'RevReqEx ID'!F24</f>
        <v>1890</v>
      </c>
    </row>
    <row r="8" spans="1:7">
      <c r="A8" s="955"/>
      <c r="B8" s="955"/>
      <c r="C8" s="955"/>
      <c r="E8" s="955"/>
    </row>
    <row r="9" spans="1:7">
      <c r="A9" s="955" t="s">
        <v>408</v>
      </c>
      <c r="B9" s="955"/>
      <c r="C9" s="955"/>
      <c r="E9" s="955"/>
    </row>
    <row r="10" spans="1:7">
      <c r="A10" s="955"/>
      <c r="B10" s="955"/>
      <c r="C10" s="955"/>
      <c r="E10" s="955"/>
    </row>
    <row r="11" spans="1:7">
      <c r="A11" s="955" t="s">
        <v>488</v>
      </c>
      <c r="B11" s="955"/>
      <c r="C11" s="955"/>
      <c r="E11" s="1081">
        <v>2.1510000000000001E-3</v>
      </c>
      <c r="G11" s="959">
        <f>ROUND($G$7*E11,0)</f>
        <v>4</v>
      </c>
    </row>
    <row r="12" spans="1:7">
      <c r="A12" s="955"/>
      <c r="B12" s="955"/>
      <c r="C12" s="955"/>
      <c r="E12" s="955"/>
    </row>
    <row r="13" spans="1:7">
      <c r="A13" s="955" t="s">
        <v>489</v>
      </c>
      <c r="B13" s="955"/>
      <c r="C13" s="955"/>
      <c r="E13" s="1081">
        <v>2.4910000000000002E-3</v>
      </c>
      <c r="G13" s="959">
        <f>ROUND($G$7*E13,0)</f>
        <v>5</v>
      </c>
    </row>
    <row r="14" spans="1:7">
      <c r="A14" s="955"/>
      <c r="B14" s="955"/>
      <c r="C14" s="955"/>
      <c r="E14" s="955"/>
    </row>
    <row r="15" spans="1:7">
      <c r="A15" s="955" t="s">
        <v>490</v>
      </c>
      <c r="B15" s="955"/>
      <c r="C15" s="955"/>
      <c r="E15" s="1081">
        <f>Inputs!D4</f>
        <v>1.1416000000000001E-2</v>
      </c>
      <c r="G15" s="959">
        <f>ROUND($G$7*E15,0)</f>
        <v>22</v>
      </c>
    </row>
    <row r="16" spans="1:7">
      <c r="A16" s="955"/>
      <c r="B16" s="955"/>
      <c r="C16" s="955"/>
      <c r="E16" s="955"/>
    </row>
    <row r="17" spans="1:7">
      <c r="A17" s="955" t="s">
        <v>413</v>
      </c>
      <c r="B17" s="955"/>
      <c r="C17" s="955"/>
      <c r="E17" s="1079">
        <f>SUM(E10:E15)</f>
        <v>1.6058000000000003E-2</v>
      </c>
      <c r="G17" s="961">
        <f>SUM(G11:G16)</f>
        <v>31</v>
      </c>
    </row>
    <row r="18" spans="1:7">
      <c r="A18" s="955"/>
      <c r="B18" s="955"/>
      <c r="C18" s="955"/>
      <c r="E18" s="955"/>
      <c r="G18" s="962"/>
    </row>
    <row r="19" spans="1:7">
      <c r="A19" s="955" t="s">
        <v>414</v>
      </c>
      <c r="B19" s="955"/>
      <c r="C19" s="955"/>
      <c r="E19" s="955">
        <f>E7-E17</f>
        <v>0.98394199999999998</v>
      </c>
      <c r="G19" s="962">
        <f>G7-G17</f>
        <v>1859</v>
      </c>
    </row>
    <row r="20" spans="1:7">
      <c r="A20" s="955"/>
      <c r="B20" s="955"/>
      <c r="C20" s="955"/>
      <c r="E20" s="955"/>
    </row>
    <row r="21" spans="1:7">
      <c r="A21" s="955" t="s">
        <v>491</v>
      </c>
      <c r="B21" s="963">
        <v>0.35</v>
      </c>
      <c r="C21" s="1080"/>
      <c r="E21" s="955">
        <f>E19*$B$21</f>
        <v>0.34437969999999996</v>
      </c>
      <c r="G21" s="964">
        <f>ROUND(G19*0.35,0)</f>
        <v>651</v>
      </c>
    </row>
    <row r="22" spans="1:7">
      <c r="A22" s="955"/>
      <c r="B22" s="955"/>
      <c r="C22" s="955"/>
      <c r="E22" s="955"/>
    </row>
    <row r="23" spans="1:7" ht="13.5" thickBot="1">
      <c r="A23" s="955" t="s">
        <v>416</v>
      </c>
      <c r="B23" s="955"/>
      <c r="C23" s="955"/>
      <c r="E23" s="1082">
        <f>E19-E21</f>
        <v>0.63956230000000003</v>
      </c>
      <c r="G23" s="965">
        <f>G19-G21</f>
        <v>1208</v>
      </c>
    </row>
    <row r="24" spans="1:7" ht="13.5" thickTop="1">
      <c r="A24" s="955"/>
      <c r="B24" s="955"/>
      <c r="C24" s="955"/>
      <c r="E24" s="955"/>
    </row>
    <row r="25" spans="1:7">
      <c r="A25" s="955"/>
      <c r="B25" s="955"/>
      <c r="C25" s="955"/>
      <c r="E25" s="955"/>
    </row>
    <row r="26" spans="1:7">
      <c r="A26" s="955"/>
      <c r="B26" s="955"/>
      <c r="C26" s="955"/>
      <c r="E26" s="955"/>
    </row>
    <row r="27" spans="1:7">
      <c r="A27" s="955"/>
      <c r="B27" s="955"/>
      <c r="C27" s="955"/>
      <c r="E27" s="955"/>
    </row>
    <row r="28" spans="1:7">
      <c r="E28" s="191"/>
    </row>
    <row r="29" spans="1:7">
      <c r="E29" s="191"/>
    </row>
    <row r="30" spans="1:7">
      <c r="E30" s="191"/>
    </row>
    <row r="31" spans="1:7">
      <c r="E31" s="191"/>
    </row>
    <row r="32" spans="1:7">
      <c r="E32" s="191"/>
    </row>
    <row r="33" spans="5:5">
      <c r="E33" s="191"/>
    </row>
    <row r="34" spans="5:5">
      <c r="E34" s="191"/>
    </row>
    <row r="35" spans="5:5">
      <c r="E35" s="191"/>
    </row>
    <row r="36" spans="5:5">
      <c r="E36" s="191"/>
    </row>
    <row r="37" spans="5:5">
      <c r="E37" s="191"/>
    </row>
    <row r="38" spans="5:5">
      <c r="E38" s="191"/>
    </row>
    <row r="39" spans="5:5">
      <c r="E39" s="191"/>
    </row>
    <row r="40" spans="5:5">
      <c r="E40" s="191"/>
    </row>
    <row r="41" spans="5:5">
      <c r="E41" s="191"/>
    </row>
    <row r="42" spans="5:5">
      <c r="E42" s="191"/>
    </row>
    <row r="43" spans="5:5">
      <c r="E43" s="191"/>
    </row>
    <row r="44" spans="5:5">
      <c r="E44" s="191"/>
    </row>
    <row r="45" spans="5:5">
      <c r="E45" s="191"/>
    </row>
    <row r="46" spans="5:5">
      <c r="E46" s="191"/>
    </row>
    <row r="47" spans="5:5">
      <c r="E47" s="191"/>
    </row>
    <row r="48" spans="5:5">
      <c r="E48" s="191"/>
    </row>
    <row r="49" spans="5:5">
      <c r="E49" s="191"/>
    </row>
    <row r="50" spans="5:5">
      <c r="E50" s="191"/>
    </row>
    <row r="51" spans="5:5">
      <c r="E51" s="191"/>
    </row>
    <row r="52" spans="5:5">
      <c r="E52" s="191"/>
    </row>
    <row r="53" spans="5:5">
      <c r="E53" s="191"/>
    </row>
    <row r="54" spans="5:5">
      <c r="E54" s="191"/>
    </row>
    <row r="55" spans="5:5">
      <c r="E55" s="191"/>
    </row>
    <row r="56" spans="5:5">
      <c r="E56" s="191"/>
    </row>
    <row r="57" spans="5:5">
      <c r="E57" s="191"/>
    </row>
    <row r="58" spans="5:5">
      <c r="E58" s="191"/>
    </row>
    <row r="59" spans="5:5">
      <c r="E59" s="191"/>
    </row>
    <row r="60" spans="5:5">
      <c r="E60" s="191"/>
    </row>
    <row r="61" spans="5:5">
      <c r="E61" s="191"/>
    </row>
  </sheetData>
  <phoneticPr fontId="0" type="noConversion"/>
  <pageMargins left="0.75" right="0.75" top="1" bottom="1" header="0.5" footer="0.5"/>
  <pageSetup orientation="portrait" r:id="rId1"/>
  <headerFooter alignWithMargins="0">
    <oddHeader>&amp;RExhibit No. _____(EMA-3)</oddHeader>
    <oddFooter xml:space="preserve">&amp;RPage 3 of 8                       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2"/>
  <dimension ref="A1:AS71"/>
  <sheetViews>
    <sheetView showGridLines="0" zoomScale="75" zoomScaleNormal="75" zoomScaleSheetLayoutView="75" workbookViewId="0">
      <pane xSplit="5" ySplit="10" topLeftCell="F11" activePane="bottomRight" state="frozenSplit"/>
      <selection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10.7109375" defaultRowHeight="12"/>
  <cols>
    <col min="1" max="1" width="5.7109375" style="18" customWidth="1"/>
    <col min="2" max="2" width="1.7109375" style="2" customWidth="1"/>
    <col min="3" max="3" width="7.28515625" style="2" customWidth="1"/>
    <col min="4" max="4" width="6.5703125" style="2" customWidth="1"/>
    <col min="5" max="5" width="19.7109375" style="2" customWidth="1"/>
    <col min="6" max="6" width="10.85546875" style="790" customWidth="1"/>
    <col min="7" max="7" width="11" style="790" customWidth="1"/>
    <col min="8" max="8" width="13.42578125" style="790" customWidth="1"/>
    <col min="9" max="9" width="9.140625" style="790" customWidth="1"/>
    <col min="10" max="10" width="12.85546875" style="790" customWidth="1"/>
    <col min="11" max="11" width="10.42578125" style="790" customWidth="1"/>
    <col min="12" max="12" width="10.28515625" style="809" customWidth="1"/>
    <col min="13" max="13" width="12.7109375" style="790" customWidth="1"/>
    <col min="14" max="14" width="17.7109375" style="790" bestFit="1" customWidth="1"/>
    <col min="15" max="15" width="11.28515625" style="790" customWidth="1"/>
    <col min="16" max="16" width="11" style="790" customWidth="1"/>
    <col min="17" max="17" width="13.5703125" style="790" customWidth="1"/>
    <col min="18" max="19" width="11.7109375" style="790" customWidth="1"/>
    <col min="20" max="20" width="9" style="790" customWidth="1"/>
    <col min="21" max="21" width="12.5703125" style="790" customWidth="1"/>
    <col min="22" max="22" width="11.28515625" style="790" customWidth="1"/>
    <col min="23" max="25" width="12.5703125" style="830" hidden="1" customWidth="1"/>
    <col min="26" max="26" width="11.85546875" style="809" customWidth="1"/>
    <col min="27" max="27" width="11.140625" style="790" customWidth="1"/>
    <col min="28" max="28" width="10.85546875" style="790" customWidth="1"/>
    <col min="29" max="30" width="13.42578125" style="790" customWidth="1"/>
    <col min="31" max="31" width="13.140625" style="790" customWidth="1"/>
    <col min="32" max="32" width="12.5703125" style="790" customWidth="1"/>
    <col min="33" max="33" width="13.140625" style="790" customWidth="1"/>
    <col min="34" max="34" width="13.140625" style="830" hidden="1" customWidth="1"/>
    <col min="35" max="37" width="13.140625" style="790" hidden="1" customWidth="1"/>
    <col min="38" max="38" width="13.140625" style="809" customWidth="1"/>
    <col min="39" max="44" width="10.7109375" style="26" customWidth="1"/>
    <col min="45" max="45" width="12.42578125" style="790" customWidth="1"/>
    <col min="46" max="16384" width="10.7109375" style="26"/>
  </cols>
  <sheetData>
    <row r="1" spans="1:45">
      <c r="A1" s="1" t="s">
        <v>291</v>
      </c>
      <c r="F1" s="1047"/>
    </row>
    <row r="2" spans="1:45">
      <c r="A2" s="1" t="s">
        <v>292</v>
      </c>
      <c r="F2" s="1047"/>
    </row>
    <row r="3" spans="1:45">
      <c r="A3" s="1" t="s">
        <v>293</v>
      </c>
      <c r="F3" s="1047"/>
    </row>
    <row r="4" spans="1:45" ht="18.75">
      <c r="A4" s="1" t="str">
        <f>Inputs!D2</f>
        <v>TWELVE MONTHS ENDED SEPTEMBER 30, 2008</v>
      </c>
      <c r="H4" s="1091"/>
    </row>
    <row r="5" spans="1:45">
      <c r="A5" s="1" t="s">
        <v>294</v>
      </c>
    </row>
    <row r="6" spans="1:45" s="29" customFormat="1">
      <c r="A6" s="3"/>
      <c r="B6" s="4"/>
      <c r="C6" s="4"/>
      <c r="D6" s="4"/>
      <c r="E6" s="4"/>
      <c r="F6" s="791"/>
      <c r="G6" s="791"/>
      <c r="H6" s="791"/>
      <c r="I6" s="791"/>
      <c r="J6" s="791"/>
      <c r="K6" s="791"/>
      <c r="L6" s="810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839"/>
      <c r="X6" s="839"/>
      <c r="Y6" s="839"/>
      <c r="Z6" s="810"/>
      <c r="AA6" s="791"/>
      <c r="AB6" s="791"/>
      <c r="AC6" s="791"/>
      <c r="AD6" s="791"/>
      <c r="AE6" s="791"/>
      <c r="AF6" s="791"/>
      <c r="AG6" s="791"/>
      <c r="AH6" s="839"/>
      <c r="AI6" s="791"/>
      <c r="AJ6" s="791"/>
      <c r="AK6" s="791"/>
      <c r="AL6" s="810"/>
      <c r="AS6" s="791"/>
    </row>
    <row r="7" spans="1:45" s="29" customFormat="1" ht="12" customHeight="1">
      <c r="A7" s="5"/>
      <c r="B7" s="6"/>
      <c r="C7" s="7"/>
      <c r="D7" s="7"/>
      <c r="E7" s="8"/>
      <c r="F7" s="1043" t="s">
        <v>3</v>
      </c>
      <c r="G7" s="1043" t="s">
        <v>4</v>
      </c>
      <c r="H7" s="1043" t="s">
        <v>201</v>
      </c>
      <c r="I7" s="1048"/>
      <c r="J7" s="1043" t="s">
        <v>203</v>
      </c>
      <c r="K7" s="1043"/>
      <c r="L7" s="811"/>
      <c r="M7" s="1043"/>
      <c r="N7" s="1043" t="s">
        <v>353</v>
      </c>
      <c r="O7" s="1043" t="s">
        <v>5</v>
      </c>
      <c r="P7" s="1043"/>
      <c r="Q7" s="1043"/>
      <c r="R7" s="1043" t="s">
        <v>6</v>
      </c>
      <c r="S7" s="1043" t="s">
        <v>7</v>
      </c>
      <c r="T7" s="1048"/>
      <c r="U7" s="1043" t="s">
        <v>5</v>
      </c>
      <c r="V7" s="1048" t="s">
        <v>8</v>
      </c>
      <c r="W7" s="863"/>
      <c r="X7" s="853"/>
      <c r="Y7" s="853"/>
      <c r="Z7" s="811"/>
      <c r="AA7" s="1048" t="s">
        <v>26</v>
      </c>
      <c r="AB7" s="1048" t="s">
        <v>26</v>
      </c>
      <c r="AC7" s="1048" t="s">
        <v>26</v>
      </c>
      <c r="AD7" s="1048" t="s">
        <v>26</v>
      </c>
      <c r="AE7" s="1048" t="s">
        <v>26</v>
      </c>
      <c r="AF7" s="1048" t="s">
        <v>26</v>
      </c>
      <c r="AG7" s="1048" t="s">
        <v>26</v>
      </c>
      <c r="AH7" s="863" t="s">
        <v>26</v>
      </c>
      <c r="AI7" s="850" t="s">
        <v>340</v>
      </c>
      <c r="AJ7" s="850" t="s">
        <v>340</v>
      </c>
      <c r="AK7" s="850" t="s">
        <v>340</v>
      </c>
      <c r="AL7" s="811"/>
      <c r="AS7" s="863" t="s">
        <v>26</v>
      </c>
    </row>
    <row r="8" spans="1:45" s="29" customFormat="1">
      <c r="A8" s="9" t="s">
        <v>10</v>
      </c>
      <c r="B8" s="10"/>
      <c r="C8" s="11"/>
      <c r="D8" s="11"/>
      <c r="E8" s="12"/>
      <c r="F8" s="1044" t="s">
        <v>11</v>
      </c>
      <c r="G8" s="1044" t="s">
        <v>12</v>
      </c>
      <c r="H8" s="1044" t="s">
        <v>13</v>
      </c>
      <c r="I8" s="1049" t="s">
        <v>14</v>
      </c>
      <c r="J8" s="1044" t="s">
        <v>15</v>
      </c>
      <c r="K8" s="1044" t="s">
        <v>16</v>
      </c>
      <c r="L8" s="812" t="s">
        <v>17</v>
      </c>
      <c r="M8" s="1044" t="s">
        <v>82</v>
      </c>
      <c r="N8" s="1044" t="s">
        <v>204</v>
      </c>
      <c r="O8" s="1044" t="s">
        <v>18</v>
      </c>
      <c r="P8" s="1044" t="s">
        <v>19</v>
      </c>
      <c r="Q8" s="1044" t="s">
        <v>202</v>
      </c>
      <c r="R8" s="1044" t="s">
        <v>20</v>
      </c>
      <c r="S8" s="1044" t="s">
        <v>21</v>
      </c>
      <c r="T8" s="1049"/>
      <c r="U8" s="1044" t="s">
        <v>23</v>
      </c>
      <c r="V8" s="1049" t="s">
        <v>22</v>
      </c>
      <c r="W8" s="864"/>
      <c r="X8" s="854"/>
      <c r="Y8" s="854"/>
      <c r="Z8" s="812" t="s">
        <v>25</v>
      </c>
      <c r="AA8" s="851" t="s">
        <v>349</v>
      </c>
      <c r="AB8" s="851" t="s">
        <v>349</v>
      </c>
      <c r="AC8" s="1049" t="s">
        <v>465</v>
      </c>
      <c r="AD8" s="1049" t="s">
        <v>455</v>
      </c>
      <c r="AE8" s="1049" t="s">
        <v>455</v>
      </c>
      <c r="AF8" s="1049" t="s">
        <v>348</v>
      </c>
      <c r="AG8" s="851" t="s">
        <v>483</v>
      </c>
      <c r="AH8" s="999" t="s">
        <v>462</v>
      </c>
      <c r="AI8" s="851"/>
      <c r="AJ8" s="851"/>
      <c r="AK8" s="851"/>
      <c r="AL8" s="812" t="s">
        <v>26</v>
      </c>
      <c r="AS8" s="864" t="s">
        <v>455</v>
      </c>
    </row>
    <row r="9" spans="1:45" s="29" customFormat="1">
      <c r="A9" s="13" t="s">
        <v>27</v>
      </c>
      <c r="B9" s="14"/>
      <c r="C9" s="15"/>
      <c r="D9" s="15"/>
      <c r="E9" s="16" t="s">
        <v>28</v>
      </c>
      <c r="F9" s="1045" t="s">
        <v>29</v>
      </c>
      <c r="G9" s="1045" t="s">
        <v>30</v>
      </c>
      <c r="H9" s="1045" t="s">
        <v>31</v>
      </c>
      <c r="I9" s="1050" t="s">
        <v>32</v>
      </c>
      <c r="J9" s="1045" t="s">
        <v>33</v>
      </c>
      <c r="K9" s="1045" t="s">
        <v>34</v>
      </c>
      <c r="L9" s="813" t="s">
        <v>35</v>
      </c>
      <c r="M9" s="1045" t="s">
        <v>453</v>
      </c>
      <c r="N9" s="1045" t="s">
        <v>205</v>
      </c>
      <c r="O9" s="1045" t="s">
        <v>37</v>
      </c>
      <c r="P9" s="1045" t="s">
        <v>38</v>
      </c>
      <c r="Q9" s="1045" t="s">
        <v>20</v>
      </c>
      <c r="R9" s="1045" t="s">
        <v>36</v>
      </c>
      <c r="S9" s="1045" t="s">
        <v>39</v>
      </c>
      <c r="T9" s="1050" t="s">
        <v>12</v>
      </c>
      <c r="U9" s="1045" t="s">
        <v>42</v>
      </c>
      <c r="V9" s="1050" t="s">
        <v>40</v>
      </c>
      <c r="W9" s="865"/>
      <c r="X9" s="855"/>
      <c r="Y9" s="855"/>
      <c r="Z9" s="813" t="s">
        <v>44</v>
      </c>
      <c r="AA9" s="852" t="s">
        <v>350</v>
      </c>
      <c r="AB9" s="852" t="s">
        <v>351</v>
      </c>
      <c r="AC9" s="1050" t="s">
        <v>441</v>
      </c>
      <c r="AD9" s="1051" t="s">
        <v>456</v>
      </c>
      <c r="AE9" s="1051" t="s">
        <v>457</v>
      </c>
      <c r="AF9" s="1051"/>
      <c r="AG9" s="1050"/>
      <c r="AH9" s="1000"/>
      <c r="AI9" s="852" t="s">
        <v>41</v>
      </c>
      <c r="AJ9" s="852" t="s">
        <v>41</v>
      </c>
      <c r="AK9" s="852" t="s">
        <v>41</v>
      </c>
      <c r="AL9" s="813" t="s">
        <v>44</v>
      </c>
      <c r="AS9" s="1001" t="s">
        <v>458</v>
      </c>
    </row>
    <row r="10" spans="1:45" s="184" customFormat="1">
      <c r="A10" s="182"/>
      <c r="B10" s="183"/>
      <c r="C10" s="183"/>
      <c r="D10" s="183"/>
      <c r="E10" s="183" t="s">
        <v>45</v>
      </c>
      <c r="F10" s="1046" t="s">
        <v>46</v>
      </c>
      <c r="G10" s="1046" t="s">
        <v>47</v>
      </c>
      <c r="H10" s="1046" t="s">
        <v>48</v>
      </c>
      <c r="I10" s="1046" t="s">
        <v>49</v>
      </c>
      <c r="J10" s="1046" t="s">
        <v>50</v>
      </c>
      <c r="K10" s="1046" t="s">
        <v>51</v>
      </c>
      <c r="L10" s="814" t="s">
        <v>52</v>
      </c>
      <c r="M10" s="1046" t="s">
        <v>53</v>
      </c>
      <c r="N10" s="1046" t="s">
        <v>121</v>
      </c>
      <c r="O10" s="1046" t="s">
        <v>54</v>
      </c>
      <c r="P10" s="1046" t="s">
        <v>55</v>
      </c>
      <c r="Q10" s="1046" t="s">
        <v>122</v>
      </c>
      <c r="R10" s="1046" t="s">
        <v>56</v>
      </c>
      <c r="S10" s="1046" t="s">
        <v>57</v>
      </c>
      <c r="T10" s="1046" t="s">
        <v>58</v>
      </c>
      <c r="U10" s="1046" t="s">
        <v>59</v>
      </c>
      <c r="V10" s="800" t="s">
        <v>60</v>
      </c>
      <c r="W10" s="866"/>
      <c r="X10" s="866"/>
      <c r="Y10" s="866"/>
      <c r="Z10" s="814" t="s">
        <v>52</v>
      </c>
      <c r="AA10" s="800" t="s">
        <v>66</v>
      </c>
      <c r="AB10" s="800" t="s">
        <v>67</v>
      </c>
      <c r="AC10" s="800" t="s">
        <v>337</v>
      </c>
      <c r="AD10" s="800" t="s">
        <v>338</v>
      </c>
      <c r="AE10" s="1046" t="s">
        <v>341</v>
      </c>
      <c r="AF10" s="1052" t="s">
        <v>459</v>
      </c>
      <c r="AG10" s="1052" t="s">
        <v>347</v>
      </c>
      <c r="AH10" s="1009" t="s">
        <v>461</v>
      </c>
      <c r="AI10" s="800"/>
      <c r="AJ10" s="800"/>
      <c r="AK10" s="800"/>
      <c r="AL10" s="814" t="s">
        <v>52</v>
      </c>
      <c r="AS10" s="1009" t="s">
        <v>482</v>
      </c>
    </row>
    <row r="11" spans="1:45">
      <c r="T11" s="1096"/>
    </row>
    <row r="12" spans="1:45">
      <c r="B12" s="2" t="s">
        <v>295</v>
      </c>
      <c r="T12" s="1096"/>
    </row>
    <row r="13" spans="1:45" s="57" customFormat="1">
      <c r="A13" s="18">
        <v>1</v>
      </c>
      <c r="B13" s="19"/>
      <c r="C13" s="19" t="s">
        <v>296</v>
      </c>
      <c r="D13" s="19"/>
      <c r="E13" s="19"/>
      <c r="F13" s="1092">
        <f>ResultSumGas!$G8</f>
        <v>88848</v>
      </c>
      <c r="G13" s="792">
        <f>DFIT!$G8</f>
        <v>0</v>
      </c>
      <c r="H13" s="792">
        <f>BldGain!$G8</f>
        <v>0</v>
      </c>
      <c r="I13" s="792">
        <f>GasInv!$G8</f>
        <v>0</v>
      </c>
      <c r="J13" s="792">
        <f>WznDSM!$G8</f>
        <v>0</v>
      </c>
      <c r="K13" s="792">
        <f>CustAdv!$G8</f>
        <v>0</v>
      </c>
      <c r="L13" s="827">
        <f>SUM(F13:K13)</f>
        <v>88848</v>
      </c>
      <c r="M13" s="792">
        <f>'DeprTrue-up'!$G8</f>
        <v>0</v>
      </c>
      <c r="N13" s="792">
        <f>WeatherGas!$G8</f>
        <v>0</v>
      </c>
      <c r="O13" s="792">
        <f>BandO!$G8</f>
        <v>0</v>
      </c>
      <c r="P13" s="792">
        <f>PropTax!$G8</f>
        <v>0</v>
      </c>
      <c r="Q13" s="792">
        <f>UncollExp!$G8</f>
        <v>0</v>
      </c>
      <c r="R13" s="792">
        <f>RegExp!$G8</f>
        <v>0</v>
      </c>
      <c r="S13" s="792">
        <f>InjDam!$G8</f>
        <v>0</v>
      </c>
      <c r="T13" s="792">
        <f>FIT!$G8</f>
        <v>0</v>
      </c>
      <c r="U13" s="792">
        <f>ElimAR!$G8</f>
        <v>0</v>
      </c>
      <c r="V13" s="792">
        <f>DebtInt!$G8</f>
        <v>0</v>
      </c>
      <c r="W13" s="831"/>
      <c r="X13" s="831"/>
      <c r="Y13" s="831"/>
      <c r="Z13" s="827">
        <f>SUM(L13:Y13)</f>
        <v>88848</v>
      </c>
      <c r="AA13" s="792">
        <f>'PFNon-Exec'!$G8</f>
        <v>0</v>
      </c>
      <c r="AB13" s="792">
        <f>'PF-Exec'!$G8</f>
        <v>0</v>
      </c>
      <c r="AC13" s="792">
        <f>PFJPStorage!G8</f>
        <v>0</v>
      </c>
      <c r="AD13" s="792">
        <f>PFCapx2008!$G8</f>
        <v>0</v>
      </c>
      <c r="AE13" s="792">
        <f>PFCapx2009!$G8</f>
        <v>0</v>
      </c>
      <c r="AF13" s="792">
        <f>PFIncentives!$G8</f>
        <v>0</v>
      </c>
      <c r="AG13" s="792">
        <f>PFEmpBen!$G8</f>
        <v>0</v>
      </c>
      <c r="AH13" s="831">
        <f>'PFJP11-open'!$G8</f>
        <v>0</v>
      </c>
      <c r="AI13" s="792"/>
      <c r="AJ13" s="792"/>
      <c r="AK13" s="792"/>
      <c r="AL13" s="827">
        <f>SUM(Z13:AK13)</f>
        <v>88848</v>
      </c>
      <c r="AS13" s="792">
        <f>PFAssetMgt!$G8</f>
        <v>0</v>
      </c>
    </row>
    <row r="14" spans="1:45">
      <c r="A14" s="18">
        <v>2</v>
      </c>
      <c r="C14" s="20" t="s">
        <v>297</v>
      </c>
      <c r="D14" s="20"/>
      <c r="E14" s="20"/>
      <c r="F14" s="793">
        <f>ResultSumGas!$G9</f>
        <v>529</v>
      </c>
      <c r="G14" s="792">
        <f>DFIT!$G9</f>
        <v>0</v>
      </c>
      <c r="H14" s="794">
        <f>BldGain!$G9</f>
        <v>0</v>
      </c>
      <c r="I14" s="794">
        <f>GasInv!$G9</f>
        <v>0</v>
      </c>
      <c r="J14" s="794">
        <f>WznDSM!$G9</f>
        <v>0</v>
      </c>
      <c r="K14" s="794">
        <f>CustAdv!$G9</f>
        <v>0</v>
      </c>
      <c r="L14" s="20">
        <f>SUM(F14:K14)</f>
        <v>529</v>
      </c>
      <c r="M14" s="794">
        <f>'DeprTrue-up'!$G9</f>
        <v>0</v>
      </c>
      <c r="N14" s="794">
        <f>WeatherGas!$G9</f>
        <v>0</v>
      </c>
      <c r="O14" s="794">
        <f>BandO!$G9</f>
        <v>0</v>
      </c>
      <c r="P14" s="794">
        <f>PropTax!$G9</f>
        <v>0</v>
      </c>
      <c r="Q14" s="794">
        <f>UncollExp!$G9</f>
        <v>0</v>
      </c>
      <c r="R14" s="794">
        <f>RegExp!$G9</f>
        <v>0</v>
      </c>
      <c r="S14" s="794">
        <f>InjDam!$G9</f>
        <v>0</v>
      </c>
      <c r="T14" s="794">
        <f>FIT!$G9</f>
        <v>0</v>
      </c>
      <c r="U14" s="794">
        <f>ElimAR!$G9</f>
        <v>0</v>
      </c>
      <c r="V14" s="794">
        <f>DebtInt!$G9</f>
        <v>0</v>
      </c>
      <c r="W14" s="832"/>
      <c r="X14" s="832"/>
      <c r="Y14" s="832"/>
      <c r="Z14" s="20">
        <f>SUM(L14:Y14)</f>
        <v>529</v>
      </c>
      <c r="AA14" s="794">
        <f>'PFNon-Exec'!$G9</f>
        <v>0</v>
      </c>
      <c r="AB14" s="794">
        <f>'PF-Exec'!$G9</f>
        <v>0</v>
      </c>
      <c r="AC14" s="792">
        <f>PFJPStorage!G9</f>
        <v>0</v>
      </c>
      <c r="AD14" s="794">
        <f>PFCapx2008!$G9</f>
        <v>0</v>
      </c>
      <c r="AE14" s="794">
        <f>PFCapx2009!$G9</f>
        <v>0</v>
      </c>
      <c r="AF14" s="794">
        <f>PFIncentives!$G9</f>
        <v>0</v>
      </c>
      <c r="AG14" s="794">
        <f>PFEmpBen!$G9</f>
        <v>0</v>
      </c>
      <c r="AH14" s="832">
        <f>'PFJP11-open'!$G9</f>
        <v>0</v>
      </c>
      <c r="AI14" s="794"/>
      <c r="AJ14" s="794"/>
      <c r="AK14" s="794"/>
      <c r="AL14" s="20">
        <f>SUM(Z14:AK14)</f>
        <v>529</v>
      </c>
      <c r="AS14" s="794">
        <f>PFAssetMgt!$G9</f>
        <v>0</v>
      </c>
    </row>
    <row r="15" spans="1:45">
      <c r="A15" s="18">
        <v>3</v>
      </c>
      <c r="C15" s="20" t="s">
        <v>298</v>
      </c>
      <c r="D15" s="20"/>
      <c r="E15" s="20"/>
      <c r="F15" s="795">
        <f>ResultSumGas!$G10</f>
        <v>59962</v>
      </c>
      <c r="G15" s="1093">
        <f>DFIT!$G10</f>
        <v>0</v>
      </c>
      <c r="H15" s="796">
        <f>BldGain!$G10</f>
        <v>0</v>
      </c>
      <c r="I15" s="796">
        <f>GasInv!$G10</f>
        <v>0</v>
      </c>
      <c r="J15" s="796">
        <f>WznDSM!$G10</f>
        <v>0</v>
      </c>
      <c r="K15" s="796">
        <f>CustAdv!$G10</f>
        <v>0</v>
      </c>
      <c r="L15" s="815">
        <f>SUM(F15:K15)</f>
        <v>59962</v>
      </c>
      <c r="M15" s="796">
        <f>'DeprTrue-up'!$G10</f>
        <v>0</v>
      </c>
      <c r="N15" s="796">
        <f>WeatherGas!$G10</f>
        <v>0</v>
      </c>
      <c r="O15" s="796">
        <f>BandO!$G10</f>
        <v>0</v>
      </c>
      <c r="P15" s="796">
        <f>PropTax!$G10</f>
        <v>0</v>
      </c>
      <c r="Q15" s="796">
        <f>UncollExp!$G10</f>
        <v>0</v>
      </c>
      <c r="R15" s="796">
        <f>RegExp!$G10</f>
        <v>0</v>
      </c>
      <c r="S15" s="796">
        <f>InjDam!$G10</f>
        <v>0</v>
      </c>
      <c r="T15" s="796">
        <f>FIT!$G10</f>
        <v>0</v>
      </c>
      <c r="U15" s="796">
        <f>ElimAR!$G10</f>
        <v>0</v>
      </c>
      <c r="V15" s="796">
        <f>DebtInt!$G10</f>
        <v>0</v>
      </c>
      <c r="W15" s="833"/>
      <c r="X15" s="833"/>
      <c r="Y15" s="833"/>
      <c r="Z15" s="815">
        <f>SUM(L15:Y15)</f>
        <v>59962</v>
      </c>
      <c r="AA15" s="796">
        <f>'PFNon-Exec'!$G10</f>
        <v>0</v>
      </c>
      <c r="AB15" s="796">
        <f>'PF-Exec'!$G10</f>
        <v>0</v>
      </c>
      <c r="AC15" s="1093">
        <f>PFJPStorage!G10</f>
        <v>0</v>
      </c>
      <c r="AD15" s="796">
        <f>PFCapx2008!$G10</f>
        <v>0</v>
      </c>
      <c r="AE15" s="796">
        <f>PFCapx2009!$G10</f>
        <v>0</v>
      </c>
      <c r="AF15" s="796">
        <f>PFIncentives!$G10</f>
        <v>0</v>
      </c>
      <c r="AG15" s="796">
        <f>PFEmpBen!$G10</f>
        <v>0</v>
      </c>
      <c r="AH15" s="833">
        <f>'PFJP11-open'!$G10</f>
        <v>0</v>
      </c>
      <c r="AI15" s="796"/>
      <c r="AJ15" s="796"/>
      <c r="AK15" s="796"/>
      <c r="AL15" s="815">
        <f>SUM(Z15:AK15)</f>
        <v>59962</v>
      </c>
      <c r="AS15" s="796">
        <f>PFAssetMgt!$G10</f>
        <v>0</v>
      </c>
    </row>
    <row r="16" spans="1:45">
      <c r="A16" s="18">
        <v>4</v>
      </c>
      <c r="B16" s="2" t="s">
        <v>299</v>
      </c>
      <c r="C16" s="20"/>
      <c r="D16" s="20"/>
      <c r="E16" s="20"/>
      <c r="F16" s="793">
        <f t="shared" ref="F16:V16" si="0">SUM(F13:F15)</f>
        <v>149339</v>
      </c>
      <c r="G16" s="793">
        <f t="shared" si="0"/>
        <v>0</v>
      </c>
      <c r="H16" s="793">
        <f t="shared" si="0"/>
        <v>0</v>
      </c>
      <c r="I16" s="793">
        <f t="shared" si="0"/>
        <v>0</v>
      </c>
      <c r="J16" s="793">
        <f t="shared" si="0"/>
        <v>0</v>
      </c>
      <c r="K16" s="793">
        <f t="shared" si="0"/>
        <v>0</v>
      </c>
      <c r="L16" s="20">
        <f t="shared" si="0"/>
        <v>149339</v>
      </c>
      <c r="M16" s="793">
        <f>SUM(M13:M15)</f>
        <v>0</v>
      </c>
      <c r="N16" s="793">
        <f t="shared" si="0"/>
        <v>0</v>
      </c>
      <c r="O16" s="793">
        <f t="shared" si="0"/>
        <v>0</v>
      </c>
      <c r="P16" s="793">
        <f t="shared" si="0"/>
        <v>0</v>
      </c>
      <c r="Q16" s="793">
        <f t="shared" si="0"/>
        <v>0</v>
      </c>
      <c r="R16" s="793">
        <f t="shared" si="0"/>
        <v>0</v>
      </c>
      <c r="S16" s="793">
        <f t="shared" si="0"/>
        <v>0</v>
      </c>
      <c r="T16" s="793">
        <f t="shared" si="0"/>
        <v>0</v>
      </c>
      <c r="U16" s="793">
        <f>SUM(U13:U15)</f>
        <v>0</v>
      </c>
      <c r="V16" s="793">
        <f t="shared" si="0"/>
        <v>0</v>
      </c>
      <c r="W16" s="834"/>
      <c r="X16" s="834"/>
      <c r="Y16" s="834"/>
      <c r="Z16" s="20">
        <f t="shared" ref="Z16:AH16" si="1">SUM(Z13:Z15)</f>
        <v>149339</v>
      </c>
      <c r="AA16" s="793">
        <f>SUM(AA13:AA15)</f>
        <v>0</v>
      </c>
      <c r="AB16" s="793">
        <f>SUM(AB13:AB15)</f>
        <v>0</v>
      </c>
      <c r="AC16" s="793">
        <f>SUM(AC13:AC15)</f>
        <v>0</v>
      </c>
      <c r="AD16" s="793">
        <f t="shared" si="1"/>
        <v>0</v>
      </c>
      <c r="AE16" s="793">
        <f t="shared" si="1"/>
        <v>0</v>
      </c>
      <c r="AF16" s="793">
        <f t="shared" si="1"/>
        <v>0</v>
      </c>
      <c r="AG16" s="793">
        <f t="shared" si="1"/>
        <v>0</v>
      </c>
      <c r="AH16" s="834">
        <f t="shared" si="1"/>
        <v>0</v>
      </c>
      <c r="AI16" s="793"/>
      <c r="AJ16" s="793"/>
      <c r="AK16" s="793"/>
      <c r="AL16" s="20">
        <f>SUM(AL13:AL15)</f>
        <v>149339</v>
      </c>
      <c r="AS16" s="793">
        <f>SUM(AS13:AS15)</f>
        <v>0</v>
      </c>
    </row>
    <row r="17" spans="1:45">
      <c r="C17" s="20"/>
      <c r="D17" s="20"/>
      <c r="E17" s="20"/>
      <c r="F17" s="793"/>
      <c r="G17" s="794"/>
      <c r="H17" s="794"/>
      <c r="I17" s="794"/>
      <c r="J17" s="794"/>
      <c r="K17" s="794"/>
      <c r="L17" s="20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832"/>
      <c r="X17" s="832"/>
      <c r="Y17" s="832"/>
      <c r="Z17" s="20"/>
      <c r="AA17" s="794"/>
      <c r="AB17" s="794"/>
      <c r="AC17" s="794"/>
      <c r="AD17" s="794"/>
      <c r="AE17" s="794"/>
      <c r="AF17" s="794"/>
      <c r="AG17" s="794"/>
      <c r="AH17" s="832"/>
      <c r="AI17" s="794"/>
      <c r="AJ17" s="794"/>
      <c r="AK17" s="794"/>
      <c r="AL17" s="20"/>
      <c r="AS17" s="794"/>
    </row>
    <row r="18" spans="1:45">
      <c r="B18" s="2" t="s">
        <v>300</v>
      </c>
      <c r="C18" s="20"/>
      <c r="D18" s="20"/>
      <c r="E18" s="20"/>
      <c r="F18" s="793"/>
      <c r="G18" s="794"/>
      <c r="H18" s="794"/>
      <c r="I18" s="794"/>
      <c r="J18" s="794"/>
      <c r="K18" s="794"/>
      <c r="L18" s="20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832"/>
      <c r="X18" s="832"/>
      <c r="Y18" s="832"/>
      <c r="Z18" s="20"/>
      <c r="AA18" s="794"/>
      <c r="AB18" s="794"/>
      <c r="AC18" s="794"/>
      <c r="AD18" s="794"/>
      <c r="AE18" s="794"/>
      <c r="AF18" s="794"/>
      <c r="AG18" s="794"/>
      <c r="AH18" s="832"/>
      <c r="AI18" s="794"/>
      <c r="AJ18" s="794"/>
      <c r="AK18" s="794"/>
      <c r="AL18" s="20"/>
      <c r="AS18" s="794"/>
    </row>
    <row r="19" spans="1:45">
      <c r="A19" s="18">
        <v>5</v>
      </c>
      <c r="C19" s="20" t="s">
        <v>301</v>
      </c>
      <c r="D19" s="20"/>
      <c r="E19" s="20"/>
      <c r="F19" s="793">
        <f>ResultSumGas!$G14</f>
        <v>0</v>
      </c>
      <c r="G19" s="794">
        <f>DFIT!$G14</f>
        <v>0</v>
      </c>
      <c r="H19" s="794">
        <f>BldGain!$G14</f>
        <v>0</v>
      </c>
      <c r="I19" s="794">
        <f>GasInv!$G14</f>
        <v>0</v>
      </c>
      <c r="J19" s="794">
        <f>WznDSM!$G14</f>
        <v>0</v>
      </c>
      <c r="K19" s="794">
        <f>CustAdv!$G14</f>
        <v>0</v>
      </c>
      <c r="L19" s="20">
        <f>SUM(F19:K19)</f>
        <v>0</v>
      </c>
      <c r="M19" s="794">
        <f>'DeprTrue-up'!$G14</f>
        <v>0</v>
      </c>
      <c r="N19" s="794">
        <f>WeatherGas!$G14</f>
        <v>0</v>
      </c>
      <c r="O19" s="794">
        <f>BandO!$G14</f>
        <v>0</v>
      </c>
      <c r="P19" s="794">
        <f>PropTax!$G14</f>
        <v>0</v>
      </c>
      <c r="Q19" s="794">
        <f>UncollExp!$G14</f>
        <v>0</v>
      </c>
      <c r="R19" s="794">
        <f>RegExp!$G14</f>
        <v>0</v>
      </c>
      <c r="S19" s="794">
        <f>InjDam!$G14</f>
        <v>0</v>
      </c>
      <c r="T19" s="794">
        <f>FIT!$G14</f>
        <v>0</v>
      </c>
      <c r="U19" s="794">
        <f>ElimAR!$G14</f>
        <v>0</v>
      </c>
      <c r="V19" s="794">
        <f>DebtInt!$G14</f>
        <v>0</v>
      </c>
      <c r="W19" s="832"/>
      <c r="X19" s="832"/>
      <c r="Y19" s="832"/>
      <c r="Z19" s="20">
        <f>SUM(L19:Y19)</f>
        <v>0</v>
      </c>
      <c r="AA19" s="794">
        <f>'PFNon-Exec'!$G14</f>
        <v>0</v>
      </c>
      <c r="AB19" s="794">
        <f>'PF-Exec'!$G14</f>
        <v>0</v>
      </c>
      <c r="AC19" s="792">
        <f>PFJPStorage!G14</f>
        <v>0</v>
      </c>
      <c r="AD19" s="794">
        <f>PFCapx2008!$G14</f>
        <v>0</v>
      </c>
      <c r="AE19" s="794">
        <f>PFCapx2009!$G14</f>
        <v>0</v>
      </c>
      <c r="AF19" s="794">
        <f>PFIncentives!$G14</f>
        <v>0</v>
      </c>
      <c r="AG19" s="794">
        <f>PFEmpBen!$G14</f>
        <v>0</v>
      </c>
      <c r="AH19" s="832">
        <f>'PFJP11-open'!$G14</f>
        <v>0</v>
      </c>
      <c r="AI19" s="794"/>
      <c r="AJ19" s="794"/>
      <c r="AK19" s="794"/>
      <c r="AL19" s="20">
        <f>SUM(Z19:AK19)</f>
        <v>0</v>
      </c>
      <c r="AS19" s="794">
        <f>PFAssetMgt!$G14</f>
        <v>0</v>
      </c>
    </row>
    <row r="20" spans="1:45">
      <c r="C20" s="20" t="s">
        <v>302</v>
      </c>
      <c r="D20" s="20"/>
      <c r="E20" s="20"/>
      <c r="F20" s="793"/>
      <c r="G20" s="794"/>
      <c r="H20" s="794"/>
      <c r="I20" s="794"/>
      <c r="J20" s="794"/>
      <c r="K20" s="794"/>
      <c r="L20" s="20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832"/>
      <c r="X20" s="832"/>
      <c r="Y20" s="832"/>
      <c r="Z20" s="20"/>
      <c r="AA20" s="794"/>
      <c r="AB20" s="794"/>
      <c r="AC20" s="794"/>
      <c r="AD20" s="794"/>
      <c r="AE20" s="794"/>
      <c r="AF20" s="794"/>
      <c r="AG20" s="794"/>
      <c r="AH20" s="832"/>
      <c r="AI20" s="794"/>
      <c r="AJ20" s="794"/>
      <c r="AK20" s="794"/>
      <c r="AL20" s="20"/>
      <c r="AS20" s="794"/>
    </row>
    <row r="21" spans="1:45">
      <c r="A21" s="18">
        <v>6</v>
      </c>
      <c r="C21" s="20"/>
      <c r="D21" s="20" t="s">
        <v>303</v>
      </c>
      <c r="E21" s="20"/>
      <c r="F21" s="793">
        <f>ResultSumGas!$G16</f>
        <v>132107</v>
      </c>
      <c r="G21" s="794">
        <f>DFIT!$G16</f>
        <v>0</v>
      </c>
      <c r="H21" s="794">
        <f>BldGain!$G16</f>
        <v>0</v>
      </c>
      <c r="I21" s="794">
        <f>GasInv!$G16</f>
        <v>0</v>
      </c>
      <c r="J21" s="794">
        <f>WznDSM!$G16</f>
        <v>0</v>
      </c>
      <c r="K21" s="794">
        <f>CustAdv!$G16</f>
        <v>0</v>
      </c>
      <c r="L21" s="20">
        <f>SUM(F21:K21)</f>
        <v>132107</v>
      </c>
      <c r="M21" s="794">
        <f>'DeprTrue-up'!$G16</f>
        <v>0</v>
      </c>
      <c r="N21" s="794">
        <f>WeatherGas!$G16</f>
        <v>0</v>
      </c>
      <c r="O21" s="794">
        <f>BandO!$G16</f>
        <v>0</v>
      </c>
      <c r="P21" s="794">
        <f>PropTax!$G16</f>
        <v>0</v>
      </c>
      <c r="Q21" s="794">
        <f>UncollExp!$G16</f>
        <v>0</v>
      </c>
      <c r="R21" s="794">
        <f>RegExp!$G16</f>
        <v>0</v>
      </c>
      <c r="S21" s="794">
        <f>InjDam!$G16</f>
        <v>0</v>
      </c>
      <c r="T21" s="794">
        <f>FIT!$G16</f>
        <v>0</v>
      </c>
      <c r="U21" s="794">
        <f>ElimAR!$G16</f>
        <v>0</v>
      </c>
      <c r="V21" s="794">
        <f>DebtInt!$G16</f>
        <v>0</v>
      </c>
      <c r="W21" s="832"/>
      <c r="X21" s="832"/>
      <c r="Y21" s="832"/>
      <c r="Z21" s="20">
        <f>SUM(L21:Y21)</f>
        <v>132107</v>
      </c>
      <c r="AA21" s="794">
        <f>'PFNon-Exec'!$G16</f>
        <v>0</v>
      </c>
      <c r="AB21" s="794">
        <f>'PF-Exec'!$G16</f>
        <v>0</v>
      </c>
      <c r="AC21" s="792">
        <f>PFJPStorage!G16</f>
        <v>0</v>
      </c>
      <c r="AD21" s="794">
        <f>PFCapx2008!$G16</f>
        <v>0</v>
      </c>
      <c r="AE21" s="794">
        <f>PFCapx2009!$G16</f>
        <v>0</v>
      </c>
      <c r="AF21" s="794">
        <f>PFIncentives!$G16</f>
        <v>0</v>
      </c>
      <c r="AG21" s="794">
        <f>PFEmpBen!$G16</f>
        <v>0</v>
      </c>
      <c r="AH21" s="832">
        <f>'PFJP11-open'!$G16</f>
        <v>0</v>
      </c>
      <c r="AI21" s="794"/>
      <c r="AJ21" s="794"/>
      <c r="AK21" s="794"/>
      <c r="AL21" s="20">
        <f>SUM(Z21:AK21)</f>
        <v>132107</v>
      </c>
      <c r="AS21" s="794">
        <f>PFAssetMgt!$G16</f>
        <v>0</v>
      </c>
    </row>
    <row r="22" spans="1:45">
      <c r="A22" s="18">
        <v>7</v>
      </c>
      <c r="C22" s="20"/>
      <c r="D22" s="20" t="s">
        <v>304</v>
      </c>
      <c r="E22" s="20"/>
      <c r="F22" s="793">
        <f>ResultSumGas!$G17</f>
        <v>356</v>
      </c>
      <c r="G22" s="794">
        <f>DFIT!$G17</f>
        <v>0</v>
      </c>
      <c r="H22" s="794">
        <f>BldGain!$G17</f>
        <v>0</v>
      </c>
      <c r="I22" s="794">
        <f>GasInv!$G17</f>
        <v>0</v>
      </c>
      <c r="J22" s="794">
        <f>WznDSM!$G17</f>
        <v>0</v>
      </c>
      <c r="K22" s="794">
        <f>CustAdv!$G17</f>
        <v>0</v>
      </c>
      <c r="L22" s="20">
        <f>SUM(F22:K22)</f>
        <v>356</v>
      </c>
      <c r="M22" s="794">
        <f>'DeprTrue-up'!$G17</f>
        <v>0</v>
      </c>
      <c r="N22" s="794">
        <f>WeatherGas!$G17</f>
        <v>0</v>
      </c>
      <c r="O22" s="794">
        <f>BandO!$G17</f>
        <v>0</v>
      </c>
      <c r="P22" s="794">
        <f>PropTax!$G17</f>
        <v>0</v>
      </c>
      <c r="Q22" s="794">
        <f>UncollExp!$G17</f>
        <v>0</v>
      </c>
      <c r="R22" s="794">
        <f>RegExp!$G17</f>
        <v>0</v>
      </c>
      <c r="S22" s="794">
        <f>InjDam!$G17</f>
        <v>0</v>
      </c>
      <c r="T22" s="794">
        <f>FIT!$G17</f>
        <v>0</v>
      </c>
      <c r="U22" s="794">
        <f>ElimAR!$G17</f>
        <v>0</v>
      </c>
      <c r="V22" s="794">
        <f>DebtInt!$G17</f>
        <v>0</v>
      </c>
      <c r="W22" s="832"/>
      <c r="X22" s="832"/>
      <c r="Y22" s="832"/>
      <c r="Z22" s="20">
        <f>SUM(L22:Y22)</f>
        <v>356</v>
      </c>
      <c r="AA22" s="794">
        <f>'PFNon-Exec'!$G17</f>
        <v>12</v>
      </c>
      <c r="AB22" s="794">
        <f>'PF-Exec'!$G17</f>
        <v>1</v>
      </c>
      <c r="AC22" s="792">
        <f>PFJPStorage!G17</f>
        <v>0</v>
      </c>
      <c r="AD22" s="794">
        <f>PFCapx2008!$G17</f>
        <v>0</v>
      </c>
      <c r="AE22" s="794">
        <f>PFCapx2009!$G17</f>
        <v>0</v>
      </c>
      <c r="AF22" s="794">
        <f>PFIncentives!$G17</f>
        <v>0</v>
      </c>
      <c r="AG22" s="794">
        <f>PFEmpBen!$G17</f>
        <v>0</v>
      </c>
      <c r="AH22" s="832">
        <f>'PFJP11-open'!$G17</f>
        <v>0</v>
      </c>
      <c r="AI22" s="794"/>
      <c r="AJ22" s="794"/>
      <c r="AK22" s="794"/>
      <c r="AL22" s="20">
        <f>SUM(Z22:AK22)</f>
        <v>369</v>
      </c>
      <c r="AS22" s="794">
        <f>PFAssetMgt!$G17</f>
        <v>0</v>
      </c>
    </row>
    <row r="23" spans="1:45">
      <c r="A23" s="18">
        <v>8</v>
      </c>
      <c r="C23" s="20"/>
      <c r="D23" s="20" t="s">
        <v>305</v>
      </c>
      <c r="E23" s="20"/>
      <c r="F23" s="795">
        <f>ResultSumGas!$G18</f>
        <v>-8926</v>
      </c>
      <c r="G23" s="796">
        <f>DFIT!$G18</f>
        <v>0</v>
      </c>
      <c r="H23" s="796">
        <f>BldGain!$G18</f>
        <v>0</v>
      </c>
      <c r="I23" s="796">
        <f>GasInv!$G18</f>
        <v>0</v>
      </c>
      <c r="J23" s="796">
        <f>WznDSM!$G18</f>
        <v>0</v>
      </c>
      <c r="K23" s="796">
        <f>CustAdv!$G18</f>
        <v>0</v>
      </c>
      <c r="L23" s="815">
        <f>SUM(F23:K23)</f>
        <v>-8926</v>
      </c>
      <c r="M23" s="796">
        <f>'DeprTrue-up'!$G18</f>
        <v>0</v>
      </c>
      <c r="N23" s="796">
        <f>WeatherGas!$G18</f>
        <v>0</v>
      </c>
      <c r="O23" s="796">
        <f>BandO!$G18</f>
        <v>0</v>
      </c>
      <c r="P23" s="796">
        <f>PropTax!$G18</f>
        <v>0</v>
      </c>
      <c r="Q23" s="796">
        <f>UncollExp!$G18</f>
        <v>0</v>
      </c>
      <c r="R23" s="796">
        <f>RegExp!$G18</f>
        <v>0</v>
      </c>
      <c r="S23" s="796">
        <f>InjDam!$G18</f>
        <v>0</v>
      </c>
      <c r="T23" s="796">
        <f>FIT!$G18</f>
        <v>0</v>
      </c>
      <c r="U23" s="796">
        <f>ElimAR!$G18</f>
        <v>0</v>
      </c>
      <c r="V23" s="796">
        <f>DebtInt!$G18</f>
        <v>0</v>
      </c>
      <c r="W23" s="833"/>
      <c r="X23" s="833"/>
      <c r="Y23" s="833"/>
      <c r="Z23" s="815">
        <f>SUM(L23:Y23)</f>
        <v>-8926</v>
      </c>
      <c r="AA23" s="796">
        <f>'PFNon-Exec'!$G18</f>
        <v>0</v>
      </c>
      <c r="AB23" s="796">
        <f>'PF-Exec'!$G18</f>
        <v>0</v>
      </c>
      <c r="AC23" s="1093">
        <f>PFJPStorage!G18</f>
        <v>0</v>
      </c>
      <c r="AD23" s="796">
        <f>PFCapx2008!$G18</f>
        <v>0</v>
      </c>
      <c r="AE23" s="796">
        <f>PFCapx2009!$G18</f>
        <v>0</v>
      </c>
      <c r="AF23" s="796">
        <f>PFIncentives!$G18</f>
        <v>0</v>
      </c>
      <c r="AG23" s="796">
        <f>PFEmpBen!$G18</f>
        <v>0</v>
      </c>
      <c r="AH23" s="833">
        <f>'PFJP11-open'!$G18</f>
        <v>0</v>
      </c>
      <c r="AI23" s="796"/>
      <c r="AJ23" s="796"/>
      <c r="AK23" s="796"/>
      <c r="AL23" s="815">
        <f>SUM(Z23:AK23)</f>
        <v>-8926</v>
      </c>
      <c r="AS23" s="796">
        <f>PFAssetMgt!$G18</f>
        <v>0</v>
      </c>
    </row>
    <row r="24" spans="1:45">
      <c r="A24" s="18">
        <v>9</v>
      </c>
      <c r="C24" s="20"/>
      <c r="D24" s="20"/>
      <c r="E24" s="20" t="s">
        <v>306</v>
      </c>
      <c r="F24" s="793">
        <f t="shared" ref="F24:V24" si="2">SUM(F20:F23)</f>
        <v>123537</v>
      </c>
      <c r="G24" s="793">
        <f t="shared" si="2"/>
        <v>0</v>
      </c>
      <c r="H24" s="793">
        <f t="shared" si="2"/>
        <v>0</v>
      </c>
      <c r="I24" s="793">
        <f t="shared" si="2"/>
        <v>0</v>
      </c>
      <c r="J24" s="793">
        <f t="shared" si="2"/>
        <v>0</v>
      </c>
      <c r="K24" s="793">
        <f t="shared" si="2"/>
        <v>0</v>
      </c>
      <c r="L24" s="20">
        <f t="shared" si="2"/>
        <v>123537</v>
      </c>
      <c r="M24" s="793">
        <f>SUM(M20:M23)</f>
        <v>0</v>
      </c>
      <c r="N24" s="793">
        <f t="shared" si="2"/>
        <v>0</v>
      </c>
      <c r="O24" s="793">
        <f t="shared" si="2"/>
        <v>0</v>
      </c>
      <c r="P24" s="793">
        <f t="shared" si="2"/>
        <v>0</v>
      </c>
      <c r="Q24" s="793">
        <f t="shared" si="2"/>
        <v>0</v>
      </c>
      <c r="R24" s="793">
        <f t="shared" si="2"/>
        <v>0</v>
      </c>
      <c r="S24" s="793">
        <f t="shared" si="2"/>
        <v>0</v>
      </c>
      <c r="T24" s="793">
        <f t="shared" si="2"/>
        <v>0</v>
      </c>
      <c r="U24" s="793">
        <f>SUM(U20:U23)</f>
        <v>0</v>
      </c>
      <c r="V24" s="793">
        <f t="shared" si="2"/>
        <v>0</v>
      </c>
      <c r="W24" s="834"/>
      <c r="X24" s="834"/>
      <c r="Y24" s="834"/>
      <c r="Z24" s="20">
        <f t="shared" ref="Z24:AH24" si="3">SUM(Z20:Z23)</f>
        <v>123537</v>
      </c>
      <c r="AA24" s="793">
        <f>SUM(AA20:AA23)</f>
        <v>12</v>
      </c>
      <c r="AB24" s="793">
        <f>SUM(AB20:AB23)</f>
        <v>1</v>
      </c>
      <c r="AC24" s="793">
        <f>SUM(AC20:AC23)</f>
        <v>0</v>
      </c>
      <c r="AD24" s="793">
        <f t="shared" si="3"/>
        <v>0</v>
      </c>
      <c r="AE24" s="793">
        <f t="shared" si="3"/>
        <v>0</v>
      </c>
      <c r="AF24" s="793">
        <f t="shared" si="3"/>
        <v>0</v>
      </c>
      <c r="AG24" s="793">
        <f t="shared" si="3"/>
        <v>0</v>
      </c>
      <c r="AH24" s="834">
        <f t="shared" si="3"/>
        <v>0</v>
      </c>
      <c r="AI24" s="793"/>
      <c r="AJ24" s="793"/>
      <c r="AK24" s="793"/>
      <c r="AL24" s="20">
        <f>SUM(AL20:AL23)</f>
        <v>123550</v>
      </c>
      <c r="AS24" s="793">
        <f>SUM(AS20:AS23)</f>
        <v>0</v>
      </c>
    </row>
    <row r="25" spans="1:45">
      <c r="C25" s="20" t="s">
        <v>307</v>
      </c>
      <c r="D25" s="20"/>
      <c r="E25" s="20"/>
      <c r="F25" s="793"/>
      <c r="G25" s="794"/>
      <c r="H25" s="794"/>
      <c r="I25" s="794"/>
      <c r="J25" s="794"/>
      <c r="K25" s="794"/>
      <c r="L25" s="20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832"/>
      <c r="X25" s="832"/>
      <c r="Y25" s="832"/>
      <c r="Z25" s="20"/>
      <c r="AA25" s="794"/>
      <c r="AB25" s="794"/>
      <c r="AC25" s="794"/>
      <c r="AD25" s="794"/>
      <c r="AE25" s="794"/>
      <c r="AF25" s="794"/>
      <c r="AG25" s="794"/>
      <c r="AH25" s="832"/>
      <c r="AI25" s="794"/>
      <c r="AJ25" s="794"/>
      <c r="AK25" s="794"/>
      <c r="AL25" s="20"/>
      <c r="AS25" s="794"/>
    </row>
    <row r="26" spans="1:45">
      <c r="A26" s="18">
        <v>10</v>
      </c>
      <c r="C26" s="20"/>
      <c r="D26" s="20" t="s">
        <v>308</v>
      </c>
      <c r="E26" s="20"/>
      <c r="F26" s="793">
        <f>ResultSumGas!$G21</f>
        <v>167</v>
      </c>
      <c r="G26" s="794">
        <f>DFIT!$G21</f>
        <v>0</v>
      </c>
      <c r="H26" s="794">
        <f>BldGain!$G21</f>
        <v>0</v>
      </c>
      <c r="I26" s="794">
        <f>GasInv!$G21</f>
        <v>0</v>
      </c>
      <c r="J26" s="794">
        <f>WznDSM!$G21</f>
        <v>0</v>
      </c>
      <c r="K26" s="794">
        <f>CustAdv!$G21</f>
        <v>0</v>
      </c>
      <c r="L26" s="20">
        <f>SUM(F26:K26)</f>
        <v>167</v>
      </c>
      <c r="M26" s="794">
        <f>'DeprTrue-up'!$G21</f>
        <v>0</v>
      </c>
      <c r="N26" s="794">
        <f>WeatherGas!$G21</f>
        <v>0</v>
      </c>
      <c r="O26" s="794">
        <f>BandO!$G21</f>
        <v>0</v>
      </c>
      <c r="P26" s="794">
        <f>PropTax!$G21</f>
        <v>0</v>
      </c>
      <c r="Q26" s="794">
        <f>UncollExp!$G21</f>
        <v>0</v>
      </c>
      <c r="R26" s="794">
        <f>RegExp!$G21</f>
        <v>0</v>
      </c>
      <c r="S26" s="794">
        <f>InjDam!$G21</f>
        <v>0</v>
      </c>
      <c r="T26" s="794">
        <f>FIT!$G21</f>
        <v>0</v>
      </c>
      <c r="U26" s="794">
        <f>ElimAR!$G21</f>
        <v>0</v>
      </c>
      <c r="V26" s="794">
        <f>DebtInt!$G21</f>
        <v>0</v>
      </c>
      <c r="W26" s="832"/>
      <c r="X26" s="832"/>
      <c r="Y26" s="832"/>
      <c r="Z26" s="20">
        <f>SUM(L26:Y26)</f>
        <v>167</v>
      </c>
      <c r="AA26" s="794">
        <f>'PFNon-Exec'!$G21</f>
        <v>0</v>
      </c>
      <c r="AB26" s="794">
        <f>'PF-Exec'!$G21</f>
        <v>0</v>
      </c>
      <c r="AC26" s="792">
        <f>PFJPStorage!G21</f>
        <v>0</v>
      </c>
      <c r="AD26" s="794">
        <f>PFCapx2008!$G21</f>
        <v>0</v>
      </c>
      <c r="AE26" s="794">
        <f>PFCapx2009!$G21</f>
        <v>0</v>
      </c>
      <c r="AF26" s="794">
        <f>PFIncentives!$G21</f>
        <v>0</v>
      </c>
      <c r="AG26" s="794">
        <f>PFEmpBen!$G21</f>
        <v>0</v>
      </c>
      <c r="AH26" s="832">
        <f>'PFJP11-open'!$G21</f>
        <v>0</v>
      </c>
      <c r="AI26" s="794"/>
      <c r="AJ26" s="794"/>
      <c r="AK26" s="794"/>
      <c r="AL26" s="20">
        <f>SUM(Z26:AK26)</f>
        <v>167</v>
      </c>
      <c r="AS26" s="794">
        <f>PFAssetMgt!$G21</f>
        <v>0</v>
      </c>
    </row>
    <row r="27" spans="1:45">
      <c r="A27" s="18">
        <v>11</v>
      </c>
      <c r="C27" s="20"/>
      <c r="D27" s="20" t="s">
        <v>309</v>
      </c>
      <c r="E27" s="20"/>
      <c r="F27" s="793">
        <f>ResultSumGas!$G22</f>
        <v>107</v>
      </c>
      <c r="G27" s="794">
        <f>DFIT!$G22</f>
        <v>0</v>
      </c>
      <c r="H27" s="794">
        <f>BldGain!$G22</f>
        <v>0</v>
      </c>
      <c r="I27" s="794">
        <f>GasInv!$G22</f>
        <v>0</v>
      </c>
      <c r="J27" s="794">
        <f>WznDSM!$G22</f>
        <v>0</v>
      </c>
      <c r="K27" s="794">
        <f>CustAdv!$G22</f>
        <v>0</v>
      </c>
      <c r="L27" s="20">
        <f>SUM(F27:K27)</f>
        <v>107</v>
      </c>
      <c r="M27" s="794">
        <f>'DeprTrue-up'!$G22</f>
        <v>0</v>
      </c>
      <c r="N27" s="794">
        <f>WeatherGas!$G22</f>
        <v>0</v>
      </c>
      <c r="O27" s="794">
        <f>BandO!$G22</f>
        <v>0</v>
      </c>
      <c r="P27" s="794">
        <f>PropTax!$G22</f>
        <v>0</v>
      </c>
      <c r="Q27" s="794">
        <f>UncollExp!$G22</f>
        <v>0</v>
      </c>
      <c r="R27" s="794">
        <f>RegExp!$G22</f>
        <v>0</v>
      </c>
      <c r="S27" s="794">
        <f>InjDam!$G22</f>
        <v>0</v>
      </c>
      <c r="T27" s="794">
        <f>FIT!$G22</f>
        <v>0</v>
      </c>
      <c r="U27" s="794">
        <f>ElimAR!$G22</f>
        <v>0</v>
      </c>
      <c r="V27" s="794">
        <f>DebtInt!$G22</f>
        <v>0</v>
      </c>
      <c r="W27" s="832"/>
      <c r="X27" s="832"/>
      <c r="Y27" s="832"/>
      <c r="Z27" s="20">
        <f>SUM(L27:Y27)</f>
        <v>107</v>
      </c>
      <c r="AA27" s="794">
        <f>'PFNon-Exec'!$G22</f>
        <v>0</v>
      </c>
      <c r="AB27" s="794">
        <f>'PF-Exec'!$G22</f>
        <v>0</v>
      </c>
      <c r="AC27" s="792">
        <f>PFJPStorage!G22</f>
        <v>0</v>
      </c>
      <c r="AD27" s="794">
        <f>PFCapx2008!$G22</f>
        <v>0</v>
      </c>
      <c r="AE27" s="794">
        <f>PFCapx2009!$G22</f>
        <v>0</v>
      </c>
      <c r="AF27" s="794">
        <f>PFIncentives!$G22</f>
        <v>0</v>
      </c>
      <c r="AG27" s="794">
        <f>PFEmpBen!$G22</f>
        <v>0</v>
      </c>
      <c r="AH27" s="832">
        <f>'PFJP11-open'!$G22</f>
        <v>0</v>
      </c>
      <c r="AI27" s="794"/>
      <c r="AJ27" s="794"/>
      <c r="AK27" s="794"/>
      <c r="AL27" s="20">
        <f>SUM(Z27:AK27)</f>
        <v>107</v>
      </c>
      <c r="AS27" s="794">
        <f>PFAssetMgt!$G22</f>
        <v>0</v>
      </c>
    </row>
    <row r="28" spans="1:45">
      <c r="A28" s="18">
        <v>12</v>
      </c>
      <c r="C28" s="20"/>
      <c r="D28" s="20" t="s">
        <v>310</v>
      </c>
      <c r="E28" s="20"/>
      <c r="F28" s="795">
        <f>ResultSumGas!$G23</f>
        <v>46</v>
      </c>
      <c r="G28" s="796">
        <f>DFIT!$G23</f>
        <v>0</v>
      </c>
      <c r="H28" s="796">
        <f>BldGain!$G23</f>
        <v>0</v>
      </c>
      <c r="I28" s="796">
        <f>GasInv!$G23</f>
        <v>0</v>
      </c>
      <c r="J28" s="796">
        <f>WznDSM!$G23</f>
        <v>0</v>
      </c>
      <c r="K28" s="796">
        <f>CustAdv!$G23</f>
        <v>0</v>
      </c>
      <c r="L28" s="815">
        <f>SUM(F28:K28)</f>
        <v>46</v>
      </c>
      <c r="M28" s="796">
        <f>'DeprTrue-up'!$G23</f>
        <v>0</v>
      </c>
      <c r="N28" s="796">
        <f>WeatherGas!$G23</f>
        <v>0</v>
      </c>
      <c r="O28" s="796">
        <f>BandO!$G23</f>
        <v>0</v>
      </c>
      <c r="P28" s="796">
        <f>PropTax!$G23</f>
        <v>0</v>
      </c>
      <c r="Q28" s="796">
        <f>UncollExp!$G23</f>
        <v>0</v>
      </c>
      <c r="R28" s="796">
        <f>RegExp!$G23</f>
        <v>0</v>
      </c>
      <c r="S28" s="796">
        <f>InjDam!$G23</f>
        <v>0</v>
      </c>
      <c r="T28" s="796">
        <f>FIT!$G23</f>
        <v>0</v>
      </c>
      <c r="U28" s="796">
        <f>ElimAR!$G23</f>
        <v>0</v>
      </c>
      <c r="V28" s="796">
        <f>DebtInt!$G23</f>
        <v>0</v>
      </c>
      <c r="W28" s="833"/>
      <c r="X28" s="833"/>
      <c r="Y28" s="833"/>
      <c r="Z28" s="815">
        <f>SUM(L28:Y28)</f>
        <v>46</v>
      </c>
      <c r="AA28" s="796">
        <f>'PFNon-Exec'!$G23</f>
        <v>0</v>
      </c>
      <c r="AB28" s="796">
        <f>'PF-Exec'!$G23</f>
        <v>0</v>
      </c>
      <c r="AC28" s="1093">
        <f>PFJPStorage!G23</f>
        <v>0</v>
      </c>
      <c r="AD28" s="796">
        <f>PFCapx2008!$G23</f>
        <v>0</v>
      </c>
      <c r="AE28" s="796">
        <f>PFCapx2009!$G23</f>
        <v>0</v>
      </c>
      <c r="AF28" s="796">
        <f>PFIncentives!$G23</f>
        <v>0</v>
      </c>
      <c r="AG28" s="796">
        <f>PFEmpBen!$G23</f>
        <v>0</v>
      </c>
      <c r="AH28" s="833">
        <f>'PFJP11-open'!$G23</f>
        <v>0</v>
      </c>
      <c r="AI28" s="796"/>
      <c r="AJ28" s="796"/>
      <c r="AK28" s="796"/>
      <c r="AL28" s="815">
        <f>SUM(Z28:AK28)</f>
        <v>46</v>
      </c>
      <c r="AS28" s="796">
        <f>PFAssetMgt!$G23</f>
        <v>0</v>
      </c>
    </row>
    <row r="29" spans="1:45">
      <c r="A29" s="18">
        <v>13</v>
      </c>
      <c r="C29" s="20"/>
      <c r="D29" s="20"/>
      <c r="E29" s="20" t="s">
        <v>311</v>
      </c>
      <c r="F29" s="793">
        <f t="shared" ref="F29:V29" si="4">SUM(F26:F28)</f>
        <v>320</v>
      </c>
      <c r="G29" s="793">
        <f t="shared" si="4"/>
        <v>0</v>
      </c>
      <c r="H29" s="793">
        <f t="shared" si="4"/>
        <v>0</v>
      </c>
      <c r="I29" s="793">
        <f t="shared" si="4"/>
        <v>0</v>
      </c>
      <c r="J29" s="793">
        <f t="shared" si="4"/>
        <v>0</v>
      </c>
      <c r="K29" s="793">
        <f t="shared" si="4"/>
        <v>0</v>
      </c>
      <c r="L29" s="20">
        <f t="shared" si="4"/>
        <v>320</v>
      </c>
      <c r="M29" s="793">
        <f>SUM(M26:M28)</f>
        <v>0</v>
      </c>
      <c r="N29" s="793">
        <f t="shared" si="4"/>
        <v>0</v>
      </c>
      <c r="O29" s="793">
        <f t="shared" si="4"/>
        <v>0</v>
      </c>
      <c r="P29" s="793">
        <f t="shared" si="4"/>
        <v>0</v>
      </c>
      <c r="Q29" s="793">
        <f t="shared" si="4"/>
        <v>0</v>
      </c>
      <c r="R29" s="793">
        <f t="shared" si="4"/>
        <v>0</v>
      </c>
      <c r="S29" s="793">
        <f t="shared" si="4"/>
        <v>0</v>
      </c>
      <c r="T29" s="793">
        <f t="shared" si="4"/>
        <v>0</v>
      </c>
      <c r="U29" s="793">
        <f>SUM(U26:U28)</f>
        <v>0</v>
      </c>
      <c r="V29" s="793">
        <f t="shared" si="4"/>
        <v>0</v>
      </c>
      <c r="W29" s="834"/>
      <c r="X29" s="834"/>
      <c r="Y29" s="834"/>
      <c r="Z29" s="20">
        <f t="shared" ref="Z29:AH29" si="5">SUM(Z26:Z28)</f>
        <v>320</v>
      </c>
      <c r="AA29" s="793">
        <f>SUM(AA26:AA28)</f>
        <v>0</v>
      </c>
      <c r="AB29" s="793">
        <f>SUM(AB26:AB28)</f>
        <v>0</v>
      </c>
      <c r="AC29" s="793">
        <f>SUM(AC26:AC28)</f>
        <v>0</v>
      </c>
      <c r="AD29" s="793">
        <f t="shared" si="5"/>
        <v>0</v>
      </c>
      <c r="AE29" s="793">
        <f t="shared" si="5"/>
        <v>0</v>
      </c>
      <c r="AF29" s="793">
        <f t="shared" si="5"/>
        <v>0</v>
      </c>
      <c r="AG29" s="793">
        <f t="shared" si="5"/>
        <v>0</v>
      </c>
      <c r="AH29" s="834">
        <f t="shared" si="5"/>
        <v>0</v>
      </c>
      <c r="AI29" s="793"/>
      <c r="AJ29" s="793"/>
      <c r="AK29" s="793"/>
      <c r="AL29" s="20">
        <f>SUM(AL26:AL28)</f>
        <v>320</v>
      </c>
      <c r="AS29" s="793">
        <f>SUM(AS26:AS28)</f>
        <v>0</v>
      </c>
    </row>
    <row r="30" spans="1:45">
      <c r="C30" s="20" t="s">
        <v>312</v>
      </c>
      <c r="D30" s="20"/>
      <c r="E30" s="20"/>
      <c r="F30" s="793"/>
      <c r="G30" s="794"/>
      <c r="H30" s="794"/>
      <c r="I30" s="794"/>
      <c r="J30" s="794"/>
      <c r="K30" s="794"/>
      <c r="L30" s="20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832"/>
      <c r="X30" s="832"/>
      <c r="Y30" s="832"/>
      <c r="Z30" s="20"/>
      <c r="AA30" s="794"/>
      <c r="AB30" s="794"/>
      <c r="AC30" s="794"/>
      <c r="AD30" s="794"/>
      <c r="AE30" s="794"/>
      <c r="AF30" s="794"/>
      <c r="AG30" s="794"/>
      <c r="AH30" s="832"/>
      <c r="AI30" s="794"/>
      <c r="AJ30" s="794"/>
      <c r="AK30" s="794"/>
      <c r="AL30" s="20"/>
      <c r="AS30" s="794"/>
    </row>
    <row r="31" spans="1:45">
      <c r="A31" s="18">
        <v>14</v>
      </c>
      <c r="C31" s="20"/>
      <c r="D31" s="20" t="s">
        <v>308</v>
      </c>
      <c r="E31" s="20"/>
      <c r="F31" s="793">
        <f>ResultSumGas!$G26</f>
        <v>3833</v>
      </c>
      <c r="G31" s="794">
        <f>DFIT!$G26</f>
        <v>0</v>
      </c>
      <c r="H31" s="794">
        <f>BldGain!$G26</f>
        <v>0</v>
      </c>
      <c r="I31" s="794">
        <f>GasInv!$G26</f>
        <v>0</v>
      </c>
      <c r="J31" s="794">
        <f>WznDSM!$G26</f>
        <v>0</v>
      </c>
      <c r="K31" s="794">
        <f>CustAdv!$G26</f>
        <v>0</v>
      </c>
      <c r="L31" s="20">
        <f>SUM(F31:K31)</f>
        <v>3833</v>
      </c>
      <c r="M31" s="794">
        <f>'DeprTrue-up'!$G26</f>
        <v>0</v>
      </c>
      <c r="N31" s="794">
        <f>WeatherGas!$G26</f>
        <v>0</v>
      </c>
      <c r="O31" s="794">
        <f>BandO!$G26</f>
        <v>0</v>
      </c>
      <c r="P31" s="794">
        <f>PropTax!$G26</f>
        <v>0</v>
      </c>
      <c r="Q31" s="794">
        <f>UncollExp!$G26</f>
        <v>0</v>
      </c>
      <c r="R31" s="794">
        <f>RegExp!$G26</f>
        <v>0</v>
      </c>
      <c r="S31" s="794">
        <f>InjDam!$G26</f>
        <v>0</v>
      </c>
      <c r="T31" s="794">
        <f>FIT!$G26</f>
        <v>0</v>
      </c>
      <c r="U31" s="794">
        <f>ElimAR!$G26</f>
        <v>0</v>
      </c>
      <c r="V31" s="794">
        <f>DebtInt!$G26</f>
        <v>0</v>
      </c>
      <c r="W31" s="832"/>
      <c r="X31" s="832"/>
      <c r="Y31" s="832"/>
      <c r="Z31" s="20">
        <f>SUM(L31:Y31)</f>
        <v>3833</v>
      </c>
      <c r="AA31" s="794">
        <f>'PFNon-Exec'!$G26</f>
        <v>139</v>
      </c>
      <c r="AB31" s="794">
        <f>'PF-Exec'!$G26</f>
        <v>0</v>
      </c>
      <c r="AC31" s="792">
        <f>PFJPStorage!G26</f>
        <v>0</v>
      </c>
      <c r="AD31" s="794">
        <f>PFCapx2008!$G26</f>
        <v>0</v>
      </c>
      <c r="AE31" s="794">
        <f>PFCapx2009!$G26</f>
        <v>0</v>
      </c>
      <c r="AF31" s="794">
        <f>PFIncentives!$G26</f>
        <v>0</v>
      </c>
      <c r="AG31" s="794">
        <f>PFEmpBen!$G26</f>
        <v>0</v>
      </c>
      <c r="AH31" s="832">
        <f>'PFJP11-open'!$G26</f>
        <v>0</v>
      </c>
      <c r="AI31" s="794"/>
      <c r="AJ31" s="794"/>
      <c r="AK31" s="794"/>
      <c r="AL31" s="20">
        <f>SUM(Z31:AK31)</f>
        <v>3972</v>
      </c>
      <c r="AS31" s="794">
        <f>PFAssetMgt!$G26</f>
        <v>0</v>
      </c>
    </row>
    <row r="32" spans="1:45">
      <c r="A32" s="18">
        <v>15</v>
      </c>
      <c r="C32" s="20"/>
      <c r="D32" s="20" t="s">
        <v>309</v>
      </c>
      <c r="E32" s="20"/>
      <c r="F32" s="793">
        <f>ResultSumGas!$G27</f>
        <v>2807</v>
      </c>
      <c r="G32" s="794">
        <f>DFIT!$G27</f>
        <v>0</v>
      </c>
      <c r="H32" s="794">
        <f>BldGain!$G27</f>
        <v>0</v>
      </c>
      <c r="I32" s="794">
        <f>GasInv!$G27</f>
        <v>0</v>
      </c>
      <c r="J32" s="794">
        <f>WznDSM!$G27</f>
        <v>0</v>
      </c>
      <c r="K32" s="794">
        <f>CustAdv!$G27</f>
        <v>0</v>
      </c>
      <c r="L32" s="20">
        <f>SUM(F32:K32)</f>
        <v>2807</v>
      </c>
      <c r="M32" s="794">
        <f>'DeprTrue-up'!$G27</f>
        <v>0</v>
      </c>
      <c r="N32" s="794">
        <f>WeatherGas!$G27</f>
        <v>0</v>
      </c>
      <c r="O32" s="794">
        <f>BandO!$G27</f>
        <v>0</v>
      </c>
      <c r="P32" s="794">
        <f>PropTax!$G27</f>
        <v>0</v>
      </c>
      <c r="Q32" s="794">
        <f>UncollExp!$G27</f>
        <v>0</v>
      </c>
      <c r="R32" s="794">
        <f>RegExp!$G27</f>
        <v>0</v>
      </c>
      <c r="S32" s="794">
        <f>InjDam!$G27</f>
        <v>0</v>
      </c>
      <c r="T32" s="794">
        <f>FIT!$G27</f>
        <v>0</v>
      </c>
      <c r="U32" s="794">
        <f>ElimAR!$G27</f>
        <v>0</v>
      </c>
      <c r="V32" s="794">
        <f>DebtInt!$G27</f>
        <v>0</v>
      </c>
      <c r="W32" s="832"/>
      <c r="X32" s="832"/>
      <c r="Y32" s="832"/>
      <c r="Z32" s="20">
        <f>SUM(L32:Y32)</f>
        <v>2807</v>
      </c>
      <c r="AA32" s="794">
        <f>'PFNon-Exec'!$G27</f>
        <v>0</v>
      </c>
      <c r="AB32" s="794">
        <f>'PF-Exec'!$G27</f>
        <v>0</v>
      </c>
      <c r="AC32" s="792">
        <f>PFJPStorage!G27</f>
        <v>0</v>
      </c>
      <c r="AD32" s="794">
        <f>PFCapx2008!$G27</f>
        <v>0</v>
      </c>
      <c r="AE32" s="794">
        <f>PFCapx2009!$G27</f>
        <v>0</v>
      </c>
      <c r="AF32" s="794">
        <f>PFIncentives!$G27</f>
        <v>0</v>
      </c>
      <c r="AG32" s="794">
        <f>PFEmpBen!$G27</f>
        <v>0</v>
      </c>
      <c r="AH32" s="832">
        <f>'PFJP11-open'!$G27</f>
        <v>0</v>
      </c>
      <c r="AI32" s="794"/>
      <c r="AJ32" s="794"/>
      <c r="AK32" s="794"/>
      <c r="AL32" s="20">
        <f>SUM(Z32:AK32)</f>
        <v>2807</v>
      </c>
      <c r="AS32" s="794">
        <f>PFAssetMgt!$G27</f>
        <v>0</v>
      </c>
    </row>
    <row r="33" spans="1:45">
      <c r="A33" s="18">
        <v>16</v>
      </c>
      <c r="C33" s="20"/>
      <c r="D33" s="20" t="s">
        <v>310</v>
      </c>
      <c r="E33" s="20"/>
      <c r="F33" s="795">
        <f>ResultSumGas!$G28</f>
        <v>2396</v>
      </c>
      <c r="G33" s="796">
        <f>DFIT!$G28</f>
        <v>0</v>
      </c>
      <c r="H33" s="796">
        <f>BldGain!$G28</f>
        <v>0</v>
      </c>
      <c r="I33" s="796">
        <f>GasInv!$G28</f>
        <v>0</v>
      </c>
      <c r="J33" s="796">
        <f>WznDSM!$G28</f>
        <v>0</v>
      </c>
      <c r="K33" s="796">
        <f>CustAdv!$G28</f>
        <v>0</v>
      </c>
      <c r="L33" s="815">
        <f>SUM(F33:K33)</f>
        <v>2396</v>
      </c>
      <c r="M33" s="796">
        <f>'DeprTrue-up'!$G28</f>
        <v>0</v>
      </c>
      <c r="N33" s="796">
        <f>WeatherGas!$G28</f>
        <v>0</v>
      </c>
      <c r="O33" s="796">
        <f>BandO!$G28</f>
        <v>0</v>
      </c>
      <c r="P33" s="796">
        <f>PropTax!$G28</f>
        <v>0</v>
      </c>
      <c r="Q33" s="796">
        <f>UncollExp!$G28</f>
        <v>0</v>
      </c>
      <c r="R33" s="796">
        <f>RegExp!$G28</f>
        <v>0</v>
      </c>
      <c r="S33" s="796">
        <f>InjDam!$G28</f>
        <v>0</v>
      </c>
      <c r="T33" s="796">
        <f>FIT!$G28</f>
        <v>0</v>
      </c>
      <c r="U33" s="796">
        <f>ElimAR!$G28</f>
        <v>0</v>
      </c>
      <c r="V33" s="796">
        <f>DebtInt!$G28</f>
        <v>0</v>
      </c>
      <c r="W33" s="833"/>
      <c r="X33" s="833"/>
      <c r="Y33" s="833"/>
      <c r="Z33" s="815">
        <f>SUM(L33:Y33)</f>
        <v>2396</v>
      </c>
      <c r="AA33" s="796">
        <f>'PFNon-Exec'!$G28</f>
        <v>-3</v>
      </c>
      <c r="AB33" s="796">
        <f>'PF-Exec'!$G28</f>
        <v>0</v>
      </c>
      <c r="AC33" s="1093">
        <f>PFJPStorage!G28</f>
        <v>0</v>
      </c>
      <c r="AD33" s="796">
        <f>PFCapx2008!$G28</f>
        <v>0</v>
      </c>
      <c r="AE33" s="796">
        <f>PFCapx2009!$G28</f>
        <v>0</v>
      </c>
      <c r="AF33" s="796">
        <f>PFIncentives!$G28</f>
        <v>0</v>
      </c>
      <c r="AG33" s="796">
        <f>PFEmpBen!$G28</f>
        <v>-1</v>
      </c>
      <c r="AH33" s="833">
        <f>'PFJP11-open'!$G28</f>
        <v>0</v>
      </c>
      <c r="AI33" s="796"/>
      <c r="AJ33" s="796"/>
      <c r="AK33" s="796"/>
      <c r="AL33" s="815">
        <f>SUM(Z33:AK33)</f>
        <v>2392</v>
      </c>
      <c r="AS33" s="796">
        <f>PFAssetMgt!$G28</f>
        <v>0</v>
      </c>
    </row>
    <row r="34" spans="1:45">
      <c r="A34" s="18">
        <v>17</v>
      </c>
      <c r="C34" s="20"/>
      <c r="D34" s="20"/>
      <c r="E34" s="20" t="s">
        <v>313</v>
      </c>
      <c r="F34" s="793">
        <f t="shared" ref="F34:V34" si="6">SUM(F31:F33)</f>
        <v>9036</v>
      </c>
      <c r="G34" s="793">
        <f t="shared" si="6"/>
        <v>0</v>
      </c>
      <c r="H34" s="793">
        <f t="shared" si="6"/>
        <v>0</v>
      </c>
      <c r="I34" s="793">
        <f t="shared" si="6"/>
        <v>0</v>
      </c>
      <c r="J34" s="793">
        <f t="shared" si="6"/>
        <v>0</v>
      </c>
      <c r="K34" s="793">
        <f t="shared" si="6"/>
        <v>0</v>
      </c>
      <c r="L34" s="20">
        <f t="shared" si="6"/>
        <v>9036</v>
      </c>
      <c r="M34" s="793">
        <f>SUM(M31:M33)</f>
        <v>0</v>
      </c>
      <c r="N34" s="793">
        <f t="shared" si="6"/>
        <v>0</v>
      </c>
      <c r="O34" s="793">
        <f t="shared" si="6"/>
        <v>0</v>
      </c>
      <c r="P34" s="793">
        <f t="shared" si="6"/>
        <v>0</v>
      </c>
      <c r="Q34" s="793">
        <f t="shared" si="6"/>
        <v>0</v>
      </c>
      <c r="R34" s="793">
        <f t="shared" si="6"/>
        <v>0</v>
      </c>
      <c r="S34" s="793">
        <f t="shared" si="6"/>
        <v>0</v>
      </c>
      <c r="T34" s="793">
        <f t="shared" si="6"/>
        <v>0</v>
      </c>
      <c r="U34" s="793">
        <f>SUM(U31:U33)</f>
        <v>0</v>
      </c>
      <c r="V34" s="793">
        <f t="shared" si="6"/>
        <v>0</v>
      </c>
      <c r="W34" s="834"/>
      <c r="X34" s="834"/>
      <c r="Y34" s="834"/>
      <c r="Z34" s="20">
        <f t="shared" ref="Z34:AH34" si="7">SUM(Z31:Z33)</f>
        <v>9036</v>
      </c>
      <c r="AA34" s="793">
        <f>SUM(AA31:AA33)</f>
        <v>136</v>
      </c>
      <c r="AB34" s="793">
        <f>SUM(AB31:AB33)</f>
        <v>0</v>
      </c>
      <c r="AC34" s="793">
        <f>SUM(AC31:AC33)</f>
        <v>0</v>
      </c>
      <c r="AD34" s="793">
        <f t="shared" si="7"/>
        <v>0</v>
      </c>
      <c r="AE34" s="793">
        <f t="shared" si="7"/>
        <v>0</v>
      </c>
      <c r="AF34" s="793">
        <f t="shared" si="7"/>
        <v>0</v>
      </c>
      <c r="AG34" s="793">
        <f t="shared" si="7"/>
        <v>-1</v>
      </c>
      <c r="AH34" s="834">
        <f t="shared" si="7"/>
        <v>0</v>
      </c>
      <c r="AI34" s="793"/>
      <c r="AJ34" s="793"/>
      <c r="AK34" s="793"/>
      <c r="AL34" s="20">
        <f>SUM(AL31:AL33)</f>
        <v>9171</v>
      </c>
      <c r="AS34" s="793">
        <f>SUM(AS31:AS33)</f>
        <v>0</v>
      </c>
    </row>
    <row r="35" spans="1:45">
      <c r="C35" s="20"/>
      <c r="D35" s="20"/>
      <c r="E35" s="20"/>
      <c r="F35" s="793"/>
      <c r="G35" s="793"/>
      <c r="H35" s="793"/>
      <c r="I35" s="793"/>
      <c r="J35" s="793"/>
      <c r="K35" s="793"/>
      <c r="L35" s="20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834"/>
      <c r="X35" s="834"/>
      <c r="Y35" s="834"/>
      <c r="Z35" s="20"/>
      <c r="AA35" s="793"/>
      <c r="AB35" s="793"/>
      <c r="AC35" s="793"/>
      <c r="AD35" s="793"/>
      <c r="AE35" s="793"/>
      <c r="AF35" s="793"/>
      <c r="AG35" s="793"/>
      <c r="AH35" s="834"/>
      <c r="AI35" s="793"/>
      <c r="AJ35" s="793"/>
      <c r="AK35" s="793"/>
      <c r="AL35" s="20"/>
      <c r="AS35" s="793"/>
    </row>
    <row r="36" spans="1:45">
      <c r="A36" s="18">
        <v>18</v>
      </c>
      <c r="B36" s="2" t="s">
        <v>314</v>
      </c>
      <c r="C36" s="20"/>
      <c r="D36" s="20"/>
      <c r="E36" s="20"/>
      <c r="F36" s="793">
        <f>ResultSumGas!$G31</f>
        <v>1937</v>
      </c>
      <c r="G36" s="797">
        <f>DFIT!$G31</f>
        <v>0</v>
      </c>
      <c r="H36" s="797">
        <f>BldGain!$G31</f>
        <v>0</v>
      </c>
      <c r="I36" s="793">
        <f>GasInv!$G31</f>
        <v>0</v>
      </c>
      <c r="J36" s="793">
        <f>WznDSM!$G31</f>
        <v>0</v>
      </c>
      <c r="K36" s="797">
        <f>CustAdv!$G31</f>
        <v>0</v>
      </c>
      <c r="L36" s="20">
        <f>SUM(F36:K36)</f>
        <v>1937</v>
      </c>
      <c r="M36" s="797">
        <f>'DeprTrue-up'!$G31</f>
        <v>0</v>
      </c>
      <c r="N36" s="793">
        <f>WeatherGas!$G31</f>
        <v>0</v>
      </c>
      <c r="O36" s="793">
        <f>BandO!$G31</f>
        <v>0</v>
      </c>
      <c r="P36" s="793"/>
      <c r="Q36" s="793">
        <f>UncollExp!$G31</f>
        <v>0</v>
      </c>
      <c r="R36" s="793">
        <f>RegExp!$G31</f>
        <v>0</v>
      </c>
      <c r="S36" s="797">
        <f>InjDam!$G31</f>
        <v>0</v>
      </c>
      <c r="T36" s="797">
        <f>FIT!$G31</f>
        <v>0</v>
      </c>
      <c r="U36" s="797">
        <f>ElimAR!$G31</f>
        <v>0</v>
      </c>
      <c r="V36" s="797">
        <f>DebtInt!$G31</f>
        <v>0</v>
      </c>
      <c r="W36" s="834"/>
      <c r="X36" s="834"/>
      <c r="Y36" s="834"/>
      <c r="Z36" s="20">
        <f>SUM(L36:Y36)</f>
        <v>1937</v>
      </c>
      <c r="AA36" s="797">
        <f>'PFNon-Exec'!$G31</f>
        <v>52</v>
      </c>
      <c r="AB36" s="797">
        <f>'PF-Exec'!$G31</f>
        <v>0</v>
      </c>
      <c r="AC36" s="792">
        <f>PFJPStorage!G31</f>
        <v>0</v>
      </c>
      <c r="AD36" s="797">
        <f>PFCapx2008!$G31</f>
        <v>0</v>
      </c>
      <c r="AE36" s="797">
        <f>PFCapx2009!$G31</f>
        <v>0</v>
      </c>
      <c r="AF36" s="797">
        <f>PFIncentives!$G31</f>
        <v>0</v>
      </c>
      <c r="AG36" s="797">
        <f>PFEmpBen!$G31</f>
        <v>0</v>
      </c>
      <c r="AH36" s="835">
        <f>'PFJP11-open'!$G31</f>
        <v>0</v>
      </c>
      <c r="AI36" s="797"/>
      <c r="AJ36" s="797"/>
      <c r="AK36" s="797"/>
      <c r="AL36" s="20">
        <f>SUM(Z36:AK36)</f>
        <v>1989</v>
      </c>
      <c r="AS36" s="797">
        <f>PFAssetMgt!$G31</f>
        <v>0</v>
      </c>
    </row>
    <row r="37" spans="1:45">
      <c r="A37" s="18">
        <v>19</v>
      </c>
      <c r="B37" s="2" t="s">
        <v>315</v>
      </c>
      <c r="C37" s="20"/>
      <c r="D37" s="20"/>
      <c r="E37" s="20"/>
      <c r="F37" s="793">
        <f>ResultSumGas!$G32</f>
        <v>1788</v>
      </c>
      <c r="G37" s="794">
        <f>DFIT!$G32</f>
        <v>0</v>
      </c>
      <c r="H37" s="794">
        <f>BldGain!$G32</f>
        <v>0</v>
      </c>
      <c r="I37" s="794">
        <f>GasInv!$G32</f>
        <v>0</v>
      </c>
      <c r="J37" s="794">
        <f>WznDSM!$G32</f>
        <v>0</v>
      </c>
      <c r="K37" s="794">
        <f>CustAdv!$G32</f>
        <v>0</v>
      </c>
      <c r="L37" s="20">
        <f>SUM(F37:K37)</f>
        <v>1788</v>
      </c>
      <c r="M37" s="794">
        <f>'DeprTrue-up'!$G32</f>
        <v>0</v>
      </c>
      <c r="N37" s="794">
        <f>WeatherGas!$G32</f>
        <v>0</v>
      </c>
      <c r="O37" s="794">
        <f>BandO!$G32</f>
        <v>0</v>
      </c>
      <c r="P37" s="794">
        <f>PropTax!$G32</f>
        <v>0</v>
      </c>
      <c r="Q37" s="794">
        <f>UncollExp!$G32</f>
        <v>0</v>
      </c>
      <c r="R37" s="794">
        <f>RegExp!$G32</f>
        <v>0</v>
      </c>
      <c r="S37" s="794">
        <f>InjDam!$G32</f>
        <v>0</v>
      </c>
      <c r="T37" s="794">
        <f>FIT!$G32</f>
        <v>0</v>
      </c>
      <c r="U37" s="794">
        <f>ElimAR!$G32</f>
        <v>0</v>
      </c>
      <c r="V37" s="794">
        <f>DebtInt!$G32</f>
        <v>0</v>
      </c>
      <c r="W37" s="832"/>
      <c r="X37" s="832"/>
      <c r="Y37" s="832"/>
      <c r="Z37" s="20">
        <f>SUM(L37:Y37)</f>
        <v>1788</v>
      </c>
      <c r="AA37" s="794">
        <f>'PFNon-Exec'!$G32</f>
        <v>4</v>
      </c>
      <c r="AB37" s="794">
        <f>'PF-Exec'!$G32</f>
        <v>0</v>
      </c>
      <c r="AC37" s="792">
        <f>PFJPStorage!G32</f>
        <v>0</v>
      </c>
      <c r="AD37" s="794">
        <f>PFCapx2008!$G32</f>
        <v>0</v>
      </c>
      <c r="AE37" s="794">
        <f>PFCapx2009!$G32</f>
        <v>0</v>
      </c>
      <c r="AF37" s="794">
        <f>PFIncentives!$G32</f>
        <v>0</v>
      </c>
      <c r="AG37" s="794">
        <f>PFEmpBen!$G32</f>
        <v>0</v>
      </c>
      <c r="AH37" s="832">
        <f>'PFJP11-open'!$G32</f>
        <v>0</v>
      </c>
      <c r="AI37" s="794"/>
      <c r="AJ37" s="794"/>
      <c r="AK37" s="794"/>
      <c r="AL37" s="20">
        <f>SUM(Z37:AK37)</f>
        <v>1792</v>
      </c>
      <c r="AS37" s="794">
        <f>PFAssetMgt!$G32</f>
        <v>0</v>
      </c>
    </row>
    <row r="38" spans="1:45">
      <c r="A38" s="18">
        <v>20</v>
      </c>
      <c r="B38" s="2" t="s">
        <v>316</v>
      </c>
      <c r="C38" s="20"/>
      <c r="D38" s="20"/>
      <c r="E38" s="20"/>
      <c r="F38" s="793">
        <f>ResultSumGas!$G33</f>
        <v>213</v>
      </c>
      <c r="G38" s="794">
        <f>DFIT!$G33</f>
        <v>0</v>
      </c>
      <c r="H38" s="794">
        <f>BldGain!$G33</f>
        <v>0</v>
      </c>
      <c r="I38" s="794">
        <f>GasInv!$G33</f>
        <v>0</v>
      </c>
      <c r="J38" s="794">
        <f>WznDSM!$G33</f>
        <v>0</v>
      </c>
      <c r="K38" s="794">
        <f>CustAdv!$G33</f>
        <v>0</v>
      </c>
      <c r="L38" s="20">
        <f>SUM(F38:K38)</f>
        <v>213</v>
      </c>
      <c r="M38" s="794">
        <f>'DeprTrue-up'!$G33</f>
        <v>0</v>
      </c>
      <c r="N38" s="794">
        <f>WeatherGas!$G33</f>
        <v>0</v>
      </c>
      <c r="O38" s="794">
        <f>BandO!$G33</f>
        <v>0</v>
      </c>
      <c r="P38" s="794">
        <f>PropTax!$G33</f>
        <v>0</v>
      </c>
      <c r="Q38" s="794">
        <f>UncollExp!$G33</f>
        <v>0</v>
      </c>
      <c r="R38" s="794">
        <f>RegExp!$G33</f>
        <v>0</v>
      </c>
      <c r="S38" s="794">
        <f>InjDam!$G33</f>
        <v>0</v>
      </c>
      <c r="T38" s="794">
        <f>FIT!$G33</f>
        <v>0</v>
      </c>
      <c r="U38" s="794">
        <f>ElimAR!$G33</f>
        <v>0</v>
      </c>
      <c r="V38" s="794">
        <f>DebtInt!$G33</f>
        <v>0</v>
      </c>
      <c r="W38" s="832"/>
      <c r="X38" s="832"/>
      <c r="Y38" s="832"/>
      <c r="Z38" s="20">
        <f>SUM(L38:Y38)</f>
        <v>213</v>
      </c>
      <c r="AA38" s="794">
        <f>'PFNon-Exec'!$G33</f>
        <v>4</v>
      </c>
      <c r="AB38" s="794">
        <f>'PF-Exec'!$G33</f>
        <v>0</v>
      </c>
      <c r="AC38" s="792">
        <f>PFJPStorage!G33</f>
        <v>0</v>
      </c>
      <c r="AD38" s="794">
        <f>PFCapx2008!$G33</f>
        <v>0</v>
      </c>
      <c r="AE38" s="794">
        <f>PFCapx2009!$G33</f>
        <v>0</v>
      </c>
      <c r="AF38" s="794">
        <f>PFIncentives!$G33</f>
        <v>0</v>
      </c>
      <c r="AG38" s="794">
        <f>PFEmpBen!$G33</f>
        <v>0</v>
      </c>
      <c r="AH38" s="832">
        <f>'PFJP11-open'!$G33</f>
        <v>0</v>
      </c>
      <c r="AI38" s="794"/>
      <c r="AJ38" s="794"/>
      <c r="AK38" s="794"/>
      <c r="AL38" s="20">
        <f>SUM(Z38:AK38)</f>
        <v>217</v>
      </c>
      <c r="AS38" s="794">
        <f>PFAssetMgt!$G33</f>
        <v>0</v>
      </c>
    </row>
    <row r="39" spans="1:45">
      <c r="B39" s="2" t="s">
        <v>317</v>
      </c>
      <c r="C39" s="20"/>
      <c r="D39" s="20"/>
      <c r="E39" s="20"/>
      <c r="F39" s="793"/>
      <c r="G39" s="794"/>
      <c r="H39" s="794"/>
      <c r="I39" s="794"/>
      <c r="J39" s="794"/>
      <c r="K39" s="794"/>
      <c r="L39" s="20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832"/>
      <c r="X39" s="832"/>
      <c r="Y39" s="832"/>
      <c r="Z39" s="20"/>
      <c r="AA39" s="794"/>
      <c r="AB39" s="794"/>
      <c r="AC39" s="794"/>
      <c r="AD39" s="794"/>
      <c r="AE39" s="794"/>
      <c r="AF39" s="794"/>
      <c r="AG39" s="794"/>
      <c r="AH39" s="832"/>
      <c r="AI39" s="794"/>
      <c r="AJ39" s="794"/>
      <c r="AK39" s="794"/>
      <c r="AL39" s="20"/>
      <c r="AS39" s="794"/>
    </row>
    <row r="40" spans="1:45">
      <c r="A40" s="18">
        <v>21</v>
      </c>
      <c r="C40" s="20" t="s">
        <v>308</v>
      </c>
      <c r="D40" s="20"/>
      <c r="E40" s="20"/>
      <c r="F40" s="793">
        <f>ResultSumGas!$G35</f>
        <v>4471</v>
      </c>
      <c r="G40" s="794">
        <f>DFIT!$G35</f>
        <v>0</v>
      </c>
      <c r="H40" s="794">
        <f>BldGain!$G35</f>
        <v>0</v>
      </c>
      <c r="I40" s="794">
        <f>GasInv!$G35</f>
        <v>0</v>
      </c>
      <c r="J40" s="794">
        <f>WznDSM!$G35</f>
        <v>0</v>
      </c>
      <c r="K40" s="794">
        <f>CustAdv!$G35</f>
        <v>0</v>
      </c>
      <c r="L40" s="20">
        <f>SUM(F40:K40)</f>
        <v>4471</v>
      </c>
      <c r="M40" s="794">
        <f>'DeprTrue-up'!$G35</f>
        <v>0</v>
      </c>
      <c r="N40" s="794">
        <f>WeatherGas!$G35</f>
        <v>0</v>
      </c>
      <c r="O40" s="794">
        <f>BandO!$G35</f>
        <v>0</v>
      </c>
      <c r="P40" s="794">
        <f>PropTax!$G35</f>
        <v>0</v>
      </c>
      <c r="Q40" s="794">
        <f>UncollExp!$G35</f>
        <v>0</v>
      </c>
      <c r="R40" s="794">
        <f>RegExp!$G35</f>
        <v>0</v>
      </c>
      <c r="S40" s="794">
        <f>InjDam!$G35</f>
        <v>0</v>
      </c>
      <c r="T40" s="794">
        <f>FIT!$G35</f>
        <v>0</v>
      </c>
      <c r="U40" s="794">
        <f>ElimAR!$G35</f>
        <v>0</v>
      </c>
      <c r="V40" s="794">
        <f>DebtInt!$G35</f>
        <v>0</v>
      </c>
      <c r="W40" s="832"/>
      <c r="X40" s="832"/>
      <c r="Y40" s="832"/>
      <c r="Z40" s="20">
        <f>SUM(L40:Y40)</f>
        <v>4471</v>
      </c>
      <c r="AA40" s="794">
        <f>'PFNon-Exec'!$G35</f>
        <v>67</v>
      </c>
      <c r="AB40" s="794">
        <f>'PF-Exec'!$G35</f>
        <v>31</v>
      </c>
      <c r="AC40" s="792">
        <f>PFJPStorage!G35</f>
        <v>0</v>
      </c>
      <c r="AD40" s="794">
        <f>PFCapx2008!$G35</f>
        <v>0</v>
      </c>
      <c r="AE40" s="794">
        <f>PFCapx2009!$G35</f>
        <v>0</v>
      </c>
      <c r="AF40" s="794">
        <f>PFIncentives!$G35</f>
        <v>0</v>
      </c>
      <c r="AG40" s="794">
        <f>PFEmpBen!$G35</f>
        <v>0</v>
      </c>
      <c r="AH40" s="832">
        <f>'PFJP11-open'!$G35</f>
        <v>0</v>
      </c>
      <c r="AI40" s="794"/>
      <c r="AJ40" s="794"/>
      <c r="AK40" s="794"/>
      <c r="AL40" s="20">
        <f>SUM(Z40:AK40)</f>
        <v>4569</v>
      </c>
      <c r="AS40" s="794">
        <f>PFAssetMgt!$G35</f>
        <v>0</v>
      </c>
    </row>
    <row r="41" spans="1:45">
      <c r="A41" s="18">
        <v>22</v>
      </c>
      <c r="C41" s="20" t="s">
        <v>309</v>
      </c>
      <c r="D41" s="20"/>
      <c r="E41" s="20"/>
      <c r="F41" s="793">
        <f>ResultSumGas!$G36</f>
        <v>816</v>
      </c>
      <c r="G41" s="794">
        <f>DFIT!$G36</f>
        <v>0</v>
      </c>
      <c r="H41" s="794">
        <f>BldGain!$G36</f>
        <v>0</v>
      </c>
      <c r="I41" s="794">
        <f>GasInv!$G36</f>
        <v>0</v>
      </c>
      <c r="J41" s="794">
        <f>WznDSM!$G36</f>
        <v>0</v>
      </c>
      <c r="K41" s="794">
        <f>CustAdv!$G36</f>
        <v>0</v>
      </c>
      <c r="L41" s="20">
        <f>SUM(F41:K41)</f>
        <v>816</v>
      </c>
      <c r="M41" s="794">
        <f>'DeprTrue-up'!$G36</f>
        <v>0</v>
      </c>
      <c r="N41" s="794">
        <f>WeatherGas!$G36</f>
        <v>0</v>
      </c>
      <c r="O41" s="794">
        <f>BandO!$G36</f>
        <v>0</v>
      </c>
      <c r="P41" s="794">
        <f>PropTax!$G36</f>
        <v>0</v>
      </c>
      <c r="Q41" s="794">
        <f>UncollExp!$G36</f>
        <v>0</v>
      </c>
      <c r="R41" s="794">
        <f>RegExp!$G36</f>
        <v>0</v>
      </c>
      <c r="S41" s="794">
        <f>InjDam!$G36</f>
        <v>0</v>
      </c>
      <c r="T41" s="794">
        <f>FIT!$G36</f>
        <v>0</v>
      </c>
      <c r="U41" s="794">
        <f>ElimAR!$G36</f>
        <v>0</v>
      </c>
      <c r="V41" s="794">
        <f>DebtInt!$G36</f>
        <v>0</v>
      </c>
      <c r="W41" s="832"/>
      <c r="X41" s="832"/>
      <c r="Y41" s="832"/>
      <c r="Z41" s="20">
        <f>SUM(L41:Y41)</f>
        <v>816</v>
      </c>
      <c r="AA41" s="794">
        <f>'PFNon-Exec'!$G36</f>
        <v>0</v>
      </c>
      <c r="AB41" s="794">
        <f>'PF-Exec'!$G36</f>
        <v>0</v>
      </c>
      <c r="AC41" s="792">
        <f>PFJPStorage!G36</f>
        <v>0</v>
      </c>
      <c r="AD41" s="794">
        <f>PFCapx2008!$G36</f>
        <v>0</v>
      </c>
      <c r="AE41" s="794">
        <f>PFCapx2009!$G36</f>
        <v>0</v>
      </c>
      <c r="AF41" s="794">
        <f>PFIncentives!$G36</f>
        <v>0</v>
      </c>
      <c r="AG41" s="794">
        <f>PFEmpBen!$G36</f>
        <v>0</v>
      </c>
      <c r="AH41" s="832">
        <f>'PFJP11-open'!$G36</f>
        <v>0</v>
      </c>
      <c r="AI41" s="794"/>
      <c r="AJ41" s="794"/>
      <c r="AK41" s="794"/>
      <c r="AL41" s="20">
        <f>SUM(Z41:AK41)</f>
        <v>816</v>
      </c>
      <c r="AS41" s="794">
        <f>PFAssetMgt!$G36</f>
        <v>0</v>
      </c>
    </row>
    <row r="42" spans="1:45">
      <c r="A42" s="18">
        <v>23</v>
      </c>
      <c r="C42" s="20" t="s">
        <v>310</v>
      </c>
      <c r="D42" s="20"/>
      <c r="E42" s="20"/>
      <c r="F42" s="795">
        <f>ResultSumGas!$G37</f>
        <v>11</v>
      </c>
      <c r="G42" s="796">
        <f>DFIT!$G37</f>
        <v>0</v>
      </c>
      <c r="H42" s="796">
        <f>BldGain!$G37</f>
        <v>0</v>
      </c>
      <c r="I42" s="796">
        <f>GasInv!$G37</f>
        <v>0</v>
      </c>
      <c r="J42" s="796">
        <f>WznDSM!$G37</f>
        <v>0</v>
      </c>
      <c r="K42" s="796">
        <f>CustAdv!$G37</f>
        <v>0</v>
      </c>
      <c r="L42" s="815">
        <f>SUM(F42:K42)</f>
        <v>11</v>
      </c>
      <c r="M42" s="796">
        <f>'DeprTrue-up'!$G37</f>
        <v>0</v>
      </c>
      <c r="N42" s="796">
        <f>WeatherGas!$G37</f>
        <v>0</v>
      </c>
      <c r="O42" s="796">
        <f>BandO!$G37</f>
        <v>0</v>
      </c>
      <c r="P42" s="796">
        <f>PropTax!$G37</f>
        <v>0</v>
      </c>
      <c r="Q42" s="796">
        <f>UncollExp!$G37</f>
        <v>0</v>
      </c>
      <c r="R42" s="796">
        <f>RegExp!$G37</f>
        <v>0</v>
      </c>
      <c r="S42" s="796">
        <f>InjDam!$G37</f>
        <v>0</v>
      </c>
      <c r="T42" s="796">
        <f>FIT!$G37</f>
        <v>0</v>
      </c>
      <c r="U42" s="796">
        <f>ElimAR!$G37</f>
        <v>0</v>
      </c>
      <c r="V42" s="796">
        <f>DebtInt!$G37</f>
        <v>0</v>
      </c>
      <c r="W42" s="833"/>
      <c r="X42" s="833"/>
      <c r="Y42" s="833"/>
      <c r="Z42" s="815">
        <f>SUM(L42:Y42)</f>
        <v>11</v>
      </c>
      <c r="AA42" s="796">
        <f>'PFNon-Exec'!$G37</f>
        <v>0</v>
      </c>
      <c r="AB42" s="796">
        <f>'PF-Exec'!$G37</f>
        <v>0</v>
      </c>
      <c r="AC42" s="1093">
        <f>PFJPStorage!G37</f>
        <v>0</v>
      </c>
      <c r="AD42" s="796">
        <f>PFCapx2008!$G37</f>
        <v>0</v>
      </c>
      <c r="AE42" s="796">
        <f>PFCapx2009!$G37</f>
        <v>0</v>
      </c>
      <c r="AF42" s="796">
        <f>PFIncentives!$G37</f>
        <v>0</v>
      </c>
      <c r="AG42" s="796">
        <f>PFEmpBen!$G37</f>
        <v>0</v>
      </c>
      <c r="AH42" s="833">
        <f>'PFJP11-open'!$G37</f>
        <v>0</v>
      </c>
      <c r="AI42" s="796"/>
      <c r="AJ42" s="796"/>
      <c r="AK42" s="796"/>
      <c r="AL42" s="815">
        <f>SUM(Z42:AK42)</f>
        <v>11</v>
      </c>
      <c r="AS42" s="796">
        <f>PFAssetMgt!$G37</f>
        <v>0</v>
      </c>
    </row>
    <row r="43" spans="1:45">
      <c r="A43" s="18">
        <v>24</v>
      </c>
      <c r="C43" s="20"/>
      <c r="D43" s="20"/>
      <c r="E43" s="20" t="s">
        <v>318</v>
      </c>
      <c r="F43" s="795">
        <f t="shared" ref="F43:V43" si="8">SUM(F40:F42)</f>
        <v>5298</v>
      </c>
      <c r="G43" s="795">
        <f t="shared" si="8"/>
        <v>0</v>
      </c>
      <c r="H43" s="795">
        <f t="shared" si="8"/>
        <v>0</v>
      </c>
      <c r="I43" s="795">
        <f t="shared" si="8"/>
        <v>0</v>
      </c>
      <c r="J43" s="795">
        <f t="shared" si="8"/>
        <v>0</v>
      </c>
      <c r="K43" s="795">
        <f t="shared" si="8"/>
        <v>0</v>
      </c>
      <c r="L43" s="815">
        <f t="shared" si="8"/>
        <v>5298</v>
      </c>
      <c r="M43" s="795">
        <f>SUM(M40:M42)</f>
        <v>0</v>
      </c>
      <c r="N43" s="795">
        <f t="shared" si="8"/>
        <v>0</v>
      </c>
      <c r="O43" s="795">
        <f t="shared" si="8"/>
        <v>0</v>
      </c>
      <c r="P43" s="795">
        <f t="shared" si="8"/>
        <v>0</v>
      </c>
      <c r="Q43" s="795">
        <f t="shared" si="8"/>
        <v>0</v>
      </c>
      <c r="R43" s="795">
        <f t="shared" si="8"/>
        <v>0</v>
      </c>
      <c r="S43" s="795">
        <f t="shared" si="8"/>
        <v>0</v>
      </c>
      <c r="T43" s="795">
        <f t="shared" si="8"/>
        <v>0</v>
      </c>
      <c r="U43" s="795">
        <f>SUM(U40:U42)</f>
        <v>0</v>
      </c>
      <c r="V43" s="795">
        <f t="shared" si="8"/>
        <v>0</v>
      </c>
      <c r="W43" s="836"/>
      <c r="X43" s="836"/>
      <c r="Y43" s="836"/>
      <c r="Z43" s="815">
        <f t="shared" ref="Z43:AH43" si="9">SUM(Z40:Z42)</f>
        <v>5298</v>
      </c>
      <c r="AA43" s="795">
        <f>SUM(AA40:AA42)</f>
        <v>67</v>
      </c>
      <c r="AB43" s="795">
        <f>SUM(AB40:AB42)</f>
        <v>31</v>
      </c>
      <c r="AC43" s="795">
        <f>SUM(AC40:AC42)</f>
        <v>0</v>
      </c>
      <c r="AD43" s="795">
        <f t="shared" si="9"/>
        <v>0</v>
      </c>
      <c r="AE43" s="795">
        <f t="shared" si="9"/>
        <v>0</v>
      </c>
      <c r="AF43" s="795">
        <f t="shared" si="9"/>
        <v>0</v>
      </c>
      <c r="AG43" s="795">
        <f t="shared" si="9"/>
        <v>0</v>
      </c>
      <c r="AH43" s="836">
        <f t="shared" si="9"/>
        <v>0</v>
      </c>
      <c r="AI43" s="795"/>
      <c r="AJ43" s="795"/>
      <c r="AK43" s="795"/>
      <c r="AL43" s="815">
        <f>SUM(AL40:AL42)</f>
        <v>5396</v>
      </c>
      <c r="AS43" s="795">
        <f>SUM(AS40:AS42)</f>
        <v>0</v>
      </c>
    </row>
    <row r="44" spans="1:45">
      <c r="A44" s="18">
        <v>25</v>
      </c>
      <c r="B44" s="2" t="s">
        <v>319</v>
      </c>
      <c r="C44" s="20"/>
      <c r="D44" s="20"/>
      <c r="E44" s="20"/>
      <c r="F44" s="795">
        <f t="shared" ref="F44:V44" si="10">F19+F24+F29+F34+F36+F37+F38+F43</f>
        <v>142129</v>
      </c>
      <c r="G44" s="795">
        <f t="shared" si="10"/>
        <v>0</v>
      </c>
      <c r="H44" s="795">
        <f t="shared" si="10"/>
        <v>0</v>
      </c>
      <c r="I44" s="795">
        <f t="shared" si="10"/>
        <v>0</v>
      </c>
      <c r="J44" s="795">
        <f t="shared" si="10"/>
        <v>0</v>
      </c>
      <c r="K44" s="795">
        <f t="shared" si="10"/>
        <v>0</v>
      </c>
      <c r="L44" s="815">
        <f t="shared" si="10"/>
        <v>142129</v>
      </c>
      <c r="M44" s="795">
        <f>M19+M24+M29+M34+M36+M37+M38+M43</f>
        <v>0</v>
      </c>
      <c r="N44" s="795">
        <f t="shared" si="10"/>
        <v>0</v>
      </c>
      <c r="O44" s="795">
        <f t="shared" si="10"/>
        <v>0</v>
      </c>
      <c r="P44" s="795">
        <f t="shared" si="10"/>
        <v>0</v>
      </c>
      <c r="Q44" s="795">
        <f t="shared" si="10"/>
        <v>0</v>
      </c>
      <c r="R44" s="795">
        <f t="shared" si="10"/>
        <v>0</v>
      </c>
      <c r="S44" s="795">
        <f t="shared" si="10"/>
        <v>0</v>
      </c>
      <c r="T44" s="795">
        <f t="shared" si="10"/>
        <v>0</v>
      </c>
      <c r="U44" s="795">
        <f>U19+U24+U29+U34+U36+U37+U38+U43</f>
        <v>0</v>
      </c>
      <c r="V44" s="795">
        <f t="shared" si="10"/>
        <v>0</v>
      </c>
      <c r="W44" s="836"/>
      <c r="X44" s="836"/>
      <c r="Y44" s="836"/>
      <c r="Z44" s="815">
        <f t="shared" ref="Z44:AH44" si="11">Z19+Z24+Z29+Z34+Z36+Z37+Z38+Z43</f>
        <v>142129</v>
      </c>
      <c r="AA44" s="795">
        <f>AA19+AA24+AA29+AA34+AA36+AA37+AA38+AA43</f>
        <v>275</v>
      </c>
      <c r="AB44" s="795">
        <f>AB19+AB24+AB29+AB34+AB36+AB37+AB38+AB43</f>
        <v>32</v>
      </c>
      <c r="AC44" s="795">
        <f>AC19+AC24+AC29+AC34+AC36+AC37+AC38+AC43</f>
        <v>0</v>
      </c>
      <c r="AD44" s="795">
        <f t="shared" si="11"/>
        <v>0</v>
      </c>
      <c r="AE44" s="795">
        <f t="shared" si="11"/>
        <v>0</v>
      </c>
      <c r="AF44" s="795">
        <f t="shared" si="11"/>
        <v>0</v>
      </c>
      <c r="AG44" s="795">
        <f t="shared" si="11"/>
        <v>-1</v>
      </c>
      <c r="AH44" s="836">
        <f t="shared" si="11"/>
        <v>0</v>
      </c>
      <c r="AI44" s="795"/>
      <c r="AJ44" s="795"/>
      <c r="AK44" s="795"/>
      <c r="AL44" s="815">
        <f>AL19+AL24+AL29+AL34+AL36+AL37+AL38+AL43</f>
        <v>142435</v>
      </c>
      <c r="AS44" s="795">
        <f>AS19+AS24+AS29+AS34+AS36+AS37+AS38+AS43</f>
        <v>0</v>
      </c>
    </row>
    <row r="45" spans="1:45">
      <c r="C45" s="20"/>
      <c r="D45" s="20"/>
      <c r="E45" s="20"/>
      <c r="F45" s="793"/>
      <c r="G45" s="793"/>
      <c r="H45" s="793"/>
      <c r="I45" s="793"/>
      <c r="J45" s="793"/>
      <c r="K45" s="793"/>
      <c r="L45" s="20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834"/>
      <c r="X45" s="834"/>
      <c r="Y45" s="834"/>
      <c r="Z45" s="20"/>
      <c r="AA45" s="793"/>
      <c r="AB45" s="793"/>
      <c r="AC45" s="793"/>
      <c r="AD45" s="793"/>
      <c r="AE45" s="793"/>
      <c r="AF45" s="793"/>
      <c r="AG45" s="793"/>
      <c r="AH45" s="834"/>
      <c r="AI45" s="793"/>
      <c r="AJ45" s="793"/>
      <c r="AK45" s="793"/>
      <c r="AL45" s="20"/>
      <c r="AS45" s="793"/>
    </row>
    <row r="46" spans="1:45">
      <c r="A46" s="18">
        <v>26</v>
      </c>
      <c r="B46" s="2" t="s">
        <v>320</v>
      </c>
      <c r="C46" s="20"/>
      <c r="D46" s="20"/>
      <c r="E46" s="20"/>
      <c r="F46" s="793">
        <f t="shared" ref="F46:V46" si="12">F16-F44</f>
        <v>7210</v>
      </c>
      <c r="G46" s="793">
        <f t="shared" si="12"/>
        <v>0</v>
      </c>
      <c r="H46" s="793">
        <f t="shared" si="12"/>
        <v>0</v>
      </c>
      <c r="I46" s="793">
        <f t="shared" si="12"/>
        <v>0</v>
      </c>
      <c r="J46" s="793">
        <f t="shared" si="12"/>
        <v>0</v>
      </c>
      <c r="K46" s="793">
        <f>K16-K44</f>
        <v>0</v>
      </c>
      <c r="L46" s="20">
        <f t="shared" si="12"/>
        <v>7210</v>
      </c>
      <c r="M46" s="793">
        <f>M16-M44</f>
        <v>0</v>
      </c>
      <c r="N46" s="793">
        <f t="shared" si="12"/>
        <v>0</v>
      </c>
      <c r="O46" s="793">
        <f t="shared" si="12"/>
        <v>0</v>
      </c>
      <c r="P46" s="793">
        <f t="shared" si="12"/>
        <v>0</v>
      </c>
      <c r="Q46" s="793">
        <f t="shared" si="12"/>
        <v>0</v>
      </c>
      <c r="R46" s="793">
        <f t="shared" si="12"/>
        <v>0</v>
      </c>
      <c r="S46" s="793">
        <f t="shared" si="12"/>
        <v>0</v>
      </c>
      <c r="T46" s="793">
        <f t="shared" si="12"/>
        <v>0</v>
      </c>
      <c r="U46" s="793">
        <f>U16-U44</f>
        <v>0</v>
      </c>
      <c r="V46" s="793">
        <f t="shared" si="12"/>
        <v>0</v>
      </c>
      <c r="W46" s="834"/>
      <c r="X46" s="834"/>
      <c r="Y46" s="834"/>
      <c r="Z46" s="20">
        <f t="shared" ref="Z46:AE46" si="13">Z16-Z44</f>
        <v>7210</v>
      </c>
      <c r="AA46" s="793">
        <f>AA16-AA44</f>
        <v>-275</v>
      </c>
      <c r="AB46" s="793">
        <f>AB16-AB44</f>
        <v>-32</v>
      </c>
      <c r="AC46" s="793">
        <f>AC16-AC44</f>
        <v>0</v>
      </c>
      <c r="AD46" s="793">
        <f t="shared" si="13"/>
        <v>0</v>
      </c>
      <c r="AE46" s="793">
        <f t="shared" si="13"/>
        <v>0</v>
      </c>
      <c r="AF46" s="793">
        <f>AF16-AF44</f>
        <v>0</v>
      </c>
      <c r="AG46" s="793">
        <f>AG16-AG44</f>
        <v>1</v>
      </c>
      <c r="AH46" s="834">
        <f>AH16-AH44</f>
        <v>0</v>
      </c>
      <c r="AI46" s="793"/>
      <c r="AJ46" s="793"/>
      <c r="AK46" s="793"/>
      <c r="AL46" s="20">
        <f>AL16-AL44</f>
        <v>6904</v>
      </c>
      <c r="AS46" s="793">
        <f>AS16-AS44</f>
        <v>0</v>
      </c>
    </row>
    <row r="47" spans="1:45">
      <c r="B47" s="2" t="s">
        <v>321</v>
      </c>
      <c r="C47" s="20"/>
      <c r="D47" s="20"/>
      <c r="E47" s="20"/>
      <c r="F47" s="793"/>
      <c r="G47" s="794">
        <f>DFIT!$G43</f>
        <v>0</v>
      </c>
      <c r="H47" s="794">
        <f>BldGain!$G43</f>
        <v>0</v>
      </c>
      <c r="I47" s="794">
        <f>GasInv!$G43</f>
        <v>0</v>
      </c>
      <c r="J47" s="794">
        <f>WznDSM!$G43</f>
        <v>0</v>
      </c>
      <c r="K47" s="794">
        <f>CustAdv!$G43</f>
        <v>0</v>
      </c>
      <c r="L47" s="20"/>
      <c r="M47" s="794">
        <f>'DeprTrue-up'!$G43</f>
        <v>0</v>
      </c>
      <c r="N47" s="794"/>
      <c r="O47" s="794"/>
      <c r="P47" s="794"/>
      <c r="Q47" s="794"/>
      <c r="R47" s="794"/>
      <c r="S47" s="794">
        <f>InjDam!$G43</f>
        <v>0</v>
      </c>
      <c r="T47" s="794">
        <f>FIT!$G43</f>
        <v>0</v>
      </c>
      <c r="U47" s="794">
        <f>ElimAR!$G43</f>
        <v>0</v>
      </c>
      <c r="V47" s="794">
        <f>DebtInt!$G43</f>
        <v>0</v>
      </c>
      <c r="W47" s="832"/>
      <c r="X47" s="832"/>
      <c r="Y47" s="832"/>
      <c r="Z47" s="20"/>
      <c r="AA47" s="794">
        <f>'PFNon-Exec'!$G43</f>
        <v>0</v>
      </c>
      <c r="AB47" s="794">
        <f>'PF-Exec'!$G43</f>
        <v>0</v>
      </c>
      <c r="AC47" s="792">
        <f>PFJPStorage!G42</f>
        <v>0</v>
      </c>
      <c r="AD47" s="794">
        <f>PFCapx2008!$G43</f>
        <v>0</v>
      </c>
      <c r="AE47" s="794">
        <f>PFCapx2009!$G43</f>
        <v>0</v>
      </c>
      <c r="AF47" s="794">
        <f>PFIncentives!$G43</f>
        <v>0</v>
      </c>
      <c r="AG47" s="794">
        <f>PFEmpBen!$G43</f>
        <v>0</v>
      </c>
      <c r="AH47" s="832">
        <f>'PFJP11-open'!$G43</f>
        <v>0</v>
      </c>
      <c r="AI47" s="794"/>
      <c r="AJ47" s="794"/>
      <c r="AK47" s="794"/>
      <c r="AL47" s="20"/>
      <c r="AS47" s="794">
        <f>PFAssetMgt!$G43</f>
        <v>0</v>
      </c>
    </row>
    <row r="48" spans="1:45" ht="12" customHeight="1">
      <c r="A48" s="18">
        <v>27</v>
      </c>
      <c r="C48" s="20" t="s">
        <v>322</v>
      </c>
      <c r="D48" s="20"/>
      <c r="E48" s="20"/>
      <c r="F48" s="793">
        <f>ResultSumGas!$G44</f>
        <v>1089</v>
      </c>
      <c r="G48" s="794">
        <f>DFIT!$G44</f>
        <v>0</v>
      </c>
      <c r="H48" s="794">
        <f>BldGain!$G44</f>
        <v>0</v>
      </c>
      <c r="I48" s="794">
        <f>GasInv!$G44</f>
        <v>0</v>
      </c>
      <c r="J48" s="794">
        <f>WznDSM!$G44</f>
        <v>0</v>
      </c>
      <c r="K48" s="794">
        <f>CustAdv!$G44</f>
        <v>0</v>
      </c>
      <c r="L48" s="20">
        <f>SUM(F48:K48)</f>
        <v>1089</v>
      </c>
      <c r="M48" s="794">
        <f>'DeprTrue-up'!$G44</f>
        <v>0</v>
      </c>
      <c r="N48" s="794">
        <f>WeatherGas!$G44</f>
        <v>0</v>
      </c>
      <c r="O48" s="794">
        <f>BandO!$G44</f>
        <v>0</v>
      </c>
      <c r="P48" s="794">
        <f>PropTax!$G44</f>
        <v>0</v>
      </c>
      <c r="Q48" s="794">
        <f>UncollExp!$G44</f>
        <v>0</v>
      </c>
      <c r="R48" s="794">
        <f>RegExp!$G44</f>
        <v>0</v>
      </c>
      <c r="S48" s="794">
        <f>InjDam!$G44</f>
        <v>0</v>
      </c>
      <c r="T48" s="794">
        <f>FIT!$G44</f>
        <v>-13</v>
      </c>
      <c r="U48" s="794">
        <f>ElimAR!$G44</f>
        <v>0</v>
      </c>
      <c r="V48" s="794">
        <f>DebtInt!$G44</f>
        <v>155.85793999999996</v>
      </c>
      <c r="W48" s="832"/>
      <c r="X48" s="832"/>
      <c r="Y48" s="832"/>
      <c r="Z48" s="20">
        <f>SUM(L48:Y48)</f>
        <v>1231.8579399999999</v>
      </c>
      <c r="AA48" s="794">
        <f>'PFNon-Exec'!$G44</f>
        <v>-96</v>
      </c>
      <c r="AB48" s="794">
        <f>'PF-Exec'!$G44</f>
        <v>-11</v>
      </c>
      <c r="AC48" s="792">
        <f>PFJPStorage!G44</f>
        <v>0</v>
      </c>
      <c r="AD48" s="794">
        <f>PFCapx2008!$G44</f>
        <v>0</v>
      </c>
      <c r="AE48" s="794">
        <f>PFCapx2009!$G44</f>
        <v>0</v>
      </c>
      <c r="AF48" s="794">
        <f>PFIncentives!$G44</f>
        <v>0</v>
      </c>
      <c r="AG48" s="794">
        <f>PFEmpBen!$G44</f>
        <v>0</v>
      </c>
      <c r="AH48" s="832">
        <f>'PFJP11-open'!$G44</f>
        <v>0</v>
      </c>
      <c r="AI48" s="794"/>
      <c r="AJ48" s="794"/>
      <c r="AK48" s="794"/>
      <c r="AL48" s="20">
        <f>SUM(Z48:AK48)</f>
        <v>1124.8579399999999</v>
      </c>
      <c r="AS48" s="794">
        <f>PFAssetMgt!$G44</f>
        <v>0</v>
      </c>
    </row>
    <row r="49" spans="1:45" ht="12" customHeight="1">
      <c r="A49" s="18">
        <v>28</v>
      </c>
      <c r="C49" s="20" t="s">
        <v>323</v>
      </c>
      <c r="D49" s="20"/>
      <c r="E49" s="20"/>
      <c r="F49" s="793">
        <f>ResultSumGas!$G45</f>
        <v>334</v>
      </c>
      <c r="G49" s="794">
        <f>DFIT!$G45</f>
        <v>0</v>
      </c>
      <c r="H49" s="794">
        <f>BldGain!$G45</f>
        <v>0</v>
      </c>
      <c r="I49" s="794">
        <f>GasInv!$G45</f>
        <v>0</v>
      </c>
      <c r="J49" s="794">
        <f>WznDSM!$G45</f>
        <v>0</v>
      </c>
      <c r="K49" s="794">
        <f>CustAdv!$G45</f>
        <v>0</v>
      </c>
      <c r="L49" s="20">
        <f>SUM(F49:K49)</f>
        <v>334</v>
      </c>
      <c r="M49" s="794">
        <f>'DeprTrue-up'!$G45</f>
        <v>0</v>
      </c>
      <c r="N49" s="794">
        <f>WeatherGas!$G45</f>
        <v>0</v>
      </c>
      <c r="O49" s="794">
        <f>BandO!$G45</f>
        <v>0</v>
      </c>
      <c r="P49" s="794">
        <f>PropTax!$G45</f>
        <v>0</v>
      </c>
      <c r="Q49" s="794">
        <f>UncollExp!$G45</f>
        <v>0</v>
      </c>
      <c r="R49" s="794">
        <f>RegExp!$G45</f>
        <v>0</v>
      </c>
      <c r="S49" s="794">
        <f>InjDam!$G45</f>
        <v>0</v>
      </c>
      <c r="T49" s="794">
        <f>FIT!$G45</f>
        <v>3</v>
      </c>
      <c r="U49" s="794">
        <f>ElimAR!$G45</f>
        <v>0</v>
      </c>
      <c r="V49" s="794">
        <f>DebtInt!$G45</f>
        <v>0</v>
      </c>
      <c r="W49" s="832"/>
      <c r="X49" s="832"/>
      <c r="Y49" s="832"/>
      <c r="Z49" s="20">
        <f>SUM(L49:Y49)</f>
        <v>337</v>
      </c>
      <c r="AA49" s="794">
        <f>'PFNon-Exec'!$G45</f>
        <v>0</v>
      </c>
      <c r="AB49" s="794">
        <f>'PF-Exec'!$G45</f>
        <v>0</v>
      </c>
      <c r="AC49" s="792">
        <f>PFJPStorage!G45</f>
        <v>0</v>
      </c>
      <c r="AD49" s="794">
        <f>PFCapx2008!$G45</f>
        <v>0</v>
      </c>
      <c r="AE49" s="794">
        <f>PFCapx2009!$G45</f>
        <v>0</v>
      </c>
      <c r="AF49" s="794">
        <f>PFIncentives!$G45</f>
        <v>0</v>
      </c>
      <c r="AG49" s="794">
        <f>PFEmpBen!$G45</f>
        <v>0</v>
      </c>
      <c r="AH49" s="832">
        <f>'PFJP11-open'!$G45</f>
        <v>0</v>
      </c>
      <c r="AI49" s="794"/>
      <c r="AJ49" s="794"/>
      <c r="AK49" s="794"/>
      <c r="AL49" s="20">
        <f>SUM(Z49:AK49)</f>
        <v>337</v>
      </c>
      <c r="AS49" s="794">
        <f>PFAssetMgt!$G45</f>
        <v>0</v>
      </c>
    </row>
    <row r="50" spans="1:45" s="57" customFormat="1" ht="12" customHeight="1">
      <c r="A50" s="18">
        <v>29</v>
      </c>
      <c r="B50" s="2"/>
      <c r="C50" s="20" t="s">
        <v>324</v>
      </c>
      <c r="D50" s="20"/>
      <c r="E50" s="20"/>
      <c r="F50" s="795">
        <f>ResultSumGas!$G46</f>
        <v>-19</v>
      </c>
      <c r="G50" s="796">
        <f>DFIT!$G46</f>
        <v>0</v>
      </c>
      <c r="H50" s="796">
        <f>BldGain!$G46</f>
        <v>0</v>
      </c>
      <c r="I50" s="796">
        <f>GasInv!$G46</f>
        <v>0</v>
      </c>
      <c r="J50" s="796">
        <f>WznDSM!$G46</f>
        <v>0</v>
      </c>
      <c r="K50" s="796">
        <f>CustAdv!$G46</f>
        <v>0</v>
      </c>
      <c r="L50" s="815">
        <f>SUM(F50:K50)</f>
        <v>-19</v>
      </c>
      <c r="M50" s="796">
        <f>'DeprTrue-up'!$G46</f>
        <v>0</v>
      </c>
      <c r="N50" s="796">
        <f>WeatherGas!$G46</f>
        <v>0</v>
      </c>
      <c r="O50" s="796">
        <f>BandO!$G46</f>
        <v>0</v>
      </c>
      <c r="P50" s="796">
        <f>PropTax!$G46</f>
        <v>0</v>
      </c>
      <c r="Q50" s="796">
        <f>UncollExp!$G46</f>
        <v>0</v>
      </c>
      <c r="R50" s="796">
        <f>RegExp!$G46</f>
        <v>0</v>
      </c>
      <c r="S50" s="796">
        <f>InjDam!$G46</f>
        <v>0</v>
      </c>
      <c r="T50" s="796">
        <f>FIT!$G46</f>
        <v>0</v>
      </c>
      <c r="U50" s="796">
        <f>ElimAR!$G46</f>
        <v>0</v>
      </c>
      <c r="V50" s="796">
        <f>DebtInt!$G46</f>
        <v>0</v>
      </c>
      <c r="W50" s="833"/>
      <c r="X50" s="833"/>
      <c r="Y50" s="833"/>
      <c r="Z50" s="815">
        <f>SUM(L50:Y50)</f>
        <v>-19</v>
      </c>
      <c r="AA50" s="796">
        <f>'PFNon-Exec'!$G46</f>
        <v>0</v>
      </c>
      <c r="AB50" s="796">
        <f>'PF-Exec'!$G46</f>
        <v>0</v>
      </c>
      <c r="AC50" s="1093">
        <f>PFJPStorage!G46</f>
        <v>0</v>
      </c>
      <c r="AD50" s="796">
        <f>PFCapx2008!$G46</f>
        <v>0</v>
      </c>
      <c r="AE50" s="796">
        <f>PFCapx2009!$G46</f>
        <v>0</v>
      </c>
      <c r="AF50" s="796">
        <f>PFIncentives!$G46</f>
        <v>0</v>
      </c>
      <c r="AG50" s="796">
        <f>PFEmpBen!$G46</f>
        <v>0</v>
      </c>
      <c r="AH50" s="833">
        <f>'PFJP11-open'!$G46</f>
        <v>0</v>
      </c>
      <c r="AI50" s="796"/>
      <c r="AJ50" s="796"/>
      <c r="AK50" s="796"/>
      <c r="AL50" s="815">
        <f>SUM(Z50:AK50)</f>
        <v>-19</v>
      </c>
      <c r="AS50" s="796">
        <f>PFAssetMgt!$G46</f>
        <v>0</v>
      </c>
    </row>
    <row r="51" spans="1:45" ht="12" customHeight="1"/>
    <row r="52" spans="1:45" ht="12" customHeight="1" thickBot="1">
      <c r="A52" s="18">
        <v>30</v>
      </c>
      <c r="B52" s="19" t="s">
        <v>325</v>
      </c>
      <c r="C52" s="19"/>
      <c r="D52" s="19"/>
      <c r="E52" s="19"/>
      <c r="F52" s="798">
        <f t="shared" ref="F52:V52" si="14">F46-SUM(F48:F50)</f>
        <v>5806</v>
      </c>
      <c r="G52" s="798">
        <f t="shared" si="14"/>
        <v>0</v>
      </c>
      <c r="H52" s="798">
        <f t="shared" si="14"/>
        <v>0</v>
      </c>
      <c r="I52" s="798">
        <f t="shared" si="14"/>
        <v>0</v>
      </c>
      <c r="J52" s="798">
        <f t="shared" si="14"/>
        <v>0</v>
      </c>
      <c r="K52" s="798">
        <f>K46-SUM(K48:K50)</f>
        <v>0</v>
      </c>
      <c r="L52" s="816">
        <f t="shared" si="14"/>
        <v>5806</v>
      </c>
      <c r="M52" s="798">
        <f>M46-SUM(M48:M50)</f>
        <v>0</v>
      </c>
      <c r="N52" s="798">
        <f t="shared" si="14"/>
        <v>0</v>
      </c>
      <c r="O52" s="798">
        <f t="shared" si="14"/>
        <v>0</v>
      </c>
      <c r="P52" s="798">
        <f t="shared" si="14"/>
        <v>0</v>
      </c>
      <c r="Q52" s="798">
        <f t="shared" si="14"/>
        <v>0</v>
      </c>
      <c r="R52" s="798">
        <f t="shared" si="14"/>
        <v>0</v>
      </c>
      <c r="S52" s="798">
        <f t="shared" si="14"/>
        <v>0</v>
      </c>
      <c r="T52" s="798">
        <f t="shared" si="14"/>
        <v>10</v>
      </c>
      <c r="U52" s="798">
        <f>U46-SUM(U48:U50)</f>
        <v>0</v>
      </c>
      <c r="V52" s="798">
        <f t="shared" si="14"/>
        <v>-155.85793999999996</v>
      </c>
      <c r="W52" s="837"/>
      <c r="X52" s="837"/>
      <c r="Y52" s="837"/>
      <c r="Z52" s="816">
        <f>Z46-SUM(Z48:Z50)+Z51</f>
        <v>5660.1420600000001</v>
      </c>
      <c r="AA52" s="798">
        <f t="shared" ref="AA52:AH52" si="15">AA46-SUM(AA48:AA50)</f>
        <v>-179</v>
      </c>
      <c r="AB52" s="798">
        <f t="shared" si="15"/>
        <v>-21</v>
      </c>
      <c r="AC52" s="798">
        <f t="shared" si="15"/>
        <v>0</v>
      </c>
      <c r="AD52" s="798">
        <f t="shared" si="15"/>
        <v>0</v>
      </c>
      <c r="AE52" s="798">
        <f t="shared" si="15"/>
        <v>0</v>
      </c>
      <c r="AF52" s="798">
        <f t="shared" si="15"/>
        <v>0</v>
      </c>
      <c r="AG52" s="798">
        <f t="shared" si="15"/>
        <v>1</v>
      </c>
      <c r="AH52" s="837">
        <f t="shared" si="15"/>
        <v>0</v>
      </c>
      <c r="AI52" s="798"/>
      <c r="AJ52" s="798"/>
      <c r="AK52" s="798"/>
      <c r="AL52" s="816">
        <f>AL46-SUM(AL48:AL50)+AL51</f>
        <v>5461.1420600000001</v>
      </c>
      <c r="AS52" s="798">
        <f>AS46-SUM(AS48:AS50)</f>
        <v>0</v>
      </c>
    </row>
    <row r="53" spans="1:45" ht="6" customHeight="1" thickTop="1"/>
    <row r="54" spans="1:45" ht="6" customHeight="1"/>
    <row r="55" spans="1:45">
      <c r="B55" s="2" t="s">
        <v>326</v>
      </c>
      <c r="G55" s="794"/>
      <c r="H55" s="794"/>
      <c r="I55" s="794"/>
      <c r="J55" s="794"/>
      <c r="K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832"/>
      <c r="X55" s="832"/>
      <c r="Y55" s="832"/>
      <c r="AA55" s="794"/>
      <c r="AB55" s="794"/>
      <c r="AC55" s="794"/>
      <c r="AD55" s="794"/>
      <c r="AE55" s="794"/>
      <c r="AF55" s="794"/>
      <c r="AG55" s="794"/>
      <c r="AH55" s="832"/>
      <c r="AI55" s="794"/>
      <c r="AJ55" s="794"/>
      <c r="AK55" s="794"/>
      <c r="AS55" s="794"/>
    </row>
    <row r="56" spans="1:45">
      <c r="A56" s="18">
        <v>31</v>
      </c>
      <c r="B56" s="20"/>
      <c r="C56" s="20" t="s">
        <v>307</v>
      </c>
      <c r="D56" s="20"/>
      <c r="E56" s="20"/>
      <c r="F56" s="793">
        <f>ResultSumGas!$G52</f>
        <v>5549</v>
      </c>
      <c r="G56" s="792">
        <f>DFIT!$G52</f>
        <v>0</v>
      </c>
      <c r="H56" s="792">
        <f>BldGain!$G52</f>
        <v>0</v>
      </c>
      <c r="I56" s="792">
        <f>GasInv!$G52</f>
        <v>0</v>
      </c>
      <c r="J56" s="792">
        <f>WznDSM!$G52</f>
        <v>0</v>
      </c>
      <c r="K56" s="792">
        <f>CustAdv!$G52</f>
        <v>0</v>
      </c>
      <c r="L56" s="20">
        <f>SUM(F56:K56)</f>
        <v>5549</v>
      </c>
      <c r="M56" s="792">
        <f>'DeprTrue-up'!$G52</f>
        <v>0</v>
      </c>
      <c r="N56" s="792">
        <f>WeatherGas!$G52</f>
        <v>0</v>
      </c>
      <c r="O56" s="792">
        <f>BandO!$G52</f>
        <v>0</v>
      </c>
      <c r="P56" s="792">
        <f>PropTax!$G52</f>
        <v>0</v>
      </c>
      <c r="Q56" s="792">
        <f>UncollExp!$G52</f>
        <v>0</v>
      </c>
      <c r="R56" s="792">
        <f>RegExp!$G52</f>
        <v>0</v>
      </c>
      <c r="S56" s="792">
        <f>InjDam!$G52</f>
        <v>0</v>
      </c>
      <c r="T56" s="792">
        <f>FIT!$G52</f>
        <v>0</v>
      </c>
      <c r="U56" s="792">
        <f>ElimAR!$G52</f>
        <v>0</v>
      </c>
      <c r="V56" s="792">
        <f>DebtInt!$G52</f>
        <v>0</v>
      </c>
      <c r="W56" s="831"/>
      <c r="X56" s="831"/>
      <c r="Y56" s="831"/>
      <c r="Z56" s="20">
        <f>SUM(L56:Y56)</f>
        <v>5549</v>
      </c>
      <c r="AA56" s="792">
        <f>'PFNon-Exec'!$G52</f>
        <v>0</v>
      </c>
      <c r="AB56" s="792">
        <f>'PF-Exec'!$G52</f>
        <v>0</v>
      </c>
      <c r="AC56" s="792">
        <f>PFJPStorage!G52</f>
        <v>0</v>
      </c>
      <c r="AD56" s="792">
        <f>PFCapx2008!$G52</f>
        <v>0</v>
      </c>
      <c r="AE56" s="792">
        <f>PFCapx2009!$G52</f>
        <v>0</v>
      </c>
      <c r="AF56" s="792">
        <f>PFIncentives!$G52</f>
        <v>0</v>
      </c>
      <c r="AG56" s="792">
        <f>PFEmpBen!$G52</f>
        <v>0</v>
      </c>
      <c r="AH56" s="831">
        <f>'PFJP11-open'!$G52</f>
        <v>0</v>
      </c>
      <c r="AI56" s="792"/>
      <c r="AJ56" s="792"/>
      <c r="AK56" s="792"/>
      <c r="AL56" s="20">
        <f>SUM(Z56:AK56)</f>
        <v>5549</v>
      </c>
      <c r="AS56" s="792">
        <f>PFAssetMgt!$G52</f>
        <v>0</v>
      </c>
    </row>
    <row r="57" spans="1:45">
      <c r="A57" s="18">
        <v>32</v>
      </c>
      <c r="B57" s="20"/>
      <c r="C57" s="20" t="s">
        <v>327</v>
      </c>
      <c r="D57" s="20"/>
      <c r="E57" s="20"/>
      <c r="F57" s="793">
        <f>ResultSumGas!$G53</f>
        <v>120449</v>
      </c>
      <c r="G57" s="794">
        <f>DFIT!$G53</f>
        <v>0</v>
      </c>
      <c r="H57" s="794">
        <f>BldGain!$G53</f>
        <v>0</v>
      </c>
      <c r="I57" s="794">
        <f>GasInv!$G53</f>
        <v>0</v>
      </c>
      <c r="J57" s="794">
        <f>WznDSM!$G53</f>
        <v>0</v>
      </c>
      <c r="K57" s="794">
        <f>CustAdv!$G53</f>
        <v>0</v>
      </c>
      <c r="L57" s="20">
        <f>SUM(F57:K57)</f>
        <v>120449</v>
      </c>
      <c r="M57" s="794">
        <f>'DeprTrue-up'!$G53</f>
        <v>0</v>
      </c>
      <c r="N57" s="794">
        <f>WeatherGas!$G53</f>
        <v>0</v>
      </c>
      <c r="O57" s="794">
        <f>BandO!$G53</f>
        <v>0</v>
      </c>
      <c r="P57" s="794">
        <f>PropTax!$G53</f>
        <v>0</v>
      </c>
      <c r="Q57" s="794">
        <f>UncollExp!$G53</f>
        <v>0</v>
      </c>
      <c r="R57" s="794">
        <f>RegExp!$G53</f>
        <v>0</v>
      </c>
      <c r="S57" s="794">
        <f>InjDam!$G53</f>
        <v>0</v>
      </c>
      <c r="T57" s="794">
        <f>FIT!$G53</f>
        <v>0</v>
      </c>
      <c r="U57" s="794">
        <f>ElimAR!$G53</f>
        <v>0</v>
      </c>
      <c r="V57" s="794">
        <f>DebtInt!$G53</f>
        <v>0</v>
      </c>
      <c r="W57" s="832"/>
      <c r="X57" s="832"/>
      <c r="Y57" s="832"/>
      <c r="Z57" s="20">
        <f>SUM(L57:Y57)</f>
        <v>120449</v>
      </c>
      <c r="AA57" s="794">
        <f>'PFNon-Exec'!$G53</f>
        <v>0</v>
      </c>
      <c r="AB57" s="794">
        <f>'PF-Exec'!$G53</f>
        <v>0</v>
      </c>
      <c r="AC57" s="792">
        <f>PFJPStorage!G53</f>
        <v>0</v>
      </c>
      <c r="AD57" s="794">
        <f>PFCapx2008!$G53</f>
        <v>0</v>
      </c>
      <c r="AE57" s="794">
        <f>PFCapx2009!$G53</f>
        <v>0</v>
      </c>
      <c r="AF57" s="794">
        <f>PFIncentives!$G53</f>
        <v>0</v>
      </c>
      <c r="AG57" s="794">
        <f>PFEmpBen!$G53</f>
        <v>0</v>
      </c>
      <c r="AH57" s="832">
        <f>'PFJP11-open'!$G53</f>
        <v>0</v>
      </c>
      <c r="AI57" s="794"/>
      <c r="AJ57" s="794"/>
      <c r="AK57" s="794"/>
      <c r="AL57" s="20">
        <f>SUM(Z57:AK57)</f>
        <v>120449</v>
      </c>
      <c r="AS57" s="794">
        <f>PFAssetMgt!$G53</f>
        <v>0</v>
      </c>
    </row>
    <row r="58" spans="1:45">
      <c r="A58" s="18">
        <v>33</v>
      </c>
      <c r="B58" s="20"/>
      <c r="C58" s="20" t="s">
        <v>328</v>
      </c>
      <c r="D58" s="20"/>
      <c r="E58" s="20"/>
      <c r="F58" s="795">
        <f>ResultSumGas!$G54</f>
        <v>11067</v>
      </c>
      <c r="G58" s="796">
        <f>DFIT!$G54</f>
        <v>0</v>
      </c>
      <c r="H58" s="796">
        <f>BldGain!$G54</f>
        <v>0</v>
      </c>
      <c r="I58" s="796">
        <f>GasInv!$G54</f>
        <v>0</v>
      </c>
      <c r="J58" s="796">
        <f>WznDSM!$G54</f>
        <v>0</v>
      </c>
      <c r="K58" s="796">
        <f>CustAdv!$G54</f>
        <v>0</v>
      </c>
      <c r="L58" s="815">
        <f>SUM(F58:K58)</f>
        <v>11067</v>
      </c>
      <c r="M58" s="796">
        <f>'DeprTrue-up'!$G54</f>
        <v>0</v>
      </c>
      <c r="N58" s="796">
        <f>WeatherGas!$G54</f>
        <v>0</v>
      </c>
      <c r="O58" s="796">
        <f>BandO!$G54</f>
        <v>0</v>
      </c>
      <c r="P58" s="796">
        <f>PropTax!$G54</f>
        <v>0</v>
      </c>
      <c r="Q58" s="796">
        <f>UncollExp!$G54</f>
        <v>0</v>
      </c>
      <c r="R58" s="796">
        <f>RegExp!$G54</f>
        <v>0</v>
      </c>
      <c r="S58" s="796">
        <f>InjDam!$G54</f>
        <v>0</v>
      </c>
      <c r="T58" s="796">
        <f>FIT!$G54</f>
        <v>0</v>
      </c>
      <c r="U58" s="796">
        <f>ElimAR!$G54</f>
        <v>0</v>
      </c>
      <c r="V58" s="796">
        <f>DebtInt!$G54</f>
        <v>0</v>
      </c>
      <c r="W58" s="833"/>
      <c r="X58" s="833"/>
      <c r="Y58" s="833"/>
      <c r="Z58" s="815">
        <f>SUM(L58:Y58)</f>
        <v>11067</v>
      </c>
      <c r="AA58" s="796">
        <f>'PFNon-Exec'!$G54</f>
        <v>0</v>
      </c>
      <c r="AB58" s="796">
        <f>'PF-Exec'!$G54</f>
        <v>0</v>
      </c>
      <c r="AC58" s="1093">
        <f>PFJPStorage!G54</f>
        <v>0</v>
      </c>
      <c r="AD58" s="796">
        <f>PFCapx2008!$G54</f>
        <v>0</v>
      </c>
      <c r="AE58" s="796">
        <f>PFCapx2009!$G54</f>
        <v>0</v>
      </c>
      <c r="AF58" s="796">
        <f>PFIncentives!$G54</f>
        <v>0</v>
      </c>
      <c r="AG58" s="796">
        <f>PFEmpBen!$G54</f>
        <v>0</v>
      </c>
      <c r="AH58" s="833">
        <f>'PFJP11-open'!$G54</f>
        <v>0</v>
      </c>
      <c r="AI58" s="796"/>
      <c r="AJ58" s="796"/>
      <c r="AK58" s="796"/>
      <c r="AL58" s="815">
        <f>SUM(Z58:AK58)</f>
        <v>11067</v>
      </c>
      <c r="AS58" s="796">
        <f>PFAssetMgt!$G54</f>
        <v>0</v>
      </c>
    </row>
    <row r="59" spans="1:45">
      <c r="A59" s="18">
        <v>34</v>
      </c>
      <c r="B59" s="20"/>
      <c r="C59" s="20"/>
      <c r="D59" s="20"/>
      <c r="E59" s="20" t="s">
        <v>329</v>
      </c>
      <c r="F59" s="793">
        <f t="shared" ref="F59:V59" si="16">SUM(F56:F58)</f>
        <v>137065</v>
      </c>
      <c r="G59" s="793">
        <f t="shared" si="16"/>
        <v>0</v>
      </c>
      <c r="H59" s="793">
        <f t="shared" si="16"/>
        <v>0</v>
      </c>
      <c r="I59" s="793">
        <f t="shared" si="16"/>
        <v>0</v>
      </c>
      <c r="J59" s="793">
        <f t="shared" si="16"/>
        <v>0</v>
      </c>
      <c r="K59" s="793">
        <f t="shared" si="16"/>
        <v>0</v>
      </c>
      <c r="L59" s="20">
        <f t="shared" si="16"/>
        <v>137065</v>
      </c>
      <c r="M59" s="793">
        <f>SUM(M56:M58)</f>
        <v>0</v>
      </c>
      <c r="N59" s="793">
        <f t="shared" si="16"/>
        <v>0</v>
      </c>
      <c r="O59" s="793">
        <f t="shared" si="16"/>
        <v>0</v>
      </c>
      <c r="P59" s="793">
        <f t="shared" si="16"/>
        <v>0</v>
      </c>
      <c r="Q59" s="793">
        <f t="shared" si="16"/>
        <v>0</v>
      </c>
      <c r="R59" s="793">
        <f t="shared" si="16"/>
        <v>0</v>
      </c>
      <c r="S59" s="793">
        <f t="shared" si="16"/>
        <v>0</v>
      </c>
      <c r="T59" s="793">
        <f t="shared" si="16"/>
        <v>0</v>
      </c>
      <c r="U59" s="793">
        <f>SUM(U56:U58)</f>
        <v>0</v>
      </c>
      <c r="V59" s="793">
        <f t="shared" si="16"/>
        <v>0</v>
      </c>
      <c r="W59" s="834"/>
      <c r="X59" s="834"/>
      <c r="Y59" s="834"/>
      <c r="Z59" s="20">
        <f t="shared" ref="Z59:AH59" si="17">SUM(Z56:Z58)</f>
        <v>137065</v>
      </c>
      <c r="AA59" s="793">
        <f>SUM(AA56:AA58)</f>
        <v>0</v>
      </c>
      <c r="AB59" s="793">
        <f>SUM(AB56:AB58)</f>
        <v>0</v>
      </c>
      <c r="AC59" s="793">
        <f>SUM(AC56:AC58)</f>
        <v>0</v>
      </c>
      <c r="AD59" s="793">
        <f t="shared" si="17"/>
        <v>0</v>
      </c>
      <c r="AE59" s="793">
        <f t="shared" si="17"/>
        <v>0</v>
      </c>
      <c r="AF59" s="793">
        <f t="shared" si="17"/>
        <v>0</v>
      </c>
      <c r="AG59" s="793">
        <f t="shared" si="17"/>
        <v>0</v>
      </c>
      <c r="AH59" s="834">
        <f t="shared" si="17"/>
        <v>0</v>
      </c>
      <c r="AI59" s="793"/>
      <c r="AJ59" s="793"/>
      <c r="AK59" s="793"/>
      <c r="AL59" s="20">
        <f>SUM(AL56:AL58)</f>
        <v>137065</v>
      </c>
      <c r="AS59" s="793">
        <f>SUM(AS56:AS58)</f>
        <v>0</v>
      </c>
    </row>
    <row r="60" spans="1:45">
      <c r="B60" s="20" t="s">
        <v>330</v>
      </c>
      <c r="C60" s="20"/>
      <c r="D60" s="20"/>
      <c r="E60" s="20"/>
      <c r="F60" s="793"/>
      <c r="G60" s="794"/>
      <c r="H60" s="794"/>
      <c r="I60" s="794"/>
      <c r="J60" s="794"/>
      <c r="K60" s="794"/>
      <c r="L60" s="20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832"/>
      <c r="X60" s="832"/>
      <c r="Y60" s="832"/>
      <c r="Z60" s="20"/>
      <c r="AA60" s="794"/>
      <c r="AB60" s="794"/>
      <c r="AC60" s="794"/>
      <c r="AD60" s="794"/>
      <c r="AE60" s="794"/>
      <c r="AF60" s="794"/>
      <c r="AG60" s="794"/>
      <c r="AH60" s="832"/>
      <c r="AI60" s="794"/>
      <c r="AJ60" s="794"/>
      <c r="AK60" s="794"/>
      <c r="AL60" s="20"/>
      <c r="AS60" s="794"/>
    </row>
    <row r="61" spans="1:45">
      <c r="A61" s="18">
        <v>35</v>
      </c>
      <c r="B61" s="20"/>
      <c r="C61" s="20" t="s">
        <v>307</v>
      </c>
      <c r="D61" s="20"/>
      <c r="E61" s="20"/>
      <c r="F61" s="793">
        <f>ResultSumGas!$G57</f>
        <v>3080</v>
      </c>
      <c r="G61" s="794">
        <f>DFIT!$G57</f>
        <v>0</v>
      </c>
      <c r="H61" s="794">
        <f>BldGain!$G57</f>
        <v>0</v>
      </c>
      <c r="I61" s="794">
        <f>GasInv!$G57</f>
        <v>0</v>
      </c>
      <c r="J61" s="794">
        <f>WznDSM!$G57</f>
        <v>0</v>
      </c>
      <c r="K61" s="794">
        <f>CustAdv!$G57</f>
        <v>0</v>
      </c>
      <c r="L61" s="20">
        <f>SUM(F61:K61)</f>
        <v>3080</v>
      </c>
      <c r="M61" s="794">
        <f>'DeprTrue-up'!$G57</f>
        <v>0</v>
      </c>
      <c r="N61" s="794">
        <f>WeatherGas!$G57</f>
        <v>0</v>
      </c>
      <c r="O61" s="794">
        <f>BandO!$G57</f>
        <v>0</v>
      </c>
      <c r="P61" s="794">
        <f>PropTax!$G57</f>
        <v>0</v>
      </c>
      <c r="Q61" s="794">
        <f>UncollExp!$G57</f>
        <v>0</v>
      </c>
      <c r="R61" s="794">
        <f>RegExp!$G57</f>
        <v>0</v>
      </c>
      <c r="S61" s="794">
        <f>InjDam!$G57</f>
        <v>0</v>
      </c>
      <c r="T61" s="794">
        <f>FIT!$G57</f>
        <v>0</v>
      </c>
      <c r="U61" s="794">
        <f>ElimAR!$G57</f>
        <v>0</v>
      </c>
      <c r="V61" s="794">
        <f>DebtInt!$G57</f>
        <v>0</v>
      </c>
      <c r="W61" s="832"/>
      <c r="X61" s="832"/>
      <c r="Y61" s="832"/>
      <c r="Z61" s="20">
        <f>SUM(L61:Y61)</f>
        <v>3080</v>
      </c>
      <c r="AA61" s="794">
        <f>'PFNon-Exec'!$G57</f>
        <v>0</v>
      </c>
      <c r="AB61" s="794">
        <f>'PF-Exec'!$G57</f>
        <v>0</v>
      </c>
      <c r="AC61" s="792">
        <f>PFJPStorage!G57</f>
        <v>0</v>
      </c>
      <c r="AD61" s="794">
        <f>PFCapx2008!$G57</f>
        <v>0</v>
      </c>
      <c r="AE61" s="794">
        <f>PFCapx2009!$G57</f>
        <v>0</v>
      </c>
      <c r="AF61" s="794">
        <f>PFIncentives!$G57</f>
        <v>0</v>
      </c>
      <c r="AG61" s="794">
        <f>PFEmpBen!$G57</f>
        <v>0</v>
      </c>
      <c r="AH61" s="832">
        <f>'PFJP11-open'!$G57</f>
        <v>0</v>
      </c>
      <c r="AI61" s="794"/>
      <c r="AJ61" s="794"/>
      <c r="AK61" s="794"/>
      <c r="AL61" s="20">
        <f>SUM(Z61:AK61)</f>
        <v>3080</v>
      </c>
      <c r="AS61" s="794">
        <f>PFAssetMgt!$G57</f>
        <v>0</v>
      </c>
    </row>
    <row r="62" spans="1:45">
      <c r="A62" s="18">
        <v>36</v>
      </c>
      <c r="B62" s="20"/>
      <c r="C62" s="20" t="s">
        <v>327</v>
      </c>
      <c r="D62" s="20"/>
      <c r="E62" s="20"/>
      <c r="F62" s="793">
        <f>ResultSumGas!$G58</f>
        <v>39978</v>
      </c>
      <c r="G62" s="794">
        <f>DFIT!$G58</f>
        <v>0</v>
      </c>
      <c r="H62" s="794">
        <f>BldGain!$G58</f>
        <v>0</v>
      </c>
      <c r="I62" s="794">
        <f>GasInv!$G58</f>
        <v>0</v>
      </c>
      <c r="J62" s="794">
        <f>WznDSM!$G58</f>
        <v>0</v>
      </c>
      <c r="K62" s="794">
        <f>CustAdv!$G58</f>
        <v>0</v>
      </c>
      <c r="L62" s="20">
        <f>SUM(F62:K62)</f>
        <v>39978</v>
      </c>
      <c r="M62" s="794">
        <f>'DeprTrue-up'!$G58</f>
        <v>0</v>
      </c>
      <c r="N62" s="794">
        <f>WeatherGas!$G58</f>
        <v>0</v>
      </c>
      <c r="O62" s="794">
        <f>BandO!$G58</f>
        <v>0</v>
      </c>
      <c r="P62" s="794">
        <f>PropTax!$G58</f>
        <v>0</v>
      </c>
      <c r="Q62" s="794">
        <f>UncollExp!$G58</f>
        <v>0</v>
      </c>
      <c r="R62" s="794">
        <f>RegExp!$G58</f>
        <v>0</v>
      </c>
      <c r="S62" s="794">
        <f>InjDam!$G58</f>
        <v>0</v>
      </c>
      <c r="T62" s="794">
        <f>FIT!$G58</f>
        <v>0</v>
      </c>
      <c r="U62" s="794">
        <f>ElimAR!$G58</f>
        <v>0</v>
      </c>
      <c r="V62" s="794">
        <f>DebtInt!$G58</f>
        <v>0</v>
      </c>
      <c r="W62" s="832"/>
      <c r="X62" s="832"/>
      <c r="Y62" s="832"/>
      <c r="Z62" s="20">
        <f>SUM(L62:Y62)</f>
        <v>39978</v>
      </c>
      <c r="AA62" s="794">
        <f>'PFNon-Exec'!$G58</f>
        <v>0</v>
      </c>
      <c r="AB62" s="794">
        <f>'PF-Exec'!$G58</f>
        <v>0</v>
      </c>
      <c r="AC62" s="792">
        <f>PFJPStorage!G58</f>
        <v>0</v>
      </c>
      <c r="AD62" s="794">
        <f>PFCapx2008!$G58</f>
        <v>0</v>
      </c>
      <c r="AE62" s="794">
        <f>PFCapx2009!$G58</f>
        <v>0</v>
      </c>
      <c r="AF62" s="794">
        <f>PFIncentives!$G58</f>
        <v>0</v>
      </c>
      <c r="AG62" s="794">
        <f>PFEmpBen!$G58</f>
        <v>0</v>
      </c>
      <c r="AH62" s="832">
        <f>'PFJP11-open'!$G58</f>
        <v>0</v>
      </c>
      <c r="AI62" s="794"/>
      <c r="AJ62" s="794"/>
      <c r="AK62" s="794"/>
      <c r="AL62" s="20">
        <f>SUM(Z62:AK62)</f>
        <v>39978</v>
      </c>
      <c r="AS62" s="794">
        <f>PFAssetMgt!$G58</f>
        <v>0</v>
      </c>
    </row>
    <row r="63" spans="1:45" s="61" customFormat="1" ht="18" customHeight="1">
      <c r="A63" s="18">
        <v>37</v>
      </c>
      <c r="B63" s="20"/>
      <c r="C63" s="20" t="s">
        <v>328</v>
      </c>
      <c r="D63" s="20"/>
      <c r="E63" s="20"/>
      <c r="F63" s="793">
        <f>ResultSumGas!$G59</f>
        <v>3471</v>
      </c>
      <c r="G63" s="794">
        <f>DFIT!$G59</f>
        <v>0</v>
      </c>
      <c r="H63" s="794">
        <f>BldGain!$G59</f>
        <v>0</v>
      </c>
      <c r="I63" s="794">
        <f>GasInv!$G59</f>
        <v>0</v>
      </c>
      <c r="J63" s="794">
        <f>WznDSM!$G59</f>
        <v>0</v>
      </c>
      <c r="K63" s="794">
        <f>CustAdv!$G59</f>
        <v>0</v>
      </c>
      <c r="L63" s="20">
        <f>SUM(F63:K63)</f>
        <v>3471</v>
      </c>
      <c r="M63" s="794">
        <f>'DeprTrue-up'!$G59</f>
        <v>0</v>
      </c>
      <c r="N63" s="794">
        <f>WeatherGas!$G59</f>
        <v>0</v>
      </c>
      <c r="O63" s="794">
        <f>BandO!$G59</f>
        <v>0</v>
      </c>
      <c r="P63" s="794">
        <f>PropTax!$G59</f>
        <v>0</v>
      </c>
      <c r="Q63" s="794">
        <f>UncollExp!$G59</f>
        <v>0</v>
      </c>
      <c r="R63" s="794">
        <f>RegExp!$G59</f>
        <v>0</v>
      </c>
      <c r="S63" s="794">
        <f>InjDam!$G59</f>
        <v>0</v>
      </c>
      <c r="T63" s="794">
        <f>FIT!$G59</f>
        <v>0</v>
      </c>
      <c r="U63" s="794">
        <f>ElimAR!$G59</f>
        <v>0</v>
      </c>
      <c r="V63" s="794">
        <f>DebtInt!$G59</f>
        <v>0</v>
      </c>
      <c r="W63" s="832"/>
      <c r="X63" s="832"/>
      <c r="Y63" s="832"/>
      <c r="Z63" s="20">
        <f>SUM(L63:Y63)</f>
        <v>3471</v>
      </c>
      <c r="AA63" s="794">
        <f>'PFNon-Exec'!$G59</f>
        <v>0</v>
      </c>
      <c r="AB63" s="794">
        <f>'PF-Exec'!$G59</f>
        <v>0</v>
      </c>
      <c r="AC63" s="792">
        <f>PFJPStorage!G59</f>
        <v>0</v>
      </c>
      <c r="AD63" s="794">
        <f>PFCapx2008!$G59</f>
        <v>0</v>
      </c>
      <c r="AE63" s="794">
        <f>PFCapx2009!$G59</f>
        <v>0</v>
      </c>
      <c r="AF63" s="794">
        <f>PFIncentives!$G59</f>
        <v>0</v>
      </c>
      <c r="AG63" s="794">
        <f>PFEmpBen!$G59</f>
        <v>0</v>
      </c>
      <c r="AH63" s="832">
        <f>'PFJP11-open'!$G59</f>
        <v>0</v>
      </c>
      <c r="AI63" s="794"/>
      <c r="AJ63" s="794"/>
      <c r="AK63" s="794"/>
      <c r="AL63" s="20">
        <f>SUM(Z63:AK63)</f>
        <v>3471</v>
      </c>
      <c r="AS63" s="794">
        <f>PFAssetMgt!$G59</f>
        <v>0</v>
      </c>
    </row>
    <row r="64" spans="1:45">
      <c r="A64" s="18">
        <v>38</v>
      </c>
      <c r="B64" s="20"/>
      <c r="C64" s="20"/>
      <c r="D64" s="20"/>
      <c r="E64" s="20" t="s">
        <v>331</v>
      </c>
      <c r="F64" s="799">
        <f t="shared" ref="F64:V64" si="18">SUM(F61:F63)</f>
        <v>46529</v>
      </c>
      <c r="G64" s="799">
        <f t="shared" si="18"/>
        <v>0</v>
      </c>
      <c r="H64" s="799">
        <f t="shared" si="18"/>
        <v>0</v>
      </c>
      <c r="I64" s="799">
        <f t="shared" si="18"/>
        <v>0</v>
      </c>
      <c r="J64" s="799">
        <f t="shared" si="18"/>
        <v>0</v>
      </c>
      <c r="K64" s="799">
        <f t="shared" si="18"/>
        <v>0</v>
      </c>
      <c r="L64" s="817">
        <f t="shared" si="18"/>
        <v>46529</v>
      </c>
      <c r="M64" s="799">
        <f>SUM(M61:M63)</f>
        <v>0</v>
      </c>
      <c r="N64" s="799">
        <f t="shared" si="18"/>
        <v>0</v>
      </c>
      <c r="O64" s="799">
        <f t="shared" si="18"/>
        <v>0</v>
      </c>
      <c r="P64" s="799">
        <f t="shared" si="18"/>
        <v>0</v>
      </c>
      <c r="Q64" s="799">
        <f t="shared" si="18"/>
        <v>0</v>
      </c>
      <c r="R64" s="799">
        <f t="shared" si="18"/>
        <v>0</v>
      </c>
      <c r="S64" s="799">
        <f t="shared" si="18"/>
        <v>0</v>
      </c>
      <c r="T64" s="799">
        <f t="shared" si="18"/>
        <v>0</v>
      </c>
      <c r="U64" s="799">
        <f>SUM(U61:U63)</f>
        <v>0</v>
      </c>
      <c r="V64" s="799">
        <f t="shared" si="18"/>
        <v>0</v>
      </c>
      <c r="W64" s="838"/>
      <c r="X64" s="838"/>
      <c r="Y64" s="838"/>
      <c r="Z64" s="817">
        <f t="shared" ref="Z64:AH64" si="19">SUM(Z61:Z63)</f>
        <v>46529</v>
      </c>
      <c r="AA64" s="799">
        <f>SUM(AA61:AA63)</f>
        <v>0</v>
      </c>
      <c r="AB64" s="799">
        <f>SUM(AB61:AB63)</f>
        <v>0</v>
      </c>
      <c r="AC64" s="799">
        <f>SUM(AC61:AC63)</f>
        <v>0</v>
      </c>
      <c r="AD64" s="799">
        <f t="shared" si="19"/>
        <v>0</v>
      </c>
      <c r="AE64" s="799">
        <f t="shared" si="19"/>
        <v>0</v>
      </c>
      <c r="AF64" s="799">
        <f t="shared" si="19"/>
        <v>0</v>
      </c>
      <c r="AG64" s="799">
        <f t="shared" si="19"/>
        <v>0</v>
      </c>
      <c r="AH64" s="838">
        <f t="shared" si="19"/>
        <v>0</v>
      </c>
      <c r="AI64" s="799"/>
      <c r="AJ64" s="799"/>
      <c r="AK64" s="799"/>
      <c r="AL64" s="817">
        <f>SUM(AL61:AL63)</f>
        <v>46529</v>
      </c>
      <c r="AS64" s="799">
        <f>SUM(AS61:AS63)</f>
        <v>0</v>
      </c>
    </row>
    <row r="65" spans="1:45">
      <c r="A65" s="21">
        <v>39</v>
      </c>
      <c r="B65" s="22" t="s">
        <v>332</v>
      </c>
      <c r="C65" s="22"/>
      <c r="D65" s="22"/>
      <c r="E65" s="22"/>
      <c r="F65" s="1094">
        <f>ResultSumGas!$G61</f>
        <v>0</v>
      </c>
      <c r="G65" s="797">
        <f>DFIT!$G61</f>
        <v>-14220</v>
      </c>
      <c r="H65" s="797">
        <f>BldGain!$G61</f>
        <v>0</v>
      </c>
      <c r="I65" s="797">
        <f>GasInv!$G61</f>
        <v>0</v>
      </c>
      <c r="J65" s="797">
        <f>WznDSM!$G61</f>
        <v>0</v>
      </c>
      <c r="K65" s="797">
        <f>CustAdv!$G61</f>
        <v>0</v>
      </c>
      <c r="L65" s="22">
        <f>SUM(F65:K65)</f>
        <v>-14220</v>
      </c>
      <c r="M65" s="797">
        <f>'DeprTrue-up'!$G61</f>
        <v>0</v>
      </c>
      <c r="N65" s="797">
        <f>WeatherGas!$G61</f>
        <v>0</v>
      </c>
      <c r="O65" s="797">
        <f>BandO!$G61</f>
        <v>0</v>
      </c>
      <c r="P65" s="797">
        <f>PropTax!$G61</f>
        <v>0</v>
      </c>
      <c r="Q65" s="797">
        <f>UncollExp!$G61</f>
        <v>0</v>
      </c>
      <c r="R65" s="797">
        <f>RegExp!$G61</f>
        <v>0</v>
      </c>
      <c r="S65" s="797">
        <f>InjDam!$G61</f>
        <v>0</v>
      </c>
      <c r="T65" s="797">
        <f>FIT!$G61</f>
        <v>0</v>
      </c>
      <c r="U65" s="797">
        <f>ElimAR!$G61</f>
        <v>0</v>
      </c>
      <c r="V65" s="797">
        <f>DebtInt!$G61</f>
        <v>0</v>
      </c>
      <c r="W65" s="835"/>
      <c r="X65" s="835"/>
      <c r="Y65" s="835"/>
      <c r="Z65" s="22">
        <f>SUM(L65:Y65)</f>
        <v>-14220</v>
      </c>
      <c r="AA65" s="797">
        <f>'PFNon-Exec'!$G61</f>
        <v>0</v>
      </c>
      <c r="AB65" s="797">
        <f>'PF-Exec'!$G61</f>
        <v>0</v>
      </c>
      <c r="AC65" s="792">
        <f>PFJPStorage!G61</f>
        <v>0</v>
      </c>
      <c r="AD65" s="797">
        <f>PFCapx2008!$G61</f>
        <v>0</v>
      </c>
      <c r="AE65" s="797">
        <f>PFCapx2009!$G61</f>
        <v>0</v>
      </c>
      <c r="AF65" s="797">
        <f>PFIncentives!$G61</f>
        <v>0</v>
      </c>
      <c r="AG65" s="797">
        <f>PFEmpBen!$G61</f>
        <v>0</v>
      </c>
      <c r="AH65" s="835">
        <f>'PFJP11-open'!$G61</f>
        <v>0</v>
      </c>
      <c r="AI65" s="797"/>
      <c r="AJ65" s="797"/>
      <c r="AK65" s="797"/>
      <c r="AL65" s="22">
        <f>SUM(Z65:AK65)</f>
        <v>-14220</v>
      </c>
      <c r="AS65" s="797">
        <f>PFAssetMgt!$G61</f>
        <v>0</v>
      </c>
    </row>
    <row r="66" spans="1:45">
      <c r="A66" s="18">
        <v>40</v>
      </c>
      <c r="B66" s="20" t="s">
        <v>333</v>
      </c>
      <c r="C66" s="20"/>
      <c r="D66" s="20"/>
      <c r="E66" s="20"/>
      <c r="F66" s="793">
        <f>ResultSumGas!$G62</f>
        <v>0</v>
      </c>
      <c r="G66" s="794">
        <f>DFIT!$G62</f>
        <v>0</v>
      </c>
      <c r="H66" s="794">
        <f>BldGain!$G62</f>
        <v>0</v>
      </c>
      <c r="I66" s="794">
        <f>GasInv!$G62</f>
        <v>0</v>
      </c>
      <c r="J66" s="794">
        <f>WznDSM!$G62</f>
        <v>0</v>
      </c>
      <c r="K66" s="794">
        <f>CustAdv!$G62</f>
        <v>0</v>
      </c>
      <c r="L66" s="22">
        <f>SUM(F66:K66)</f>
        <v>0</v>
      </c>
      <c r="M66" s="794">
        <f>'DeprTrue-up'!$G62</f>
        <v>0</v>
      </c>
      <c r="N66" s="794">
        <f>WeatherGas!$G62</f>
        <v>0</v>
      </c>
      <c r="O66" s="794">
        <f>BandO!$G62</f>
        <v>0</v>
      </c>
      <c r="P66" s="794">
        <f>PropTax!$G62</f>
        <v>0</v>
      </c>
      <c r="Q66" s="794">
        <f>UncollExp!$G62</f>
        <v>0</v>
      </c>
      <c r="R66" s="794">
        <f>RegExp!$G62</f>
        <v>0</v>
      </c>
      <c r="S66" s="794">
        <f>InjDam!$G62</f>
        <v>0</v>
      </c>
      <c r="T66" s="794">
        <f>FIT!$G62</f>
        <v>0</v>
      </c>
      <c r="U66" s="794">
        <f>ElimAR!$G62</f>
        <v>0</v>
      </c>
      <c r="V66" s="794">
        <f>DebtInt!$G62</f>
        <v>0</v>
      </c>
      <c r="W66" s="832"/>
      <c r="X66" s="832"/>
      <c r="Y66" s="832"/>
      <c r="Z66" s="22">
        <f>SUM(L66:Y66)</f>
        <v>0</v>
      </c>
      <c r="AA66" s="794">
        <f>'PFNon-Exec'!$G62</f>
        <v>0</v>
      </c>
      <c r="AB66" s="794">
        <f>'PF-Exec'!$G62</f>
        <v>0</v>
      </c>
      <c r="AC66" s="792">
        <f>PFJPStorage!G62</f>
        <v>0</v>
      </c>
      <c r="AD66" s="794">
        <f>PFCapx2008!$G62</f>
        <v>0</v>
      </c>
      <c r="AE66" s="794">
        <f>PFCapx2009!$G62</f>
        <v>0</v>
      </c>
      <c r="AF66" s="794">
        <f>PFIncentives!$G62</f>
        <v>0</v>
      </c>
      <c r="AG66" s="794">
        <f>PFEmpBen!$G62</f>
        <v>0</v>
      </c>
      <c r="AH66" s="832">
        <f>'PFJP11-open'!$G62</f>
        <v>0</v>
      </c>
      <c r="AI66" s="794"/>
      <c r="AJ66" s="794"/>
      <c r="AK66" s="794"/>
      <c r="AL66" s="22">
        <f>SUM(Z66:AK66)</f>
        <v>0</v>
      </c>
      <c r="AS66" s="794">
        <f>PFAssetMgt!$G62</f>
        <v>0</v>
      </c>
    </row>
    <row r="67" spans="1:45" s="57" customFormat="1">
      <c r="A67" s="18">
        <v>41</v>
      </c>
      <c r="B67" s="20" t="s">
        <v>334</v>
      </c>
      <c r="C67" s="20"/>
      <c r="D67" s="20"/>
      <c r="E67" s="20"/>
      <c r="F67" s="795">
        <f>ResultSumGas!$G63</f>
        <v>0</v>
      </c>
      <c r="G67" s="796">
        <f>DFIT!$G63</f>
        <v>0</v>
      </c>
      <c r="H67" s="796">
        <f>BldGain!$G63</f>
        <v>0</v>
      </c>
      <c r="I67" s="796">
        <f>GasInv!$G63</f>
        <v>0</v>
      </c>
      <c r="J67" s="796">
        <f>WznDSM!$G63</f>
        <v>0</v>
      </c>
      <c r="K67" s="796">
        <f>CustAdv!$G63</f>
        <v>0</v>
      </c>
      <c r="L67" s="815">
        <f>SUM(F67:K67)</f>
        <v>0</v>
      </c>
      <c r="M67" s="796">
        <f>'DeprTrue-up'!$G63</f>
        <v>0</v>
      </c>
      <c r="N67" s="796">
        <f>WeatherGas!$G63</f>
        <v>0</v>
      </c>
      <c r="O67" s="796">
        <f>BandO!$G63</f>
        <v>0</v>
      </c>
      <c r="P67" s="796">
        <f>PropTax!$G63</f>
        <v>0</v>
      </c>
      <c r="Q67" s="796">
        <f>UncollExp!$G63</f>
        <v>0</v>
      </c>
      <c r="R67" s="796">
        <f>RegExp!$G63</f>
        <v>0</v>
      </c>
      <c r="S67" s="796">
        <f>InjDam!$G63</f>
        <v>0</v>
      </c>
      <c r="T67" s="796">
        <f>FIT!$G63</f>
        <v>0</v>
      </c>
      <c r="U67" s="796">
        <f>ElimAR!$G63</f>
        <v>0</v>
      </c>
      <c r="V67" s="796">
        <f>DebtInt!$G63</f>
        <v>0</v>
      </c>
      <c r="W67" s="833"/>
      <c r="X67" s="833"/>
      <c r="Y67" s="833"/>
      <c r="Z67" s="815">
        <f>SUM(L67:Y67)</f>
        <v>0</v>
      </c>
      <c r="AA67" s="796">
        <f>'PFNon-Exec'!$G63</f>
        <v>0</v>
      </c>
      <c r="AB67" s="796">
        <f>'PF-Exec'!$G63</f>
        <v>0</v>
      </c>
      <c r="AC67" s="1093">
        <f>PFJPStorage!G63</f>
        <v>0</v>
      </c>
      <c r="AD67" s="796">
        <f>PFCapx2008!$G63</f>
        <v>0</v>
      </c>
      <c r="AE67" s="796">
        <f>PFCapx2009!$G63</f>
        <v>0</v>
      </c>
      <c r="AF67" s="796">
        <f>PFIncentives!$G63</f>
        <v>0</v>
      </c>
      <c r="AG67" s="796">
        <f>PFEmpBen!$G63</f>
        <v>0</v>
      </c>
      <c r="AH67" s="833">
        <f>'PFJP11-open'!$G63</f>
        <v>0</v>
      </c>
      <c r="AI67" s="796"/>
      <c r="AJ67" s="796"/>
      <c r="AK67" s="796"/>
      <c r="AL67" s="815">
        <f>SUM(Z67:AK67)</f>
        <v>0</v>
      </c>
      <c r="AS67" s="796">
        <f>PFAssetMgt!$G63</f>
        <v>0</v>
      </c>
    </row>
    <row r="68" spans="1:45" ht="18" customHeight="1"/>
    <row r="69" spans="1:45" ht="12.75" thickBot="1">
      <c r="A69" s="18">
        <v>42</v>
      </c>
      <c r="B69" s="19" t="s">
        <v>335</v>
      </c>
      <c r="C69" s="19"/>
      <c r="D69" s="19"/>
      <c r="E69" s="19"/>
      <c r="F69" s="798">
        <f t="shared" ref="F69:V69" si="20">F59-F64+F65+F66+F67</f>
        <v>90536</v>
      </c>
      <c r="G69" s="798">
        <f t="shared" si="20"/>
        <v>-14220</v>
      </c>
      <c r="H69" s="798">
        <f t="shared" si="20"/>
        <v>0</v>
      </c>
      <c r="I69" s="798">
        <f t="shared" si="20"/>
        <v>0</v>
      </c>
      <c r="J69" s="798">
        <f t="shared" si="20"/>
        <v>0</v>
      </c>
      <c r="K69" s="798">
        <f>K59-K64+K65+K66+K67</f>
        <v>0</v>
      </c>
      <c r="L69" s="816">
        <f t="shared" si="20"/>
        <v>76316</v>
      </c>
      <c r="M69" s="798">
        <f>M59-M64+M65+M66+M67</f>
        <v>0</v>
      </c>
      <c r="N69" s="798">
        <f t="shared" si="20"/>
        <v>0</v>
      </c>
      <c r="O69" s="798">
        <f t="shared" si="20"/>
        <v>0</v>
      </c>
      <c r="P69" s="798">
        <f t="shared" si="20"/>
        <v>0</v>
      </c>
      <c r="Q69" s="798">
        <f t="shared" si="20"/>
        <v>0</v>
      </c>
      <c r="R69" s="798">
        <f t="shared" si="20"/>
        <v>0</v>
      </c>
      <c r="S69" s="798">
        <f t="shared" si="20"/>
        <v>0</v>
      </c>
      <c r="T69" s="798">
        <f t="shared" si="20"/>
        <v>0</v>
      </c>
      <c r="U69" s="798">
        <f>U59-U64+U65+U66+U67</f>
        <v>0</v>
      </c>
      <c r="V69" s="798">
        <f t="shared" si="20"/>
        <v>0</v>
      </c>
      <c r="W69" s="837"/>
      <c r="X69" s="837"/>
      <c r="Y69" s="837"/>
      <c r="Z69" s="816">
        <f t="shared" ref="Z69:AE69" si="21">Z59-Z64+Z65+Z66+Z67</f>
        <v>76316</v>
      </c>
      <c r="AA69" s="798">
        <f>AA59-AA64+AA65+AA66+AA67</f>
        <v>0</v>
      </c>
      <c r="AB69" s="798">
        <f>AB59-AB64+AB65+AB66+AB67</f>
        <v>0</v>
      </c>
      <c r="AC69" s="798">
        <f>AC59-AC64+AC65+AC66+AC67</f>
        <v>0</v>
      </c>
      <c r="AD69" s="798">
        <f t="shared" si="21"/>
        <v>0</v>
      </c>
      <c r="AE69" s="798">
        <f t="shared" si="21"/>
        <v>0</v>
      </c>
      <c r="AF69" s="798">
        <f>AF59-AF64+AF65+AF66+AF67</f>
        <v>0</v>
      </c>
      <c r="AG69" s="798">
        <f>AG59-AG64+AG65+AG66+AG67</f>
        <v>0</v>
      </c>
      <c r="AH69" s="837">
        <f>AH59-AH64+AH65+AH66+AH67</f>
        <v>0</v>
      </c>
      <c r="AI69" s="798"/>
      <c r="AJ69" s="798"/>
      <c r="AK69" s="798"/>
      <c r="AL69" s="816">
        <f>AL59-AL64+AL65+AL66+AL67</f>
        <v>76316</v>
      </c>
      <c r="AS69" s="798">
        <f>AS59-AS64+AS65+AS66+AS67</f>
        <v>0</v>
      </c>
    </row>
    <row r="70" spans="1:45" ht="12.75" thickTop="1">
      <c r="A70" s="18">
        <v>43</v>
      </c>
      <c r="B70" s="2" t="s">
        <v>336</v>
      </c>
      <c r="F70" s="1095"/>
      <c r="L70" s="24">
        <f>ROUND(L52/L69,4)</f>
        <v>7.6100000000000001E-2</v>
      </c>
      <c r="Z70" s="24">
        <f>ROUND(Z52/Z69,4)</f>
        <v>7.4200000000000002E-2</v>
      </c>
      <c r="AL70" s="24">
        <f>ROUND(AL52/AL69,4)</f>
        <v>7.1599999999999997E-2</v>
      </c>
    </row>
    <row r="71" spans="1:45">
      <c r="F71" s="941">
        <f>ROUND(F52/F69,4)</f>
        <v>6.4100000000000004E-2</v>
      </c>
    </row>
  </sheetData>
  <customSheetViews>
    <customSheetView guid="{5BE913A1-B14F-11D2-B0DC-0000832CDFF0}" scale="75" showPageBreaks="1" showGridLines="0" printArea="1" hiddenColumns="1" showRuler="0" topLeftCell="R44">
      <selection activeCell="T44" sqref="T1:T65536"/>
      <pageMargins left="1" right="0.75" top="0.75" bottom="0.5" header="0.5" footer="0.5"/>
      <pageSetup scale="80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A44">
      <selection activeCell="U1" sqref="U1:U65536"/>
      <pageMargins left="1" right="0.75" top="0.75" bottom="0.5" header="0.5" footer="0.5"/>
      <pageSetup scale="80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1" right="0.7" top="0.73" bottom="0.75" header="0.5" footer="0.5"/>
  <pageSetup scale="75" orientation="portrait" horizontalDpi="300" verticalDpi="300" r:id="rId3"/>
  <headerFooter alignWithMargins="0">
    <oddHeader>&amp;L&amp;"Times,Regular"&amp;9KM  File: &amp;F&amp;R&amp;"Times,Regular"&amp;9Page &amp;P of &amp;N 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67"/>
  <sheetViews>
    <sheetView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I58" sqref="I58"/>
    </sheetView>
  </sheetViews>
  <sheetFormatPr defaultColWidth="12.42578125" defaultRowHeight="11.1" customHeight="1"/>
  <cols>
    <col min="1" max="1" width="5.5703125" style="64" customWidth="1"/>
    <col min="2" max="2" width="26.140625" style="64" customWidth="1"/>
    <col min="3" max="3" width="12.42578125" style="64" customWidth="1"/>
    <col min="4" max="4" width="6.7109375" style="64" customWidth="1"/>
    <col min="5" max="5" width="12.42578125" style="84" customWidth="1"/>
    <col min="6" max="6" width="12.42578125" style="85" customWidth="1"/>
    <col min="7" max="7" width="12.42578125" style="84" customWidth="1"/>
    <col min="8" max="16384" width="12.42578125" style="64"/>
  </cols>
  <sheetData>
    <row r="1" spans="1:8" ht="12">
      <c r="A1" s="63" t="str">
        <f>Inputs!$D$6</f>
        <v>AVISTA UTILITIES</v>
      </c>
      <c r="B1" s="63"/>
      <c r="C1" s="63"/>
      <c r="E1" s="65"/>
      <c r="F1" s="66"/>
      <c r="G1" s="65"/>
    </row>
    <row r="2" spans="1:8" ht="12">
      <c r="A2" s="63" t="s">
        <v>125</v>
      </c>
      <c r="B2" s="63"/>
      <c r="C2" s="63"/>
      <c r="E2" s="67" t="s">
        <v>126</v>
      </c>
      <c r="F2" s="67"/>
      <c r="G2" s="67"/>
    </row>
    <row r="3" spans="1:8" ht="12">
      <c r="A3" s="63" t="str">
        <f>Inputs!$D$2</f>
        <v>TWELVE MONTHS ENDED SEPTEMBER 30, 2008</v>
      </c>
      <c r="B3" s="63"/>
      <c r="C3" s="63"/>
      <c r="E3" s="67" t="s">
        <v>127</v>
      </c>
      <c r="F3" s="67"/>
      <c r="G3" s="67"/>
    </row>
    <row r="4" spans="1:8" ht="12">
      <c r="A4" s="63" t="s">
        <v>128</v>
      </c>
      <c r="B4" s="63"/>
      <c r="C4" s="63"/>
      <c r="E4" s="68"/>
      <c r="F4" s="69" t="s">
        <v>129</v>
      </c>
      <c r="G4" s="68"/>
    </row>
    <row r="5" spans="1:8" ht="12">
      <c r="A5" s="70" t="s">
        <v>10</v>
      </c>
      <c r="E5" s="65"/>
      <c r="F5" s="71"/>
      <c r="G5" s="65"/>
    </row>
    <row r="6" spans="1:8" ht="12">
      <c r="A6" s="72" t="s">
        <v>27</v>
      </c>
      <c r="B6" s="73" t="s">
        <v>113</v>
      </c>
      <c r="C6" s="73"/>
      <c r="E6" s="74" t="s">
        <v>130</v>
      </c>
      <c r="F6" s="75" t="s">
        <v>131</v>
      </c>
      <c r="G6" s="74" t="s">
        <v>132</v>
      </c>
      <c r="H6" s="76" t="s">
        <v>133</v>
      </c>
    </row>
    <row r="7" spans="1:8" ht="12">
      <c r="A7" s="70"/>
      <c r="B7" s="64" t="s">
        <v>68</v>
      </c>
      <c r="E7" s="77"/>
      <c r="F7" s="71"/>
      <c r="G7" s="77"/>
    </row>
    <row r="8" spans="1:8" ht="12">
      <c r="A8" s="70">
        <v>1</v>
      </c>
      <c r="B8" s="64" t="s">
        <v>134</v>
      </c>
      <c r="E8" s="78">
        <f>F8+G8</f>
        <v>308868</v>
      </c>
      <c r="F8" s="78">
        <v>220020</v>
      </c>
      <c r="G8" s="78">
        <v>88848</v>
      </c>
      <c r="H8" s="79" t="str">
        <f>IF(E8=F8+G8," ","ERROR")</f>
        <v xml:space="preserve"> </v>
      </c>
    </row>
    <row r="9" spans="1:8" ht="12">
      <c r="A9" s="70">
        <v>2</v>
      </c>
      <c r="B9" s="64" t="s">
        <v>135</v>
      </c>
      <c r="E9" s="80">
        <f>F9+G9</f>
        <v>4015</v>
      </c>
      <c r="F9" s="80">
        <f>ROUND((3485757)/1000,0)</f>
        <v>3486</v>
      </c>
      <c r="G9" s="80">
        <f>ROUND((529101)/1000,0)</f>
        <v>529</v>
      </c>
      <c r="H9" s="79" t="str">
        <f>IF(E9=F9+G9," ","ERROR")</f>
        <v xml:space="preserve"> </v>
      </c>
    </row>
    <row r="10" spans="1:8" ht="12">
      <c r="A10" s="70">
        <v>3</v>
      </c>
      <c r="B10" s="64" t="s">
        <v>71</v>
      </c>
      <c r="E10" s="81">
        <f>F10+G10</f>
        <v>195774</v>
      </c>
      <c r="F10" s="81">
        <f>139298-F9</f>
        <v>135812</v>
      </c>
      <c r="G10" s="81">
        <f>60491-G9</f>
        <v>59962</v>
      </c>
      <c r="H10" s="79" t="str">
        <f>IF(E10=F10+G10," ","ERROR")</f>
        <v xml:space="preserve"> </v>
      </c>
    </row>
    <row r="11" spans="1:8" ht="12">
      <c r="A11" s="70">
        <v>4</v>
      </c>
      <c r="B11" s="64" t="s">
        <v>136</v>
      </c>
      <c r="E11" s="80">
        <f>SUM(E8:E10)</f>
        <v>508657</v>
      </c>
      <c r="F11" s="80">
        <f>SUM(F8:F10)</f>
        <v>359318</v>
      </c>
      <c r="G11" s="80">
        <f>SUM(G8:G10)</f>
        <v>149339</v>
      </c>
      <c r="H11" s="79" t="str">
        <f>IF(E11=F11+G11," ","ERROR")</f>
        <v xml:space="preserve"> </v>
      </c>
    </row>
    <row r="12" spans="1:8" ht="12">
      <c r="A12" s="70"/>
      <c r="E12" s="80"/>
      <c r="F12" s="80"/>
      <c r="G12" s="80"/>
      <c r="H12" s="79"/>
    </row>
    <row r="13" spans="1:8" ht="12">
      <c r="A13" s="70"/>
      <c r="B13" s="64" t="s">
        <v>73</v>
      </c>
      <c r="E13" s="80"/>
      <c r="F13" s="80"/>
      <c r="G13" s="80"/>
      <c r="H13" s="79"/>
    </row>
    <row r="14" spans="1:8" ht="12">
      <c r="A14" s="70">
        <v>5</v>
      </c>
      <c r="B14" s="64" t="s">
        <v>137</v>
      </c>
      <c r="E14" s="80">
        <f>F14+G14</f>
        <v>0</v>
      </c>
      <c r="F14" s="80">
        <v>0</v>
      </c>
      <c r="G14" s="80">
        <v>0</v>
      </c>
      <c r="H14" s="79" t="str">
        <f>IF(E14=F14+G14," ","ERROR")</f>
        <v xml:space="preserve"> </v>
      </c>
    </row>
    <row r="15" spans="1:8" ht="12">
      <c r="A15" s="70"/>
      <c r="B15" s="64" t="s">
        <v>75</v>
      </c>
      <c r="E15" s="80"/>
      <c r="F15" s="80"/>
      <c r="G15" s="80"/>
      <c r="H15" s="79"/>
    </row>
    <row r="16" spans="1:8" ht="12">
      <c r="A16" s="70">
        <v>6</v>
      </c>
      <c r="B16" s="64" t="s">
        <v>138</v>
      </c>
      <c r="E16" s="80">
        <f>F16+G16</f>
        <v>441253</v>
      </c>
      <c r="F16" s="80">
        <v>309146</v>
      </c>
      <c r="G16" s="80">
        <v>132107</v>
      </c>
      <c r="H16" s="79" t="str">
        <f>IF(E16=F16+G16," ","ERROR")</f>
        <v xml:space="preserve"> </v>
      </c>
    </row>
    <row r="17" spans="1:8" ht="12">
      <c r="A17" s="70">
        <v>7</v>
      </c>
      <c r="B17" s="64" t="s">
        <v>139</v>
      </c>
      <c r="E17" s="80">
        <f>F17+G17</f>
        <v>1093</v>
      </c>
      <c r="F17" s="80">
        <v>737</v>
      </c>
      <c r="G17" s="80">
        <v>356</v>
      </c>
      <c r="H17" s="79" t="str">
        <f>IF(E17=F17+G17," ","ERROR")</f>
        <v xml:space="preserve"> </v>
      </c>
    </row>
    <row r="18" spans="1:8" ht="12">
      <c r="A18" s="70">
        <v>8</v>
      </c>
      <c r="B18" s="64" t="s">
        <v>140</v>
      </c>
      <c r="E18" s="81">
        <f>F18+G18</f>
        <v>-27613</v>
      </c>
      <c r="F18" s="1106">
        <f>ROUND((-18003106-684106)/1000,0)</f>
        <v>-18687</v>
      </c>
      <c r="G18" s="1106">
        <f>ROUND((-8625337-300602)/1000,0)</f>
        <v>-8926</v>
      </c>
      <c r="H18" s="79" t="str">
        <f>IF(E18=F18+G18," ","ERROR")</f>
        <v xml:space="preserve"> </v>
      </c>
    </row>
    <row r="19" spans="1:8" ht="12">
      <c r="A19" s="70">
        <v>9</v>
      </c>
      <c r="B19" s="64" t="s">
        <v>141</v>
      </c>
      <c r="E19" s="80">
        <f>SUM(E16:E18)</f>
        <v>414733</v>
      </c>
      <c r="F19" s="80">
        <f>SUM(F16:F18)</f>
        <v>291196</v>
      </c>
      <c r="G19" s="80">
        <f>SUM(G16:G18)</f>
        <v>123537</v>
      </c>
      <c r="H19" s="79" t="str">
        <f>IF(E19=F19+G19," ","ERROR")</f>
        <v xml:space="preserve"> </v>
      </c>
    </row>
    <row r="20" spans="1:8" ht="12">
      <c r="A20" s="70"/>
      <c r="B20" s="64" t="s">
        <v>80</v>
      </c>
      <c r="E20" s="80"/>
      <c r="F20" s="80"/>
      <c r="G20" s="80"/>
      <c r="H20" s="79"/>
    </row>
    <row r="21" spans="1:8" ht="12">
      <c r="A21" s="70">
        <v>10</v>
      </c>
      <c r="B21" s="64" t="s">
        <v>142</v>
      </c>
      <c r="E21" s="80">
        <f>F21+G21</f>
        <v>575</v>
      </c>
      <c r="F21" s="80">
        <v>408</v>
      </c>
      <c r="G21" s="80">
        <v>167</v>
      </c>
      <c r="H21" s="79" t="str">
        <f>IF(E21=F21+G21," ","ERROR")</f>
        <v xml:space="preserve"> </v>
      </c>
    </row>
    <row r="22" spans="1:8" ht="12">
      <c r="A22" s="70">
        <v>11</v>
      </c>
      <c r="B22" s="64" t="s">
        <v>143</v>
      </c>
      <c r="E22" s="80">
        <f>F22+G22</f>
        <v>367</v>
      </c>
      <c r="F22" s="80">
        <f>ROUND((258771+1265)/1000,0)</f>
        <v>260</v>
      </c>
      <c r="G22" s="80">
        <f>ROUND((106055+519)/1000,0)</f>
        <v>107</v>
      </c>
      <c r="H22" s="79" t="str">
        <f>IF(E22=F22+G22," ","ERROR")</f>
        <v xml:space="preserve"> </v>
      </c>
    </row>
    <row r="23" spans="1:8" ht="12">
      <c r="A23" s="70">
        <v>12</v>
      </c>
      <c r="B23" s="64" t="s">
        <v>144</v>
      </c>
      <c r="E23" s="81">
        <f>F23+G23</f>
        <v>159</v>
      </c>
      <c r="F23" s="81">
        <v>113</v>
      </c>
      <c r="G23" s="81">
        <v>46</v>
      </c>
      <c r="H23" s="79" t="str">
        <f>IF(E23=F23+G23," ","ERROR")</f>
        <v xml:space="preserve"> </v>
      </c>
    </row>
    <row r="24" spans="1:8" ht="12">
      <c r="A24" s="70">
        <v>13</v>
      </c>
      <c r="B24" s="64" t="s">
        <v>145</v>
      </c>
      <c r="E24" s="80">
        <f>SUM(E21:E23)</f>
        <v>1101</v>
      </c>
      <c r="F24" s="80">
        <f>SUM(F21:F23)</f>
        <v>781</v>
      </c>
      <c r="G24" s="80">
        <f>SUM(G21:G23)</f>
        <v>320</v>
      </c>
      <c r="H24" s="79" t="str">
        <f>IF(E24=F24+G24," ","ERROR")</f>
        <v xml:space="preserve"> </v>
      </c>
    </row>
    <row r="25" spans="1:8" ht="12">
      <c r="A25" s="70"/>
      <c r="B25" s="64" t="s">
        <v>84</v>
      </c>
      <c r="E25" s="80"/>
      <c r="F25" s="80"/>
      <c r="G25" s="80"/>
      <c r="H25" s="79"/>
    </row>
    <row r="26" spans="1:8" ht="12">
      <c r="A26" s="70">
        <v>14</v>
      </c>
      <c r="B26" s="64" t="s">
        <v>142</v>
      </c>
      <c r="E26" s="80">
        <f>F26+G26</f>
        <v>10093</v>
      </c>
      <c r="F26" s="80">
        <v>6260</v>
      </c>
      <c r="G26" s="80">
        <v>3833</v>
      </c>
      <c r="H26" s="79" t="str">
        <f t="shared" ref="H26:H33" si="0">IF(E26=F26+G26," ","ERROR")</f>
        <v xml:space="preserve"> </v>
      </c>
    </row>
    <row r="27" spans="1:8" ht="12">
      <c r="A27" s="70">
        <v>15</v>
      </c>
      <c r="B27" s="64" t="s">
        <v>143</v>
      </c>
      <c r="E27" s="80">
        <f>F27+G27</f>
        <v>8466</v>
      </c>
      <c r="F27" s="80">
        <v>5659</v>
      </c>
      <c r="G27" s="80">
        <v>2807</v>
      </c>
      <c r="H27" s="79" t="str">
        <f t="shared" si="0"/>
        <v xml:space="preserve"> </v>
      </c>
    </row>
    <row r="28" spans="1:8" ht="12">
      <c r="A28" s="70">
        <v>16</v>
      </c>
      <c r="B28" s="64" t="s">
        <v>144</v>
      </c>
      <c r="E28" s="81">
        <f>F28+G28</f>
        <v>20678</v>
      </c>
      <c r="F28" s="81">
        <v>18282</v>
      </c>
      <c r="G28" s="81">
        <v>2396</v>
      </c>
      <c r="H28" s="79" t="str">
        <f t="shared" si="0"/>
        <v xml:space="preserve"> </v>
      </c>
    </row>
    <row r="29" spans="1:8" ht="12" customHeight="1">
      <c r="A29" s="70">
        <v>17</v>
      </c>
      <c r="B29" s="64" t="s">
        <v>146</v>
      </c>
      <c r="E29" s="80">
        <f>SUM(E26:E28)</f>
        <v>39237</v>
      </c>
      <c r="F29" s="80">
        <f>SUM(F26:F28)</f>
        <v>30201</v>
      </c>
      <c r="G29" s="80">
        <f>SUM(G26:G28)</f>
        <v>9036</v>
      </c>
      <c r="H29" s="79" t="str">
        <f t="shared" si="0"/>
        <v xml:space="preserve"> </v>
      </c>
    </row>
    <row r="30" spans="1:8" ht="12" customHeight="1">
      <c r="A30" s="70"/>
      <c r="E30" s="80"/>
      <c r="F30" s="80"/>
      <c r="G30" s="80"/>
      <c r="H30" s="79"/>
    </row>
    <row r="31" spans="1:8" ht="12" customHeight="1">
      <c r="A31" s="70">
        <v>18</v>
      </c>
      <c r="B31" s="64" t="s">
        <v>86</v>
      </c>
      <c r="E31" s="80">
        <f>F31+G31</f>
        <v>6821</v>
      </c>
      <c r="F31" s="80">
        <v>4884</v>
      </c>
      <c r="G31" s="80">
        <v>1937</v>
      </c>
      <c r="H31" s="79" t="str">
        <f t="shared" si="0"/>
        <v xml:space="preserve"> </v>
      </c>
    </row>
    <row r="32" spans="1:8" ht="12">
      <c r="A32" s="70">
        <v>19</v>
      </c>
      <c r="B32" s="64" t="s">
        <v>87</v>
      </c>
      <c r="E32" s="80">
        <f>F32+G32</f>
        <v>6790</v>
      </c>
      <c r="F32" s="80">
        <v>5002</v>
      </c>
      <c r="G32" s="80">
        <v>1788</v>
      </c>
      <c r="H32" s="79" t="str">
        <f t="shared" si="0"/>
        <v xml:space="preserve"> </v>
      </c>
    </row>
    <row r="33" spans="1:8" ht="12">
      <c r="A33" s="70">
        <v>20</v>
      </c>
      <c r="B33" s="64" t="s">
        <v>147</v>
      </c>
      <c r="E33" s="80">
        <f>F33+G33</f>
        <v>758</v>
      </c>
      <c r="F33" s="80">
        <v>545</v>
      </c>
      <c r="G33" s="80">
        <v>213</v>
      </c>
      <c r="H33" s="79" t="str">
        <f t="shared" si="0"/>
        <v xml:space="preserve"> </v>
      </c>
    </row>
    <row r="34" spans="1:8" ht="12">
      <c r="A34" s="70"/>
      <c r="B34" s="64" t="s">
        <v>148</v>
      </c>
      <c r="E34" s="80"/>
      <c r="F34" s="80"/>
      <c r="G34" s="80"/>
      <c r="H34" s="79"/>
    </row>
    <row r="35" spans="1:8" ht="12">
      <c r="A35" s="70">
        <v>21</v>
      </c>
      <c r="B35" s="64" t="s">
        <v>142</v>
      </c>
      <c r="E35" s="80">
        <f>F35+G35</f>
        <v>13673</v>
      </c>
      <c r="F35" s="80">
        <v>9202</v>
      </c>
      <c r="G35" s="80">
        <v>4471</v>
      </c>
      <c r="H35" s="79" t="str">
        <f>IF(E35=F35+G35," ","ERROR")</f>
        <v xml:space="preserve"> </v>
      </c>
    </row>
    <row r="36" spans="1:8" ht="12">
      <c r="A36" s="70">
        <v>22</v>
      </c>
      <c r="B36" s="64" t="s">
        <v>143</v>
      </c>
      <c r="E36" s="80">
        <f>F36+G36</f>
        <v>2230</v>
      </c>
      <c r="F36" s="80">
        <f>ROUND((1135123+1334+629874+4650-657274+301328)/1000,0)-1</f>
        <v>1414</v>
      </c>
      <c r="G36" s="80">
        <f>ROUND((505964+642+303203+3826)/1000,0)+2</f>
        <v>816</v>
      </c>
      <c r="H36" s="79" t="str">
        <f>IF(E36=F36+G36," ","ERROR")</f>
        <v xml:space="preserve"> </v>
      </c>
    </row>
    <row r="37" spans="1:8" ht="12">
      <c r="A37" s="70">
        <v>23</v>
      </c>
      <c r="B37" s="64" t="s">
        <v>144</v>
      </c>
      <c r="E37" s="81">
        <f>F37+G37</f>
        <v>34</v>
      </c>
      <c r="F37" s="81">
        <v>23</v>
      </c>
      <c r="G37" s="81">
        <v>11</v>
      </c>
      <c r="H37" s="79" t="str">
        <f>IF(E37=F37+G37," ","ERROR")</f>
        <v xml:space="preserve"> </v>
      </c>
    </row>
    <row r="38" spans="1:8" ht="12">
      <c r="A38" s="70">
        <v>24</v>
      </c>
      <c r="B38" s="64" t="s">
        <v>149</v>
      </c>
      <c r="E38" s="81">
        <f>SUM(E35:E37)</f>
        <v>15937</v>
      </c>
      <c r="F38" s="81">
        <f>SUM(F35:F37)</f>
        <v>10639</v>
      </c>
      <c r="G38" s="81">
        <f>SUM(G35:G37)</f>
        <v>5298</v>
      </c>
      <c r="H38" s="79" t="str">
        <f>IF(E38=F38+G38," ","ERROR")</f>
        <v xml:space="preserve"> </v>
      </c>
    </row>
    <row r="39" spans="1:8" ht="12">
      <c r="A39" s="70">
        <v>25</v>
      </c>
      <c r="B39" s="64" t="s">
        <v>91</v>
      </c>
      <c r="E39" s="81">
        <f>E19+E24+E29+E31+E32+E33+E38+E14</f>
        <v>485377</v>
      </c>
      <c r="F39" s="81">
        <f>F19+F24+F29+F31+F32+F33+F38+F14</f>
        <v>343248</v>
      </c>
      <c r="G39" s="81">
        <f>G19+G24+G29+G31+G32+G33+G38+G14</f>
        <v>142129</v>
      </c>
      <c r="H39" s="79" t="str">
        <f>IF(E39=F39+G39," ","ERROR")</f>
        <v xml:space="preserve"> </v>
      </c>
    </row>
    <row r="40" spans="1:8" ht="12">
      <c r="A40" s="70"/>
      <c r="E40" s="80"/>
      <c r="F40" s="80"/>
      <c r="G40" s="80"/>
      <c r="H40" s="79"/>
    </row>
    <row r="41" spans="1:8" ht="12">
      <c r="A41" s="70">
        <v>26</v>
      </c>
      <c r="B41" s="64" t="s">
        <v>150</v>
      </c>
      <c r="E41" s="189">
        <f>E11-E39</f>
        <v>23280</v>
      </c>
      <c r="F41" s="189">
        <f>F11-F39</f>
        <v>16070</v>
      </c>
      <c r="G41" s="80">
        <f>G11-G39</f>
        <v>7210</v>
      </c>
      <c r="H41" s="79" t="str">
        <f>IF(E41=F41+G41," ","ERROR")</f>
        <v xml:space="preserve"> </v>
      </c>
    </row>
    <row r="42" spans="1:8" ht="12" customHeight="1">
      <c r="A42" s="70"/>
      <c r="E42" s="189"/>
      <c r="F42" s="189"/>
      <c r="G42" s="80"/>
      <c r="H42" s="79"/>
    </row>
    <row r="43" spans="1:8" ht="12" customHeight="1">
      <c r="A43" s="70"/>
      <c r="B43" s="64" t="s">
        <v>151</v>
      </c>
      <c r="E43" s="80"/>
      <c r="F43" s="80"/>
      <c r="G43" s="80"/>
      <c r="H43" s="79"/>
    </row>
    <row r="44" spans="1:8" ht="12">
      <c r="A44" s="70">
        <v>27</v>
      </c>
      <c r="B44" s="82" t="s">
        <v>152</v>
      </c>
      <c r="D44" s="83">
        <v>0.35</v>
      </c>
      <c r="E44" s="80">
        <f>F44+G44</f>
        <v>6227</v>
      </c>
      <c r="F44" s="80">
        <v>5138</v>
      </c>
      <c r="G44" s="80">
        <v>1089</v>
      </c>
      <c r="H44" s="79" t="str">
        <f>IF(E44=F44+G44," ","ERROR")</f>
        <v xml:space="preserve"> </v>
      </c>
    </row>
    <row r="45" spans="1:8" ht="12">
      <c r="A45" s="70">
        <v>28</v>
      </c>
      <c r="B45" s="64" t="s">
        <v>153</v>
      </c>
      <c r="E45" s="80">
        <f>F45+G45</f>
        <v>-708</v>
      </c>
      <c r="F45" s="80">
        <v>-1042</v>
      </c>
      <c r="G45" s="80">
        <v>334</v>
      </c>
      <c r="H45" s="79" t="str">
        <f>IF(E45=F45+G45," ","ERROR")</f>
        <v xml:space="preserve"> </v>
      </c>
    </row>
    <row r="46" spans="1:8" ht="12">
      <c r="A46" s="70">
        <v>29</v>
      </c>
      <c r="B46" s="64" t="s">
        <v>154</v>
      </c>
      <c r="E46" s="81">
        <f>F46+G46</f>
        <v>-49</v>
      </c>
      <c r="F46" s="81">
        <v>-30</v>
      </c>
      <c r="G46" s="81">
        <v>-19</v>
      </c>
      <c r="H46" s="79" t="str">
        <f>IF(E46=F46+G46," ","ERROR")</f>
        <v xml:space="preserve"> </v>
      </c>
    </row>
    <row r="47" spans="1:8" ht="12">
      <c r="A47" s="70"/>
      <c r="G47" s="85"/>
      <c r="H47" s="79"/>
    </row>
    <row r="48" spans="1:8" ht="12.75" thickBot="1">
      <c r="A48" s="70">
        <v>30</v>
      </c>
      <c r="B48" s="86" t="s">
        <v>97</v>
      </c>
      <c r="E48" s="190">
        <f>E41-(+E44+E45+E46)</f>
        <v>17810</v>
      </c>
      <c r="F48" s="190">
        <f>F41-(F44+F45+F46)</f>
        <v>12004</v>
      </c>
      <c r="G48" s="190">
        <f>G41-(G44+G45+G46)</f>
        <v>5806</v>
      </c>
      <c r="H48" s="79" t="str">
        <f>IF(E48=F48+G48," ","ERROR")</f>
        <v xml:space="preserve"> </v>
      </c>
    </row>
    <row r="49" spans="1:8" ht="12.75" thickTop="1">
      <c r="A49" s="70"/>
      <c r="G49" s="85"/>
      <c r="H49" s="79"/>
    </row>
    <row r="50" spans="1:8" ht="12">
      <c r="A50" s="70"/>
      <c r="B50" s="82" t="s">
        <v>155</v>
      </c>
      <c r="G50" s="85"/>
      <c r="H50" s="79"/>
    </row>
    <row r="51" spans="1:8" ht="12">
      <c r="A51" s="70"/>
      <c r="B51" s="82" t="s">
        <v>156</v>
      </c>
      <c r="G51" s="85"/>
      <c r="H51" s="79"/>
    </row>
    <row r="52" spans="1:8" ht="12">
      <c r="A52" s="70">
        <v>31</v>
      </c>
      <c r="B52" s="64" t="s">
        <v>157</v>
      </c>
      <c r="E52" s="78">
        <f>F52+G52</f>
        <v>19088</v>
      </c>
      <c r="F52" s="78">
        <v>13539</v>
      </c>
      <c r="G52" s="78">
        <v>5549</v>
      </c>
      <c r="H52" s="79" t="str">
        <f t="shared" ref="H52:H63" si="1">IF(E52=F52+G52," ","ERROR")</f>
        <v xml:space="preserve"> </v>
      </c>
    </row>
    <row r="53" spans="1:8" ht="12">
      <c r="A53" s="70">
        <v>32</v>
      </c>
      <c r="B53" s="64" t="s">
        <v>158</v>
      </c>
      <c r="E53" s="80">
        <f>F53+G53</f>
        <v>357934</v>
      </c>
      <c r="F53" s="80">
        <f>237484+1</f>
        <v>237485</v>
      </c>
      <c r="G53" s="80">
        <v>120449</v>
      </c>
      <c r="H53" s="79" t="str">
        <f t="shared" si="1"/>
        <v xml:space="preserve"> </v>
      </c>
    </row>
    <row r="54" spans="1:8" ht="12">
      <c r="A54" s="70">
        <v>33</v>
      </c>
      <c r="B54" s="64" t="s">
        <v>159</v>
      </c>
      <c r="E54" s="81">
        <f>F54+G54</f>
        <v>35011</v>
      </c>
      <c r="F54" s="81">
        <f>ROUND((3334021+20610881)/1000,0)-1</f>
        <v>23944</v>
      </c>
      <c r="G54" s="81">
        <f>ROUND((1653275+9414304)/1000,0)-1</f>
        <v>11067</v>
      </c>
      <c r="H54" s="79" t="str">
        <f t="shared" si="1"/>
        <v xml:space="preserve"> </v>
      </c>
    </row>
    <row r="55" spans="1:8" ht="12">
      <c r="A55" s="70">
        <v>34</v>
      </c>
      <c r="B55" s="64" t="s">
        <v>160</v>
      </c>
      <c r="E55" s="80">
        <f>SUM(E52:E54)</f>
        <v>412033</v>
      </c>
      <c r="F55" s="80">
        <f>SUM(F52:F54)</f>
        <v>274968</v>
      </c>
      <c r="G55" s="80">
        <f>SUM(G52:G54)</f>
        <v>137065</v>
      </c>
      <c r="H55" s="79" t="str">
        <f t="shared" si="1"/>
        <v xml:space="preserve"> </v>
      </c>
    </row>
    <row r="56" spans="1:8" ht="12">
      <c r="A56" s="70"/>
      <c r="B56" s="64" t="s">
        <v>102</v>
      </c>
      <c r="E56" s="80"/>
      <c r="F56" s="80"/>
      <c r="G56" s="80"/>
      <c r="H56" s="79" t="str">
        <f t="shared" si="1"/>
        <v xml:space="preserve"> </v>
      </c>
    </row>
    <row r="57" spans="1:8" ht="12">
      <c r="A57" s="70">
        <v>35</v>
      </c>
      <c r="B57" s="64" t="s">
        <v>157</v>
      </c>
      <c r="E57" s="80">
        <f>F57+G57</f>
        <v>10596</v>
      </c>
      <c r="F57" s="80">
        <v>7516</v>
      </c>
      <c r="G57" s="80">
        <v>3080</v>
      </c>
      <c r="H57" s="79" t="str">
        <f t="shared" si="1"/>
        <v xml:space="preserve"> </v>
      </c>
    </row>
    <row r="58" spans="1:8" ht="12">
      <c r="A58" s="70">
        <v>36</v>
      </c>
      <c r="B58" s="64" t="s">
        <v>158</v>
      </c>
      <c r="E58" s="80">
        <f>F58+G58</f>
        <v>120558</v>
      </c>
      <c r="F58" s="80">
        <v>80580</v>
      </c>
      <c r="G58" s="80">
        <v>39978</v>
      </c>
      <c r="H58" s="79" t="str">
        <f t="shared" si="1"/>
        <v xml:space="preserve"> </v>
      </c>
    </row>
    <row r="59" spans="1:8" ht="12">
      <c r="A59" s="70">
        <v>37</v>
      </c>
      <c r="B59" s="64" t="s">
        <v>159</v>
      </c>
      <c r="E59" s="81">
        <f>F59+G59</f>
        <v>11626</v>
      </c>
      <c r="F59" s="81">
        <f>ROUND((6253538+565041+1335481)/1000,0)+1</f>
        <v>8155</v>
      </c>
      <c r="G59" s="81">
        <f>ROUND((2645581+171892+653442)/1000,0)</f>
        <v>3471</v>
      </c>
      <c r="H59" s="79" t="str">
        <f t="shared" si="1"/>
        <v xml:space="preserve"> </v>
      </c>
    </row>
    <row r="60" spans="1:8" ht="12">
      <c r="A60" s="70">
        <v>38</v>
      </c>
      <c r="B60" s="64" t="s">
        <v>161</v>
      </c>
      <c r="E60" s="80">
        <f>SUM(E57:E59)</f>
        <v>142780</v>
      </c>
      <c r="F60" s="80">
        <f>SUM(F57:F59)</f>
        <v>96251</v>
      </c>
      <c r="G60" s="80">
        <f>SUM(G57:G59)</f>
        <v>46529</v>
      </c>
      <c r="H60" s="79" t="str">
        <f t="shared" si="1"/>
        <v xml:space="preserve"> </v>
      </c>
    </row>
    <row r="61" spans="1:8" ht="12">
      <c r="A61" s="70">
        <v>39</v>
      </c>
      <c r="B61" s="82" t="s">
        <v>162</v>
      </c>
      <c r="E61" s="80"/>
      <c r="F61" s="80"/>
      <c r="G61" s="80"/>
      <c r="H61" s="79" t="str">
        <f t="shared" si="1"/>
        <v xml:space="preserve"> </v>
      </c>
    </row>
    <row r="62" spans="1:8" ht="12">
      <c r="A62" s="70">
        <v>40</v>
      </c>
      <c r="B62" s="64" t="s">
        <v>105</v>
      </c>
      <c r="E62" s="80"/>
      <c r="F62" s="80"/>
      <c r="G62" s="80"/>
      <c r="H62" s="79" t="str">
        <f t="shared" si="1"/>
        <v xml:space="preserve"> </v>
      </c>
    </row>
    <row r="63" spans="1:8" ht="12">
      <c r="A63" s="70">
        <v>41</v>
      </c>
      <c r="B63" s="82" t="s">
        <v>106</v>
      </c>
      <c r="E63" s="81"/>
      <c r="F63" s="81"/>
      <c r="G63" s="81"/>
      <c r="H63" s="79" t="str">
        <f t="shared" si="1"/>
        <v xml:space="preserve"> </v>
      </c>
    </row>
    <row r="64" spans="1:8" ht="9" customHeight="1">
      <c r="A64" s="70"/>
      <c r="B64" s="64" t="s">
        <v>163</v>
      </c>
      <c r="G64" s="85"/>
      <c r="H64" s="79"/>
    </row>
    <row r="65" spans="1:8" ht="12.75" thickBot="1">
      <c r="A65" s="70">
        <v>42</v>
      </c>
      <c r="B65" s="86" t="s">
        <v>107</v>
      </c>
      <c r="E65" s="87">
        <f>E55-E60+E61+E62+E63</f>
        <v>269253</v>
      </c>
      <c r="F65" s="87">
        <f>F55-F60+F61+F62+F63</f>
        <v>178717</v>
      </c>
      <c r="G65" s="87">
        <f>G55-G60+G61+G62+G63</f>
        <v>90536</v>
      </c>
      <c r="H65" s="79" t="str">
        <f>IF(E65=F65+G65," ","ERROR")</f>
        <v xml:space="preserve"> </v>
      </c>
    </row>
    <row r="66" spans="1:8" ht="11.1" customHeight="1" thickTop="1"/>
    <row r="67" spans="1:8" ht="11.1" customHeight="1">
      <c r="E67" s="88">
        <f>E48/E65</f>
        <v>6.6145966804455295E-2</v>
      </c>
      <c r="F67" s="88">
        <f>F48/F65</f>
        <v>6.71676449358483E-2</v>
      </c>
      <c r="G67" s="88">
        <f>G48/G65</f>
        <v>6.4129186180083064E-2</v>
      </c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112"/>
  <sheetViews>
    <sheetView workbookViewId="0">
      <selection activeCell="F61" sqref="F61"/>
    </sheetView>
  </sheetViews>
  <sheetFormatPr defaultColWidth="12.42578125" defaultRowHeight="11.1" customHeight="1"/>
  <cols>
    <col min="1" max="1" width="5.5703125" style="235" customWidth="1"/>
    <col min="2" max="2" width="26.140625" style="235" customWidth="1"/>
    <col min="3" max="3" width="12.42578125" style="235" customWidth="1"/>
    <col min="4" max="4" width="6.7109375" style="235" customWidth="1"/>
    <col min="5" max="5" width="12.42578125" style="255" customWidth="1"/>
    <col min="6" max="6" width="12.42578125" style="256" customWidth="1"/>
    <col min="7" max="7" width="12.42578125" style="255" customWidth="1"/>
    <col min="8" max="16384" width="12.42578125" style="235"/>
  </cols>
  <sheetData>
    <row r="1" spans="1:8" ht="12">
      <c r="A1" s="234" t="str">
        <f>Inputs!$D$6</f>
        <v>AVISTA UTILITIES</v>
      </c>
      <c r="B1" s="234"/>
      <c r="C1" s="234"/>
      <c r="E1" s="236"/>
      <c r="F1" s="237"/>
      <c r="G1" s="236"/>
    </row>
    <row r="2" spans="1:8" ht="12">
      <c r="A2" s="234" t="s">
        <v>125</v>
      </c>
      <c r="B2" s="234"/>
      <c r="C2" s="234"/>
      <c r="E2" s="238"/>
      <c r="F2" s="239"/>
      <c r="G2" s="238"/>
    </row>
    <row r="3" spans="1:8" ht="12">
      <c r="A3" s="234" t="str">
        <f>Inputs!$D$2</f>
        <v>TWELVE MONTHS ENDED SEPTEMBER 30, 2008</v>
      </c>
      <c r="B3" s="234"/>
      <c r="C3" s="234"/>
      <c r="E3" s="236"/>
      <c r="F3" s="240" t="s">
        <v>164</v>
      </c>
      <c r="G3" s="235"/>
    </row>
    <row r="4" spans="1:8" ht="12">
      <c r="A4" s="234" t="s">
        <v>128</v>
      </c>
      <c r="B4" s="234"/>
      <c r="C4" s="234"/>
      <c r="E4" s="241"/>
      <c r="F4" s="242" t="s">
        <v>129</v>
      </c>
      <c r="G4" s="241"/>
    </row>
    <row r="5" spans="1:8" ht="12">
      <c r="A5" s="243" t="s">
        <v>10</v>
      </c>
      <c r="E5" s="236"/>
      <c r="F5" s="240"/>
      <c r="G5" s="236"/>
    </row>
    <row r="6" spans="1:8" ht="12">
      <c r="A6" s="244" t="s">
        <v>27</v>
      </c>
      <c r="B6" s="245" t="s">
        <v>113</v>
      </c>
      <c r="C6" s="245"/>
      <c r="E6" s="246" t="s">
        <v>130</v>
      </c>
      <c r="F6" s="247" t="s">
        <v>131</v>
      </c>
      <c r="G6" s="246" t="s">
        <v>132</v>
      </c>
      <c r="H6" s="248" t="s">
        <v>133</v>
      </c>
    </row>
    <row r="7" spans="1:8" ht="12">
      <c r="A7" s="243"/>
      <c r="B7" s="235" t="s">
        <v>68</v>
      </c>
      <c r="E7" s="249"/>
      <c r="F7" s="240"/>
      <c r="G7" s="249"/>
    </row>
    <row r="8" spans="1:8" ht="12">
      <c r="A8" s="243">
        <v>1</v>
      </c>
      <c r="B8" s="235" t="s">
        <v>134</v>
      </c>
      <c r="E8" s="250"/>
      <c r="F8" s="250"/>
      <c r="G8" s="250"/>
      <c r="H8" s="251" t="str">
        <f>IF(E8=F8+G8," ","ERROR")</f>
        <v xml:space="preserve"> </v>
      </c>
    </row>
    <row r="9" spans="1:8" ht="12">
      <c r="A9" s="243">
        <v>2</v>
      </c>
      <c r="B9" s="235" t="s">
        <v>135</v>
      </c>
      <c r="E9" s="252"/>
      <c r="F9" s="252"/>
      <c r="G9" s="252"/>
      <c r="H9" s="251" t="str">
        <f>IF(E9=F9+G9," ","ERROR")</f>
        <v xml:space="preserve"> </v>
      </c>
    </row>
    <row r="10" spans="1:8" ht="12">
      <c r="A10" s="243">
        <v>3</v>
      </c>
      <c r="B10" s="235" t="s">
        <v>71</v>
      </c>
      <c r="E10" s="253"/>
      <c r="F10" s="253"/>
      <c r="G10" s="253"/>
      <c r="H10" s="251" t="str">
        <f>IF(E10=F10+G10," ","ERROR")</f>
        <v xml:space="preserve"> </v>
      </c>
    </row>
    <row r="11" spans="1:8" ht="12">
      <c r="A11" s="243">
        <v>4</v>
      </c>
      <c r="B11" s="235" t="s">
        <v>136</v>
      </c>
      <c r="E11" s="252">
        <f>SUM(E8:E10)</f>
        <v>0</v>
      </c>
      <c r="F11" s="252">
        <f>SUM(F8:F10)</f>
        <v>0</v>
      </c>
      <c r="G11" s="252">
        <f>SUM(G8:G10)</f>
        <v>0</v>
      </c>
      <c r="H11" s="251" t="str">
        <f>IF(E11=F11+G11," ","ERROR")</f>
        <v xml:space="preserve"> </v>
      </c>
    </row>
    <row r="12" spans="1:8" ht="12">
      <c r="A12" s="243"/>
      <c r="E12" s="252"/>
      <c r="F12" s="252"/>
      <c r="G12" s="252"/>
      <c r="H12" s="251"/>
    </row>
    <row r="13" spans="1:8" ht="12">
      <c r="A13" s="243"/>
      <c r="B13" s="235" t="s">
        <v>73</v>
      </c>
      <c r="E13" s="252"/>
      <c r="F13" s="252"/>
      <c r="G13" s="252"/>
      <c r="H13" s="251"/>
    </row>
    <row r="14" spans="1:8" ht="12">
      <c r="A14" s="243">
        <v>5</v>
      </c>
      <c r="B14" s="235" t="s">
        <v>137</v>
      </c>
      <c r="E14" s="252"/>
      <c r="F14" s="252"/>
      <c r="G14" s="252"/>
      <c r="H14" s="251" t="str">
        <f>IF(E14=F14+G14," ","ERROR")</f>
        <v xml:space="preserve"> </v>
      </c>
    </row>
    <row r="15" spans="1:8" ht="12">
      <c r="A15" s="243"/>
      <c r="B15" s="235" t="s">
        <v>75</v>
      </c>
      <c r="E15" s="252"/>
      <c r="F15" s="252"/>
      <c r="G15" s="252"/>
      <c r="H15" s="251"/>
    </row>
    <row r="16" spans="1:8" ht="12">
      <c r="A16" s="243">
        <v>6</v>
      </c>
      <c r="B16" s="235" t="s">
        <v>138</v>
      </c>
      <c r="E16" s="252"/>
      <c r="F16" s="252"/>
      <c r="G16" s="252"/>
      <c r="H16" s="251" t="str">
        <f>IF(E16=F16+G16," ","ERROR")</f>
        <v xml:space="preserve"> </v>
      </c>
    </row>
    <row r="17" spans="1:8" ht="12">
      <c r="A17" s="243">
        <v>7</v>
      </c>
      <c r="B17" s="235" t="s">
        <v>139</v>
      </c>
      <c r="E17" s="252"/>
      <c r="F17" s="252"/>
      <c r="G17" s="252"/>
      <c r="H17" s="251" t="str">
        <f>IF(E17=F17+G17," ","ERROR")</f>
        <v xml:space="preserve"> </v>
      </c>
    </row>
    <row r="18" spans="1:8" ht="12">
      <c r="A18" s="243">
        <v>8</v>
      </c>
      <c r="B18" s="235" t="s">
        <v>140</v>
      </c>
      <c r="E18" s="253"/>
      <c r="F18" s="253"/>
      <c r="G18" s="253"/>
      <c r="H18" s="251" t="str">
        <f>IF(E18=F18+G18," ","ERROR")</f>
        <v xml:space="preserve"> </v>
      </c>
    </row>
    <row r="19" spans="1:8" ht="12">
      <c r="A19" s="243">
        <v>9</v>
      </c>
      <c r="B19" s="235" t="s">
        <v>141</v>
      </c>
      <c r="E19" s="252">
        <f>SUM(E16:E18)</f>
        <v>0</v>
      </c>
      <c r="F19" s="252">
        <f>SUM(F16:F18)</f>
        <v>0</v>
      </c>
      <c r="G19" s="252">
        <f>SUM(G16:G18)</f>
        <v>0</v>
      </c>
      <c r="H19" s="251" t="str">
        <f>IF(E19=F19+G19," ","ERROR")</f>
        <v xml:space="preserve"> </v>
      </c>
    </row>
    <row r="20" spans="1:8" ht="12">
      <c r="A20" s="243"/>
      <c r="B20" s="235" t="s">
        <v>80</v>
      </c>
      <c r="E20" s="252"/>
      <c r="F20" s="252"/>
      <c r="G20" s="252"/>
      <c r="H20" s="251"/>
    </row>
    <row r="21" spans="1:8" ht="12">
      <c r="A21" s="243">
        <v>10</v>
      </c>
      <c r="B21" s="235" t="s">
        <v>142</v>
      </c>
      <c r="E21" s="252"/>
      <c r="F21" s="252"/>
      <c r="G21" s="252"/>
      <c r="H21" s="251" t="str">
        <f>IF(E21=F21+G21," ","ERROR")</f>
        <v xml:space="preserve"> </v>
      </c>
    </row>
    <row r="22" spans="1:8" ht="12">
      <c r="A22" s="243">
        <v>11</v>
      </c>
      <c r="B22" s="235" t="s">
        <v>143</v>
      </c>
      <c r="E22" s="252"/>
      <c r="F22" s="252"/>
      <c r="G22" s="252"/>
      <c r="H22" s="251" t="str">
        <f>IF(E22=F22+G22," ","ERROR")</f>
        <v xml:space="preserve"> </v>
      </c>
    </row>
    <row r="23" spans="1:8" ht="12">
      <c r="A23" s="243">
        <v>12</v>
      </c>
      <c r="B23" s="235" t="s">
        <v>144</v>
      </c>
      <c r="E23" s="253"/>
      <c r="F23" s="253"/>
      <c r="G23" s="253"/>
      <c r="H23" s="251" t="str">
        <f>IF(E23=F23+G23," ","ERROR")</f>
        <v xml:space="preserve"> </v>
      </c>
    </row>
    <row r="24" spans="1:8" ht="12">
      <c r="A24" s="243">
        <v>13</v>
      </c>
      <c r="B24" s="235" t="s">
        <v>145</v>
      </c>
      <c r="E24" s="252">
        <f>SUM(E21:E23)</f>
        <v>0</v>
      </c>
      <c r="F24" s="252">
        <f>SUM(F21:F23)</f>
        <v>0</v>
      </c>
      <c r="G24" s="252">
        <f>SUM(G21:G23)</f>
        <v>0</v>
      </c>
      <c r="H24" s="251" t="str">
        <f>IF(E24=F24+G24," ","ERROR")</f>
        <v xml:space="preserve"> </v>
      </c>
    </row>
    <row r="25" spans="1:8" ht="12">
      <c r="A25" s="243"/>
      <c r="B25" s="235" t="s">
        <v>84</v>
      </c>
      <c r="E25" s="252"/>
      <c r="F25" s="252"/>
      <c r="G25" s="252"/>
      <c r="H25" s="251"/>
    </row>
    <row r="26" spans="1:8" ht="12">
      <c r="A26" s="243">
        <v>14</v>
      </c>
      <c r="B26" s="235" t="s">
        <v>142</v>
      </c>
      <c r="E26" s="252"/>
      <c r="F26" s="252"/>
      <c r="G26" s="252"/>
      <c r="H26" s="251" t="str">
        <f>IF(E26=F26+G26," ","ERROR")</f>
        <v xml:space="preserve"> </v>
      </c>
    </row>
    <row r="27" spans="1:8" ht="12">
      <c r="A27" s="243">
        <v>15</v>
      </c>
      <c r="B27" s="235" t="s">
        <v>143</v>
      </c>
      <c r="E27" s="252"/>
      <c r="F27" s="252"/>
      <c r="G27" s="252"/>
      <c r="H27" s="251" t="str">
        <f>IF(E27=F27+G27," ","ERROR")</f>
        <v xml:space="preserve"> </v>
      </c>
    </row>
    <row r="28" spans="1:8" ht="12">
      <c r="A28" s="243">
        <v>16</v>
      </c>
      <c r="B28" s="235" t="s">
        <v>144</v>
      </c>
      <c r="E28" s="253">
        <f>F28+G28</f>
        <v>0</v>
      </c>
      <c r="F28" s="253"/>
      <c r="G28" s="253">
        <f>F111</f>
        <v>0</v>
      </c>
      <c r="H28" s="251" t="str">
        <f>IF(E28=F28+G28," ","ERROR")</f>
        <v xml:space="preserve"> </v>
      </c>
    </row>
    <row r="29" spans="1:8" ht="12">
      <c r="A29" s="243">
        <v>17</v>
      </c>
      <c r="B29" s="235" t="s">
        <v>146</v>
      </c>
      <c r="E29" s="252">
        <f>SUM(E26:E28)</f>
        <v>0</v>
      </c>
      <c r="F29" s="252">
        <f>SUM(F26:F28)</f>
        <v>0</v>
      </c>
      <c r="G29" s="252">
        <f>SUM(G26:G28)</f>
        <v>0</v>
      </c>
      <c r="H29" s="251" t="str">
        <f>IF(E29=F29+G29," ","ERROR")</f>
        <v xml:space="preserve"> </v>
      </c>
    </row>
    <row r="30" spans="1:8" ht="12">
      <c r="A30" s="243"/>
      <c r="E30" s="252"/>
      <c r="F30" s="252"/>
      <c r="G30" s="252"/>
      <c r="H30" s="251"/>
    </row>
    <row r="31" spans="1:8" ht="12">
      <c r="A31" s="243">
        <v>18</v>
      </c>
      <c r="B31" s="235" t="s">
        <v>86</v>
      </c>
      <c r="E31" s="252"/>
      <c r="F31" s="252"/>
      <c r="G31" s="252"/>
      <c r="H31" s="251" t="str">
        <f>IF(E31=F31+G31," ","ERROR")</f>
        <v xml:space="preserve"> </v>
      </c>
    </row>
    <row r="32" spans="1:8" ht="12">
      <c r="A32" s="243">
        <v>19</v>
      </c>
      <c r="B32" s="235" t="s">
        <v>87</v>
      </c>
      <c r="E32" s="252"/>
      <c r="F32" s="252"/>
      <c r="G32" s="252"/>
      <c r="H32" s="251" t="str">
        <f>IF(E32=F32+G32," ","ERROR")</f>
        <v xml:space="preserve"> </v>
      </c>
    </row>
    <row r="33" spans="1:8" ht="12">
      <c r="A33" s="243">
        <v>20</v>
      </c>
      <c r="B33" s="235" t="s">
        <v>147</v>
      </c>
      <c r="E33" s="252"/>
      <c r="F33" s="252"/>
      <c r="G33" s="252"/>
      <c r="H33" s="251" t="str">
        <f>IF(E33=F33+G33," ","ERROR")</f>
        <v xml:space="preserve"> </v>
      </c>
    </row>
    <row r="34" spans="1:8" ht="12">
      <c r="A34" s="243"/>
      <c r="B34" s="235" t="s">
        <v>148</v>
      </c>
      <c r="E34" s="252"/>
      <c r="F34" s="252"/>
      <c r="G34" s="252"/>
      <c r="H34" s="251"/>
    </row>
    <row r="35" spans="1:8" ht="12">
      <c r="A35" s="243">
        <v>21</v>
      </c>
      <c r="B35" s="235" t="s">
        <v>142</v>
      </c>
      <c r="E35" s="252"/>
      <c r="F35" s="252"/>
      <c r="G35" s="252"/>
      <c r="H35" s="251" t="str">
        <f>IF(E35=F35+G35," ","ERROR")</f>
        <v xml:space="preserve"> </v>
      </c>
    </row>
    <row r="36" spans="1:8" ht="12">
      <c r="A36" s="243">
        <v>22</v>
      </c>
      <c r="B36" s="235" t="s">
        <v>143</v>
      </c>
      <c r="E36" s="252"/>
      <c r="F36" s="252"/>
      <c r="G36" s="252"/>
      <c r="H36" s="251" t="str">
        <f>IF(E36=F36+G36," ","ERROR")</f>
        <v xml:space="preserve"> </v>
      </c>
    </row>
    <row r="37" spans="1:8" ht="12">
      <c r="A37" s="243">
        <v>23</v>
      </c>
      <c r="B37" s="235" t="s">
        <v>144</v>
      </c>
      <c r="E37" s="253"/>
      <c r="F37" s="253"/>
      <c r="G37" s="253"/>
      <c r="H37" s="251" t="str">
        <f>IF(E37=F37+G37," ","ERROR")</f>
        <v xml:space="preserve"> </v>
      </c>
    </row>
    <row r="38" spans="1:8" ht="12">
      <c r="A38" s="243">
        <v>24</v>
      </c>
      <c r="B38" s="235" t="s">
        <v>149</v>
      </c>
      <c r="E38" s="253">
        <f>SUM(E35:E37)</f>
        <v>0</v>
      </c>
      <c r="F38" s="253">
        <f>SUM(F35:F37)</f>
        <v>0</v>
      </c>
      <c r="G38" s="253">
        <f>SUM(G35:G37)</f>
        <v>0</v>
      </c>
      <c r="H38" s="251" t="str">
        <f>IF(E38=F38+G38," ","ERROR")</f>
        <v xml:space="preserve"> </v>
      </c>
    </row>
    <row r="39" spans="1:8" ht="12">
      <c r="A39" s="243">
        <v>25</v>
      </c>
      <c r="B39" s="235" t="s">
        <v>91</v>
      </c>
      <c r="E39" s="253">
        <f>E19+E24+E29+E31+E32+E33+E38+E14</f>
        <v>0</v>
      </c>
      <c r="F39" s="253">
        <f>F19+F24+F29+F31+F32+F33+F38+F14</f>
        <v>0</v>
      </c>
      <c r="G39" s="253">
        <f>G19+G24+G29+G31+G32+G33+G38+G14</f>
        <v>0</v>
      </c>
      <c r="H39" s="251" t="str">
        <f>IF(E39=F39+G39," ","ERROR")</f>
        <v xml:space="preserve"> </v>
      </c>
    </row>
    <row r="40" spans="1:8" ht="12">
      <c r="A40" s="243"/>
      <c r="E40" s="252"/>
      <c r="F40" s="252"/>
      <c r="G40" s="252"/>
      <c r="H40" s="251"/>
    </row>
    <row r="41" spans="1:8" ht="12">
      <c r="A41" s="243">
        <v>26</v>
      </c>
      <c r="B41" s="235" t="s">
        <v>150</v>
      </c>
      <c r="E41" s="252">
        <f>E11-E39</f>
        <v>0</v>
      </c>
      <c r="F41" s="252">
        <f>F11-F39</f>
        <v>0</v>
      </c>
      <c r="G41" s="252">
        <f>G11-G39</f>
        <v>0</v>
      </c>
      <c r="H41" s="251" t="str">
        <f>IF(E41=F41+G41," ","ERROR")</f>
        <v xml:space="preserve"> </v>
      </c>
    </row>
    <row r="42" spans="1:8" ht="12">
      <c r="A42" s="243"/>
      <c r="E42" s="252"/>
      <c r="F42" s="252"/>
      <c r="G42" s="252"/>
      <c r="H42" s="251"/>
    </row>
    <row r="43" spans="1:8" ht="12">
      <c r="A43" s="243"/>
      <c r="B43" s="235" t="s">
        <v>151</v>
      </c>
      <c r="E43" s="252"/>
      <c r="F43" s="252"/>
      <c r="G43" s="252"/>
      <c r="H43" s="251"/>
    </row>
    <row r="44" spans="1:8" ht="12">
      <c r="A44" s="243">
        <v>27</v>
      </c>
      <c r="B44" s="254" t="s">
        <v>165</v>
      </c>
      <c r="E44" s="252">
        <f>F44+G44</f>
        <v>0</v>
      </c>
      <c r="F44" s="252">
        <f>ROUND(F41*0.34,0)</f>
        <v>0</v>
      </c>
      <c r="G44" s="252">
        <f>ROUND(G41*0.34,0)</f>
        <v>0</v>
      </c>
      <c r="H44" s="251" t="str">
        <f>IF(E44=F44+G44," ","ERROR")</f>
        <v xml:space="preserve"> </v>
      </c>
    </row>
    <row r="45" spans="1:8" ht="12">
      <c r="A45" s="243">
        <v>28</v>
      </c>
      <c r="B45" s="235" t="s">
        <v>154</v>
      </c>
      <c r="E45" s="252"/>
      <c r="F45" s="252"/>
      <c r="G45" s="252"/>
      <c r="H45" s="251" t="str">
        <f>IF(E45=F45+G45," ","ERROR")</f>
        <v xml:space="preserve"> </v>
      </c>
    </row>
    <row r="46" spans="1:8" ht="12">
      <c r="A46" s="243">
        <v>29</v>
      </c>
      <c r="B46" s="235" t="s">
        <v>153</v>
      </c>
      <c r="E46" s="253"/>
      <c r="F46" s="253"/>
      <c r="G46" s="253"/>
      <c r="H46" s="251" t="str">
        <f>IF(E46=F46+G46," ","ERROR")</f>
        <v xml:space="preserve"> </v>
      </c>
    </row>
    <row r="47" spans="1:8" ht="12">
      <c r="A47" s="243"/>
      <c r="H47" s="251"/>
    </row>
    <row r="48" spans="1:8" ht="12">
      <c r="A48" s="243">
        <v>30</v>
      </c>
      <c r="B48" s="257" t="s">
        <v>97</v>
      </c>
      <c r="E48" s="250">
        <f>E41-(+E44+E45+E46)</f>
        <v>0</v>
      </c>
      <c r="F48" s="250">
        <f>F41-F44+F45+F46</f>
        <v>0</v>
      </c>
      <c r="G48" s="250">
        <f>G41-SUM(G44:G46)</f>
        <v>0</v>
      </c>
      <c r="H48" s="251" t="str">
        <f>IF(E48=F48+G48," ","ERROR")</f>
        <v xml:space="preserve"> </v>
      </c>
    </row>
    <row r="49" spans="1:8" ht="12">
      <c r="A49" s="243"/>
      <c r="H49" s="251"/>
    </row>
    <row r="50" spans="1:8" ht="12">
      <c r="A50" s="243"/>
      <c r="B50" s="254" t="s">
        <v>155</v>
      </c>
      <c r="H50" s="251"/>
    </row>
    <row r="51" spans="1:8" ht="12">
      <c r="A51" s="243"/>
      <c r="B51" s="254" t="s">
        <v>156</v>
      </c>
      <c r="H51" s="251"/>
    </row>
    <row r="52" spans="1:8" ht="12">
      <c r="A52" s="243">
        <v>31</v>
      </c>
      <c r="B52" s="235" t="s">
        <v>157</v>
      </c>
      <c r="E52" s="250"/>
      <c r="F52" s="250"/>
      <c r="G52" s="250"/>
      <c r="H52" s="251" t="str">
        <f t="shared" ref="H52:H61" si="0">IF(E52=F52+G52," ","ERROR")</f>
        <v xml:space="preserve"> </v>
      </c>
    </row>
    <row r="53" spans="1:8" ht="12">
      <c r="A53" s="243">
        <v>32</v>
      </c>
      <c r="B53" s="235" t="s">
        <v>158</v>
      </c>
      <c r="E53" s="252"/>
      <c r="F53" s="252"/>
      <c r="G53" s="252"/>
      <c r="H53" s="251" t="str">
        <f t="shared" si="0"/>
        <v xml:space="preserve"> </v>
      </c>
    </row>
    <row r="54" spans="1:8" ht="12">
      <c r="A54" s="243">
        <v>33</v>
      </c>
      <c r="B54" s="235" t="s">
        <v>166</v>
      </c>
      <c r="E54" s="253"/>
      <c r="F54" s="253"/>
      <c r="G54" s="253"/>
      <c r="H54" s="251" t="str">
        <f t="shared" si="0"/>
        <v xml:space="preserve"> </v>
      </c>
    </row>
    <row r="55" spans="1:8" ht="12">
      <c r="A55" s="243">
        <v>34</v>
      </c>
      <c r="B55" s="235" t="s">
        <v>160</v>
      </c>
      <c r="E55" s="252">
        <f>SUM(E52:E54)</f>
        <v>0</v>
      </c>
      <c r="F55" s="252">
        <f>SUM(F52:F54)</f>
        <v>0</v>
      </c>
      <c r="G55" s="252">
        <f>SUM(G52:G54)</f>
        <v>0</v>
      </c>
      <c r="H55" s="251" t="str">
        <f t="shared" si="0"/>
        <v xml:space="preserve"> </v>
      </c>
    </row>
    <row r="56" spans="1:8" ht="12">
      <c r="A56" s="243"/>
      <c r="B56" s="235" t="s">
        <v>102</v>
      </c>
      <c r="E56" s="252"/>
      <c r="F56" s="252"/>
      <c r="G56" s="252"/>
      <c r="H56" s="251" t="str">
        <f t="shared" si="0"/>
        <v xml:space="preserve"> </v>
      </c>
    </row>
    <row r="57" spans="1:8" ht="12">
      <c r="A57" s="243">
        <v>35</v>
      </c>
      <c r="B57" s="235" t="s">
        <v>157</v>
      </c>
      <c r="E57" s="252"/>
      <c r="F57" s="252"/>
      <c r="G57" s="252"/>
      <c r="H57" s="251" t="str">
        <f t="shared" si="0"/>
        <v xml:space="preserve"> </v>
      </c>
    </row>
    <row r="58" spans="1:8" ht="12">
      <c r="A58" s="243">
        <v>36</v>
      </c>
      <c r="B58" s="235" t="s">
        <v>158</v>
      </c>
      <c r="E58" s="252"/>
      <c r="F58" s="252"/>
      <c r="G58" s="252"/>
      <c r="H58" s="251" t="str">
        <f t="shared" si="0"/>
        <v xml:space="preserve"> </v>
      </c>
    </row>
    <row r="59" spans="1:8" ht="12">
      <c r="A59" s="243">
        <v>37</v>
      </c>
      <c r="B59" s="235" t="s">
        <v>166</v>
      </c>
      <c r="E59" s="253"/>
      <c r="F59" s="253"/>
      <c r="G59" s="253"/>
      <c r="H59" s="251" t="str">
        <f t="shared" si="0"/>
        <v xml:space="preserve"> </v>
      </c>
    </row>
    <row r="60" spans="1:8" ht="12">
      <c r="A60" s="243">
        <v>38</v>
      </c>
      <c r="B60" s="235" t="s">
        <v>161</v>
      </c>
      <c r="E60" s="252">
        <f>SUM(E57:E59)</f>
        <v>0</v>
      </c>
      <c r="F60" s="252">
        <f>SUM(F57:F59)</f>
        <v>0</v>
      </c>
      <c r="G60" s="252">
        <f>SUM(G57:G59)</f>
        <v>0</v>
      </c>
      <c r="H60" s="251" t="str">
        <f t="shared" si="0"/>
        <v xml:space="preserve"> </v>
      </c>
    </row>
    <row r="61" spans="1:8" ht="12">
      <c r="A61" s="243">
        <v>39</v>
      </c>
      <c r="B61" s="254" t="s">
        <v>162</v>
      </c>
      <c r="E61" s="252">
        <f>F61+G61</f>
        <v>-41894</v>
      </c>
      <c r="F61" s="875">
        <v>-27674</v>
      </c>
      <c r="G61" s="252">
        <v>-14220</v>
      </c>
      <c r="H61" s="251" t="str">
        <f t="shared" si="0"/>
        <v xml:space="preserve"> </v>
      </c>
    </row>
    <row r="62" spans="1:8" ht="12">
      <c r="A62" s="243">
        <v>40</v>
      </c>
      <c r="B62" s="235" t="s">
        <v>105</v>
      </c>
      <c r="E62" s="252"/>
      <c r="F62" s="252"/>
      <c r="G62" s="252"/>
      <c r="H62" s="251" t="str">
        <f>IF(E62=F62+G62," ","ERROR")</f>
        <v xml:space="preserve"> </v>
      </c>
    </row>
    <row r="63" spans="1:8" ht="12">
      <c r="A63" s="243">
        <v>41</v>
      </c>
      <c r="B63" s="254" t="s">
        <v>106</v>
      </c>
      <c r="E63" s="253"/>
      <c r="F63" s="253"/>
      <c r="G63" s="253"/>
      <c r="H63" s="251" t="str">
        <f>IF(E63=F63+G63," ","ERROR")</f>
        <v xml:space="preserve"> </v>
      </c>
    </row>
    <row r="64" spans="1:8" ht="12">
      <c r="A64" s="243"/>
      <c r="B64" s="235" t="s">
        <v>163</v>
      </c>
      <c r="H64" s="251"/>
    </row>
    <row r="65" spans="1:8" ht="12.75" thickBot="1">
      <c r="A65" s="243">
        <v>42</v>
      </c>
      <c r="B65" s="257" t="s">
        <v>107</v>
      </c>
      <c r="E65" s="258">
        <f>E55-E60+E61+E62+E63</f>
        <v>-41894</v>
      </c>
      <c r="F65" s="258">
        <f>F55-F60+F61+F62+F63</f>
        <v>-27674</v>
      </c>
      <c r="G65" s="258">
        <f>G55-G60+G61+G62+G63</f>
        <v>-14220</v>
      </c>
      <c r="H65" s="251" t="str">
        <f>IF(E65=F65+G65," ","ERROR")</f>
        <v xml:space="preserve"> </v>
      </c>
    </row>
    <row r="66" spans="1:8" ht="12.75" thickTop="1">
      <c r="A66" s="259"/>
      <c r="B66" s="259"/>
      <c r="C66" s="259"/>
      <c r="D66" s="260"/>
      <c r="E66" s="261"/>
      <c r="F66" s="262"/>
      <c r="G66" s="260"/>
    </row>
    <row r="67" spans="1:8" ht="12">
      <c r="A67" s="259"/>
      <c r="B67" s="259"/>
      <c r="C67" s="259"/>
      <c r="D67" s="260"/>
      <c r="E67" s="261"/>
      <c r="F67" s="872"/>
      <c r="G67" s="873"/>
    </row>
    <row r="68" spans="1:8" ht="12">
      <c r="A68" s="259"/>
      <c r="B68" s="259"/>
      <c r="C68" s="259"/>
      <c r="D68" s="260"/>
      <c r="E68" s="261"/>
      <c r="F68" s="874"/>
      <c r="G68" s="873"/>
    </row>
    <row r="69" spans="1:8" ht="12">
      <c r="A69" s="259"/>
      <c r="B69" s="259"/>
      <c r="C69" s="259"/>
      <c r="D69" s="260"/>
      <c r="E69" s="261"/>
      <c r="F69" s="263"/>
      <c r="G69" s="260"/>
    </row>
    <row r="70" spans="1:8" ht="12">
      <c r="A70" s="260"/>
      <c r="B70" s="260"/>
      <c r="C70" s="260"/>
      <c r="D70" s="260"/>
      <c r="E70" s="261"/>
      <c r="F70" s="263"/>
      <c r="G70" s="260"/>
    </row>
    <row r="71" spans="1:8" ht="12">
      <c r="A71" s="244"/>
      <c r="B71" s="260"/>
      <c r="C71" s="260"/>
      <c r="D71" s="260"/>
      <c r="E71" s="261"/>
      <c r="F71" s="263"/>
      <c r="G71" s="261"/>
    </row>
    <row r="72" spans="1:8" ht="12">
      <c r="A72" s="244"/>
      <c r="B72" s="259"/>
      <c r="C72" s="259"/>
      <c r="D72" s="260"/>
      <c r="E72" s="261"/>
      <c r="F72" s="263"/>
      <c r="G72" s="261"/>
    </row>
    <row r="73" spans="1:8" ht="12">
      <c r="A73" s="244"/>
      <c r="B73" s="260"/>
      <c r="C73" s="260"/>
      <c r="D73" s="260"/>
      <c r="E73" s="260"/>
      <c r="F73" s="262"/>
      <c r="G73" s="260"/>
    </row>
    <row r="74" spans="1:8" ht="12">
      <c r="A74" s="244"/>
      <c r="B74" s="260"/>
      <c r="C74" s="260"/>
      <c r="D74" s="260"/>
      <c r="E74" s="260"/>
      <c r="F74" s="264"/>
      <c r="G74" s="260"/>
    </row>
    <row r="75" spans="1:8" ht="12">
      <c r="A75" s="244"/>
      <c r="B75" s="260"/>
      <c r="C75" s="260"/>
      <c r="D75" s="260"/>
      <c r="E75" s="260"/>
      <c r="F75" s="265"/>
      <c r="G75" s="260"/>
    </row>
    <row r="76" spans="1:8" ht="12">
      <c r="A76" s="244"/>
      <c r="B76" s="260"/>
      <c r="C76" s="260"/>
      <c r="D76" s="260"/>
      <c r="E76" s="260"/>
      <c r="F76" s="265"/>
      <c r="G76" s="260"/>
    </row>
    <row r="77" spans="1:8" ht="12">
      <c r="A77" s="244"/>
      <c r="B77" s="260"/>
      <c r="C77" s="260"/>
      <c r="D77" s="260"/>
      <c r="E77" s="260"/>
      <c r="F77" s="265"/>
      <c r="G77" s="260"/>
    </row>
    <row r="78" spans="1:8" ht="12">
      <c r="A78" s="244"/>
      <c r="B78" s="260"/>
      <c r="C78" s="260"/>
      <c r="D78" s="260"/>
      <c r="E78" s="260"/>
      <c r="F78" s="265"/>
      <c r="G78" s="260"/>
    </row>
    <row r="79" spans="1:8" ht="12">
      <c r="A79" s="244"/>
      <c r="B79" s="260"/>
      <c r="C79" s="260"/>
      <c r="D79" s="260"/>
      <c r="E79" s="260"/>
      <c r="F79" s="265"/>
      <c r="G79" s="260"/>
    </row>
    <row r="80" spans="1:8" ht="12">
      <c r="A80" s="244"/>
      <c r="B80" s="260"/>
      <c r="C80" s="260"/>
      <c r="D80" s="260"/>
      <c r="E80" s="260"/>
      <c r="F80" s="265"/>
      <c r="G80" s="260"/>
    </row>
    <row r="81" spans="1:7" ht="12">
      <c r="A81" s="244"/>
      <c r="B81" s="260"/>
      <c r="C81" s="260"/>
      <c r="D81" s="260"/>
      <c r="E81" s="260"/>
      <c r="F81" s="265"/>
      <c r="G81" s="260"/>
    </row>
    <row r="82" spans="1:7" ht="12">
      <c r="A82" s="244"/>
      <c r="B82" s="260"/>
      <c r="C82" s="260"/>
      <c r="D82" s="260"/>
      <c r="E82" s="260"/>
      <c r="F82" s="265"/>
      <c r="G82" s="260"/>
    </row>
    <row r="83" spans="1:7" ht="12">
      <c r="A83" s="244"/>
      <c r="B83" s="260"/>
      <c r="C83" s="260"/>
      <c r="D83" s="260"/>
      <c r="E83" s="260"/>
      <c r="F83" s="265"/>
      <c r="G83" s="260"/>
    </row>
    <row r="84" spans="1:7" ht="12">
      <c r="A84" s="244"/>
      <c r="B84" s="260"/>
      <c r="C84" s="260"/>
      <c r="D84" s="260"/>
      <c r="E84" s="260"/>
      <c r="F84" s="265"/>
      <c r="G84" s="260"/>
    </row>
    <row r="85" spans="1:7" ht="12">
      <c r="A85" s="244"/>
      <c r="B85" s="260"/>
      <c r="C85" s="260"/>
      <c r="D85" s="260"/>
      <c r="E85" s="260"/>
      <c r="F85" s="265"/>
      <c r="G85" s="260"/>
    </row>
    <row r="86" spans="1:7" ht="12">
      <c r="A86" s="244"/>
      <c r="B86" s="260"/>
      <c r="C86" s="260"/>
      <c r="D86" s="260"/>
      <c r="E86" s="260"/>
      <c r="F86" s="265"/>
      <c r="G86" s="260"/>
    </row>
    <row r="87" spans="1:7" ht="12">
      <c r="A87" s="244"/>
      <c r="B87" s="260"/>
      <c r="C87" s="260"/>
      <c r="D87" s="260"/>
      <c r="E87" s="260"/>
      <c r="F87" s="265"/>
      <c r="G87" s="260"/>
    </row>
    <row r="88" spans="1:7" ht="12">
      <c r="A88" s="244"/>
      <c r="B88" s="260"/>
      <c r="C88" s="260"/>
      <c r="D88" s="260"/>
      <c r="E88" s="260"/>
      <c r="F88" s="265"/>
      <c r="G88" s="260"/>
    </row>
    <row r="89" spans="1:7" ht="12">
      <c r="A89" s="244"/>
      <c r="B89" s="260"/>
      <c r="C89" s="260"/>
      <c r="D89" s="260"/>
      <c r="E89" s="260"/>
      <c r="F89" s="265"/>
      <c r="G89" s="260"/>
    </row>
    <row r="90" spans="1:7" ht="12">
      <c r="A90" s="244"/>
      <c r="B90" s="260"/>
      <c r="C90" s="260"/>
      <c r="D90" s="260"/>
      <c r="E90" s="260"/>
      <c r="F90" s="265"/>
      <c r="G90" s="260"/>
    </row>
    <row r="91" spans="1:7" ht="12">
      <c r="A91" s="244"/>
      <c r="B91" s="260"/>
      <c r="C91" s="260"/>
      <c r="D91" s="260"/>
      <c r="E91" s="260"/>
      <c r="F91" s="265"/>
      <c r="G91" s="260"/>
    </row>
    <row r="92" spans="1:7" ht="12">
      <c r="A92" s="244"/>
      <c r="B92" s="260"/>
      <c r="C92" s="260"/>
      <c r="D92" s="260"/>
      <c r="E92" s="260"/>
      <c r="F92" s="265"/>
      <c r="G92" s="260"/>
    </row>
    <row r="93" spans="1:7" ht="12">
      <c r="A93" s="244"/>
      <c r="B93" s="260"/>
      <c r="C93" s="260"/>
      <c r="D93" s="260"/>
      <c r="E93" s="260"/>
      <c r="F93" s="265"/>
      <c r="G93" s="260"/>
    </row>
    <row r="94" spans="1:7" ht="12">
      <c r="A94" s="244"/>
      <c r="B94" s="260"/>
      <c r="C94" s="260"/>
      <c r="D94" s="260"/>
      <c r="E94" s="260"/>
      <c r="F94" s="265"/>
      <c r="G94" s="260"/>
    </row>
    <row r="95" spans="1:7" ht="12">
      <c r="A95" s="244"/>
      <c r="B95" s="260"/>
      <c r="C95" s="260"/>
      <c r="D95" s="260"/>
      <c r="E95" s="260"/>
      <c r="F95" s="265"/>
      <c r="G95" s="260"/>
    </row>
    <row r="96" spans="1:7" ht="12">
      <c r="A96" s="244"/>
      <c r="B96" s="260"/>
      <c r="C96" s="260"/>
      <c r="D96" s="260"/>
      <c r="E96" s="260"/>
      <c r="F96" s="265"/>
      <c r="G96" s="260"/>
    </row>
    <row r="97" spans="1:7" ht="12">
      <c r="A97" s="244"/>
      <c r="B97" s="260"/>
      <c r="C97" s="260"/>
      <c r="D97" s="260"/>
      <c r="E97" s="260"/>
      <c r="F97" s="265"/>
      <c r="G97" s="260"/>
    </row>
    <row r="98" spans="1:7" ht="12">
      <c r="A98" s="244"/>
      <c r="B98" s="260"/>
      <c r="C98" s="260"/>
      <c r="D98" s="260"/>
      <c r="E98" s="260"/>
      <c r="F98" s="265"/>
      <c r="G98" s="260"/>
    </row>
    <row r="99" spans="1:7" ht="12">
      <c r="A99" s="244"/>
      <c r="B99" s="260"/>
      <c r="C99" s="260"/>
      <c r="D99" s="260"/>
      <c r="E99" s="260"/>
      <c r="F99" s="265"/>
      <c r="G99" s="260"/>
    </row>
    <row r="100" spans="1:7" ht="12">
      <c r="A100" s="244"/>
      <c r="B100" s="260"/>
      <c r="C100" s="260"/>
      <c r="D100" s="260"/>
      <c r="E100" s="260"/>
      <c r="F100" s="265"/>
      <c r="G100" s="260"/>
    </row>
    <row r="101" spans="1:7" ht="12">
      <c r="A101" s="244"/>
      <c r="B101" s="260"/>
      <c r="C101" s="260"/>
      <c r="D101" s="260"/>
      <c r="E101" s="260"/>
      <c r="F101" s="265"/>
      <c r="G101" s="260"/>
    </row>
    <row r="102" spans="1:7" ht="12">
      <c r="A102" s="244"/>
      <c r="B102" s="260"/>
      <c r="C102" s="260"/>
      <c r="D102" s="260"/>
      <c r="E102" s="260"/>
      <c r="F102" s="265"/>
      <c r="G102" s="260"/>
    </row>
    <row r="103" spans="1:7" ht="12">
      <c r="A103" s="244"/>
      <c r="B103" s="260"/>
      <c r="C103" s="260"/>
      <c r="D103" s="260"/>
      <c r="E103" s="260"/>
      <c r="F103" s="265"/>
      <c r="G103" s="260"/>
    </row>
    <row r="104" spans="1:7" ht="12">
      <c r="A104" s="244"/>
      <c r="B104" s="260"/>
      <c r="C104" s="260"/>
      <c r="D104" s="260"/>
      <c r="E104" s="260"/>
      <c r="F104" s="265"/>
      <c r="G104" s="260"/>
    </row>
    <row r="105" spans="1:7" ht="12">
      <c r="A105" s="244"/>
      <c r="B105" s="260"/>
      <c r="C105" s="260"/>
      <c r="D105" s="260"/>
      <c r="E105" s="260"/>
      <c r="F105" s="265"/>
      <c r="G105" s="260"/>
    </row>
    <row r="106" spans="1:7" ht="12">
      <c r="A106" s="244"/>
      <c r="B106" s="260"/>
      <c r="C106" s="260"/>
      <c r="D106" s="260"/>
      <c r="E106" s="260"/>
      <c r="F106" s="265"/>
      <c r="G106" s="260"/>
    </row>
    <row r="107" spans="1:7" ht="12">
      <c r="A107" s="244"/>
      <c r="B107" s="260"/>
      <c r="C107" s="260"/>
      <c r="D107" s="260"/>
      <c r="E107" s="260"/>
      <c r="F107" s="265"/>
      <c r="G107" s="260"/>
    </row>
    <row r="108" spans="1:7" ht="12">
      <c r="A108" s="244"/>
      <c r="B108" s="260"/>
      <c r="C108" s="260"/>
      <c r="D108" s="260"/>
      <c r="E108" s="260"/>
      <c r="F108" s="265"/>
      <c r="G108" s="260"/>
    </row>
    <row r="109" spans="1:7" ht="12">
      <c r="A109" s="244"/>
      <c r="B109" s="260"/>
      <c r="C109" s="260"/>
      <c r="D109" s="260"/>
      <c r="E109" s="260"/>
      <c r="F109" s="262"/>
      <c r="G109" s="260"/>
    </row>
    <row r="110" spans="1:7" ht="12">
      <c r="A110" s="244"/>
      <c r="B110" s="260"/>
      <c r="C110" s="260"/>
      <c r="D110" s="260"/>
      <c r="E110" s="261"/>
      <c r="F110" s="262"/>
      <c r="G110" s="260"/>
    </row>
    <row r="111" spans="1:7" ht="12">
      <c r="A111" s="244"/>
      <c r="B111" s="266"/>
      <c r="C111" s="267"/>
      <c r="D111" s="260"/>
      <c r="E111" s="261"/>
      <c r="F111" s="264"/>
      <c r="G111" s="260"/>
    </row>
    <row r="112" spans="1:7" ht="12">
      <c r="A112" s="244"/>
      <c r="B112" s="260"/>
      <c r="C112" s="260"/>
      <c r="D112" s="260"/>
      <c r="E112" s="261"/>
      <c r="F112" s="262"/>
      <c r="G112" s="260"/>
    </row>
  </sheetData>
  <customSheetViews>
    <customSheetView guid="{5BE913A1-B14F-11D2-B0DC-0000832CDFF0}" fitToPage="1" showRuler="0" topLeftCell="A45">
      <selection activeCell="G61" sqref="G61"/>
      <pageMargins left="0.75" right="0.75" top="0.5" bottom="0.5" header="0.5" footer="0.5"/>
      <pageSetup scale="84" orientation="portrait" horizontalDpi="4294967292" verticalDpi="0" r:id="rId1"/>
      <headerFooter alignWithMargins="0"/>
    </customSheetView>
    <customSheetView guid="{A15D1964-B049-11D2-8670-0000832CEEE8}" fitToPage="1" showRuler="0" topLeftCell="A45">
      <selection activeCell="G61" sqref="G61"/>
      <pageMargins left="0.75" right="0.75" top="0.5" bottom="0.5" header="0.5" footer="0.5"/>
      <pageSetup scale="84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12"/>
  <sheetViews>
    <sheetView workbookViewId="0">
      <selection activeCell="F2" sqref="F2"/>
    </sheetView>
  </sheetViews>
  <sheetFormatPr defaultColWidth="12.42578125" defaultRowHeight="11.1" customHeight="1"/>
  <cols>
    <col min="1" max="1" width="5.5703125" style="104" customWidth="1"/>
    <col min="2" max="2" width="26.140625" style="104" customWidth="1"/>
    <col min="3" max="3" width="12.42578125" style="104" customWidth="1"/>
    <col min="4" max="4" width="6.7109375" style="104" customWidth="1"/>
    <col min="5" max="5" width="12.42578125" style="121" customWidth="1"/>
    <col min="6" max="6" width="12.42578125" style="122" customWidth="1"/>
    <col min="7" max="7" width="12.42578125" style="121" customWidth="1"/>
    <col min="8" max="16384" width="12.42578125" style="104"/>
  </cols>
  <sheetData>
    <row r="1" spans="1:8" ht="12">
      <c r="A1" s="101" t="str">
        <f>Inputs!$D$6</f>
        <v>AVISTA UTILITIES</v>
      </c>
      <c r="B1" s="101"/>
      <c r="C1" s="101"/>
      <c r="D1" s="101"/>
      <c r="E1" s="102"/>
      <c r="F1" s="103"/>
      <c r="G1" s="102"/>
    </row>
    <row r="2" spans="1:8" ht="12">
      <c r="A2" s="101" t="s">
        <v>125</v>
      </c>
      <c r="B2" s="101"/>
      <c r="C2" s="101"/>
      <c r="D2" s="101"/>
      <c r="E2" s="102"/>
      <c r="F2" s="105" t="s">
        <v>167</v>
      </c>
      <c r="G2" s="102"/>
    </row>
    <row r="3" spans="1:8" ht="12">
      <c r="A3" s="101" t="str">
        <f>Inputs!$D$2</f>
        <v>TWELVE MONTHS ENDED SEPTEMBER 30, 2008</v>
      </c>
      <c r="B3" s="101"/>
      <c r="C3" s="101"/>
      <c r="D3" s="101"/>
      <c r="E3" s="102"/>
      <c r="F3" s="105" t="s">
        <v>168</v>
      </c>
      <c r="G3" s="104"/>
    </row>
    <row r="4" spans="1:8" ht="12">
      <c r="A4" s="101" t="s">
        <v>128</v>
      </c>
      <c r="B4" s="101"/>
      <c r="C4" s="101"/>
      <c r="D4" s="101"/>
      <c r="E4" s="106"/>
      <c r="F4" s="107" t="s">
        <v>129</v>
      </c>
      <c r="G4" s="106"/>
    </row>
    <row r="5" spans="1:8" ht="12">
      <c r="A5" s="108" t="s">
        <v>10</v>
      </c>
      <c r="E5" s="102"/>
      <c r="F5" s="105"/>
      <c r="G5" s="102"/>
    </row>
    <row r="6" spans="1:8" ht="12">
      <c r="A6" s="109" t="s">
        <v>27</v>
      </c>
      <c r="B6" s="110" t="s">
        <v>113</v>
      </c>
      <c r="C6" s="110"/>
      <c r="E6" s="111" t="s">
        <v>130</v>
      </c>
      <c r="F6" s="112" t="s">
        <v>131</v>
      </c>
      <c r="G6" s="111" t="s">
        <v>132</v>
      </c>
      <c r="H6" s="113" t="s">
        <v>133</v>
      </c>
    </row>
    <row r="7" spans="1:8" ht="12">
      <c r="A7" s="108"/>
      <c r="B7" s="104" t="s">
        <v>68</v>
      </c>
      <c r="E7" s="114"/>
      <c r="F7" s="105"/>
      <c r="G7" s="114"/>
    </row>
    <row r="8" spans="1:8" ht="12">
      <c r="A8" s="108">
        <v>1</v>
      </c>
      <c r="B8" s="104" t="s">
        <v>134</v>
      </c>
      <c r="E8" s="115"/>
      <c r="F8" s="115"/>
      <c r="G8" s="115"/>
      <c r="H8" s="116" t="str">
        <f>IF(E8=F8+G8," ","ERROR")</f>
        <v xml:space="preserve"> </v>
      </c>
    </row>
    <row r="9" spans="1:8" ht="12">
      <c r="A9" s="108">
        <v>2</v>
      </c>
      <c r="B9" s="104" t="s">
        <v>135</v>
      </c>
      <c r="E9" s="117"/>
      <c r="F9" s="117"/>
      <c r="G9" s="117"/>
      <c r="H9" s="116" t="str">
        <f>IF(E9=F9+G9," ","ERROR")</f>
        <v xml:space="preserve"> </v>
      </c>
    </row>
    <row r="10" spans="1:8" ht="12">
      <c r="A10" s="108">
        <v>3</v>
      </c>
      <c r="B10" s="104" t="s">
        <v>71</v>
      </c>
      <c r="E10" s="118"/>
      <c r="F10" s="118"/>
      <c r="G10" s="118"/>
      <c r="H10" s="116" t="str">
        <f>IF(E10=F10+G10," ","ERROR")</f>
        <v xml:space="preserve"> </v>
      </c>
    </row>
    <row r="11" spans="1:8" ht="12">
      <c r="A11" s="108">
        <v>4</v>
      </c>
      <c r="B11" s="104" t="s">
        <v>136</v>
      </c>
      <c r="E11" s="117">
        <f>SUM(E8:E10)</f>
        <v>0</v>
      </c>
      <c r="F11" s="117">
        <f>SUM(F8:F10)</f>
        <v>0</v>
      </c>
      <c r="G11" s="117">
        <f>SUM(G8:G10)</f>
        <v>0</v>
      </c>
      <c r="H11" s="116" t="str">
        <f>IF(E11=F11+G11," ","ERROR")</f>
        <v xml:space="preserve"> </v>
      </c>
    </row>
    <row r="12" spans="1:8" ht="12">
      <c r="A12" s="108"/>
      <c r="E12" s="117"/>
      <c r="F12" s="117"/>
      <c r="G12" s="117"/>
      <c r="H12" s="116"/>
    </row>
    <row r="13" spans="1:8" ht="12">
      <c r="A13" s="108"/>
      <c r="B13" s="104" t="s">
        <v>73</v>
      </c>
      <c r="E13" s="117"/>
      <c r="F13" s="117"/>
      <c r="G13" s="117"/>
      <c r="H13" s="116"/>
    </row>
    <row r="14" spans="1:8" ht="12">
      <c r="A14" s="108">
        <v>5</v>
      </c>
      <c r="B14" s="104" t="s">
        <v>137</v>
      </c>
      <c r="E14" s="117"/>
      <c r="F14" s="117"/>
      <c r="G14" s="117"/>
      <c r="H14" s="116" t="str">
        <f>IF(E14=F14+G14," ","ERROR")</f>
        <v xml:space="preserve"> </v>
      </c>
    </row>
    <row r="15" spans="1:8" ht="12">
      <c r="A15" s="108"/>
      <c r="B15" s="104" t="s">
        <v>75</v>
      </c>
      <c r="E15" s="117"/>
      <c r="F15" s="117"/>
      <c r="G15" s="117"/>
      <c r="H15" s="116"/>
    </row>
    <row r="16" spans="1:8" ht="12">
      <c r="A16" s="108">
        <v>6</v>
      </c>
      <c r="B16" s="104" t="s">
        <v>138</v>
      </c>
      <c r="E16" s="117"/>
      <c r="F16" s="117"/>
      <c r="G16" s="117"/>
      <c r="H16" s="116" t="str">
        <f>IF(E16=F16+G16," ","ERROR")</f>
        <v xml:space="preserve"> </v>
      </c>
    </row>
    <row r="17" spans="1:8" ht="12">
      <c r="A17" s="108">
        <v>7</v>
      </c>
      <c r="B17" s="104" t="s">
        <v>139</v>
      </c>
      <c r="E17" s="117"/>
      <c r="F17" s="117"/>
      <c r="G17" s="117"/>
      <c r="H17" s="116" t="str">
        <f>IF(E17=F17+G17," ","ERROR")</f>
        <v xml:space="preserve"> </v>
      </c>
    </row>
    <row r="18" spans="1:8" ht="12">
      <c r="A18" s="108">
        <v>8</v>
      </c>
      <c r="B18" s="104" t="s">
        <v>140</v>
      </c>
      <c r="E18" s="118"/>
      <c r="F18" s="118"/>
      <c r="G18" s="118"/>
      <c r="H18" s="116" t="str">
        <f>IF(E18=F18+G18," ","ERROR")</f>
        <v xml:space="preserve"> </v>
      </c>
    </row>
    <row r="19" spans="1:8" ht="12">
      <c r="A19" s="108">
        <v>9</v>
      </c>
      <c r="B19" s="104" t="s">
        <v>141</v>
      </c>
      <c r="E19" s="117">
        <f>SUM(E16:E18)</f>
        <v>0</v>
      </c>
      <c r="F19" s="117">
        <f>SUM(F16:F18)</f>
        <v>0</v>
      </c>
      <c r="G19" s="117">
        <f>SUM(G16:G18)</f>
        <v>0</v>
      </c>
      <c r="H19" s="116" t="str">
        <f>IF(E19=F19+G19," ","ERROR")</f>
        <v xml:space="preserve"> </v>
      </c>
    </row>
    <row r="20" spans="1:8" ht="12">
      <c r="A20" s="108"/>
      <c r="B20" s="104" t="s">
        <v>80</v>
      </c>
      <c r="E20" s="117"/>
      <c r="F20" s="117"/>
      <c r="G20" s="117"/>
      <c r="H20" s="116"/>
    </row>
    <row r="21" spans="1:8" ht="12">
      <c r="A21" s="108">
        <v>10</v>
      </c>
      <c r="B21" s="104" t="s">
        <v>142</v>
      </c>
      <c r="E21" s="117"/>
      <c r="F21" s="117"/>
      <c r="G21" s="117"/>
      <c r="H21" s="116" t="str">
        <f>IF(E21=F21+G21," ","ERROR")</f>
        <v xml:space="preserve"> </v>
      </c>
    </row>
    <row r="22" spans="1:8" ht="12">
      <c r="A22" s="108">
        <v>11</v>
      </c>
      <c r="B22" s="104" t="s">
        <v>143</v>
      </c>
      <c r="E22" s="117"/>
      <c r="F22" s="117"/>
      <c r="G22" s="117"/>
      <c r="H22" s="116" t="str">
        <f>IF(E22=F22+G22," ","ERROR")</f>
        <v xml:space="preserve"> </v>
      </c>
    </row>
    <row r="23" spans="1:8" ht="12">
      <c r="A23" s="108">
        <v>12</v>
      </c>
      <c r="B23" s="104" t="s">
        <v>144</v>
      </c>
      <c r="E23" s="118"/>
      <c r="F23" s="118"/>
      <c r="G23" s="118"/>
      <c r="H23" s="116" t="str">
        <f>IF(E23=F23+G23," ","ERROR")</f>
        <v xml:space="preserve"> </v>
      </c>
    </row>
    <row r="24" spans="1:8" ht="12">
      <c r="A24" s="108">
        <v>13</v>
      </c>
      <c r="B24" s="104" t="s">
        <v>145</v>
      </c>
      <c r="E24" s="117">
        <f>SUM(E21:E23)</f>
        <v>0</v>
      </c>
      <c r="F24" s="117">
        <f>SUM(F21:F23)</f>
        <v>0</v>
      </c>
      <c r="G24" s="117">
        <f>SUM(G21:G23)</f>
        <v>0</v>
      </c>
      <c r="H24" s="116" t="str">
        <f>IF(E24=F24+G24," ","ERROR")</f>
        <v xml:space="preserve"> </v>
      </c>
    </row>
    <row r="25" spans="1:8" ht="12">
      <c r="A25" s="108"/>
      <c r="B25" s="104" t="s">
        <v>84</v>
      </c>
      <c r="E25" s="117"/>
      <c r="F25" s="117"/>
      <c r="G25" s="117"/>
      <c r="H25" s="116"/>
    </row>
    <row r="26" spans="1:8" ht="12">
      <c r="A26" s="108">
        <v>14</v>
      </c>
      <c r="B26" s="104" t="s">
        <v>142</v>
      </c>
      <c r="E26" s="117"/>
      <c r="F26" s="117"/>
      <c r="G26" s="117"/>
      <c r="H26" s="116" t="str">
        <f>IF(E26=F26+G26," ","ERROR")</f>
        <v xml:space="preserve"> </v>
      </c>
    </row>
    <row r="27" spans="1:8" ht="12">
      <c r="A27" s="108">
        <v>15</v>
      </c>
      <c r="B27" s="104" t="s">
        <v>143</v>
      </c>
      <c r="E27" s="117"/>
      <c r="F27" s="117"/>
      <c r="G27" s="117"/>
      <c r="H27" s="116" t="str">
        <f>IF(E27=F27+G27," ","ERROR")</f>
        <v xml:space="preserve"> </v>
      </c>
    </row>
    <row r="28" spans="1:8" ht="12">
      <c r="A28" s="108">
        <v>16</v>
      </c>
      <c r="B28" s="104" t="s">
        <v>144</v>
      </c>
      <c r="E28" s="118">
        <f>F28+G28</f>
        <v>0</v>
      </c>
      <c r="F28" s="118"/>
      <c r="G28" s="118"/>
      <c r="H28" s="116" t="str">
        <f>IF(E28=F28+G28," ","ERROR")</f>
        <v xml:space="preserve"> </v>
      </c>
    </row>
    <row r="29" spans="1:8" ht="12">
      <c r="A29" s="108">
        <v>17</v>
      </c>
      <c r="B29" s="104" t="s">
        <v>146</v>
      </c>
      <c r="E29" s="117">
        <f>SUM(E26:E28)</f>
        <v>0</v>
      </c>
      <c r="F29" s="117">
        <f>SUM(F26:F28)</f>
        <v>0</v>
      </c>
      <c r="G29" s="117">
        <f>SUM(G26:G28)</f>
        <v>0</v>
      </c>
      <c r="H29" s="116" t="str">
        <f>IF(E29=F29+G29," ","ERROR")</f>
        <v xml:space="preserve"> </v>
      </c>
    </row>
    <row r="30" spans="1:8" ht="12">
      <c r="A30" s="108"/>
      <c r="E30" s="117"/>
      <c r="F30" s="117"/>
      <c r="G30" s="117"/>
      <c r="H30" s="116"/>
    </row>
    <row r="31" spans="1:8" ht="12">
      <c r="A31" s="108">
        <v>18</v>
      </c>
      <c r="B31" s="104" t="s">
        <v>86</v>
      </c>
      <c r="E31" s="117"/>
      <c r="F31" s="117"/>
      <c r="G31" s="117"/>
      <c r="H31" s="116" t="str">
        <f>IF(E31=F31+G31," ","ERROR")</f>
        <v xml:space="preserve"> </v>
      </c>
    </row>
    <row r="32" spans="1:8" ht="12">
      <c r="A32" s="108">
        <v>19</v>
      </c>
      <c r="B32" s="104" t="s">
        <v>87</v>
      </c>
      <c r="E32" s="117"/>
      <c r="F32" s="117"/>
      <c r="G32" s="117"/>
      <c r="H32" s="116" t="str">
        <f>IF(E32=F32+G32," ","ERROR")</f>
        <v xml:space="preserve"> </v>
      </c>
    </row>
    <row r="33" spans="1:8" ht="12">
      <c r="A33" s="108">
        <v>20</v>
      </c>
      <c r="B33" s="104" t="s">
        <v>147</v>
      </c>
      <c r="E33" s="117"/>
      <c r="F33" s="117"/>
      <c r="G33" s="117"/>
      <c r="H33" s="116" t="str">
        <f>IF(E33=F33+G33," ","ERROR")</f>
        <v xml:space="preserve"> </v>
      </c>
    </row>
    <row r="34" spans="1:8" ht="12">
      <c r="A34" s="108"/>
      <c r="B34" s="104" t="s">
        <v>148</v>
      </c>
      <c r="E34" s="117"/>
      <c r="F34" s="117"/>
      <c r="G34" s="117"/>
      <c r="H34" s="116"/>
    </row>
    <row r="35" spans="1:8" ht="12">
      <c r="A35" s="108">
        <v>21</v>
      </c>
      <c r="B35" s="104" t="s">
        <v>142</v>
      </c>
      <c r="E35" s="117"/>
      <c r="F35" s="117"/>
      <c r="G35" s="117"/>
      <c r="H35" s="116" t="str">
        <f>IF(E35=F35+G35," ","ERROR")</f>
        <v xml:space="preserve"> </v>
      </c>
    </row>
    <row r="36" spans="1:8" ht="12">
      <c r="A36" s="108">
        <v>22</v>
      </c>
      <c r="B36" s="104" t="s">
        <v>143</v>
      </c>
      <c r="E36" s="117"/>
      <c r="F36" s="117"/>
      <c r="G36" s="117"/>
      <c r="H36" s="116" t="str">
        <f>IF(E36=F36+G36," ","ERROR")</f>
        <v xml:space="preserve"> </v>
      </c>
    </row>
    <row r="37" spans="1:8" ht="12">
      <c r="A37" s="108">
        <v>23</v>
      </c>
      <c r="B37" s="104" t="s">
        <v>144</v>
      </c>
      <c r="E37" s="118"/>
      <c r="F37" s="118"/>
      <c r="G37" s="118"/>
      <c r="H37" s="116" t="str">
        <f>IF(E37=F37+G37," ","ERROR")</f>
        <v xml:space="preserve"> </v>
      </c>
    </row>
    <row r="38" spans="1:8" ht="12">
      <c r="A38" s="108">
        <v>24</v>
      </c>
      <c r="B38" s="104" t="s">
        <v>149</v>
      </c>
      <c r="E38" s="118">
        <f>SUM(E35:E37)</f>
        <v>0</v>
      </c>
      <c r="F38" s="118">
        <f>SUM(F35:F37)</f>
        <v>0</v>
      </c>
      <c r="G38" s="118">
        <f>SUM(G35:G37)</f>
        <v>0</v>
      </c>
      <c r="H38" s="116" t="str">
        <f>IF(E38=F38+G38," ","ERROR")</f>
        <v xml:space="preserve"> </v>
      </c>
    </row>
    <row r="39" spans="1:8" ht="12">
      <c r="A39" s="108">
        <v>25</v>
      </c>
      <c r="B39" s="104" t="s">
        <v>91</v>
      </c>
      <c r="E39" s="118">
        <f>E19+E24+E29+E31+E32+E33+E38+E14</f>
        <v>0</v>
      </c>
      <c r="F39" s="118">
        <f>F19+F24+F29+F31+F32+F33+F38+F14</f>
        <v>0</v>
      </c>
      <c r="G39" s="118">
        <f>G19+G24+G29+G31+G32+G33+G38+G14</f>
        <v>0</v>
      </c>
      <c r="H39" s="116" t="str">
        <f>IF(E39=F39+G39," ","ERROR")</f>
        <v xml:space="preserve"> </v>
      </c>
    </row>
    <row r="40" spans="1:8" ht="12">
      <c r="A40" s="108"/>
      <c r="E40" s="117"/>
      <c r="F40" s="117"/>
      <c r="G40" s="117"/>
      <c r="H40" s="116"/>
    </row>
    <row r="41" spans="1:8" ht="12">
      <c r="A41" s="108">
        <v>26</v>
      </c>
      <c r="B41" s="104" t="s">
        <v>150</v>
      </c>
      <c r="E41" s="117">
        <f>E11-E39</f>
        <v>0</v>
      </c>
      <c r="F41" s="117">
        <f>F11-F39</f>
        <v>0</v>
      </c>
      <c r="G41" s="117">
        <f>G11-G39</f>
        <v>0</v>
      </c>
      <c r="H41" s="116" t="str">
        <f>IF(E41=F41+G41," ","ERROR")</f>
        <v xml:space="preserve"> </v>
      </c>
    </row>
    <row r="42" spans="1:8" ht="12">
      <c r="A42" s="108"/>
      <c r="E42" s="117"/>
      <c r="F42" s="117"/>
      <c r="G42" s="117"/>
      <c r="H42" s="116"/>
    </row>
    <row r="43" spans="1:8" ht="12">
      <c r="A43" s="108"/>
      <c r="B43" s="104" t="s">
        <v>151</v>
      </c>
      <c r="E43" s="117"/>
      <c r="F43" s="117"/>
      <c r="G43" s="117"/>
      <c r="H43" s="116"/>
    </row>
    <row r="44" spans="1:8" ht="12">
      <c r="A44" s="108">
        <v>27</v>
      </c>
      <c r="B44" s="119" t="s">
        <v>152</v>
      </c>
      <c r="D44" s="120">
        <v>0.35</v>
      </c>
      <c r="E44" s="117">
        <f>F44+G44</f>
        <v>0</v>
      </c>
      <c r="F44" s="117">
        <f>ROUND(F41*D44,0)</f>
        <v>0</v>
      </c>
      <c r="G44" s="117">
        <f>ROUND(G41*D44,0)</f>
        <v>0</v>
      </c>
      <c r="H44" s="116" t="str">
        <f>IF(E44=F44+G44," ","ERROR")</f>
        <v xml:space="preserve"> </v>
      </c>
    </row>
    <row r="45" spans="1:8" ht="12">
      <c r="A45" s="108">
        <v>28</v>
      </c>
      <c r="B45" s="104" t="s">
        <v>154</v>
      </c>
      <c r="E45" s="117"/>
      <c r="F45" s="117"/>
      <c r="G45" s="117"/>
      <c r="H45" s="116" t="str">
        <f>IF(E45=F45+G45," ","ERROR")</f>
        <v xml:space="preserve"> </v>
      </c>
    </row>
    <row r="46" spans="1:8" ht="12">
      <c r="A46" s="108">
        <v>29</v>
      </c>
      <c r="B46" s="104" t="s">
        <v>153</v>
      </c>
      <c r="E46" s="118"/>
      <c r="F46" s="118"/>
      <c r="G46" s="118"/>
      <c r="H46" s="116" t="str">
        <f>IF(E46=F46+G46," ","ERROR")</f>
        <v xml:space="preserve"> </v>
      </c>
    </row>
    <row r="47" spans="1:8" ht="12">
      <c r="A47" s="108"/>
      <c r="H47" s="116"/>
    </row>
    <row r="48" spans="1:8" ht="12.75" thickBot="1">
      <c r="A48" s="108">
        <v>30</v>
      </c>
      <c r="B48" s="123" t="s">
        <v>97</v>
      </c>
      <c r="E48" s="124">
        <f>E41-(+E44+E45+E46)</f>
        <v>0</v>
      </c>
      <c r="F48" s="124">
        <f>F41-F44+F45+F46</f>
        <v>0</v>
      </c>
      <c r="G48" s="124">
        <f>G41-SUM(G44:G46)</f>
        <v>0</v>
      </c>
      <c r="H48" s="116" t="str">
        <f>IF(E48=F48+G48," ","ERROR")</f>
        <v xml:space="preserve"> </v>
      </c>
    </row>
    <row r="49" spans="1:8" ht="12.75" thickTop="1">
      <c r="A49" s="108"/>
      <c r="H49" s="116"/>
    </row>
    <row r="50" spans="1:8" ht="12">
      <c r="A50" s="108"/>
      <c r="B50" s="119" t="s">
        <v>155</v>
      </c>
      <c r="H50" s="116"/>
    </row>
    <row r="51" spans="1:8" ht="12">
      <c r="A51" s="108"/>
      <c r="B51" s="119" t="s">
        <v>156</v>
      </c>
      <c r="H51" s="116"/>
    </row>
    <row r="52" spans="1:8" ht="12">
      <c r="A52" s="108">
        <v>31</v>
      </c>
      <c r="B52" s="104" t="s">
        <v>157</v>
      </c>
      <c r="E52" s="115"/>
      <c r="F52" s="115"/>
      <c r="G52" s="115"/>
      <c r="H52" s="116" t="str">
        <f t="shared" ref="H52:H63" si="0">IF(E52=F52+G52," ","ERROR")</f>
        <v xml:space="preserve"> </v>
      </c>
    </row>
    <row r="53" spans="1:8" ht="12">
      <c r="A53" s="108">
        <v>32</v>
      </c>
      <c r="B53" s="104" t="s">
        <v>158</v>
      </c>
      <c r="E53" s="117"/>
      <c r="F53" s="117"/>
      <c r="G53" s="117"/>
      <c r="H53" s="116" t="str">
        <f t="shared" si="0"/>
        <v xml:space="preserve"> </v>
      </c>
    </row>
    <row r="54" spans="1:8" ht="12">
      <c r="A54" s="108">
        <v>33</v>
      </c>
      <c r="B54" s="104" t="s">
        <v>166</v>
      </c>
      <c r="E54" s="118"/>
      <c r="F54" s="118"/>
      <c r="G54" s="118"/>
      <c r="H54" s="116" t="str">
        <f t="shared" si="0"/>
        <v xml:space="preserve"> </v>
      </c>
    </row>
    <row r="55" spans="1:8" ht="12">
      <c r="A55" s="108">
        <v>34</v>
      </c>
      <c r="B55" s="104" t="s">
        <v>160</v>
      </c>
      <c r="E55" s="117">
        <f>SUM(E52:E54)</f>
        <v>0</v>
      </c>
      <c r="F55" s="117">
        <f>SUM(F52:F54)</f>
        <v>0</v>
      </c>
      <c r="G55" s="117">
        <f>SUM(G52:G54)</f>
        <v>0</v>
      </c>
      <c r="H55" s="116" t="str">
        <f t="shared" si="0"/>
        <v xml:space="preserve"> </v>
      </c>
    </row>
    <row r="56" spans="1:8" ht="12">
      <c r="A56" s="108"/>
      <c r="B56" s="104" t="s">
        <v>102</v>
      </c>
      <c r="E56" s="117"/>
      <c r="F56" s="117"/>
      <c r="G56" s="117"/>
      <c r="H56" s="116" t="str">
        <f t="shared" si="0"/>
        <v xml:space="preserve"> </v>
      </c>
    </row>
    <row r="57" spans="1:8" ht="12" customHeight="1">
      <c r="A57" s="108">
        <v>35</v>
      </c>
      <c r="B57" s="104" t="s">
        <v>157</v>
      </c>
      <c r="E57" s="117"/>
      <c r="F57" s="117"/>
      <c r="G57" s="117"/>
      <c r="H57" s="116" t="str">
        <f t="shared" si="0"/>
        <v xml:space="preserve"> </v>
      </c>
    </row>
    <row r="58" spans="1:8" ht="12">
      <c r="A58" s="108">
        <v>36</v>
      </c>
      <c r="B58" s="104" t="s">
        <v>158</v>
      </c>
      <c r="E58" s="117"/>
      <c r="F58" s="117"/>
      <c r="G58" s="117"/>
      <c r="H58" s="116" t="str">
        <f t="shared" si="0"/>
        <v xml:space="preserve"> </v>
      </c>
    </row>
    <row r="59" spans="1:8" ht="12">
      <c r="A59" s="108">
        <v>37</v>
      </c>
      <c r="B59" s="104" t="s">
        <v>166</v>
      </c>
      <c r="E59" s="118"/>
      <c r="F59" s="118"/>
      <c r="G59" s="118"/>
      <c r="H59" s="116" t="str">
        <f t="shared" si="0"/>
        <v xml:space="preserve"> </v>
      </c>
    </row>
    <row r="60" spans="1:8" ht="12">
      <c r="A60" s="108">
        <v>38</v>
      </c>
      <c r="B60" s="104" t="s">
        <v>161</v>
      </c>
      <c r="E60" s="117">
        <f>SUM(E57:E59)</f>
        <v>0</v>
      </c>
      <c r="F60" s="117">
        <f>SUM(F57:F59)</f>
        <v>0</v>
      </c>
      <c r="G60" s="117">
        <f>SUM(G57:G59)</f>
        <v>0</v>
      </c>
      <c r="H60" s="116" t="str">
        <f t="shared" si="0"/>
        <v xml:space="preserve"> </v>
      </c>
    </row>
    <row r="61" spans="1:8" ht="12">
      <c r="A61" s="108">
        <v>39</v>
      </c>
      <c r="B61" s="119" t="s">
        <v>162</v>
      </c>
      <c r="E61" s="117">
        <f>SUM(F61:G61)</f>
        <v>23</v>
      </c>
      <c r="F61" s="117">
        <v>23</v>
      </c>
      <c r="G61" s="117">
        <v>0</v>
      </c>
      <c r="H61" s="116" t="str">
        <f t="shared" si="0"/>
        <v xml:space="preserve"> </v>
      </c>
    </row>
    <row r="62" spans="1:8" ht="12">
      <c r="A62" s="108">
        <v>40</v>
      </c>
      <c r="B62" s="104" t="s">
        <v>105</v>
      </c>
      <c r="E62" s="117"/>
      <c r="F62" s="117"/>
      <c r="G62" s="117"/>
      <c r="H62" s="116" t="str">
        <f t="shared" si="0"/>
        <v xml:space="preserve"> </v>
      </c>
    </row>
    <row r="63" spans="1:8" ht="12">
      <c r="A63" s="108">
        <v>41</v>
      </c>
      <c r="B63" s="119" t="s">
        <v>106</v>
      </c>
      <c r="E63" s="118">
        <f>SUM(F63:G63)</f>
        <v>-65</v>
      </c>
      <c r="F63" s="118">
        <v>-65</v>
      </c>
      <c r="G63" s="118">
        <v>0</v>
      </c>
      <c r="H63" s="116" t="str">
        <f t="shared" si="0"/>
        <v xml:space="preserve"> </v>
      </c>
    </row>
    <row r="64" spans="1:8" ht="9" customHeight="1">
      <c r="A64" s="108"/>
      <c r="B64" s="104" t="s">
        <v>163</v>
      </c>
      <c r="H64" s="116"/>
    </row>
    <row r="65" spans="1:8" ht="12.75" thickBot="1">
      <c r="A65" s="108">
        <v>42</v>
      </c>
      <c r="B65" s="123" t="s">
        <v>107</v>
      </c>
      <c r="E65" s="124">
        <f>E55-E60+E61+E62+E63</f>
        <v>-42</v>
      </c>
      <c r="F65" s="124">
        <f>F55-F60+F61+F62+F63</f>
        <v>-42</v>
      </c>
      <c r="G65" s="124">
        <f>G55-G60+G61+G62+G63</f>
        <v>0</v>
      </c>
      <c r="H65" s="116" t="str">
        <f>IF(E65=F65+G65," ","ERROR")</f>
        <v xml:space="preserve"> </v>
      </c>
    </row>
    <row r="66" spans="1:8" ht="11.1" customHeight="1" thickTop="1">
      <c r="A66" s="101" t="str">
        <f>Inputs!$D$6</f>
        <v>AVISTA UTILITIES</v>
      </c>
      <c r="B66" s="101"/>
      <c r="C66" s="101"/>
    </row>
    <row r="67" spans="1:8" ht="11.1" customHeight="1">
      <c r="A67" s="101" t="s">
        <v>169</v>
      </c>
      <c r="B67" s="101"/>
      <c r="C67" s="101"/>
    </row>
    <row r="68" spans="1:8" ht="11.1" customHeight="1">
      <c r="A68" s="101" t="str">
        <f>A3</f>
        <v>TWELVE MONTHS ENDED SEPTEMBER 30, 2008</v>
      </c>
      <c r="B68" s="101"/>
      <c r="C68" s="101"/>
    </row>
    <row r="69" spans="1:8" ht="11.1" customHeight="1">
      <c r="A69" s="101" t="s">
        <v>170</v>
      </c>
      <c r="B69" s="101"/>
      <c r="C69" s="101"/>
    </row>
    <row r="71" spans="1:8" ht="11.1" customHeight="1">
      <c r="A71" s="108" t="s">
        <v>10</v>
      </c>
    </row>
    <row r="72" spans="1:8" ht="11.1" customHeight="1">
      <c r="A72" s="125" t="s">
        <v>27</v>
      </c>
      <c r="B72" s="110" t="s">
        <v>113</v>
      </c>
      <c r="C72" s="110"/>
    </row>
    <row r="73" spans="1:8" ht="11.1" customHeight="1">
      <c r="A73" s="108"/>
      <c r="B73" s="104" t="s">
        <v>68</v>
      </c>
    </row>
    <row r="74" spans="1:8" ht="11.1" customHeight="1">
      <c r="A74" s="108">
        <v>1</v>
      </c>
      <c r="B74" s="104" t="s">
        <v>134</v>
      </c>
    </row>
    <row r="75" spans="1:8" ht="11.1" customHeight="1">
      <c r="A75" s="108">
        <v>2</v>
      </c>
      <c r="B75" s="104" t="s">
        <v>135</v>
      </c>
    </row>
    <row r="76" spans="1:8" ht="11.1" customHeight="1">
      <c r="A76" s="108">
        <v>3</v>
      </c>
      <c r="B76" s="104" t="s">
        <v>71</v>
      </c>
    </row>
    <row r="77" spans="1:8" ht="11.1" customHeight="1">
      <c r="A77" s="108"/>
    </row>
    <row r="78" spans="1:8" ht="11.1" customHeight="1">
      <c r="A78" s="108">
        <v>4</v>
      </c>
      <c r="B78" s="104" t="s">
        <v>136</v>
      </c>
    </row>
    <row r="79" spans="1:8" ht="11.1" customHeight="1">
      <c r="A79" s="108"/>
    </row>
    <row r="80" spans="1:8" ht="11.1" customHeight="1">
      <c r="A80" s="108"/>
      <c r="B80" s="104" t="s">
        <v>73</v>
      </c>
    </row>
    <row r="81" spans="1:2" ht="11.1" customHeight="1">
      <c r="A81" s="108">
        <v>5</v>
      </c>
      <c r="B81" s="104" t="s">
        <v>137</v>
      </c>
    </row>
    <row r="82" spans="1:2" ht="11.1" customHeight="1">
      <c r="A82" s="108"/>
      <c r="B82" s="104" t="s">
        <v>75</v>
      </c>
    </row>
    <row r="83" spans="1:2" ht="11.1" customHeight="1">
      <c r="A83" s="108">
        <v>6</v>
      </c>
      <c r="B83" s="104" t="s">
        <v>138</v>
      </c>
    </row>
    <row r="84" spans="1:2" ht="11.1" customHeight="1">
      <c r="A84" s="108">
        <v>7</v>
      </c>
      <c r="B84" s="104" t="s">
        <v>139</v>
      </c>
    </row>
    <row r="85" spans="1:2" ht="11.1" customHeight="1">
      <c r="A85" s="108">
        <v>8</v>
      </c>
      <c r="B85" s="104" t="s">
        <v>140</v>
      </c>
    </row>
    <row r="86" spans="1:2" ht="11.1" customHeight="1">
      <c r="A86" s="108">
        <v>9</v>
      </c>
      <c r="B86" s="104" t="s">
        <v>141</v>
      </c>
    </row>
    <row r="87" spans="1:2" ht="11.1" customHeight="1">
      <c r="A87" s="108"/>
      <c r="B87" s="104" t="s">
        <v>80</v>
      </c>
    </row>
    <row r="88" spans="1:2" ht="11.1" customHeight="1">
      <c r="A88" s="108">
        <v>10</v>
      </c>
      <c r="B88" s="104" t="s">
        <v>142</v>
      </c>
    </row>
    <row r="89" spans="1:2" ht="11.1" customHeight="1">
      <c r="A89" s="108">
        <v>11</v>
      </c>
      <c r="B89" s="104" t="s">
        <v>143</v>
      </c>
    </row>
    <row r="90" spans="1:2" ht="11.1" customHeight="1">
      <c r="A90" s="108">
        <v>12</v>
      </c>
      <c r="B90" s="104" t="s">
        <v>144</v>
      </c>
    </row>
    <row r="91" spans="1:2" ht="11.1" customHeight="1">
      <c r="A91" s="108">
        <v>13</v>
      </c>
      <c r="B91" s="104" t="s">
        <v>145</v>
      </c>
    </row>
    <row r="92" spans="1:2" ht="11.1" customHeight="1">
      <c r="A92" s="108"/>
      <c r="B92" s="104" t="s">
        <v>84</v>
      </c>
    </row>
    <row r="93" spans="1:2" ht="11.1" customHeight="1">
      <c r="A93" s="108">
        <v>14</v>
      </c>
      <c r="B93" s="104" t="s">
        <v>142</v>
      </c>
    </row>
    <row r="94" spans="1:2" ht="11.1" customHeight="1">
      <c r="A94" s="108">
        <v>15</v>
      </c>
      <c r="B94" s="104" t="s">
        <v>143</v>
      </c>
    </row>
    <row r="95" spans="1:2" ht="11.1" customHeight="1">
      <c r="A95" s="108">
        <v>16</v>
      </c>
      <c r="B95" s="104" t="s">
        <v>144</v>
      </c>
    </row>
    <row r="96" spans="1:2" ht="11.1" customHeight="1">
      <c r="A96" s="108">
        <v>17</v>
      </c>
      <c r="B96" s="104" t="s">
        <v>146</v>
      </c>
    </row>
    <row r="97" spans="1:3" ht="11.1" customHeight="1">
      <c r="A97" s="108">
        <v>18</v>
      </c>
      <c r="B97" s="104" t="s">
        <v>86</v>
      </c>
    </row>
    <row r="98" spans="1:3" ht="11.1" customHeight="1">
      <c r="A98" s="108">
        <v>19</v>
      </c>
      <c r="B98" s="104" t="s">
        <v>87</v>
      </c>
    </row>
    <row r="99" spans="1:3" ht="11.1" customHeight="1">
      <c r="A99" s="108">
        <v>20</v>
      </c>
      <c r="B99" s="104" t="s">
        <v>147</v>
      </c>
    </row>
    <row r="100" spans="1:3" ht="11.1" customHeight="1">
      <c r="A100" s="108"/>
      <c r="B100" s="104" t="s">
        <v>148</v>
      </c>
    </row>
    <row r="101" spans="1:3" ht="11.1" customHeight="1">
      <c r="A101" s="108">
        <v>21</v>
      </c>
      <c r="B101" s="104" t="s">
        <v>142</v>
      </c>
    </row>
    <row r="102" spans="1:3" ht="11.1" customHeight="1">
      <c r="A102" s="108">
        <v>22</v>
      </c>
      <c r="B102" s="104" t="s">
        <v>143</v>
      </c>
    </row>
    <row r="103" spans="1:3" ht="11.1" customHeight="1">
      <c r="A103" s="108">
        <v>23</v>
      </c>
      <c r="B103" s="104" t="s">
        <v>144</v>
      </c>
    </row>
    <row r="104" spans="1:3" ht="11.1" customHeight="1">
      <c r="A104" s="108">
        <v>24</v>
      </c>
      <c r="B104" s="104" t="s">
        <v>149</v>
      </c>
    </row>
    <row r="105" spans="1:3" ht="11.1" customHeight="1">
      <c r="A105" s="108"/>
    </row>
    <row r="106" spans="1:3" ht="11.1" customHeight="1">
      <c r="A106" s="108">
        <v>25</v>
      </c>
      <c r="B106" s="104" t="s">
        <v>91</v>
      </c>
    </row>
    <row r="107" spans="1:3" ht="11.1" customHeight="1">
      <c r="A107" s="108"/>
    </row>
    <row r="108" spans="1:3" ht="11.1" customHeight="1">
      <c r="A108" s="108">
        <v>26</v>
      </c>
      <c r="B108" s="104" t="s">
        <v>171</v>
      </c>
    </row>
    <row r="109" spans="1:3" ht="11.1" customHeight="1">
      <c r="A109" s="108"/>
    </row>
    <row r="110" spans="1:3" ht="11.1" customHeight="1">
      <c r="A110" s="108">
        <v>27</v>
      </c>
      <c r="B110" s="104" t="s">
        <v>172</v>
      </c>
    </row>
    <row r="111" spans="1:3" ht="11.1" customHeight="1">
      <c r="A111" s="108"/>
      <c r="B111" s="126" t="s">
        <v>173</v>
      </c>
      <c r="C111" s="127">
        <f>Inputs!$D$4</f>
        <v>1.1416000000000001E-2</v>
      </c>
    </row>
    <row r="112" spans="1:3" ht="11.1" customHeight="1">
      <c r="A112" s="108"/>
    </row>
  </sheetData>
  <customSheetViews>
    <customSheetView guid="{5BE913A1-B14F-11D2-B0DC-0000832CDFF0}" showPageBreaks="1" printArea="1" showRuler="0" topLeftCell="A49">
      <selection activeCell="A66" sqref="A66:C66"/>
      <pageMargins left="1" right="0.5" top="0.5" bottom="0.5" header="0.5" footer="0.5"/>
      <pageSetup scale="83" orientation="portrait" horizontalDpi="300" verticalDpi="300" r:id="rId1"/>
      <headerFooter alignWithMargins="0"/>
    </customSheetView>
    <customSheetView guid="{A15D1964-B049-11D2-8670-0000832CEEE8}" showPageBreaks="1" printArea="1" showRuler="0" topLeftCell="A49">
      <selection activeCell="A66" sqref="A66:C66"/>
      <pageMargins left="1" right="0.5" top="0.5" bottom="0.5" header="0.5" footer="0.5"/>
      <pageSetup scale="83" orientation="portrait" horizontalDpi="300" verticalDpi="300" r:id="rId2"/>
      <headerFooter alignWithMargins="0"/>
    </customSheetView>
  </customSheetViews>
  <phoneticPr fontId="0" type="noConversion"/>
  <pageMargins left="1" right="0.5" top="0.5" bottom="0.5" header="0.5" footer="0.5"/>
  <pageSetup scale="90"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112"/>
  <sheetViews>
    <sheetView topLeftCell="B43" workbookViewId="0">
      <selection activeCell="G63" sqref="G63"/>
    </sheetView>
  </sheetViews>
  <sheetFormatPr defaultColWidth="12.42578125" defaultRowHeight="11.1" customHeight="1"/>
  <cols>
    <col min="1" max="1" width="5.5703125" style="269" customWidth="1"/>
    <col min="2" max="2" width="26.140625" style="269" customWidth="1"/>
    <col min="3" max="3" width="12.42578125" style="269" customWidth="1"/>
    <col min="4" max="4" width="6.7109375" style="269" customWidth="1"/>
    <col min="5" max="5" width="12.42578125" style="288" customWidth="1"/>
    <col min="6" max="6" width="12.42578125" style="289" customWidth="1"/>
    <col min="7" max="7" width="12.42578125" style="288" customWidth="1"/>
    <col min="8" max="16384" width="12.42578125" style="269"/>
  </cols>
  <sheetData>
    <row r="1" spans="1:8" ht="12">
      <c r="A1" s="268" t="str">
        <f>Inputs!$D$6</f>
        <v>AVISTA UTILITIES</v>
      </c>
      <c r="B1" s="268"/>
      <c r="C1" s="268"/>
      <c r="E1" s="270"/>
      <c r="F1" s="271"/>
      <c r="G1" s="270"/>
    </row>
    <row r="2" spans="1:8" ht="12">
      <c r="A2" s="268" t="s">
        <v>125</v>
      </c>
      <c r="B2" s="268"/>
      <c r="C2" s="268"/>
      <c r="E2" s="270"/>
      <c r="F2" s="272" t="s">
        <v>105</v>
      </c>
      <c r="G2" s="270"/>
    </row>
    <row r="3" spans="1:8" ht="12">
      <c r="A3" s="268" t="str">
        <f>Inputs!$D$2</f>
        <v>TWELVE MONTHS ENDED SEPTEMBER 30, 2008</v>
      </c>
      <c r="B3" s="268"/>
      <c r="C3" s="268"/>
      <c r="E3" s="270"/>
      <c r="F3" s="272" t="s">
        <v>174</v>
      </c>
      <c r="G3" s="269"/>
    </row>
    <row r="4" spans="1:8" ht="12">
      <c r="A4" s="268" t="s">
        <v>128</v>
      </c>
      <c r="B4" s="268"/>
      <c r="C4" s="268"/>
      <c r="E4" s="273"/>
      <c r="F4" s="274" t="s">
        <v>129</v>
      </c>
      <c r="G4" s="273"/>
    </row>
    <row r="5" spans="1:8" ht="12">
      <c r="A5" s="275" t="s">
        <v>10</v>
      </c>
      <c r="E5" s="270"/>
      <c r="F5" s="272"/>
      <c r="G5" s="270"/>
    </row>
    <row r="6" spans="1:8" ht="12">
      <c r="A6" s="276" t="s">
        <v>27</v>
      </c>
      <c r="B6" s="277" t="s">
        <v>113</v>
      </c>
      <c r="C6" s="277"/>
      <c r="E6" s="278" t="s">
        <v>130</v>
      </c>
      <c r="F6" s="279" t="s">
        <v>131</v>
      </c>
      <c r="G6" s="278" t="s">
        <v>132</v>
      </c>
      <c r="H6" s="280" t="s">
        <v>133</v>
      </c>
    </row>
    <row r="7" spans="1:8" ht="12">
      <c r="A7" s="275"/>
      <c r="B7" s="269" t="s">
        <v>68</v>
      </c>
      <c r="E7" s="281"/>
      <c r="F7" s="272"/>
      <c r="G7" s="281"/>
    </row>
    <row r="8" spans="1:8" ht="12">
      <c r="A8" s="275">
        <v>1</v>
      </c>
      <c r="B8" s="269" t="s">
        <v>134</v>
      </c>
      <c r="E8" s="282"/>
      <c r="F8" s="282"/>
      <c r="G8" s="282"/>
      <c r="H8" s="283" t="str">
        <f>IF(E8=F8+G8," ","ERROR")</f>
        <v xml:space="preserve"> </v>
      </c>
    </row>
    <row r="9" spans="1:8" ht="12">
      <c r="A9" s="275">
        <v>2</v>
      </c>
      <c r="B9" s="269" t="s">
        <v>135</v>
      </c>
      <c r="E9" s="284"/>
      <c r="F9" s="284"/>
      <c r="G9" s="284"/>
      <c r="H9" s="283" t="str">
        <f>IF(E9=F9+G9," ","ERROR")</f>
        <v xml:space="preserve"> </v>
      </c>
    </row>
    <row r="10" spans="1:8" ht="12">
      <c r="A10" s="275">
        <v>3</v>
      </c>
      <c r="B10" s="269" t="s">
        <v>71</v>
      </c>
      <c r="E10" s="285"/>
      <c r="F10" s="285"/>
      <c r="G10" s="285"/>
      <c r="H10" s="283" t="str">
        <f>IF(E10=F10+G10," ","ERROR")</f>
        <v xml:space="preserve"> </v>
      </c>
    </row>
    <row r="11" spans="1:8" ht="12">
      <c r="A11" s="275">
        <v>4</v>
      </c>
      <c r="B11" s="269" t="s">
        <v>136</v>
      </c>
      <c r="E11" s="284">
        <f>SUM(E8:E10)</f>
        <v>0</v>
      </c>
      <c r="F11" s="284">
        <f>SUM(F8:F10)</f>
        <v>0</v>
      </c>
      <c r="G11" s="284">
        <f>SUM(G8:G10)</f>
        <v>0</v>
      </c>
      <c r="H11" s="283" t="str">
        <f>IF(E11=F11+G11," ","ERROR")</f>
        <v xml:space="preserve"> </v>
      </c>
    </row>
    <row r="12" spans="1:8" ht="12">
      <c r="A12" s="275"/>
      <c r="E12" s="284"/>
      <c r="F12" s="284"/>
      <c r="G12" s="284"/>
      <c r="H12" s="283"/>
    </row>
    <row r="13" spans="1:8" ht="12">
      <c r="A13" s="275"/>
      <c r="B13" s="269" t="s">
        <v>73</v>
      </c>
      <c r="E13" s="284"/>
      <c r="F13" s="284"/>
      <c r="G13" s="284"/>
      <c r="H13" s="283"/>
    </row>
    <row r="14" spans="1:8" ht="12">
      <c r="A14" s="275">
        <v>5</v>
      </c>
      <c r="B14" s="269" t="s">
        <v>137</v>
      </c>
      <c r="E14" s="284"/>
      <c r="F14" s="284"/>
      <c r="G14" s="284"/>
      <c r="H14" s="283" t="str">
        <f>IF(E14=F14+G14," ","ERROR")</f>
        <v xml:space="preserve"> </v>
      </c>
    </row>
    <row r="15" spans="1:8" ht="12">
      <c r="A15" s="275"/>
      <c r="B15" s="269" t="s">
        <v>75</v>
      </c>
      <c r="E15" s="284"/>
      <c r="F15" s="284"/>
      <c r="G15" s="284"/>
      <c r="H15" s="283"/>
    </row>
    <row r="16" spans="1:8" ht="12">
      <c r="A16" s="275">
        <v>6</v>
      </c>
      <c r="B16" s="269" t="s">
        <v>138</v>
      </c>
      <c r="E16" s="284"/>
      <c r="F16" s="284"/>
      <c r="G16" s="284"/>
      <c r="H16" s="283" t="str">
        <f>IF(E16=F16+G16," ","ERROR")</f>
        <v xml:space="preserve"> </v>
      </c>
    </row>
    <row r="17" spans="1:8" ht="12">
      <c r="A17" s="275">
        <v>7</v>
      </c>
      <c r="B17" s="269" t="s">
        <v>139</v>
      </c>
      <c r="E17" s="284"/>
      <c r="F17" s="284"/>
      <c r="G17" s="284"/>
      <c r="H17" s="283" t="str">
        <f>IF(E17=F17+G17," ","ERROR")</f>
        <v xml:space="preserve"> </v>
      </c>
    </row>
    <row r="18" spans="1:8" ht="12">
      <c r="A18" s="275">
        <v>8</v>
      </c>
      <c r="B18" s="269" t="s">
        <v>140</v>
      </c>
      <c r="E18" s="285"/>
      <c r="F18" s="285"/>
      <c r="G18" s="285"/>
      <c r="H18" s="283" t="str">
        <f>IF(E18=F18+G18," ","ERROR")</f>
        <v xml:space="preserve"> </v>
      </c>
    </row>
    <row r="19" spans="1:8" ht="12">
      <c r="A19" s="275">
        <v>9</v>
      </c>
      <c r="B19" s="269" t="s">
        <v>141</v>
      </c>
      <c r="E19" s="284">
        <f>SUM(E16:E18)</f>
        <v>0</v>
      </c>
      <c r="F19" s="284">
        <f>SUM(F16:F18)</f>
        <v>0</v>
      </c>
      <c r="G19" s="284">
        <f>SUM(G16:G18)</f>
        <v>0</v>
      </c>
      <c r="H19" s="283" t="str">
        <f>IF(E19=F19+G19," ","ERROR")</f>
        <v xml:space="preserve"> </v>
      </c>
    </row>
    <row r="20" spans="1:8" ht="12">
      <c r="A20" s="275"/>
      <c r="B20" s="269" t="s">
        <v>80</v>
      </c>
      <c r="E20" s="284"/>
      <c r="F20" s="284"/>
      <c r="G20" s="284"/>
      <c r="H20" s="283"/>
    </row>
    <row r="21" spans="1:8" ht="12">
      <c r="A21" s="275">
        <v>10</v>
      </c>
      <c r="B21" s="269" t="s">
        <v>142</v>
      </c>
      <c r="E21" s="284"/>
      <c r="F21" s="284"/>
      <c r="G21" s="284"/>
      <c r="H21" s="283" t="str">
        <f>IF(E21=F21+G21," ","ERROR")</f>
        <v xml:space="preserve"> </v>
      </c>
    </row>
    <row r="22" spans="1:8" ht="12">
      <c r="A22" s="275">
        <v>11</v>
      </c>
      <c r="B22" s="269" t="s">
        <v>143</v>
      </c>
      <c r="E22" s="284"/>
      <c r="F22" s="284"/>
      <c r="G22" s="284"/>
      <c r="H22" s="283" t="str">
        <f>IF(E22=F22+G22," ","ERROR")</f>
        <v xml:space="preserve"> </v>
      </c>
    </row>
    <row r="23" spans="1:8" ht="12">
      <c r="A23" s="275">
        <v>12</v>
      </c>
      <c r="B23" s="269" t="s">
        <v>144</v>
      </c>
      <c r="E23" s="285"/>
      <c r="F23" s="285"/>
      <c r="G23" s="285"/>
      <c r="H23" s="283" t="str">
        <f>IF(E23=F23+G23," ","ERROR")</f>
        <v xml:space="preserve"> </v>
      </c>
    </row>
    <row r="24" spans="1:8" ht="12">
      <c r="A24" s="275">
        <v>13</v>
      </c>
      <c r="B24" s="269" t="s">
        <v>145</v>
      </c>
      <c r="E24" s="284">
        <f>SUM(E21:E23)</f>
        <v>0</v>
      </c>
      <c r="F24" s="284">
        <f>SUM(F21:F23)</f>
        <v>0</v>
      </c>
      <c r="G24" s="284">
        <f>SUM(G21:G23)</f>
        <v>0</v>
      </c>
      <c r="H24" s="283" t="str">
        <f>IF(E24=F24+G24," ","ERROR")</f>
        <v xml:space="preserve"> </v>
      </c>
    </row>
    <row r="25" spans="1:8" ht="12">
      <c r="A25" s="275"/>
      <c r="B25" s="269" t="s">
        <v>84</v>
      </c>
      <c r="E25" s="284"/>
      <c r="F25" s="284"/>
      <c r="G25" s="284"/>
      <c r="H25" s="283"/>
    </row>
    <row r="26" spans="1:8" ht="12">
      <c r="A26" s="275">
        <v>14</v>
      </c>
      <c r="B26" s="269" t="s">
        <v>142</v>
      </c>
      <c r="E26" s="284"/>
      <c r="F26" s="284"/>
      <c r="G26" s="284"/>
      <c r="H26" s="283" t="str">
        <f>IF(E26=F26+G26," ","ERROR")</f>
        <v xml:space="preserve"> </v>
      </c>
    </row>
    <row r="27" spans="1:8" ht="12">
      <c r="A27" s="275">
        <v>15</v>
      </c>
      <c r="B27" s="269" t="s">
        <v>143</v>
      </c>
      <c r="E27" s="284"/>
      <c r="F27" s="284"/>
      <c r="G27" s="284"/>
      <c r="H27" s="283" t="str">
        <f>IF(E27=F27+G27," ","ERROR")</f>
        <v xml:space="preserve"> </v>
      </c>
    </row>
    <row r="28" spans="1:8" ht="12">
      <c r="A28" s="275">
        <v>16</v>
      </c>
      <c r="B28" s="269" t="s">
        <v>144</v>
      </c>
      <c r="E28" s="285">
        <f>F28+G28</f>
        <v>0</v>
      </c>
      <c r="F28" s="285"/>
      <c r="G28" s="285"/>
      <c r="H28" s="283" t="str">
        <f>IF(E28=F28+G28," ","ERROR")</f>
        <v xml:space="preserve"> </v>
      </c>
    </row>
    <row r="29" spans="1:8" ht="12">
      <c r="A29" s="275">
        <v>17</v>
      </c>
      <c r="B29" s="269" t="s">
        <v>146</v>
      </c>
      <c r="E29" s="284">
        <f>SUM(E26:E28)</f>
        <v>0</v>
      </c>
      <c r="F29" s="284">
        <f>SUM(F26:F28)</f>
        <v>0</v>
      </c>
      <c r="G29" s="284">
        <f>SUM(G26:G28)</f>
        <v>0</v>
      </c>
      <c r="H29" s="283" t="str">
        <f>IF(E29=F29+G29," ","ERROR")</f>
        <v xml:space="preserve"> </v>
      </c>
    </row>
    <row r="30" spans="1:8" ht="12">
      <c r="A30" s="275"/>
      <c r="E30" s="284"/>
      <c r="F30" s="284"/>
      <c r="G30" s="284"/>
      <c r="H30" s="283"/>
    </row>
    <row r="31" spans="1:8" ht="12">
      <c r="A31" s="275">
        <v>18</v>
      </c>
      <c r="B31" s="269" t="s">
        <v>86</v>
      </c>
      <c r="E31" s="284"/>
      <c r="F31" s="284"/>
      <c r="G31" s="284"/>
      <c r="H31" s="283" t="str">
        <f>IF(E31=F31+G31," ","ERROR")</f>
        <v xml:space="preserve"> </v>
      </c>
    </row>
    <row r="32" spans="1:8" ht="12">
      <c r="A32" s="275">
        <v>19</v>
      </c>
      <c r="B32" s="269" t="s">
        <v>87</v>
      </c>
      <c r="E32" s="284"/>
      <c r="F32" s="284"/>
      <c r="G32" s="284"/>
      <c r="H32" s="283" t="str">
        <f>IF(E32=F32+G32," ","ERROR")</f>
        <v xml:space="preserve"> </v>
      </c>
    </row>
    <row r="33" spans="1:8" ht="12">
      <c r="A33" s="275">
        <v>20</v>
      </c>
      <c r="B33" s="269" t="s">
        <v>147</v>
      </c>
      <c r="E33" s="284"/>
      <c r="F33" s="284"/>
      <c r="G33" s="284"/>
      <c r="H33" s="283" t="str">
        <f>IF(E33=F33+G33," ","ERROR")</f>
        <v xml:space="preserve"> </v>
      </c>
    </row>
    <row r="34" spans="1:8" ht="12">
      <c r="A34" s="275"/>
      <c r="B34" s="269" t="s">
        <v>148</v>
      </c>
      <c r="E34" s="284"/>
      <c r="F34" s="284"/>
      <c r="G34" s="284"/>
      <c r="H34" s="283"/>
    </row>
    <row r="35" spans="1:8" ht="12">
      <c r="A35" s="275">
        <v>21</v>
      </c>
      <c r="B35" s="269" t="s">
        <v>142</v>
      </c>
      <c r="E35" s="284"/>
      <c r="F35" s="284"/>
      <c r="G35" s="284"/>
      <c r="H35" s="283" t="str">
        <f>IF(E35=F35+G35," ","ERROR")</f>
        <v xml:space="preserve"> </v>
      </c>
    </row>
    <row r="36" spans="1:8" ht="12">
      <c r="A36" s="275">
        <v>22</v>
      </c>
      <c r="B36" s="269" t="s">
        <v>143</v>
      </c>
      <c r="E36" s="284"/>
      <c r="F36" s="284"/>
      <c r="G36" s="284"/>
      <c r="H36" s="283" t="str">
        <f>IF(E36=F36+G36," ","ERROR")</f>
        <v xml:space="preserve"> </v>
      </c>
    </row>
    <row r="37" spans="1:8" ht="12">
      <c r="A37" s="275">
        <v>23</v>
      </c>
      <c r="B37" s="269" t="s">
        <v>144</v>
      </c>
      <c r="E37" s="285"/>
      <c r="F37" s="285"/>
      <c r="G37" s="285"/>
      <c r="H37" s="283" t="str">
        <f>IF(E37=F37+G37," ","ERROR")</f>
        <v xml:space="preserve"> </v>
      </c>
    </row>
    <row r="38" spans="1:8" ht="12">
      <c r="A38" s="275">
        <v>24</v>
      </c>
      <c r="B38" s="269" t="s">
        <v>149</v>
      </c>
      <c r="E38" s="285">
        <f>SUM(E35:E37)</f>
        <v>0</v>
      </c>
      <c r="F38" s="285">
        <f>SUM(F35:F37)</f>
        <v>0</v>
      </c>
      <c r="G38" s="285">
        <f>SUM(G35:G37)</f>
        <v>0</v>
      </c>
      <c r="H38" s="283" t="str">
        <f>IF(E38=F38+G38," ","ERROR")</f>
        <v xml:space="preserve"> </v>
      </c>
    </row>
    <row r="39" spans="1:8" ht="12">
      <c r="A39" s="275">
        <v>25</v>
      </c>
      <c r="B39" s="269" t="s">
        <v>91</v>
      </c>
      <c r="E39" s="285">
        <f>E19+E24+E29+E31+E32+E33+E38+E14</f>
        <v>0</v>
      </c>
      <c r="F39" s="285">
        <f>F19+F24+F29+F31+F32+F33+F38+F14</f>
        <v>0</v>
      </c>
      <c r="G39" s="285">
        <f>G19+G24+G29+G31+G32+G33+G38+G14</f>
        <v>0</v>
      </c>
      <c r="H39" s="283" t="str">
        <f>IF(E39=F39+G39," ","ERROR")</f>
        <v xml:space="preserve"> </v>
      </c>
    </row>
    <row r="40" spans="1:8" ht="12">
      <c r="A40" s="275"/>
      <c r="E40" s="284"/>
      <c r="F40" s="284"/>
      <c r="G40" s="284"/>
      <c r="H40" s="283"/>
    </row>
    <row r="41" spans="1:8" ht="12">
      <c r="A41" s="275">
        <v>26</v>
      </c>
      <c r="B41" s="269" t="s">
        <v>150</v>
      </c>
      <c r="E41" s="284">
        <f>E11-E39</f>
        <v>0</v>
      </c>
      <c r="F41" s="284">
        <f>F11-F39</f>
        <v>0</v>
      </c>
      <c r="G41" s="284">
        <f>G11-G39</f>
        <v>0</v>
      </c>
      <c r="H41" s="283" t="str">
        <f>IF(E41=F41+G41," ","ERROR")</f>
        <v xml:space="preserve"> </v>
      </c>
    </row>
    <row r="42" spans="1:8" ht="12">
      <c r="A42" s="275"/>
      <c r="E42" s="284"/>
      <c r="F42" s="284"/>
      <c r="G42" s="284"/>
      <c r="H42" s="283"/>
    </row>
    <row r="43" spans="1:8" ht="12">
      <c r="A43" s="275"/>
      <c r="B43" s="269" t="s">
        <v>151</v>
      </c>
      <c r="E43" s="284"/>
      <c r="F43" s="284"/>
      <c r="G43" s="284"/>
      <c r="H43" s="283"/>
    </row>
    <row r="44" spans="1:8" ht="12">
      <c r="A44" s="275">
        <v>27</v>
      </c>
      <c r="B44" s="286" t="s">
        <v>152</v>
      </c>
      <c r="D44" s="287">
        <v>0.35</v>
      </c>
      <c r="E44" s="284">
        <f>F44+G44</f>
        <v>0</v>
      </c>
      <c r="F44" s="284">
        <f>ROUND(F41*D44,0)</f>
        <v>0</v>
      </c>
      <c r="G44" s="284">
        <f>ROUND(G41*D44,0)</f>
        <v>0</v>
      </c>
      <c r="H44" s="283" t="str">
        <f>IF(E44=F44+G44," ","ERROR")</f>
        <v xml:space="preserve"> </v>
      </c>
    </row>
    <row r="45" spans="1:8" ht="12">
      <c r="A45" s="275">
        <v>28</v>
      </c>
      <c r="B45" s="269" t="s">
        <v>153</v>
      </c>
      <c r="E45" s="284"/>
      <c r="F45" s="284"/>
      <c r="G45" s="284"/>
      <c r="H45" s="283" t="str">
        <f>IF(E45=F45+G45," ","ERROR")</f>
        <v xml:space="preserve"> </v>
      </c>
    </row>
    <row r="46" spans="1:8" ht="12">
      <c r="A46" s="275">
        <v>29</v>
      </c>
      <c r="B46" s="269" t="s">
        <v>154</v>
      </c>
      <c r="E46" s="285"/>
      <c r="F46" s="285"/>
      <c r="G46" s="285"/>
      <c r="H46" s="283" t="str">
        <f>IF(E46=F46+G46," ","ERROR")</f>
        <v xml:space="preserve"> </v>
      </c>
    </row>
    <row r="47" spans="1:8" ht="12">
      <c r="A47" s="275"/>
      <c r="H47" s="283"/>
    </row>
    <row r="48" spans="1:8" ht="12.75" thickBot="1">
      <c r="A48" s="275">
        <v>30</v>
      </c>
      <c r="B48" s="290" t="s">
        <v>97</v>
      </c>
      <c r="E48" s="291">
        <f>E41-(+E44+E45+E46)</f>
        <v>0</v>
      </c>
      <c r="F48" s="291">
        <f>F41-F44+F45+F46</f>
        <v>0</v>
      </c>
      <c r="G48" s="291">
        <f>G41-SUM(G44:G46)</f>
        <v>0</v>
      </c>
      <c r="H48" s="283" t="str">
        <f>IF(E48=F48+G48," ","ERROR")</f>
        <v xml:space="preserve"> </v>
      </c>
    </row>
    <row r="49" spans="1:8" ht="12.75" thickTop="1">
      <c r="A49" s="275"/>
      <c r="H49" s="283"/>
    </row>
    <row r="50" spans="1:8" ht="12">
      <c r="A50" s="275"/>
      <c r="B50" s="286" t="s">
        <v>155</v>
      </c>
      <c r="H50" s="283"/>
    </row>
    <row r="51" spans="1:8" ht="12">
      <c r="A51" s="275"/>
      <c r="B51" s="286" t="s">
        <v>156</v>
      </c>
      <c r="H51" s="283"/>
    </row>
    <row r="52" spans="1:8" ht="12">
      <c r="A52" s="275">
        <v>31</v>
      </c>
      <c r="B52" s="269" t="s">
        <v>157</v>
      </c>
      <c r="E52" s="282"/>
      <c r="F52" s="282"/>
      <c r="G52" s="282"/>
      <c r="H52" s="283" t="str">
        <f t="shared" ref="H52:H63" si="0">IF(E52=F52+G52," ","ERROR")</f>
        <v xml:space="preserve"> </v>
      </c>
    </row>
    <row r="53" spans="1:8" ht="12">
      <c r="A53" s="275">
        <v>32</v>
      </c>
      <c r="B53" s="269" t="s">
        <v>158</v>
      </c>
      <c r="E53" s="284"/>
      <c r="F53" s="284"/>
      <c r="G53" s="284"/>
      <c r="H53" s="283" t="str">
        <f t="shared" si="0"/>
        <v xml:space="preserve"> </v>
      </c>
    </row>
    <row r="54" spans="1:8" ht="12">
      <c r="A54" s="275">
        <v>33</v>
      </c>
      <c r="B54" s="269" t="s">
        <v>166</v>
      </c>
      <c r="E54" s="285"/>
      <c r="F54" s="285"/>
      <c r="G54" s="285"/>
      <c r="H54" s="283" t="str">
        <f t="shared" si="0"/>
        <v xml:space="preserve"> </v>
      </c>
    </row>
    <row r="55" spans="1:8" ht="12">
      <c r="A55" s="275">
        <v>34</v>
      </c>
      <c r="B55" s="269" t="s">
        <v>160</v>
      </c>
      <c r="E55" s="284">
        <f>SUM(E52:E54)</f>
        <v>0</v>
      </c>
      <c r="F55" s="284">
        <f>SUM(F52:F54)</f>
        <v>0</v>
      </c>
      <c r="G55" s="284">
        <f>SUM(G52:G54)</f>
        <v>0</v>
      </c>
      <c r="H55" s="283" t="str">
        <f t="shared" si="0"/>
        <v xml:space="preserve"> </v>
      </c>
    </row>
    <row r="56" spans="1:8" ht="12">
      <c r="A56" s="275"/>
      <c r="B56" s="269" t="s">
        <v>102</v>
      </c>
      <c r="E56" s="284"/>
      <c r="F56" s="284"/>
      <c r="G56" s="284"/>
      <c r="H56" s="283" t="str">
        <f t="shared" si="0"/>
        <v xml:space="preserve"> </v>
      </c>
    </row>
    <row r="57" spans="1:8" ht="12">
      <c r="A57" s="275">
        <v>35</v>
      </c>
      <c r="B57" s="269" t="s">
        <v>157</v>
      </c>
      <c r="E57" s="284"/>
      <c r="F57" s="284"/>
      <c r="G57" s="284"/>
      <c r="H57" s="283" t="str">
        <f t="shared" si="0"/>
        <v xml:space="preserve"> </v>
      </c>
    </row>
    <row r="58" spans="1:8" ht="12">
      <c r="A58" s="275">
        <v>36</v>
      </c>
      <c r="B58" s="269" t="s">
        <v>158</v>
      </c>
      <c r="E58" s="284"/>
      <c r="F58" s="284"/>
      <c r="G58" s="284"/>
      <c r="H58" s="283" t="str">
        <f t="shared" si="0"/>
        <v xml:space="preserve"> </v>
      </c>
    </row>
    <row r="59" spans="1:8" ht="12">
      <c r="A59" s="275">
        <v>37</v>
      </c>
      <c r="B59" s="269" t="s">
        <v>166</v>
      </c>
      <c r="E59" s="285"/>
      <c r="F59" s="285"/>
      <c r="G59" s="285"/>
      <c r="H59" s="283" t="str">
        <f t="shared" si="0"/>
        <v xml:space="preserve"> </v>
      </c>
    </row>
    <row r="60" spans="1:8" ht="12">
      <c r="A60" s="275">
        <v>38</v>
      </c>
      <c r="B60" s="269" t="s">
        <v>161</v>
      </c>
      <c r="E60" s="284">
        <f>SUM(E57:E59)</f>
        <v>0</v>
      </c>
      <c r="F60" s="284">
        <f>SUM(F57:F59)</f>
        <v>0</v>
      </c>
      <c r="G60" s="284">
        <f>SUM(G57:G59)</f>
        <v>0</v>
      </c>
      <c r="H60" s="283" t="str">
        <f t="shared" si="0"/>
        <v xml:space="preserve"> </v>
      </c>
    </row>
    <row r="61" spans="1:8" ht="12">
      <c r="A61" s="275">
        <v>39</v>
      </c>
      <c r="B61" s="286" t="s">
        <v>162</v>
      </c>
      <c r="E61" s="284"/>
      <c r="F61" s="284"/>
      <c r="G61" s="284"/>
      <c r="H61" s="283" t="str">
        <f t="shared" si="0"/>
        <v xml:space="preserve"> </v>
      </c>
    </row>
    <row r="62" spans="1:8" ht="12">
      <c r="A62" s="275">
        <v>40</v>
      </c>
      <c r="B62" s="269" t="s">
        <v>105</v>
      </c>
      <c r="E62" s="284">
        <f>SUM(F62:G62)</f>
        <v>11064</v>
      </c>
      <c r="F62" s="284">
        <v>11064</v>
      </c>
      <c r="G62" s="284">
        <v>0</v>
      </c>
      <c r="H62" s="283" t="str">
        <f t="shared" si="0"/>
        <v xml:space="preserve"> </v>
      </c>
    </row>
    <row r="63" spans="1:8" ht="12">
      <c r="A63" s="275">
        <v>41</v>
      </c>
      <c r="B63" s="286" t="s">
        <v>106</v>
      </c>
      <c r="E63" s="285"/>
      <c r="F63" s="285"/>
      <c r="G63" s="285"/>
      <c r="H63" s="283" t="str">
        <f t="shared" si="0"/>
        <v xml:space="preserve"> </v>
      </c>
    </row>
    <row r="64" spans="1:8" ht="9" customHeight="1">
      <c r="A64" s="275"/>
      <c r="B64" s="269" t="s">
        <v>163</v>
      </c>
      <c r="H64" s="283"/>
    </row>
    <row r="65" spans="1:8" ht="12.75" thickBot="1">
      <c r="A65" s="275">
        <v>42</v>
      </c>
      <c r="B65" s="290" t="s">
        <v>107</v>
      </c>
      <c r="E65" s="291">
        <f>E55-E60+E61+E62+E63</f>
        <v>11064</v>
      </c>
      <c r="F65" s="291">
        <f>F55-F60+F61+F62+F63</f>
        <v>11064</v>
      </c>
      <c r="G65" s="291">
        <f>G55-G60+G61+G62+G63</f>
        <v>0</v>
      </c>
      <c r="H65" s="283" t="str">
        <f>IF(E65=F65+G65," ","ERROR")</f>
        <v xml:space="preserve"> </v>
      </c>
    </row>
    <row r="66" spans="1:8" ht="11.1" customHeight="1" thickTop="1">
      <c r="A66" s="268" t="str">
        <f>Inputs!$D$6</f>
        <v>AVISTA UTILITIES</v>
      </c>
      <c r="B66" s="268"/>
      <c r="C66" s="268"/>
    </row>
    <row r="67" spans="1:8" ht="11.1" customHeight="1">
      <c r="A67" s="268" t="s">
        <v>169</v>
      </c>
      <c r="B67" s="268"/>
      <c r="C67" s="268"/>
    </row>
    <row r="68" spans="1:8" ht="11.1" customHeight="1">
      <c r="A68" s="268" t="str">
        <f>A3</f>
        <v>TWELVE MONTHS ENDED SEPTEMBER 30, 2008</v>
      </c>
      <c r="B68" s="268"/>
      <c r="C68" s="268"/>
    </row>
    <row r="69" spans="1:8" ht="11.1" customHeight="1">
      <c r="A69" s="268" t="s">
        <v>170</v>
      </c>
      <c r="B69" s="268"/>
      <c r="C69" s="268"/>
    </row>
    <row r="71" spans="1:8" ht="11.1" customHeight="1">
      <c r="A71" s="275" t="s">
        <v>10</v>
      </c>
    </row>
    <row r="72" spans="1:8" ht="11.1" customHeight="1">
      <c r="A72" s="292" t="s">
        <v>27</v>
      </c>
      <c r="B72" s="277" t="s">
        <v>113</v>
      </c>
      <c r="C72" s="277"/>
    </row>
    <row r="73" spans="1:8" ht="11.1" customHeight="1">
      <c r="A73" s="275"/>
      <c r="B73" s="269" t="s">
        <v>68</v>
      </c>
    </row>
    <row r="74" spans="1:8" ht="11.1" customHeight="1">
      <c r="A74" s="275">
        <v>1</v>
      </c>
      <c r="B74" s="269" t="s">
        <v>134</v>
      </c>
    </row>
    <row r="75" spans="1:8" ht="11.1" customHeight="1">
      <c r="A75" s="275">
        <v>2</v>
      </c>
      <c r="B75" s="269" t="s">
        <v>135</v>
      </c>
    </row>
    <row r="76" spans="1:8" ht="11.1" customHeight="1">
      <c r="A76" s="275">
        <v>3</v>
      </c>
      <c r="B76" s="269" t="s">
        <v>71</v>
      </c>
    </row>
    <row r="77" spans="1:8" ht="11.1" customHeight="1">
      <c r="A77" s="275"/>
    </row>
    <row r="78" spans="1:8" ht="11.1" customHeight="1">
      <c r="A78" s="275">
        <v>4</v>
      </c>
      <c r="B78" s="269" t="s">
        <v>136</v>
      </c>
    </row>
    <row r="79" spans="1:8" ht="11.1" customHeight="1">
      <c r="A79" s="275"/>
    </row>
    <row r="80" spans="1:8" ht="11.1" customHeight="1">
      <c r="A80" s="275"/>
      <c r="B80" s="269" t="s">
        <v>73</v>
      </c>
    </row>
    <row r="81" spans="1:2" ht="11.1" customHeight="1">
      <c r="A81" s="275">
        <v>5</v>
      </c>
      <c r="B81" s="269" t="s">
        <v>137</v>
      </c>
    </row>
    <row r="82" spans="1:2" ht="11.1" customHeight="1">
      <c r="A82" s="275"/>
      <c r="B82" s="269" t="s">
        <v>75</v>
      </c>
    </row>
    <row r="83" spans="1:2" ht="11.1" customHeight="1">
      <c r="A83" s="275">
        <v>6</v>
      </c>
      <c r="B83" s="269" t="s">
        <v>138</v>
      </c>
    </row>
    <row r="84" spans="1:2" ht="11.1" customHeight="1">
      <c r="A84" s="275">
        <v>7</v>
      </c>
      <c r="B84" s="269" t="s">
        <v>139</v>
      </c>
    </row>
    <row r="85" spans="1:2" ht="11.1" customHeight="1">
      <c r="A85" s="275">
        <v>8</v>
      </c>
      <c r="B85" s="269" t="s">
        <v>140</v>
      </c>
    </row>
    <row r="86" spans="1:2" ht="11.1" customHeight="1">
      <c r="A86" s="275">
        <v>9</v>
      </c>
      <c r="B86" s="269" t="s">
        <v>141</v>
      </c>
    </row>
    <row r="87" spans="1:2" ht="11.1" customHeight="1">
      <c r="A87" s="275"/>
      <c r="B87" s="269" t="s">
        <v>80</v>
      </c>
    </row>
    <row r="88" spans="1:2" ht="11.1" customHeight="1">
      <c r="A88" s="275">
        <v>10</v>
      </c>
      <c r="B88" s="269" t="s">
        <v>142</v>
      </c>
    </row>
    <row r="89" spans="1:2" ht="11.1" customHeight="1">
      <c r="A89" s="275">
        <v>11</v>
      </c>
      <c r="B89" s="269" t="s">
        <v>143</v>
      </c>
    </row>
    <row r="90" spans="1:2" ht="11.1" customHeight="1">
      <c r="A90" s="275">
        <v>12</v>
      </c>
      <c r="B90" s="269" t="s">
        <v>144</v>
      </c>
    </row>
    <row r="91" spans="1:2" ht="11.1" customHeight="1">
      <c r="A91" s="275">
        <v>13</v>
      </c>
      <c r="B91" s="269" t="s">
        <v>145</v>
      </c>
    </row>
    <row r="92" spans="1:2" ht="11.1" customHeight="1">
      <c r="A92" s="275"/>
      <c r="B92" s="269" t="s">
        <v>84</v>
      </c>
    </row>
    <row r="93" spans="1:2" ht="11.1" customHeight="1">
      <c r="A93" s="275">
        <v>14</v>
      </c>
      <c r="B93" s="269" t="s">
        <v>142</v>
      </c>
    </row>
    <row r="94" spans="1:2" ht="11.1" customHeight="1">
      <c r="A94" s="275">
        <v>15</v>
      </c>
      <c r="B94" s="269" t="s">
        <v>143</v>
      </c>
    </row>
    <row r="95" spans="1:2" ht="11.1" customHeight="1">
      <c r="A95" s="275">
        <v>16</v>
      </c>
      <c r="B95" s="269" t="s">
        <v>144</v>
      </c>
    </row>
    <row r="96" spans="1:2" ht="11.1" customHeight="1">
      <c r="A96" s="275">
        <v>17</v>
      </c>
      <c r="B96" s="269" t="s">
        <v>146</v>
      </c>
    </row>
    <row r="97" spans="1:3" ht="11.1" customHeight="1">
      <c r="A97" s="275">
        <v>18</v>
      </c>
      <c r="B97" s="269" t="s">
        <v>86</v>
      </c>
    </row>
    <row r="98" spans="1:3" ht="11.1" customHeight="1">
      <c r="A98" s="275">
        <v>19</v>
      </c>
      <c r="B98" s="269" t="s">
        <v>87</v>
      </c>
    </row>
    <row r="99" spans="1:3" ht="11.1" customHeight="1">
      <c r="A99" s="275">
        <v>20</v>
      </c>
      <c r="B99" s="269" t="s">
        <v>147</v>
      </c>
    </row>
    <row r="100" spans="1:3" ht="11.1" customHeight="1">
      <c r="A100" s="275"/>
      <c r="B100" s="269" t="s">
        <v>148</v>
      </c>
    </row>
    <row r="101" spans="1:3" ht="11.1" customHeight="1">
      <c r="A101" s="275">
        <v>21</v>
      </c>
      <c r="B101" s="269" t="s">
        <v>142</v>
      </c>
    </row>
    <row r="102" spans="1:3" ht="11.1" customHeight="1">
      <c r="A102" s="275">
        <v>22</v>
      </c>
      <c r="B102" s="269" t="s">
        <v>143</v>
      </c>
    </row>
    <row r="103" spans="1:3" ht="11.1" customHeight="1">
      <c r="A103" s="275">
        <v>23</v>
      </c>
      <c r="B103" s="269" t="s">
        <v>144</v>
      </c>
    </row>
    <row r="104" spans="1:3" ht="11.1" customHeight="1">
      <c r="A104" s="275">
        <v>24</v>
      </c>
      <c r="B104" s="269" t="s">
        <v>149</v>
      </c>
    </row>
    <row r="105" spans="1:3" ht="11.1" customHeight="1">
      <c r="A105" s="275"/>
    </row>
    <row r="106" spans="1:3" ht="11.1" customHeight="1">
      <c r="A106" s="275">
        <v>25</v>
      </c>
      <c r="B106" s="269" t="s">
        <v>91</v>
      </c>
    </row>
    <row r="107" spans="1:3" ht="11.1" customHeight="1">
      <c r="A107" s="275"/>
    </row>
    <row r="108" spans="1:3" ht="11.1" customHeight="1">
      <c r="A108" s="275">
        <v>26</v>
      </c>
      <c r="B108" s="269" t="s">
        <v>171</v>
      </c>
    </row>
    <row r="109" spans="1:3" ht="11.1" customHeight="1">
      <c r="A109" s="275"/>
    </row>
    <row r="110" spans="1:3" ht="11.1" customHeight="1">
      <c r="A110" s="275">
        <v>27</v>
      </c>
      <c r="B110" s="269" t="s">
        <v>172</v>
      </c>
    </row>
    <row r="111" spans="1:3" ht="11.1" customHeight="1">
      <c r="A111" s="275"/>
      <c r="B111" s="293" t="s">
        <v>173</v>
      </c>
      <c r="C111" s="294">
        <f>Inputs!$D$4</f>
        <v>1.1416000000000001E-2</v>
      </c>
    </row>
    <row r="112" spans="1:3" ht="11.1" customHeight="1">
      <c r="A112" s="275"/>
    </row>
  </sheetData>
  <customSheetViews>
    <customSheetView guid="{5BE913A1-B14F-11D2-B0DC-0000832CDFF0}" showPageBreaks="1" fitToPage="1" printArea="1" showRuler="0" topLeftCell="A52">
      <selection activeCell="A66" sqref="A66:C66"/>
      <pageMargins left="1" right="1" top="0.5" bottom="0.5" header="0.5" footer="0.5"/>
      <printOptions horizontalCentered="1"/>
      <pageSetup scale="84" orientation="portrait" horizontalDpi="300" verticalDpi="300" r:id="rId1"/>
      <headerFooter alignWithMargins="0"/>
    </customSheetView>
    <customSheetView guid="{A15D1964-B049-11D2-8670-0000832CEEE8}" showPageBreaks="1" fitToPage="1" printArea="1" showRuler="0" topLeftCell="A52">
      <selection activeCell="A66" sqref="A66:C66"/>
      <pageMargins left="1" right="1" top="0.5" bottom="0.5" header="0.5" footer="0.5"/>
      <printOptions horizontalCentered="1"/>
      <pageSetup scale="84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4D78D8C-E026-4862-AB3A-1B8F0D50CEC8}"/>
</file>

<file path=customXml/itemProps2.xml><?xml version="1.0" encoding="utf-8"?>
<ds:datastoreItem xmlns:ds="http://schemas.openxmlformats.org/officeDocument/2006/customXml" ds:itemID="{43871E8E-2552-4250-A339-F5CF78221078}"/>
</file>

<file path=customXml/itemProps3.xml><?xml version="1.0" encoding="utf-8"?>
<ds:datastoreItem xmlns:ds="http://schemas.openxmlformats.org/officeDocument/2006/customXml" ds:itemID="{02870C61-4348-42B8-A42E-EEC071146575}"/>
</file>

<file path=customXml/itemProps4.xml><?xml version="1.0" encoding="utf-8"?>
<ds:datastoreItem xmlns:ds="http://schemas.openxmlformats.org/officeDocument/2006/customXml" ds:itemID="{7AC74D64-B77E-4BBC-8A22-ECCB358177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59</vt:i4>
      </vt:variant>
    </vt:vector>
  </HeadingPairs>
  <TitlesOfParts>
    <vt:vector size="111" baseType="lpstr">
      <vt:lpstr>Proposed Rates-WA</vt:lpstr>
      <vt:lpstr>RevReqEx-WA</vt:lpstr>
      <vt:lpstr>ConverFac_Exh-WA</vt:lpstr>
      <vt:lpstr>WAGas09_08</vt:lpstr>
      <vt:lpstr>PFRstmtSheet</vt:lpstr>
      <vt:lpstr>ResultSumGas</vt:lpstr>
      <vt:lpstr>DFIT</vt:lpstr>
      <vt:lpstr>BldGain</vt:lpstr>
      <vt:lpstr>GasInv</vt:lpstr>
      <vt:lpstr>WznDSM</vt:lpstr>
      <vt:lpstr>CustAdv</vt:lpstr>
      <vt:lpstr>DeprTrue-up</vt:lpstr>
      <vt:lpstr>WeatherGas</vt:lpstr>
      <vt:lpstr>BandO</vt:lpstr>
      <vt:lpstr>PropTax</vt:lpstr>
      <vt:lpstr>UncollExp</vt:lpstr>
      <vt:lpstr>RegExp</vt:lpstr>
      <vt:lpstr>InjDam</vt:lpstr>
      <vt:lpstr>FIT</vt:lpstr>
      <vt:lpstr>SIT</vt:lpstr>
      <vt:lpstr>GainsLosses</vt:lpstr>
      <vt:lpstr>ElimAR</vt:lpstr>
      <vt:lpstr>SubSpace</vt:lpstr>
      <vt:lpstr>ExciseTax</vt:lpstr>
      <vt:lpstr>OMSavings</vt:lpstr>
      <vt:lpstr>MiscReState</vt:lpstr>
      <vt:lpstr>DebtInt</vt:lpstr>
      <vt:lpstr>DebtCalc</vt:lpstr>
      <vt:lpstr>PFNon-Exec</vt:lpstr>
      <vt:lpstr>PF-Exec</vt:lpstr>
      <vt:lpstr>PFJPStorage</vt:lpstr>
      <vt:lpstr>PFCapx2008</vt:lpstr>
      <vt:lpstr>PFCapx2009</vt:lpstr>
      <vt:lpstr>PFAssetMgt</vt:lpstr>
      <vt:lpstr>PFIncentives</vt:lpstr>
      <vt:lpstr>PFInfoServ</vt:lpstr>
      <vt:lpstr>PFEmpBen</vt:lpstr>
      <vt:lpstr>PFInsur</vt:lpstr>
      <vt:lpstr>Inputs</vt:lpstr>
      <vt:lpstr>ExhEMA3</vt:lpstr>
      <vt:lpstr>NOT USED PAST THIS TAB</vt:lpstr>
      <vt:lpstr>PFJP11-open</vt:lpstr>
      <vt:lpstr>PF12-Open</vt:lpstr>
      <vt:lpstr>blank</vt:lpstr>
      <vt:lpstr>CompWA</vt:lpstr>
      <vt:lpstr>CompID</vt:lpstr>
      <vt:lpstr>CWIPAlloc</vt:lpstr>
      <vt:lpstr>SYSGas12_06</vt:lpstr>
      <vt:lpstr>Proposed Rates-ID</vt:lpstr>
      <vt:lpstr>RevReqEx ID</vt:lpstr>
      <vt:lpstr>ConverFac_Exh-ID</vt:lpstr>
      <vt:lpstr>IDGas12_07</vt:lpstr>
      <vt:lpstr>ID_Gas</vt:lpstr>
      <vt:lpstr>BandO!Print_Area</vt:lpstr>
      <vt:lpstr>blank!Print_Area</vt:lpstr>
      <vt:lpstr>BldGain!Print_Area</vt:lpstr>
      <vt:lpstr>'ConverFac_Exh-ID'!Print_Area</vt:lpstr>
      <vt:lpstr>'ConverFac_Exh-WA'!Print_Area</vt:lpstr>
      <vt:lpstr>CustAdv!Print_Area</vt:lpstr>
      <vt:lpstr>CWIPAlloc!Print_Area</vt:lpstr>
      <vt:lpstr>DebtCalc!Print_Area</vt:lpstr>
      <vt:lpstr>DebtInt!Print_Area</vt:lpstr>
      <vt:lpstr>'DeprTrue-up'!Print_Area</vt:lpstr>
      <vt:lpstr>DFIT!Print_Area</vt:lpstr>
      <vt:lpstr>ElimAR!Print_Area</vt:lpstr>
      <vt:lpstr>ExciseTax!Print_Area</vt:lpstr>
      <vt:lpstr>FIT!Print_Area</vt:lpstr>
      <vt:lpstr>GainsLosses!Print_Area</vt:lpstr>
      <vt:lpstr>GasInv!Print_Area</vt:lpstr>
      <vt:lpstr>IDGas12_07!Print_Area</vt:lpstr>
      <vt:lpstr>InjDam!Print_Area</vt:lpstr>
      <vt:lpstr>MiscReState!Print_Area</vt:lpstr>
      <vt:lpstr>OMSavings!Print_Area</vt:lpstr>
      <vt:lpstr>'PF12-Open'!Print_Area</vt:lpstr>
      <vt:lpstr>PFCapx2008!Print_Area</vt:lpstr>
      <vt:lpstr>PFCapx2009!Print_Area</vt:lpstr>
      <vt:lpstr>PFEmpBen!Print_Area</vt:lpstr>
      <vt:lpstr>'PF-Exec'!Print_Area</vt:lpstr>
      <vt:lpstr>PFIncentives!Print_Area</vt:lpstr>
      <vt:lpstr>PFInfoServ!Print_Area</vt:lpstr>
      <vt:lpstr>PFInsur!Print_Area</vt:lpstr>
      <vt:lpstr>'PFJP11-open'!Print_Area</vt:lpstr>
      <vt:lpstr>PFJPStorage!Print_Area</vt:lpstr>
      <vt:lpstr>'PFNon-Exec'!Print_Area</vt:lpstr>
      <vt:lpstr>PFRstmtSheet!Print_Area</vt:lpstr>
      <vt:lpstr>'Proposed Rates-ID'!Print_Area</vt:lpstr>
      <vt:lpstr>'Proposed Rates-WA'!Print_Area</vt:lpstr>
      <vt:lpstr>PropTax!Print_Area</vt:lpstr>
      <vt:lpstr>RegExp!Print_Area</vt:lpstr>
      <vt:lpstr>ResultSumGas!Print_Area</vt:lpstr>
      <vt:lpstr>'RevReqEx ID'!Print_Area</vt:lpstr>
      <vt:lpstr>'RevReqEx-WA'!Print_Area</vt:lpstr>
      <vt:lpstr>SIT!Print_Area</vt:lpstr>
      <vt:lpstr>SubSpace!Print_Area</vt:lpstr>
      <vt:lpstr>SYSGas12_06!Print_Area</vt:lpstr>
      <vt:lpstr>UncollExp!Print_Area</vt:lpstr>
      <vt:lpstr>WAGas09_08!Print_Area</vt:lpstr>
      <vt:lpstr>WeatherGas!Print_Area</vt:lpstr>
      <vt:lpstr>WznDSM!Print_Area</vt:lpstr>
      <vt:lpstr>Print_for_CBReport</vt:lpstr>
      <vt:lpstr>Print_for_Checking</vt:lpstr>
      <vt:lpstr>CWIPAlloc!Print_Titles</vt:lpstr>
      <vt:lpstr>IDGas12_07!Print_Titles</vt:lpstr>
      <vt:lpstr>SYSGas12_06!Print_Titles</vt:lpstr>
      <vt:lpstr>WAGas09_08!Print_Titles</vt:lpstr>
      <vt:lpstr>IDGas12_07!proforma</vt:lpstr>
      <vt:lpstr>SYSGas12_06!proforma</vt:lpstr>
      <vt:lpstr>IDGas12_07!restated</vt:lpstr>
      <vt:lpstr>SYSGas12_06!restated</vt:lpstr>
      <vt:lpstr>Summary</vt:lpstr>
      <vt:lpstr>WA_Gas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rzk7kq</cp:lastModifiedBy>
  <cp:lastPrinted>2009-01-16T17:16:33Z</cp:lastPrinted>
  <dcterms:created xsi:type="dcterms:W3CDTF">1997-05-15T21:41:44Z</dcterms:created>
  <dcterms:modified xsi:type="dcterms:W3CDTF">2009-09-29T00:06:59Z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