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Data Requests\1) Staff\Avista Responses\Ready for Review\"/>
    </mc:Choice>
  </mc:AlternateContent>
  <bookViews>
    <workbookView xWindow="5115" yWindow="-135" windowWidth="10050" windowHeight="9855" tabRatio="811"/>
  </bookViews>
  <sheets>
    <sheet name="C-UE-1" sheetId="21" r:id="rId1"/>
    <sheet name="C-UE-2" sheetId="19" r:id="rId2"/>
    <sheet name="C-UE-3" sheetId="20" r:id="rId3"/>
    <sheet name="CF WA Elec" sheetId="1" r:id="rId4"/>
    <sheet name="CF WA Gas" sheetId="2" r:id="rId5"/>
    <sheet name="SharedInputs" sheetId="8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rintAll">#REF!</definedName>
    <definedName name="Recover">[1]Macro1!$A$85</definedName>
    <definedName name="TableName">"Dummy"</definedName>
  </definedNames>
  <calcPr calcId="152511" calcMode="manual"/>
</workbook>
</file>

<file path=xl/calcChain.xml><?xml version="1.0" encoding="utf-8"?>
<calcChain xmlns="http://schemas.openxmlformats.org/spreadsheetml/2006/main">
  <c r="E14" i="8" l="1"/>
  <c r="D14" i="8"/>
  <c r="C14" i="8"/>
  <c r="B14" i="8"/>
  <c r="D26" i="2"/>
  <c r="D27" i="1"/>
  <c r="C65" i="21"/>
  <c r="C60" i="21"/>
  <c r="C49" i="21"/>
  <c r="C48" i="21"/>
  <c r="C42" i="21"/>
  <c r="C41" i="21"/>
  <c r="C23" i="21"/>
  <c r="E23" i="21" s="1"/>
  <c r="C13" i="21"/>
  <c r="C68" i="21"/>
  <c r="G50" i="21" s="1"/>
  <c r="C63" i="21"/>
  <c r="C50" i="21"/>
  <c r="G27" i="21"/>
  <c r="E27" i="21"/>
  <c r="C27" i="21"/>
  <c r="A27" i="21"/>
  <c r="G17" i="21"/>
  <c r="E17" i="21"/>
  <c r="C17" i="21"/>
  <c r="A17" i="21"/>
  <c r="G13" i="21"/>
  <c r="A3" i="21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H22" i="20"/>
  <c r="G22" i="20"/>
  <c r="F22" i="20"/>
  <c r="E22" i="20"/>
  <c r="D22" i="20"/>
  <c r="C22" i="20"/>
  <c r="B22" i="20"/>
  <c r="AN21" i="20"/>
  <c r="AD21" i="20"/>
  <c r="T21" i="20"/>
  <c r="H21" i="20"/>
  <c r="AN20" i="20"/>
  <c r="AD20" i="20"/>
  <c r="T20" i="20"/>
  <c r="H20" i="20"/>
  <c r="AN19" i="20"/>
  <c r="AD19" i="20"/>
  <c r="T19" i="20"/>
  <c r="H19" i="20"/>
  <c r="AN18" i="20"/>
  <c r="AD18" i="20"/>
  <c r="T18" i="20"/>
  <c r="H18" i="20"/>
  <c r="AN17" i="20"/>
  <c r="AD17" i="20"/>
  <c r="T17" i="20"/>
  <c r="H17" i="20"/>
  <c r="AN16" i="20"/>
  <c r="AD16" i="20"/>
  <c r="T16" i="20"/>
  <c r="H16" i="20"/>
  <c r="AN15" i="20"/>
  <c r="AD15" i="20"/>
  <c r="T15" i="20"/>
  <c r="H15" i="20"/>
  <c r="AN14" i="20"/>
  <c r="AD14" i="20"/>
  <c r="T14" i="20"/>
  <c r="H14" i="20"/>
  <c r="AN13" i="20"/>
  <c r="AD13" i="20"/>
  <c r="T13" i="20"/>
  <c r="H13" i="20"/>
  <c r="AN12" i="20"/>
  <c r="AD12" i="20"/>
  <c r="T12" i="20"/>
  <c r="H12" i="20"/>
  <c r="AN11" i="20"/>
  <c r="AD11" i="20"/>
  <c r="T11" i="20"/>
  <c r="H11" i="20"/>
  <c r="AN10" i="20"/>
  <c r="AN22" i="20" s="1"/>
  <c r="AF10" i="20"/>
  <c r="AF11" i="20" s="1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AD10" i="20"/>
  <c r="AD22" i="20" s="1"/>
  <c r="V10" i="20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T10" i="20"/>
  <c r="T22" i="20" s="1"/>
  <c r="J10" i="20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H10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F3" i="20"/>
  <c r="V3" i="20"/>
  <c r="J3" i="20"/>
  <c r="A3" i="20"/>
  <c r="C146" i="19"/>
  <c r="C148" i="19" s="1"/>
  <c r="B146" i="19"/>
  <c r="A146" i="19"/>
  <c r="A148" i="19" s="1"/>
  <c r="C141" i="19"/>
  <c r="B141" i="19"/>
  <c r="B148" i="19" s="1"/>
  <c r="A141" i="19"/>
  <c r="C124" i="19"/>
  <c r="B124" i="19"/>
  <c r="B126" i="19" s="1"/>
  <c r="A124" i="19"/>
  <c r="C119" i="19"/>
  <c r="C126" i="19" s="1"/>
  <c r="B119" i="19"/>
  <c r="A119" i="19"/>
  <c r="A126" i="19" s="1"/>
  <c r="C102" i="19"/>
  <c r="C104" i="19" s="1"/>
  <c r="B102" i="19"/>
  <c r="A102" i="19"/>
  <c r="A104" i="19" s="1"/>
  <c r="C95" i="19"/>
  <c r="B95" i="19"/>
  <c r="B104" i="19" s="1"/>
  <c r="A95" i="19"/>
  <c r="C75" i="19"/>
  <c r="B75" i="19"/>
  <c r="B77" i="19" s="1"/>
  <c r="A75" i="19"/>
  <c r="C72" i="19"/>
  <c r="C77" i="19" s="1"/>
  <c r="B72" i="19"/>
  <c r="A72" i="19"/>
  <c r="A77" i="19" s="1"/>
  <c r="B56" i="19"/>
  <c r="C54" i="19"/>
  <c r="C56" i="19" s="1"/>
  <c r="B54" i="19"/>
  <c r="A54" i="19"/>
  <c r="A56" i="19" s="1"/>
  <c r="C49" i="19"/>
  <c r="B49" i="19"/>
  <c r="A49" i="19"/>
  <c r="C31" i="19"/>
  <c r="B31" i="19"/>
  <c r="B33" i="19" s="1"/>
  <c r="A31" i="19"/>
  <c r="R23" i="19"/>
  <c r="Q23" i="19"/>
  <c r="N23" i="19"/>
  <c r="M23" i="19"/>
  <c r="L23" i="19"/>
  <c r="K27" i="19" s="1"/>
  <c r="K23" i="19"/>
  <c r="K26" i="19" s="1"/>
  <c r="J23" i="19"/>
  <c r="I23" i="19"/>
  <c r="H23" i="19"/>
  <c r="G23" i="19"/>
  <c r="F23" i="19"/>
  <c r="E23" i="19"/>
  <c r="C23" i="19"/>
  <c r="C33" i="19" s="1"/>
  <c r="B23" i="19"/>
  <c r="A23" i="19"/>
  <c r="A33" i="19" s="1"/>
  <c r="D12" i="19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P11" i="19"/>
  <c r="P12" i="19" s="1"/>
  <c r="P13" i="19" s="1"/>
  <c r="P14" i="19" s="1"/>
  <c r="P15" i="19" s="1"/>
  <c r="P16" i="19" s="1"/>
  <c r="P17" i="19" s="1"/>
  <c r="P18" i="19" s="1"/>
  <c r="P19" i="19" s="1"/>
  <c r="P20" i="19" s="1"/>
  <c r="P21" i="19" s="1"/>
  <c r="P22" i="19" s="1"/>
  <c r="D11" i="19"/>
  <c r="D3" i="19"/>
  <c r="M13" i="8"/>
  <c r="D24" i="8"/>
  <c r="A3" i="2"/>
  <c r="L13" i="8"/>
  <c r="E13" i="8"/>
  <c r="C13" i="8"/>
  <c r="D28" i="2"/>
  <c r="D29" i="1"/>
  <c r="E11" i="1"/>
  <c r="D37" i="1"/>
  <c r="A3" i="1"/>
  <c r="A1" i="1"/>
  <c r="A34" i="1"/>
  <c r="B20" i="1"/>
  <c r="A1" i="2"/>
  <c r="A33" i="2"/>
  <c r="D36" i="2"/>
  <c r="B20" i="2"/>
  <c r="E11" i="2"/>
  <c r="G23" i="21" l="1"/>
  <c r="C70" i="21"/>
  <c r="G43" i="21"/>
  <c r="G52" i="21" s="1"/>
  <c r="E13" i="21"/>
  <c r="C43" i="21"/>
  <c r="C52" i="21" s="1"/>
  <c r="E48" i="21"/>
  <c r="E29" i="2"/>
  <c r="E70" i="21" l="1"/>
  <c r="E49" i="21"/>
  <c r="E50" i="21"/>
  <c r="G48" i="21"/>
  <c r="E41" i="21"/>
  <c r="G41" i="21" s="1"/>
  <c r="E11" i="21" s="1"/>
  <c r="E9" i="2"/>
  <c r="C40" i="2"/>
  <c r="D40" i="2" s="1"/>
  <c r="E41" i="2" s="1"/>
  <c r="E13" i="2" s="1"/>
  <c r="E15" i="21" l="1"/>
  <c r="G42" i="21"/>
  <c r="E21" i="21" s="1"/>
  <c r="E42" i="21"/>
  <c r="E43" i="21" s="1"/>
  <c r="G11" i="21"/>
  <c r="G15" i="21" s="1"/>
  <c r="G49" i="21"/>
  <c r="G21" i="21" s="1"/>
  <c r="G25" i="21" s="1"/>
  <c r="E30" i="1"/>
  <c r="E16" i="2"/>
  <c r="E18" i="2" s="1"/>
  <c r="C11" i="21" l="1"/>
  <c r="C15" i="21" s="1"/>
  <c r="C21" i="21"/>
  <c r="C25" i="21" s="1"/>
  <c r="E25" i="21"/>
  <c r="C42" i="1"/>
  <c r="D42" i="1" s="1"/>
  <c r="E43" i="1" s="1"/>
  <c r="E13" i="1" s="1"/>
  <c r="E9" i="1"/>
  <c r="E16" i="1" s="1"/>
  <c r="E18" i="1" s="1"/>
  <c r="E20" i="1" s="1"/>
  <c r="E22" i="1" s="1"/>
  <c r="E20" i="2"/>
  <c r="E22" i="2" s="1"/>
</calcChain>
</file>

<file path=xl/comments1.xml><?xml version="1.0" encoding="utf-8"?>
<comments xmlns="http://schemas.openxmlformats.org/spreadsheetml/2006/main">
  <authors>
    <author>Jen Buss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>
  <authors>
    <author>rzk7kq</author>
    <author>gzhkw6</author>
    <author>kznwdg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K17" authorId="1" shapeId="0">
      <text>
        <r>
          <rPr>
            <sz val="8"/>
            <color indexed="81"/>
            <rFont val="Tahoma"/>
            <family val="2"/>
          </rPr>
          <t>No Change in Rate confirmed by Catherine Cooper</t>
        </r>
      </text>
    </comment>
    <comment ref="D22" authorId="2" shapeId="0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<sst xmlns="http://schemas.openxmlformats.org/spreadsheetml/2006/main" count="294" uniqueCount="144">
  <si>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</si>
  <si>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</si>
  <si>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</si>
  <si>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</si>
  <si>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</si>
  <si>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</si>
  <si>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</si>
  <si>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</si>
  <si>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</si>
  <si>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</si>
  <si>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</si>
  <si>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</si>
  <si>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</si>
  <si>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</si>
  <si>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</si>
  <si>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</si>
  <si>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</si>
  <si>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</si>
  <si>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</si>
  <si>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</si>
  <si>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</si>
  <si>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</si>
  <si>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</si>
  <si>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</si>
  <si>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</si>
  <si>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</si>
  <si>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</si>
  <si>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</si>
  <si>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</si>
  <si>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</si>
  <si>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</si>
  <si>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</si>
  <si>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</si>
  <si>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</si>
  <si>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</si>
  <si>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</si>
  <si>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</si>
  <si>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</si>
  <si>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</si>
  <si>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</si>
  <si>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</si>
  <si>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</si>
  <si>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</si>
  <si>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</si>
  <si>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</si>
  <si>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</si>
  <si>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</si>
  <si>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</si>
  <si>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</si>
  <si>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</si>
  <si>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</si>
  <si>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</si>
  <si>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</si>
  <si>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</si>
  <si>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</si>
  <si>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</si>
  <si>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</si>
  <si>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</si>
  <si>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</si>
  <si>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</si>
  <si>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</si>
  <si>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</si>
  <si>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</si>
  <si>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</si>
  <si>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</si>
  <si>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</si>
  <si>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</si>
  <si>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</si>
  <si>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</si>
  <si>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</si>
  <si>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</si>
  <si>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</si>
  <si>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</si>
  <si>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 xml:space="preserve">     *** From 2015 Form 42 - Idaho Corporation Income Tax (unaudited)</t>
  </si>
  <si>
    <t>ED</t>
  </si>
  <si>
    <t>GD</t>
  </si>
  <si>
    <t>OR</t>
  </si>
  <si>
    <t>JSS 02/20/17</t>
  </si>
  <si>
    <t xml:space="preserve"> JSS 02/20/17</t>
  </si>
  <si>
    <t>TWELVE MONTHS ENDED DECEMBER 31, 2016</t>
  </si>
  <si>
    <t>No Change in Rate  JSS 02/20/17</t>
  </si>
  <si>
    <t>Shared Inputs</t>
  </si>
  <si>
    <t>Idaho Share of System Revenues</t>
  </si>
  <si>
    <t>Total</t>
  </si>
  <si>
    <t>TLK 4/27/17</t>
  </si>
  <si>
    <t>Idaho Apportionment Rate from 2015 ID State Return</t>
  </si>
  <si>
    <t>(2) IPUC fees rate per Regulatory Fee Calculation; Assessment rate is .002275  ID, Order No. 33741; dated 04/21/2017</t>
  </si>
  <si>
    <t>(2) WUTC fees rate per Regulatory Fee Calculation Schedule, Annual Report Year 2016 - Order No. A 140166 dated 02/23/2017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</si>
  <si>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</si>
  <si>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</si>
  <si>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</si>
  <si>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</si>
  <si>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</si>
  <si>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</si>
  <si>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</si>
  <si>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</si>
  <si>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</si>
  <si>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</si>
  <si>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</si>
  <si>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</si>
  <si>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</si>
  <si>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</si>
  <si>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</si>
  <si>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</si>
  <si>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</si>
  <si>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</si>
  <si>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</si>
  <si>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</si>
  <si>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</si>
  <si>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Reinstatements WA</t>
  </si>
  <si>
    <t>Recoveries WA</t>
  </si>
  <si>
    <t>Idaho</t>
  </si>
  <si>
    <t>Write-Offs ID</t>
  </si>
  <si>
    <t>Reinstatements ID</t>
  </si>
  <si>
    <t>Recoveries ID</t>
  </si>
  <si>
    <t>check</t>
  </si>
  <si>
    <t>ACTUAL</t>
  </si>
  <si>
    <t>ACCRUAL</t>
  </si>
  <si>
    <t>Beginning Balance</t>
  </si>
  <si>
    <t>Monthly Activity Amt</t>
  </si>
  <si>
    <t>Ending Balance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</si>
  <si>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</si>
  <si>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</si>
  <si>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</si>
  <si>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</si>
  <si>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</si>
  <si>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</si>
  <si>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</si>
  <si>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</si>
  <si>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</si>
  <si>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</si>
  <si>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</si>
  <si>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(note:  Even though write-offs are recorded as WA electric and gas and ID electric and gas, this allocation can not be used.</t>
  </si>
  <si>
    <t>Per duscussion with Tami Judge and Karen Doran, the customer service reps can not distinquish which service is being written off for combined electric and gas customers.</t>
  </si>
  <si>
    <t>Therefore, the write-offs for each state will be combined and allocated to service using sales, as has been done for years (prior to the new CC&amp;B system.)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</si>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</sst>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00"/>
    <numFmt numFmtId="165" formatCode="#,##0\ ;\(#,##0\)"/>
    <numFmt numFmtId="166" formatCode="0.000%"/>
    <numFmt numFmtId="167" formatCode="#,##0.00\ ;\(#,##0.00\)"/>
    <numFmt numFmtId="168" formatCode="_(* #,##0.000000_);_(* \(#,##0.000000\);_(* &quot;-&quot;??_);_(@_)"/>
    <numFmt numFmtId="169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7" fontId="5" fillId="0" borderId="0" xfId="5" applyNumberFormat="1" applyFont="1"/>
    <xf numFmtId="167" fontId="2" fillId="0" borderId="0" xfId="5" applyNumberFormat="1" applyFont="1"/>
    <xf numFmtId="167" fontId="6" fillId="0" borderId="0" xfId="5" applyNumberFormat="1" applyFont="1" applyBorder="1" applyAlignment="1">
      <alignment horizontal="center"/>
    </xf>
    <xf numFmtId="167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37" fontId="17" fillId="0" borderId="2" xfId="5" applyNumberFormat="1" applyFont="1" applyBorder="1"/>
    <xf numFmtId="0" fontId="17" fillId="0" borderId="0" xfId="0" applyFont="1" applyFill="1"/>
    <xf numFmtId="167" fontId="2" fillId="0" borderId="0" xfId="5" applyNumberFormat="1" applyFont="1" applyFill="1"/>
    <xf numFmtId="167" fontId="17" fillId="0" borderId="0" xfId="5" applyNumberFormat="1" applyFont="1"/>
    <xf numFmtId="0" fontId="17" fillId="0" borderId="0" xfId="0" applyFont="1"/>
    <xf numFmtId="168" fontId="12" fillId="0" borderId="0" xfId="1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8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 applyFill="1"/>
    <xf numFmtId="0" fontId="18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7" fillId="0" borderId="0" xfId="5" applyNumberFormat="1" applyFont="1"/>
    <xf numFmtId="166" fontId="19" fillId="0" borderId="0" xfId="6" applyNumberFormat="1" applyFont="1" applyBorder="1"/>
    <xf numFmtId="166" fontId="19" fillId="0" borderId="0" xfId="6" applyNumberFormat="1" applyFont="1"/>
    <xf numFmtId="0" fontId="2" fillId="0" borderId="0" xfId="5" applyFont="1"/>
    <xf numFmtId="167" fontId="2" fillId="0" borderId="5" xfId="5" applyNumberFormat="1" applyFont="1" applyBorder="1" applyAlignment="1">
      <alignment horizontal="center"/>
    </xf>
    <xf numFmtId="167" fontId="2" fillId="0" borderId="6" xfId="5" applyNumberFormat="1" applyFont="1" applyBorder="1" applyAlignment="1">
      <alignment horizontal="center"/>
    </xf>
    <xf numFmtId="167" fontId="2" fillId="0" borderId="7" xfId="5" applyNumberFormat="1" applyFont="1" applyBorder="1" applyAlignment="1">
      <alignment horizontal="center"/>
    </xf>
    <xf numFmtId="166" fontId="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37" fontId="2" fillId="0" borderId="0" xfId="5" applyNumberFormat="1" applyFont="1" applyFill="1" applyBorder="1"/>
    <xf numFmtId="166" fontId="20" fillId="0" borderId="0" xfId="5" applyNumberFormat="1" applyFont="1" applyAlignment="1">
      <alignment horizontal="center"/>
    </xf>
    <xf numFmtId="166" fontId="20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67" fontId="6" fillId="0" borderId="0" xfId="5" applyNumberFormat="1" applyFont="1" applyAlignment="1">
      <alignment horizontal="center"/>
    </xf>
    <xf numFmtId="167" fontId="6" fillId="0" borderId="0" xfId="5" applyNumberFormat="1" applyFont="1" applyAlignment="1">
      <alignment horizontal="right"/>
    </xf>
    <xf numFmtId="167" fontId="6" fillId="0" borderId="0" xfId="5" applyNumberFormat="1" applyFont="1"/>
    <xf numFmtId="165" fontId="2" fillId="0" borderId="0" xfId="5" applyNumberFormat="1" applyFont="1" applyAlignment="1">
      <alignment horizontal="center"/>
    </xf>
    <xf numFmtId="165" fontId="2" fillId="0" borderId="0" xfId="1" applyNumberFormat="1" applyFont="1" applyFill="1"/>
    <xf numFmtId="0" fontId="21" fillId="0" borderId="0" xfId="0" applyFont="1"/>
    <xf numFmtId="165" fontId="2" fillId="0" borderId="0" xfId="5" applyNumberFormat="1" applyFont="1" applyFill="1"/>
    <xf numFmtId="165" fontId="2" fillId="0" borderId="3" xfId="5" applyNumberFormat="1" applyFont="1" applyBorder="1"/>
    <xf numFmtId="165" fontId="2" fillId="0" borderId="0" xfId="5" applyNumberFormat="1" applyFont="1"/>
    <xf numFmtId="0" fontId="11" fillId="0" borderId="0" xfId="0" applyFont="1"/>
    <xf numFmtId="43" fontId="0" fillId="0" borderId="0" xfId="1" applyFont="1"/>
    <xf numFmtId="43" fontId="1" fillId="0" borderId="0" xfId="1"/>
    <xf numFmtId="0" fontId="24" fillId="0" borderId="0" xfId="0" applyFont="1" applyAlignment="1">
      <alignment horizontal="center"/>
    </xf>
    <xf numFmtId="169" fontId="0" fillId="0" borderId="0" xfId="1" applyNumberFormat="1" applyFont="1"/>
    <xf numFmtId="43" fontId="0" fillId="0" borderId="12" xfId="2" applyFont="1" applyBorder="1"/>
    <xf numFmtId="169" fontId="0" fillId="0" borderId="12" xfId="0" applyNumberFormat="1" applyBorder="1"/>
    <xf numFmtId="0" fontId="18" fillId="0" borderId="0" xfId="5" applyFont="1" applyBorder="1" applyAlignment="1">
      <alignment horizontal="center"/>
    </xf>
    <xf numFmtId="16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9" fontId="1" fillId="0" borderId="0" xfId="0" applyNumberFormat="1" applyFont="1"/>
    <xf numFmtId="43" fontId="24" fillId="0" borderId="8" xfId="1" applyFont="1" applyBorder="1"/>
    <xf numFmtId="0" fontId="24" fillId="0" borderId="0" xfId="0" applyFont="1"/>
    <xf numFmtId="43" fontId="24" fillId="0" borderId="0" xfId="1" applyFont="1" applyBorder="1"/>
    <xf numFmtId="43" fontId="0" fillId="0" borderId="12" xfId="1" applyFont="1" applyBorder="1"/>
    <xf numFmtId="43" fontId="1" fillId="0" borderId="0" xfId="1" applyFont="1"/>
    <xf numFmtId="1" fontId="24" fillId="0" borderId="0" xfId="0" applyNumberFormat="1" applyFont="1" applyAlignment="1">
      <alignment horizontal="center"/>
    </xf>
    <xf numFmtId="169" fontId="0" fillId="0" borderId="12" xfId="1" applyNumberFormat="1" applyFont="1" applyBorder="1"/>
    <xf numFmtId="37" fontId="19" fillId="0" borderId="0" xfId="0" applyNumberFormat="1" applyFont="1"/>
    <xf numFmtId="164" fontId="2" fillId="0" borderId="0" xfId="0" applyNumberFormat="1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167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left" wrapText="1"/>
    </xf>
    <xf numFmtId="164" fontId="12" fillId="0" borderId="0" xfId="0" applyNumberFormat="1" applyFont="1" applyFill="1" applyAlignment="1">
      <alignment horizontal="left" wrapText="1"/>
    </xf>
  </cellXfs>
  <cellStyles count="7">
    <cellStyle name="Comma" xfId="1" builtinId="3"/>
    <cellStyle name="Comma 2" xfId="2"/>
    <cellStyle name="Normal" xfId="0" builtinId="0"/>
    <cellStyle name="Normal 2" xfId="3"/>
    <cellStyle name="Normal 2 2" xfId="4"/>
    <cellStyle name="Normal_uncollectcalc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7\2017%20ID%20Elec%20and%20Gas%20GRC\Adjustments\Adjustments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EANNE/Idaho%20Earnings%20Test/WA%20CBR%20Info/2015-2016/Uncollectibles/2016%20Uncollectible%20Exp%20Adj%20-%20FINA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UE-1"/>
      <sheetName val="C-UE-2  "/>
      <sheetName val="C-UE-3"/>
      <sheetName val="Input"/>
    </sheetNames>
    <sheetDataSet>
      <sheetData sheetId="0" refreshError="1"/>
      <sheetData sheetId="1"/>
      <sheetData sheetId="2"/>
      <sheetData sheetId="3">
        <row r="2">
          <cell r="B2" t="str">
            <v>TWELVE MONTHS ENDED DECEMBER 31, 2016</v>
          </cell>
        </row>
        <row r="4">
          <cell r="B4" t="str">
            <v>201601</v>
          </cell>
        </row>
        <row r="8">
          <cell r="A8" t="str">
            <v>Allocation Note 2: Customers</v>
          </cell>
          <cell r="C8">
            <v>0.65664</v>
          </cell>
          <cell r="D8">
            <v>0.34336</v>
          </cell>
        </row>
        <row r="9">
          <cell r="A9" t="str">
            <v>Allocation Note 2:  Customers</v>
          </cell>
          <cell r="C9">
            <v>0.66203999999999996</v>
          </cell>
          <cell r="D9">
            <v>0.33795999999999998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2"/>
  <sheetViews>
    <sheetView tabSelected="1" topLeftCell="A16" workbookViewId="0">
      <selection activeCell="H10" sqref="H10"/>
    </sheetView>
  </sheetViews>
  <sheetFormatPr defaultColWidth="9.42578125" defaultRowHeight="12.75" x14ac:dyDescent="0.2"/>
  <cols>
    <col min="1" max="1" width="22" style="8" customWidth="1"/>
    <col min="2" max="2" width="11.140625" style="8" customWidth="1"/>
    <col min="3" max="3" width="16.28515625" style="8" customWidth="1"/>
    <col min="4" max="4" width="8.5703125" style="8" customWidth="1"/>
    <col min="5" max="5" width="13.28515625" style="8" customWidth="1"/>
    <col min="6" max="6" width="5.28515625" style="8" customWidth="1"/>
    <col min="7" max="8" width="11.140625" style="8" customWidth="1"/>
    <col min="9" max="9" width="11.140625" style="42" customWidth="1"/>
    <col min="10" max="10" width="9.42578125" style="42" customWidth="1"/>
    <col min="11" max="16384" width="9.42578125" style="8"/>
  </cols>
  <sheetData>
    <row r="1" spans="1:8" x14ac:dyDescent="0.2">
      <c r="A1" s="7" t="s">
        <v>55</v>
      </c>
    </row>
    <row r="2" spans="1:8" x14ac:dyDescent="0.2">
      <c r="A2" s="7" t="s">
        <v>35</v>
      </c>
      <c r="E2" s="42"/>
      <c r="F2" s="42"/>
      <c r="G2" s="42"/>
    </row>
    <row r="3" spans="1:8" x14ac:dyDescent="0.2">
      <c r="A3" s="7" t="str">
        <f>[2]Input!B2</f>
        <v>TWELVE MONTHS ENDED DECEMBER 31, 2016</v>
      </c>
    </row>
    <row r="7" spans="1:8" x14ac:dyDescent="0.2">
      <c r="A7" s="7" t="s">
        <v>36</v>
      </c>
    </row>
    <row r="8" spans="1:8" x14ac:dyDescent="0.2">
      <c r="A8" s="7"/>
    </row>
    <row r="9" spans="1:8" x14ac:dyDescent="0.2">
      <c r="A9" s="7"/>
      <c r="C9" s="9" t="s">
        <v>37</v>
      </c>
      <c r="D9" s="9"/>
      <c r="E9" s="9" t="s">
        <v>38</v>
      </c>
      <c r="F9" s="9"/>
      <c r="G9" s="9" t="s">
        <v>39</v>
      </c>
    </row>
    <row r="10" spans="1:8" x14ac:dyDescent="0.2">
      <c r="A10" s="7" t="s">
        <v>40</v>
      </c>
    </row>
    <row r="11" spans="1:8" x14ac:dyDescent="0.2">
      <c r="A11" s="8" t="s">
        <v>41</v>
      </c>
      <c r="C11" s="11">
        <f>E11+G11</f>
        <v>4066493</v>
      </c>
      <c r="D11" s="11"/>
      <c r="E11" s="11">
        <f>G41</f>
        <v>3198239</v>
      </c>
      <c r="F11" s="11"/>
      <c r="G11" s="11">
        <f>G48</f>
        <v>868254</v>
      </c>
    </row>
    <row r="12" spans="1:8" x14ac:dyDescent="0.2">
      <c r="A12" s="8" t="s">
        <v>42</v>
      </c>
      <c r="C12" s="11"/>
      <c r="D12" s="11"/>
      <c r="E12" s="11"/>
      <c r="F12" s="11"/>
      <c r="G12" s="11"/>
    </row>
    <row r="13" spans="1:8" x14ac:dyDescent="0.2">
      <c r="A13" s="8" t="s">
        <v>43</v>
      </c>
      <c r="C13" s="12">
        <f>'C-UE-2'!Q23</f>
        <v>3170040</v>
      </c>
      <c r="D13" s="57" t="s">
        <v>71</v>
      </c>
      <c r="E13" s="58">
        <f>C13*E17</f>
        <v>2081575.0656000001</v>
      </c>
      <c r="F13" s="59"/>
      <c r="G13" s="58">
        <f>C13*G17</f>
        <v>1088464.9343999999</v>
      </c>
      <c r="H13" s="60"/>
    </row>
    <row r="14" spans="1:8" x14ac:dyDescent="0.2">
      <c r="C14" s="11"/>
      <c r="D14" s="11"/>
      <c r="E14" s="11"/>
      <c r="F14" s="11"/>
      <c r="G14" s="11"/>
    </row>
    <row r="15" spans="1:8" ht="13.5" thickBot="1" x14ac:dyDescent="0.25">
      <c r="A15" s="8" t="s">
        <v>44</v>
      </c>
      <c r="C15" s="26">
        <f>C11-C13</f>
        <v>896453</v>
      </c>
      <c r="D15" s="11"/>
      <c r="E15" s="26">
        <f>E11-E13</f>
        <v>1116663.9343999999</v>
      </c>
      <c r="F15" s="11"/>
      <c r="G15" s="26">
        <f>G11-G13</f>
        <v>-220210.93439999991</v>
      </c>
    </row>
    <row r="16" spans="1:8" ht="13.5" thickTop="1" x14ac:dyDescent="0.2">
      <c r="C16" s="27"/>
      <c r="D16" s="27"/>
      <c r="E16" s="27"/>
      <c r="G16" s="27"/>
    </row>
    <row r="17" spans="1:11" x14ac:dyDescent="0.2">
      <c r="A17" s="8" t="str">
        <f>[2]Input!A8</f>
        <v>Allocation Note 2: Customers</v>
      </c>
      <c r="C17" s="61">
        <f>SUM(E17,G17)</f>
        <v>1</v>
      </c>
      <c r="D17" s="61"/>
      <c r="E17" s="61">
        <f>[2]Input!C8</f>
        <v>0.65664</v>
      </c>
      <c r="F17" s="62"/>
      <c r="G17" s="61">
        <f>[2]Input!D8</f>
        <v>0.34336</v>
      </c>
    </row>
    <row r="18" spans="1:11" x14ac:dyDescent="0.2">
      <c r="C18" s="11"/>
      <c r="D18" s="11"/>
      <c r="E18" s="11"/>
      <c r="F18" s="11"/>
      <c r="G18" s="11"/>
      <c r="K18" s="43"/>
    </row>
    <row r="19" spans="1:11" x14ac:dyDescent="0.2">
      <c r="C19" s="11"/>
      <c r="D19" s="11"/>
      <c r="E19" s="11"/>
      <c r="G19" s="11"/>
    </row>
    <row r="20" spans="1:11" x14ac:dyDescent="0.2">
      <c r="A20" s="7" t="s">
        <v>45</v>
      </c>
      <c r="B20" s="11"/>
      <c r="C20" s="11"/>
      <c r="D20" s="11"/>
      <c r="E20" s="11"/>
      <c r="F20" s="11"/>
      <c r="G20" s="11"/>
    </row>
    <row r="21" spans="1:11" x14ac:dyDescent="0.2">
      <c r="A21" s="8" t="s">
        <v>41</v>
      </c>
      <c r="C21" s="11">
        <f>E21+G21</f>
        <v>1151501</v>
      </c>
      <c r="D21" s="11"/>
      <c r="E21" s="11">
        <f>G42</f>
        <v>931718</v>
      </c>
      <c r="F21" s="11"/>
      <c r="G21" s="11">
        <f>G49</f>
        <v>219783</v>
      </c>
    </row>
    <row r="22" spans="1:11" x14ac:dyDescent="0.2">
      <c r="A22" s="8" t="s">
        <v>42</v>
      </c>
      <c r="C22" s="11"/>
      <c r="D22" s="11"/>
      <c r="E22" s="11"/>
      <c r="F22" s="11"/>
      <c r="G22" s="11"/>
    </row>
    <row r="23" spans="1:11" x14ac:dyDescent="0.2">
      <c r="A23" s="8" t="s">
        <v>43</v>
      </c>
      <c r="C23" s="12">
        <f>'C-UE-2'!R23</f>
        <v>1989960</v>
      </c>
      <c r="D23" s="57" t="s">
        <v>71</v>
      </c>
      <c r="E23" s="58">
        <f>C23*E27</f>
        <v>1317433.1184</v>
      </c>
      <c r="F23" s="59"/>
      <c r="G23" s="58">
        <f>C23*G27</f>
        <v>672526.88159999996</v>
      </c>
      <c r="H23" s="60"/>
    </row>
    <row r="24" spans="1:11" x14ac:dyDescent="0.2">
      <c r="C24" s="11"/>
      <c r="D24" s="11"/>
      <c r="E24" s="11"/>
      <c r="F24" s="11"/>
      <c r="G24" s="11"/>
    </row>
    <row r="25" spans="1:11" ht="13.5" thickBot="1" x14ac:dyDescent="0.25">
      <c r="A25" s="8" t="s">
        <v>44</v>
      </c>
      <c r="C25" s="26">
        <f>C21-C23</f>
        <v>-838459</v>
      </c>
      <c r="D25" s="11"/>
      <c r="E25" s="26">
        <f>E21-E23</f>
        <v>-385715.11840000004</v>
      </c>
      <c r="F25" s="11"/>
      <c r="G25" s="26">
        <f>G21-G23</f>
        <v>-452743.88159999996</v>
      </c>
    </row>
    <row r="26" spans="1:11" ht="13.5" thickTop="1" x14ac:dyDescent="0.2">
      <c r="C26" s="10"/>
      <c r="D26" s="10"/>
      <c r="E26" s="10"/>
      <c r="F26" s="10"/>
      <c r="G26" s="10"/>
    </row>
    <row r="27" spans="1:11" x14ac:dyDescent="0.2">
      <c r="A27" s="8" t="str">
        <f>[2]Input!A9</f>
        <v>Allocation Note 2:  Customers</v>
      </c>
      <c r="C27" s="61">
        <f>SUM(E27,G27)</f>
        <v>1</v>
      </c>
      <c r="D27" s="61"/>
      <c r="E27" s="61">
        <f>[2]Input!C9</f>
        <v>0.66203999999999996</v>
      </c>
      <c r="F27" s="61"/>
      <c r="G27" s="61">
        <f>[2]Input!D9</f>
        <v>0.33795999999999998</v>
      </c>
    </row>
    <row r="28" spans="1:11" x14ac:dyDescent="0.2">
      <c r="C28" s="10"/>
      <c r="D28" s="10"/>
      <c r="E28" s="10"/>
      <c r="F28" s="10"/>
      <c r="G28" s="10"/>
    </row>
    <row r="29" spans="1:11" x14ac:dyDescent="0.2">
      <c r="A29" s="8" t="s">
        <v>46</v>
      </c>
    </row>
    <row r="30" spans="1:11" x14ac:dyDescent="0.2">
      <c r="A30" s="8" t="s">
        <v>60</v>
      </c>
    </row>
    <row r="32" spans="1:11" x14ac:dyDescent="0.2">
      <c r="A32" s="8" t="s">
        <v>47</v>
      </c>
    </row>
    <row r="35" spans="1:7" x14ac:dyDescent="0.2">
      <c r="A35" s="7" t="s">
        <v>88</v>
      </c>
    </row>
    <row r="36" spans="1:7" x14ac:dyDescent="0.2">
      <c r="A36" s="7"/>
      <c r="B36" s="63"/>
      <c r="C36" s="64" t="s">
        <v>89</v>
      </c>
      <c r="D36" s="63"/>
      <c r="E36" s="64"/>
      <c r="F36" s="63"/>
      <c r="G36" s="64" t="s">
        <v>90</v>
      </c>
    </row>
    <row r="37" spans="1:7" x14ac:dyDescent="0.2">
      <c r="B37" s="63"/>
      <c r="C37" s="65" t="s">
        <v>91</v>
      </c>
      <c r="D37" s="63"/>
      <c r="E37" s="65" t="s">
        <v>92</v>
      </c>
      <c r="F37" s="63"/>
      <c r="G37" s="65" t="s">
        <v>93</v>
      </c>
    </row>
    <row r="38" spans="1:7" x14ac:dyDescent="0.2">
      <c r="A38" s="63"/>
      <c r="B38" s="63"/>
      <c r="C38" s="66" t="s">
        <v>94</v>
      </c>
      <c r="D38" s="63"/>
      <c r="E38" s="66" t="s">
        <v>95</v>
      </c>
      <c r="F38" s="63"/>
      <c r="G38" s="66" t="s">
        <v>96</v>
      </c>
    </row>
    <row r="39" spans="1:7" x14ac:dyDescent="0.2">
      <c r="B39" s="63"/>
      <c r="D39" s="63"/>
      <c r="E39" s="67"/>
      <c r="F39" s="63"/>
    </row>
    <row r="40" spans="1:7" x14ac:dyDescent="0.2">
      <c r="A40" s="7" t="s">
        <v>97</v>
      </c>
      <c r="B40" s="63"/>
      <c r="D40" s="63"/>
      <c r="E40" s="67"/>
      <c r="F40" s="63"/>
    </row>
    <row r="41" spans="1:7" x14ac:dyDescent="0.2">
      <c r="A41" s="8" t="s">
        <v>98</v>
      </c>
      <c r="B41" s="68"/>
      <c r="C41" s="69">
        <f>-'C-UE-3'!H22</f>
        <v>517279395.42000008</v>
      </c>
      <c r="D41" s="57" t="s">
        <v>99</v>
      </c>
      <c r="E41" s="70">
        <f>ROUND(C41/C43,4)</f>
        <v>0.77439999999999998</v>
      </c>
      <c r="F41" s="63"/>
      <c r="G41" s="11">
        <f>ROUND(G43*E41,0)</f>
        <v>3198239</v>
      </c>
    </row>
    <row r="42" spans="1:7" x14ac:dyDescent="0.2">
      <c r="A42" s="8" t="s">
        <v>100</v>
      </c>
      <c r="B42" s="68"/>
      <c r="C42" s="58">
        <f>-'C-UE-3'!AD22</f>
        <v>150692725.29000002</v>
      </c>
      <c r="D42" s="57" t="s">
        <v>99</v>
      </c>
      <c r="E42" s="71">
        <f>1-E41</f>
        <v>0.22560000000000002</v>
      </c>
      <c r="F42" s="63"/>
      <c r="G42" s="12">
        <f>G43-G41</f>
        <v>931718</v>
      </c>
    </row>
    <row r="43" spans="1:7" x14ac:dyDescent="0.2">
      <c r="A43" s="8" t="s">
        <v>83</v>
      </c>
      <c r="B43" s="63"/>
      <c r="C43" s="72">
        <f>C41+C42</f>
        <v>667972120.71000004</v>
      </c>
      <c r="D43" s="63"/>
      <c r="E43" s="70">
        <f>E41+E42</f>
        <v>1</v>
      </c>
      <c r="F43" s="63"/>
      <c r="G43" s="72">
        <f>ROUND(C63,0)</f>
        <v>4129957</v>
      </c>
    </row>
    <row r="44" spans="1:7" x14ac:dyDescent="0.2">
      <c r="B44" s="63"/>
      <c r="C44" s="11"/>
      <c r="D44" s="63"/>
      <c r="E44" s="70"/>
      <c r="F44" s="63"/>
      <c r="G44" s="11"/>
    </row>
    <row r="45" spans="1:7" x14ac:dyDescent="0.2">
      <c r="B45" s="63"/>
      <c r="C45" s="11"/>
      <c r="D45" s="63"/>
      <c r="E45" s="70"/>
      <c r="F45" s="63"/>
      <c r="G45" s="11"/>
    </row>
    <row r="46" spans="1:7" x14ac:dyDescent="0.2">
      <c r="B46" s="63"/>
      <c r="C46" s="11"/>
      <c r="D46" s="63"/>
      <c r="E46" s="70"/>
      <c r="F46" s="63"/>
      <c r="G46" s="11"/>
    </row>
    <row r="47" spans="1:7" x14ac:dyDescent="0.2">
      <c r="A47" s="7" t="s">
        <v>101</v>
      </c>
      <c r="B47" s="63"/>
      <c r="C47" s="11"/>
      <c r="D47" s="63"/>
      <c r="E47" s="70"/>
      <c r="F47" s="63"/>
      <c r="G47" s="11"/>
    </row>
    <row r="48" spans="1:7" x14ac:dyDescent="0.2">
      <c r="A48" s="8" t="s">
        <v>98</v>
      </c>
      <c r="B48" s="68"/>
      <c r="C48" s="69">
        <f>-'C-UE-3'!T22</f>
        <v>243695713.78999996</v>
      </c>
      <c r="D48" s="57" t="s">
        <v>99</v>
      </c>
      <c r="E48" s="70">
        <f>ROUND(C48/C50,4)</f>
        <v>0.79800000000000004</v>
      </c>
      <c r="F48" s="63"/>
      <c r="G48" s="11">
        <f>ROUND(G50*E48,0)</f>
        <v>868254</v>
      </c>
    </row>
    <row r="49" spans="1:7" x14ac:dyDescent="0.2">
      <c r="A49" s="8" t="s">
        <v>100</v>
      </c>
      <c r="B49" s="68"/>
      <c r="C49" s="58">
        <f>-'C-UE-3'!AN22</f>
        <v>61669875.450000003</v>
      </c>
      <c r="D49" s="57" t="s">
        <v>99</v>
      </c>
      <c r="E49" s="71">
        <f>1-E48</f>
        <v>0.20199999999999996</v>
      </c>
      <c r="F49" s="63"/>
      <c r="G49" s="12">
        <f>G50-G48</f>
        <v>219783</v>
      </c>
    </row>
    <row r="50" spans="1:7" x14ac:dyDescent="0.2">
      <c r="A50" s="8" t="s">
        <v>83</v>
      </c>
      <c r="B50" s="63"/>
      <c r="C50" s="72">
        <f>C48+C49</f>
        <v>305365589.23999995</v>
      </c>
      <c r="D50" s="63"/>
      <c r="E50" s="70">
        <f>E48+E49</f>
        <v>1</v>
      </c>
      <c r="F50" s="63"/>
      <c r="G50" s="72">
        <f>ROUND(C68,0)</f>
        <v>1088037</v>
      </c>
    </row>
    <row r="51" spans="1:7" x14ac:dyDescent="0.2">
      <c r="B51" s="63"/>
      <c r="C51" s="11"/>
      <c r="D51" s="63"/>
      <c r="F51" s="63"/>
      <c r="G51" s="11"/>
    </row>
    <row r="52" spans="1:7" ht="13.5" thickBot="1" x14ac:dyDescent="0.25">
      <c r="A52" s="7" t="s">
        <v>102</v>
      </c>
      <c r="B52" s="63"/>
      <c r="C52" s="73">
        <f>C50+C43</f>
        <v>973337709.95000005</v>
      </c>
      <c r="D52" s="63"/>
      <c r="F52" s="63"/>
      <c r="G52" s="73">
        <f>G50+G43</f>
        <v>5217994</v>
      </c>
    </row>
    <row r="53" spans="1:7" ht="13.5" thickTop="1" x14ac:dyDescent="0.2">
      <c r="C53" s="11"/>
    </row>
    <row r="54" spans="1:7" x14ac:dyDescent="0.2">
      <c r="A54" s="8" t="s">
        <v>103</v>
      </c>
    </row>
    <row r="56" spans="1:7" x14ac:dyDescent="0.2">
      <c r="A56" s="8" t="s">
        <v>104</v>
      </c>
    </row>
    <row r="58" spans="1:7" x14ac:dyDescent="0.2">
      <c r="B58" s="74" t="s">
        <v>105</v>
      </c>
      <c r="C58" s="75" t="s">
        <v>106</v>
      </c>
    </row>
    <row r="59" spans="1:7" x14ac:dyDescent="0.2">
      <c r="A59" s="76" t="s">
        <v>107</v>
      </c>
    </row>
    <row r="60" spans="1:7" x14ac:dyDescent="0.2">
      <c r="A60" s="8" t="s">
        <v>108</v>
      </c>
      <c r="B60" s="77">
        <v>200</v>
      </c>
      <c r="C60" s="78">
        <f>'C-UE-2'!K26</f>
        <v>4129957.1599999992</v>
      </c>
      <c r="D60" s="57" t="s">
        <v>71</v>
      </c>
      <c r="E60" s="79"/>
      <c r="F60"/>
      <c r="G60"/>
    </row>
    <row r="61" spans="1:7" x14ac:dyDescent="0.2">
      <c r="A61" s="8" t="s">
        <v>109</v>
      </c>
      <c r="B61" s="77">
        <v>600</v>
      </c>
      <c r="C61" s="78">
        <v>0</v>
      </c>
      <c r="D61" s="57" t="s">
        <v>71</v>
      </c>
      <c r="E61"/>
      <c r="F61"/>
      <c r="G61"/>
    </row>
    <row r="62" spans="1:7" x14ac:dyDescent="0.2">
      <c r="A62" s="8" t="s">
        <v>110</v>
      </c>
      <c r="B62" s="77">
        <v>700</v>
      </c>
      <c r="C62" s="80">
        <v>0</v>
      </c>
      <c r="D62" s="57" t="s">
        <v>71</v>
      </c>
      <c r="E62"/>
      <c r="F62"/>
      <c r="G62"/>
    </row>
    <row r="63" spans="1:7" x14ac:dyDescent="0.2">
      <c r="B63" s="77"/>
      <c r="C63" s="81">
        <f>SUM(C60:C62)</f>
        <v>4129957.1599999992</v>
      </c>
      <c r="D63" s="60"/>
      <c r="E63"/>
      <c r="F63"/>
      <c r="G63"/>
    </row>
    <row r="64" spans="1:7" x14ac:dyDescent="0.2">
      <c r="A64" s="76" t="s">
        <v>111</v>
      </c>
      <c r="B64" s="77"/>
      <c r="C64" s="82"/>
      <c r="D64" s="60"/>
      <c r="E64"/>
      <c r="F64"/>
      <c r="G64"/>
    </row>
    <row r="65" spans="1:7" x14ac:dyDescent="0.2">
      <c r="A65" s="8" t="s">
        <v>112</v>
      </c>
      <c r="B65" s="77">
        <v>200</v>
      </c>
      <c r="C65" s="78">
        <f>'C-UE-2'!K27</f>
        <v>1088036.6399999997</v>
      </c>
      <c r="D65" s="57" t="s">
        <v>71</v>
      </c>
      <c r="E65"/>
      <c r="F65"/>
      <c r="G65"/>
    </row>
    <row r="66" spans="1:7" x14ac:dyDescent="0.2">
      <c r="A66" s="8" t="s">
        <v>113</v>
      </c>
      <c r="B66" s="77">
        <v>600</v>
      </c>
      <c r="C66" s="78"/>
      <c r="D66" s="57" t="s">
        <v>71</v>
      </c>
      <c r="E66"/>
      <c r="F66"/>
      <c r="G66"/>
    </row>
    <row r="67" spans="1:7" x14ac:dyDescent="0.2">
      <c r="A67" s="8" t="s">
        <v>114</v>
      </c>
      <c r="B67" s="77">
        <v>700</v>
      </c>
      <c r="C67" s="80"/>
      <c r="D67" s="57" t="s">
        <v>71</v>
      </c>
      <c r="E67"/>
      <c r="F67"/>
      <c r="G67"/>
    </row>
    <row r="68" spans="1:7" x14ac:dyDescent="0.2">
      <c r="C68" s="81">
        <f>SUM(C65:C67)</f>
        <v>1088036.6399999997</v>
      </c>
      <c r="E68"/>
      <c r="F68"/>
      <c r="G68"/>
    </row>
    <row r="69" spans="1:7" x14ac:dyDescent="0.2">
      <c r="C69" s="82"/>
      <c r="E69"/>
      <c r="F69"/>
      <c r="G69"/>
    </row>
    <row r="70" spans="1:7" x14ac:dyDescent="0.2">
      <c r="C70" s="82">
        <f>C63+C68</f>
        <v>5217993.7999999989</v>
      </c>
      <c r="E70" s="82">
        <f>G52-C70</f>
        <v>0.20000000111758709</v>
      </c>
      <c r="F70" s="8" t="s">
        <v>115</v>
      </c>
    </row>
    <row r="72" spans="1:7" x14ac:dyDescent="0.2">
      <c r="A72" s="83"/>
    </row>
  </sheetData>
  <pageMargins left="0.7" right="0.7" top="0.75" bottom="0.75" header="0.3" footer="0.3"/>
  <pageSetup orientation="portrait" r:id="rId1"/>
  <headerFooter>
    <oddFooter>&amp;LStaff_DR_034-Attachment 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topLeftCell="D7" workbookViewId="0">
      <selection activeCell="H10" sqref="H10"/>
    </sheetView>
  </sheetViews>
  <sheetFormatPr defaultRowHeight="12.75" x14ac:dyDescent="0.2"/>
  <cols>
    <col min="1" max="1" width="22.5703125" style="84" hidden="1" customWidth="1"/>
    <col min="2" max="2" width="19.85546875" style="84" hidden="1" customWidth="1"/>
    <col min="3" max="3" width="22.5703125" style="84" hidden="1" customWidth="1"/>
    <col min="5" max="5" width="12.140625" bestFit="1" customWidth="1"/>
    <col min="6" max="6" width="14.7109375" bestFit="1" customWidth="1"/>
    <col min="7" max="7" width="14.140625" bestFit="1" customWidth="1"/>
    <col min="8" max="10" width="13.140625" bestFit="1" customWidth="1"/>
    <col min="11" max="14" width="11.140625" customWidth="1"/>
    <col min="15" max="15" width="2.28515625" customWidth="1"/>
    <col min="17" max="17" width="14.5703125" customWidth="1"/>
    <col min="18" max="18" width="10.42578125" bestFit="1" customWidth="1"/>
  </cols>
  <sheetData>
    <row r="1" spans="1:18" x14ac:dyDescent="0.2">
      <c r="D1" s="7" t="s">
        <v>55</v>
      </c>
    </row>
    <row r="2" spans="1:18" x14ac:dyDescent="0.2">
      <c r="D2" s="7" t="s">
        <v>35</v>
      </c>
    </row>
    <row r="3" spans="1:18" x14ac:dyDescent="0.2">
      <c r="D3" s="7" t="str">
        <f>[2]Input!B2</f>
        <v>TWELVE MONTHS ENDED DECEMBER 31, 2016</v>
      </c>
    </row>
    <row r="5" spans="1:18" ht="13.5" thickBot="1" x14ac:dyDescent="0.25">
      <c r="A5" s="85"/>
      <c r="B5" s="85"/>
      <c r="C5" s="85"/>
    </row>
    <row r="6" spans="1:18" ht="13.5" thickBot="1" x14ac:dyDescent="0.25">
      <c r="E6" s="106" t="s">
        <v>116</v>
      </c>
      <c r="F6" s="107"/>
      <c r="G6" s="107"/>
      <c r="H6" s="107"/>
      <c r="I6" s="107"/>
      <c r="J6" s="107"/>
      <c r="K6" s="107"/>
      <c r="L6" s="107"/>
      <c r="M6" s="107"/>
      <c r="N6" s="108"/>
      <c r="Q6" s="106" t="s">
        <v>117</v>
      </c>
      <c r="R6" s="108"/>
    </row>
    <row r="7" spans="1:18" ht="13.5" thickBot="1" x14ac:dyDescent="0.25">
      <c r="A7" s="85" t="s">
        <v>118</v>
      </c>
      <c r="B7" s="85" t="s">
        <v>119</v>
      </c>
      <c r="C7" s="85" t="s">
        <v>120</v>
      </c>
      <c r="E7" s="109" t="s">
        <v>121</v>
      </c>
      <c r="F7" s="110"/>
      <c r="G7" s="109" t="s">
        <v>122</v>
      </c>
      <c r="H7" s="110"/>
      <c r="I7" s="106" t="s">
        <v>123</v>
      </c>
      <c r="J7" s="108"/>
      <c r="K7" s="109" t="s">
        <v>124</v>
      </c>
      <c r="L7" s="111"/>
      <c r="M7" s="111"/>
      <c r="N7" s="110"/>
      <c r="Q7" s="106" t="s">
        <v>125</v>
      </c>
      <c r="R7" s="108"/>
    </row>
    <row r="8" spans="1:18" x14ac:dyDescent="0.2">
      <c r="A8" s="85"/>
      <c r="B8" s="85"/>
      <c r="C8" s="85"/>
      <c r="E8" s="86">
        <v>144200</v>
      </c>
      <c r="F8" s="86">
        <v>144200</v>
      </c>
      <c r="G8" s="86">
        <v>144600</v>
      </c>
      <c r="H8" s="86">
        <v>144600</v>
      </c>
      <c r="I8" s="86">
        <v>144700</v>
      </c>
      <c r="J8" s="86">
        <v>144700</v>
      </c>
      <c r="K8" s="86">
        <v>144200</v>
      </c>
      <c r="L8" s="86">
        <v>144200</v>
      </c>
      <c r="M8" s="86">
        <v>144200</v>
      </c>
      <c r="N8" s="86">
        <v>144200</v>
      </c>
      <c r="Q8" s="86">
        <v>904000</v>
      </c>
      <c r="R8" s="86">
        <v>904000</v>
      </c>
    </row>
    <row r="9" spans="1:18" x14ac:dyDescent="0.2">
      <c r="A9" s="85">
        <v>38101549.789999999</v>
      </c>
      <c r="B9" s="85">
        <v>232525.64</v>
      </c>
      <c r="C9" s="85">
        <v>38334075.43</v>
      </c>
      <c r="E9" s="86" t="s">
        <v>126</v>
      </c>
      <c r="F9" s="86" t="s">
        <v>126</v>
      </c>
      <c r="G9" s="86" t="s">
        <v>126</v>
      </c>
      <c r="H9" s="86" t="s">
        <v>126</v>
      </c>
      <c r="I9" s="86" t="s">
        <v>126</v>
      </c>
      <c r="J9" s="86" t="s">
        <v>126</v>
      </c>
      <c r="K9" s="86" t="s">
        <v>74</v>
      </c>
      <c r="L9" s="86" t="s">
        <v>74</v>
      </c>
      <c r="M9" s="86" t="s">
        <v>75</v>
      </c>
      <c r="N9" s="86" t="s">
        <v>75</v>
      </c>
      <c r="Q9" s="86" t="s">
        <v>127</v>
      </c>
      <c r="R9" s="86" t="s">
        <v>128</v>
      </c>
    </row>
    <row r="10" spans="1:18" x14ac:dyDescent="0.2">
      <c r="A10" s="85">
        <v>38334075.43</v>
      </c>
      <c r="B10" s="85">
        <v>443557.72000000003</v>
      </c>
      <c r="C10" s="85">
        <v>38777633.149999999</v>
      </c>
      <c r="E10" s="86" t="s">
        <v>49</v>
      </c>
      <c r="F10" s="86" t="s">
        <v>50</v>
      </c>
      <c r="G10" s="86" t="s">
        <v>49</v>
      </c>
      <c r="H10" s="86" t="s">
        <v>50</v>
      </c>
      <c r="I10" s="86" t="s">
        <v>49</v>
      </c>
      <c r="J10" s="86" t="s">
        <v>50</v>
      </c>
      <c r="K10" s="86" t="s">
        <v>49</v>
      </c>
      <c r="L10" s="86" t="s">
        <v>50</v>
      </c>
      <c r="M10" s="86" t="s">
        <v>49</v>
      </c>
      <c r="N10" s="86" t="s">
        <v>50</v>
      </c>
      <c r="Q10" s="86" t="s">
        <v>129</v>
      </c>
      <c r="R10" s="86" t="s">
        <v>129</v>
      </c>
    </row>
    <row r="11" spans="1:18" x14ac:dyDescent="0.2">
      <c r="A11" s="85">
        <v>38777633.149999999</v>
      </c>
      <c r="B11" s="85">
        <v>480645.12</v>
      </c>
      <c r="C11" s="85">
        <v>39258278.270000003</v>
      </c>
      <c r="D11" t="str">
        <f>[2]Input!B4</f>
        <v>201601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247204.77</v>
      </c>
      <c r="L11" s="87">
        <v>53797.47</v>
      </c>
      <c r="M11" s="87">
        <v>37520.519999999997</v>
      </c>
      <c r="N11" s="87">
        <v>3923.94</v>
      </c>
      <c r="P11" t="str">
        <f>[2]Input!B4</f>
        <v>201601</v>
      </c>
      <c r="Q11" s="87">
        <v>264170</v>
      </c>
      <c r="R11" s="87">
        <v>165830</v>
      </c>
    </row>
    <row r="12" spans="1:18" x14ac:dyDescent="0.2">
      <c r="A12" s="85">
        <v>39258278.270000003</v>
      </c>
      <c r="B12" s="85">
        <v>418404.86</v>
      </c>
      <c r="C12" s="85">
        <v>39676683.130000003</v>
      </c>
      <c r="D12">
        <f>D11+1</f>
        <v>201602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126920.94</v>
      </c>
      <c r="L12" s="87">
        <v>36914.69</v>
      </c>
      <c r="M12" s="87">
        <v>24072.639999999999</v>
      </c>
      <c r="N12" s="87">
        <v>6702.6</v>
      </c>
      <c r="P12">
        <f>P11+1</f>
        <v>201602</v>
      </c>
      <c r="Q12" s="87">
        <v>264170</v>
      </c>
      <c r="R12" s="87">
        <v>165830</v>
      </c>
    </row>
    <row r="13" spans="1:18" x14ac:dyDescent="0.2">
      <c r="A13" s="85">
        <v>39676683.130000003</v>
      </c>
      <c r="B13" s="85">
        <v>597753.96</v>
      </c>
      <c r="C13" s="85">
        <v>40274437.090000004</v>
      </c>
      <c r="D13">
        <f t="shared" ref="D13:D22" si="0">D12+1</f>
        <v>201603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145800.9</v>
      </c>
      <c r="L13" s="87">
        <v>47534.06</v>
      </c>
      <c r="M13" s="87">
        <v>36605.199999999997</v>
      </c>
      <c r="N13" s="87">
        <v>7833.35</v>
      </c>
      <c r="P13">
        <f t="shared" ref="P13:P21" si="1">P12+1</f>
        <v>201603</v>
      </c>
      <c r="Q13" s="87">
        <v>264170</v>
      </c>
      <c r="R13" s="87">
        <v>165830</v>
      </c>
    </row>
    <row r="14" spans="1:18" x14ac:dyDescent="0.2">
      <c r="A14" s="85">
        <v>40274437.090000004</v>
      </c>
      <c r="B14" s="85">
        <v>491119.34</v>
      </c>
      <c r="C14" s="85">
        <v>40765556.43</v>
      </c>
      <c r="D14">
        <f t="shared" si="0"/>
        <v>201604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494050.78</v>
      </c>
      <c r="L14" s="87">
        <v>81978.36</v>
      </c>
      <c r="M14" s="87">
        <v>111771.4</v>
      </c>
      <c r="N14" s="87">
        <v>17928.02</v>
      </c>
      <c r="P14">
        <f t="shared" si="1"/>
        <v>201604</v>
      </c>
      <c r="Q14" s="87">
        <v>264170</v>
      </c>
      <c r="R14" s="87">
        <v>165830</v>
      </c>
    </row>
    <row r="15" spans="1:18" x14ac:dyDescent="0.2">
      <c r="A15" s="85">
        <v>40765556.43</v>
      </c>
      <c r="B15" s="85">
        <v>685210.31</v>
      </c>
      <c r="C15" s="85">
        <v>41450766.740000002</v>
      </c>
      <c r="D15">
        <f t="shared" si="0"/>
        <v>201605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392968.9</v>
      </c>
      <c r="L15" s="87">
        <v>129219.5</v>
      </c>
      <c r="M15" s="87">
        <v>117691.27</v>
      </c>
      <c r="N15" s="87">
        <v>26895.09</v>
      </c>
      <c r="P15">
        <f t="shared" si="1"/>
        <v>201605</v>
      </c>
      <c r="Q15" s="87">
        <v>264170</v>
      </c>
      <c r="R15" s="87">
        <v>165830</v>
      </c>
    </row>
    <row r="16" spans="1:18" x14ac:dyDescent="0.2">
      <c r="A16" s="85">
        <v>41450766.740000002</v>
      </c>
      <c r="B16" s="85">
        <v>375309.96</v>
      </c>
      <c r="C16" s="85">
        <v>41826076.700000003</v>
      </c>
      <c r="D16">
        <f t="shared" si="0"/>
        <v>201606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496127.02</v>
      </c>
      <c r="L16" s="87">
        <v>126199.4</v>
      </c>
      <c r="M16" s="87">
        <v>116013.86</v>
      </c>
      <c r="N16" s="87">
        <v>37819.879999999997</v>
      </c>
      <c r="P16">
        <f t="shared" si="1"/>
        <v>201606</v>
      </c>
      <c r="Q16" s="87">
        <v>264170</v>
      </c>
      <c r="R16" s="87">
        <v>165830</v>
      </c>
    </row>
    <row r="17" spans="1:18" x14ac:dyDescent="0.2">
      <c r="A17" s="85">
        <v>41826076.700000003</v>
      </c>
      <c r="B17" s="85">
        <v>492319.79000000004</v>
      </c>
      <c r="C17" s="85">
        <v>42318396.490000002</v>
      </c>
      <c r="D17">
        <f t="shared" si="0"/>
        <v>201607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338253.55</v>
      </c>
      <c r="L17" s="87">
        <v>92049.94</v>
      </c>
      <c r="M17" s="87">
        <v>85347.46</v>
      </c>
      <c r="N17" s="87">
        <v>28267.53</v>
      </c>
      <c r="P17">
        <f t="shared" si="1"/>
        <v>201607</v>
      </c>
      <c r="Q17" s="87">
        <v>264170</v>
      </c>
      <c r="R17" s="87">
        <v>165830</v>
      </c>
    </row>
    <row r="18" spans="1:18" x14ac:dyDescent="0.2">
      <c r="A18" s="85">
        <v>42318396.490000002</v>
      </c>
      <c r="B18" s="85">
        <v>468024.26</v>
      </c>
      <c r="C18" s="85">
        <v>42786420.75</v>
      </c>
      <c r="D18">
        <f t="shared" si="0"/>
        <v>201608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315984.57</v>
      </c>
      <c r="L18" s="87">
        <v>97216.45</v>
      </c>
      <c r="M18" s="87">
        <v>75162.67</v>
      </c>
      <c r="N18" s="87">
        <v>25292.65</v>
      </c>
      <c r="P18">
        <f t="shared" si="1"/>
        <v>201608</v>
      </c>
      <c r="Q18" s="87">
        <v>264170</v>
      </c>
      <c r="R18" s="87">
        <v>165830</v>
      </c>
    </row>
    <row r="19" spans="1:18" x14ac:dyDescent="0.2">
      <c r="A19" s="85">
        <v>42786420.75</v>
      </c>
      <c r="B19" s="85">
        <v>309186.27</v>
      </c>
      <c r="C19" s="85">
        <v>43095607.020000003</v>
      </c>
      <c r="D19">
        <f t="shared" si="0"/>
        <v>201609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300267.95</v>
      </c>
      <c r="L19" s="87">
        <v>90762.71</v>
      </c>
      <c r="M19" s="87">
        <v>65198.09</v>
      </c>
      <c r="N19" s="87">
        <v>7684.62</v>
      </c>
      <c r="P19">
        <f t="shared" si="1"/>
        <v>201609</v>
      </c>
      <c r="Q19" s="87">
        <v>264170</v>
      </c>
      <c r="R19" s="87">
        <v>165830</v>
      </c>
    </row>
    <row r="20" spans="1:18" x14ac:dyDescent="0.2">
      <c r="A20" s="85">
        <v>42786420.75</v>
      </c>
      <c r="B20" s="85">
        <v>309186.27</v>
      </c>
      <c r="C20" s="85">
        <v>43095607.020000003</v>
      </c>
      <c r="D20">
        <f t="shared" si="0"/>
        <v>201610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204382.52</v>
      </c>
      <c r="L20" s="87">
        <v>53282.239999999998</v>
      </c>
      <c r="M20" s="87">
        <v>29696.07</v>
      </c>
      <c r="N20" s="87">
        <v>4044.68</v>
      </c>
      <c r="P20">
        <f t="shared" si="1"/>
        <v>201610</v>
      </c>
      <c r="Q20" s="87">
        <v>264170</v>
      </c>
      <c r="R20" s="87">
        <v>165830</v>
      </c>
    </row>
    <row r="21" spans="1:18" x14ac:dyDescent="0.2">
      <c r="A21" s="85">
        <v>43095607.020000003</v>
      </c>
      <c r="B21" s="85">
        <v>391058.08</v>
      </c>
      <c r="C21" s="85">
        <v>43486665.100000001</v>
      </c>
      <c r="D21">
        <f t="shared" si="0"/>
        <v>201611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165449.9</v>
      </c>
      <c r="L21" s="87">
        <v>58516.52</v>
      </c>
      <c r="M21" s="87">
        <v>16686.46</v>
      </c>
      <c r="N21" s="87">
        <v>5448.53</v>
      </c>
      <c r="P21">
        <f t="shared" si="1"/>
        <v>201611</v>
      </c>
      <c r="Q21" s="87">
        <v>264170</v>
      </c>
      <c r="R21" s="87">
        <v>165830</v>
      </c>
    </row>
    <row r="22" spans="1:18" x14ac:dyDescent="0.2">
      <c r="A22" s="85"/>
      <c r="B22" s="85"/>
      <c r="C22" s="85"/>
      <c r="D22">
        <f t="shared" si="0"/>
        <v>201612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175182.01</v>
      </c>
      <c r="L22" s="87">
        <v>45509.32</v>
      </c>
      <c r="M22" s="87">
        <v>11597.71</v>
      </c>
      <c r="N22" s="87">
        <v>3215.09</v>
      </c>
      <c r="P22">
        <f>P21+1</f>
        <v>201612</v>
      </c>
      <c r="Q22" s="87">
        <v>264170</v>
      </c>
      <c r="R22" s="87">
        <v>165830</v>
      </c>
    </row>
    <row r="23" spans="1:18" ht="13.5" thickBot="1" x14ac:dyDescent="0.25">
      <c r="A23" s="88">
        <f>SUM(A9:A21)</f>
        <v>529451901.74000001</v>
      </c>
      <c r="B23" s="88">
        <f>SUM(B9:B21)</f>
        <v>5694301.5799999982</v>
      </c>
      <c r="C23" s="88">
        <f>SUM(C9:C21)</f>
        <v>535146203.31999999</v>
      </c>
      <c r="E23" s="89">
        <f t="shared" ref="E23:N23" si="2">SUM(E11:E22)</f>
        <v>0</v>
      </c>
      <c r="F23" s="89">
        <f t="shared" si="2"/>
        <v>0</v>
      </c>
      <c r="G23" s="89">
        <f t="shared" si="2"/>
        <v>0</v>
      </c>
      <c r="H23" s="89">
        <f t="shared" si="2"/>
        <v>0</v>
      </c>
      <c r="I23" s="89">
        <f t="shared" si="2"/>
        <v>0</v>
      </c>
      <c r="J23" s="89">
        <f t="shared" si="2"/>
        <v>0</v>
      </c>
      <c r="K23" s="89">
        <f t="shared" si="2"/>
        <v>3402593.8099999996</v>
      </c>
      <c r="L23" s="89">
        <f t="shared" si="2"/>
        <v>912980.6599999998</v>
      </c>
      <c r="M23" s="89">
        <f t="shared" si="2"/>
        <v>727363.34999999986</v>
      </c>
      <c r="N23" s="89">
        <f t="shared" si="2"/>
        <v>175055.97999999998</v>
      </c>
      <c r="Q23" s="89">
        <f>SUM(Q11:Q22)</f>
        <v>3170040</v>
      </c>
      <c r="R23" s="89">
        <f>SUM(R11:R22)</f>
        <v>1989960</v>
      </c>
    </row>
    <row r="24" spans="1:18" x14ac:dyDescent="0.2">
      <c r="A24" s="85"/>
      <c r="B24" s="85"/>
      <c r="C24" s="85"/>
      <c r="E24" s="90"/>
      <c r="F24" s="90"/>
      <c r="G24" s="90"/>
      <c r="H24" s="90"/>
      <c r="I24" s="90"/>
      <c r="J24" s="90"/>
      <c r="K24" s="90"/>
      <c r="L24" s="90"/>
      <c r="M24" s="90"/>
      <c r="N24" s="90"/>
      <c r="Q24" s="90" t="s">
        <v>72</v>
      </c>
      <c r="R24" s="90" t="s">
        <v>72</v>
      </c>
    </row>
    <row r="25" spans="1:18" x14ac:dyDescent="0.2">
      <c r="A25" s="85">
        <v>40765556.43</v>
      </c>
      <c r="B25" s="85">
        <v>685210.31</v>
      </c>
      <c r="C25" s="85">
        <v>41450766.740000002</v>
      </c>
      <c r="J25" s="90"/>
    </row>
    <row r="26" spans="1:18" x14ac:dyDescent="0.2">
      <c r="A26" s="85"/>
      <c r="B26" s="85"/>
      <c r="C26" s="85"/>
      <c r="E26" s="87"/>
      <c r="F26" s="87"/>
      <c r="G26" s="87"/>
      <c r="H26" s="87"/>
      <c r="I26" s="87"/>
      <c r="J26" s="90" t="s">
        <v>72</v>
      </c>
      <c r="K26" s="91">
        <f>SUM(K23,M23)</f>
        <v>4129957.1599999992</v>
      </c>
      <c r="L26" t="s">
        <v>130</v>
      </c>
    </row>
    <row r="27" spans="1:18" x14ac:dyDescent="0.2">
      <c r="A27" s="85"/>
      <c r="B27" s="85"/>
      <c r="C27" s="85"/>
      <c r="J27" s="90" t="s">
        <v>72</v>
      </c>
      <c r="K27" s="91">
        <f>SUM(L23,N23)</f>
        <v>1088036.6399999997</v>
      </c>
      <c r="L27" t="s">
        <v>131</v>
      </c>
    </row>
    <row r="28" spans="1:18" x14ac:dyDescent="0.2">
      <c r="A28" s="85"/>
      <c r="B28" s="85"/>
      <c r="C28" s="85"/>
      <c r="E28" s="91"/>
      <c r="F28" s="91"/>
      <c r="G28" s="91"/>
      <c r="H28" s="91"/>
      <c r="I28" s="91"/>
      <c r="J28" s="91"/>
    </row>
    <row r="29" spans="1:18" x14ac:dyDescent="0.2">
      <c r="A29" s="85">
        <v>43095607.020000003</v>
      </c>
      <c r="B29" s="85">
        <v>391058.08</v>
      </c>
      <c r="C29" s="85">
        <v>43486665.100000001</v>
      </c>
      <c r="F29" s="92" t="s">
        <v>132</v>
      </c>
    </row>
    <row r="30" spans="1:18" x14ac:dyDescent="0.2">
      <c r="A30" s="85"/>
      <c r="B30" s="85"/>
      <c r="C30" s="85"/>
      <c r="F30" s="93" t="s">
        <v>133</v>
      </c>
      <c r="G30" s="94"/>
      <c r="H30" s="95"/>
    </row>
    <row r="31" spans="1:18" ht="13.5" thickBot="1" x14ac:dyDescent="0.25">
      <c r="A31" s="88">
        <f>SUM(A25:A29)</f>
        <v>83861163.450000003</v>
      </c>
      <c r="B31" s="88">
        <f>SUM(B25:B29)</f>
        <v>1076268.3900000001</v>
      </c>
      <c r="C31" s="88">
        <f>SUM(C25:C29)</f>
        <v>84937431.840000004</v>
      </c>
      <c r="F31" s="96" t="s">
        <v>134</v>
      </c>
      <c r="H31" s="91"/>
    </row>
    <row r="32" spans="1:18" x14ac:dyDescent="0.2">
      <c r="A32" s="85"/>
      <c r="B32" s="85"/>
      <c r="C32" s="85"/>
    </row>
    <row r="33" spans="1:3" s="98" customFormat="1" ht="13.5" thickBot="1" x14ac:dyDescent="0.25">
      <c r="A33" s="97">
        <f>SUM(A31,A23)</f>
        <v>613313065.19000006</v>
      </c>
      <c r="B33" s="97">
        <f>SUM(B31,B23)</f>
        <v>6770569.9699999988</v>
      </c>
      <c r="C33" s="97">
        <f>SUM(C31,C23)</f>
        <v>620083635.15999997</v>
      </c>
    </row>
    <row r="34" spans="1:3" s="98" customFormat="1" ht="13.5" thickTop="1" x14ac:dyDescent="0.2">
      <c r="A34" s="99"/>
      <c r="B34" s="99"/>
      <c r="C34" s="99"/>
    </row>
    <row r="35" spans="1:3" x14ac:dyDescent="0.2">
      <c r="A35" s="85">
        <v>-10786222.189999999</v>
      </c>
      <c r="B35" s="85">
        <v>-44965.55</v>
      </c>
      <c r="C35" s="85">
        <v>-10831187.74</v>
      </c>
    </row>
    <row r="36" spans="1:3" x14ac:dyDescent="0.2">
      <c r="A36" s="85">
        <v>-10831187.74</v>
      </c>
      <c r="B36" s="85">
        <v>-49517.85</v>
      </c>
      <c r="C36" s="85">
        <v>-10880705.59</v>
      </c>
    </row>
    <row r="37" spans="1:3" x14ac:dyDescent="0.2">
      <c r="A37" s="85">
        <v>-10880705.59</v>
      </c>
      <c r="B37" s="85">
        <v>-56847.950000000004</v>
      </c>
      <c r="C37" s="85">
        <v>-10937553.539999999</v>
      </c>
    </row>
    <row r="38" spans="1:3" x14ac:dyDescent="0.2">
      <c r="A38" s="85">
        <v>-10937553.539999999</v>
      </c>
      <c r="B38" s="85">
        <v>-63218.65</v>
      </c>
      <c r="C38" s="85">
        <v>-11000772.189999999</v>
      </c>
    </row>
    <row r="39" spans="1:3" x14ac:dyDescent="0.2">
      <c r="A39" s="85">
        <v>-11000772.189999999</v>
      </c>
      <c r="B39" s="85">
        <v>-76112.37</v>
      </c>
      <c r="C39" s="85">
        <v>-11076884.560000001</v>
      </c>
    </row>
    <row r="40" spans="1:3" x14ac:dyDescent="0.2">
      <c r="A40" s="85">
        <v>-11076884.560000001</v>
      </c>
      <c r="B40" s="85">
        <v>-69810.61</v>
      </c>
      <c r="C40" s="85">
        <v>-11146695.17</v>
      </c>
    </row>
    <row r="41" spans="1:3" x14ac:dyDescent="0.2">
      <c r="A41" s="85">
        <v>-11146695.17</v>
      </c>
      <c r="B41" s="85">
        <v>-62479.590000000004</v>
      </c>
      <c r="C41" s="85">
        <v>-11209174.76</v>
      </c>
    </row>
    <row r="42" spans="1:3" x14ac:dyDescent="0.2">
      <c r="A42" s="85">
        <v>-11209174.76</v>
      </c>
      <c r="B42" s="85">
        <v>-61132.639999999999</v>
      </c>
      <c r="C42" s="85">
        <v>-11270307.4</v>
      </c>
    </row>
    <row r="43" spans="1:3" x14ac:dyDescent="0.2">
      <c r="A43" s="85">
        <v>-11270307.4</v>
      </c>
      <c r="B43" s="85">
        <v>-54764.020000000004</v>
      </c>
      <c r="C43" s="85">
        <v>-11325071.42</v>
      </c>
    </row>
    <row r="44" spans="1:3" x14ac:dyDescent="0.2">
      <c r="A44" s="85">
        <v>-11325071.42</v>
      </c>
      <c r="B44" s="85">
        <v>-87124.2</v>
      </c>
      <c r="C44" s="85">
        <v>-11412195.619999999</v>
      </c>
    </row>
    <row r="45" spans="1:3" x14ac:dyDescent="0.2">
      <c r="A45" s="85">
        <v>-11412195.619999999</v>
      </c>
      <c r="B45" s="85">
        <v>-59772.54</v>
      </c>
      <c r="C45" s="85">
        <v>-11471968.16</v>
      </c>
    </row>
    <row r="46" spans="1:3" x14ac:dyDescent="0.2">
      <c r="A46" s="85">
        <v>-11412195.619999999</v>
      </c>
      <c r="B46" s="85">
        <v>-59772.54</v>
      </c>
      <c r="C46" s="85">
        <v>-11471968.16</v>
      </c>
    </row>
    <row r="47" spans="1:3" x14ac:dyDescent="0.2">
      <c r="A47" s="85">
        <v>-11471968.16</v>
      </c>
      <c r="B47" s="85">
        <v>-156592.51999999999</v>
      </c>
      <c r="C47" s="85">
        <v>-11628560.68</v>
      </c>
    </row>
    <row r="48" spans="1:3" x14ac:dyDescent="0.2">
      <c r="A48" s="85"/>
      <c r="B48" s="85"/>
      <c r="C48" s="85"/>
    </row>
    <row r="49" spans="1:3" ht="13.5" thickBot="1" x14ac:dyDescent="0.25">
      <c r="A49" s="88">
        <f>SUM(A35:A47)</f>
        <v>-144760933.96000004</v>
      </c>
      <c r="B49" s="88">
        <f>SUM(B35:B47)</f>
        <v>-902111.03</v>
      </c>
      <c r="C49" s="88">
        <f>SUM(C35:C47)</f>
        <v>-145663044.99000001</v>
      </c>
    </row>
    <row r="50" spans="1:3" hidden="1" x14ac:dyDescent="0.2">
      <c r="A50" s="85"/>
      <c r="B50" s="85"/>
      <c r="C50" s="85"/>
    </row>
    <row r="51" spans="1:3" hidden="1" x14ac:dyDescent="0.2">
      <c r="A51" s="85"/>
      <c r="B51" s="85"/>
      <c r="C51" s="85"/>
    </row>
    <row r="52" spans="1:3" hidden="1" x14ac:dyDescent="0.2">
      <c r="A52" s="85"/>
      <c r="B52" s="85"/>
      <c r="C52" s="85"/>
    </row>
    <row r="53" spans="1:3" hidden="1" x14ac:dyDescent="0.2">
      <c r="A53" s="85"/>
      <c r="B53" s="85"/>
      <c r="C53" s="85"/>
    </row>
    <row r="54" spans="1:3" ht="13.5" hidden="1" thickBot="1" x14ac:dyDescent="0.25">
      <c r="A54" s="88">
        <f>SUM(A51:A53)</f>
        <v>0</v>
      </c>
      <c r="B54" s="88">
        <f>SUM(B51:B53)</f>
        <v>0</v>
      </c>
      <c r="C54" s="88">
        <f>SUM(C51:C53)</f>
        <v>0</v>
      </c>
    </row>
    <row r="55" spans="1:3" x14ac:dyDescent="0.2">
      <c r="A55" s="85"/>
      <c r="B55" s="85"/>
      <c r="C55" s="85"/>
    </row>
    <row r="56" spans="1:3" s="98" customFormat="1" ht="13.5" thickBot="1" x14ac:dyDescent="0.25">
      <c r="A56" s="97">
        <f>SUM(A54,A49)</f>
        <v>-144760933.96000004</v>
      </c>
      <c r="B56" s="97">
        <f>SUM(B54,B49)</f>
        <v>-902111.03</v>
      </c>
      <c r="C56" s="97">
        <f>SUM(C54,C49)</f>
        <v>-145663044.99000001</v>
      </c>
    </row>
    <row r="57" spans="1:3" s="98" customFormat="1" ht="13.5" thickTop="1" x14ac:dyDescent="0.2">
      <c r="A57" s="99"/>
      <c r="B57" s="99"/>
      <c r="C57" s="99"/>
    </row>
    <row r="58" spans="1:3" x14ac:dyDescent="0.2">
      <c r="A58" s="85">
        <v>-5012658.66</v>
      </c>
      <c r="B58" s="85">
        <v>-60645.340000000004</v>
      </c>
      <c r="C58" s="85">
        <v>-5073304</v>
      </c>
    </row>
    <row r="59" spans="1:3" x14ac:dyDescent="0.2">
      <c r="A59" s="85">
        <v>-5073304</v>
      </c>
      <c r="B59" s="85">
        <v>-93264.92</v>
      </c>
      <c r="C59" s="85">
        <v>-5166568.92</v>
      </c>
    </row>
    <row r="60" spans="1:3" x14ac:dyDescent="0.2">
      <c r="A60" s="85">
        <v>-5166568.92</v>
      </c>
      <c r="B60" s="85">
        <v>-80792.22</v>
      </c>
      <c r="C60" s="85">
        <v>-5247361.1399999997</v>
      </c>
    </row>
    <row r="61" spans="1:3" x14ac:dyDescent="0.2">
      <c r="A61" s="85">
        <v>-5247361.1399999997</v>
      </c>
      <c r="B61" s="85">
        <v>-69196.7</v>
      </c>
      <c r="C61" s="85">
        <v>-5316557.84</v>
      </c>
    </row>
    <row r="62" spans="1:3" x14ac:dyDescent="0.2">
      <c r="A62" s="85">
        <v>-5316557.84</v>
      </c>
      <c r="B62" s="85">
        <v>-75545.2</v>
      </c>
      <c r="C62" s="85">
        <v>-5392103.04</v>
      </c>
    </row>
    <row r="63" spans="1:3" x14ac:dyDescent="0.2">
      <c r="A63" s="85">
        <v>-5392103.04</v>
      </c>
      <c r="B63" s="85">
        <v>-47953.9</v>
      </c>
      <c r="C63" s="85">
        <v>-5440056.9400000004</v>
      </c>
    </row>
    <row r="64" spans="1:3" x14ac:dyDescent="0.2">
      <c r="A64" s="85">
        <v>-5440056.9400000004</v>
      </c>
      <c r="B64" s="85">
        <v>-87589.06</v>
      </c>
      <c r="C64" s="85">
        <v>-5527646</v>
      </c>
    </row>
    <row r="65" spans="1:3" x14ac:dyDescent="0.2">
      <c r="A65" s="85">
        <v>-5527646</v>
      </c>
      <c r="B65" s="85">
        <v>-77871.150000000009</v>
      </c>
      <c r="C65" s="85">
        <v>-5605517.1500000004</v>
      </c>
    </row>
    <row r="66" spans="1:3" x14ac:dyDescent="0.2">
      <c r="A66" s="85">
        <v>-5605517.1500000004</v>
      </c>
      <c r="B66" s="85">
        <v>-102023.1</v>
      </c>
      <c r="C66" s="85">
        <v>-5707540.25</v>
      </c>
    </row>
    <row r="67" spans="1:3" x14ac:dyDescent="0.2">
      <c r="A67" s="85">
        <v>-5707540.25</v>
      </c>
      <c r="B67" s="85">
        <v>-84138.38</v>
      </c>
      <c r="C67" s="85">
        <v>-5791678.6299999999</v>
      </c>
    </row>
    <row r="68" spans="1:3" x14ac:dyDescent="0.2">
      <c r="A68" s="85">
        <v>-5791678.6299999999</v>
      </c>
      <c r="B68" s="85">
        <v>-63860.61</v>
      </c>
      <c r="C68" s="85">
        <v>-5855539.2400000002</v>
      </c>
    </row>
    <row r="69" spans="1:3" x14ac:dyDescent="0.2">
      <c r="A69" s="85">
        <v>-5791678.6299999999</v>
      </c>
      <c r="B69" s="85">
        <v>-63860.61</v>
      </c>
      <c r="C69" s="85">
        <v>-5855539.2400000002</v>
      </c>
    </row>
    <row r="70" spans="1:3" x14ac:dyDescent="0.2">
      <c r="A70" s="85">
        <v>-5855539.2400000002</v>
      </c>
      <c r="B70" s="85">
        <v>-89962.92</v>
      </c>
      <c r="C70" s="85">
        <v>-5945502.1600000001</v>
      </c>
    </row>
    <row r="71" spans="1:3" x14ac:dyDescent="0.2">
      <c r="A71" s="85"/>
      <c r="B71" s="85"/>
      <c r="C71" s="85"/>
    </row>
    <row r="72" spans="1:3" ht="13.5" thickBot="1" x14ac:dyDescent="0.25">
      <c r="A72" s="88">
        <f>SUM(A58:A70)</f>
        <v>-70928210.439999998</v>
      </c>
      <c r="B72" s="88">
        <f>SUM(B58:B70)</f>
        <v>-996704.11</v>
      </c>
      <c r="C72" s="88">
        <f>SUM(C58:C70)</f>
        <v>-71924914.549999997</v>
      </c>
    </row>
    <row r="73" spans="1:3" x14ac:dyDescent="0.2">
      <c r="A73" s="85"/>
      <c r="B73" s="85"/>
      <c r="C73" s="85"/>
    </row>
    <row r="74" spans="1:3" hidden="1" x14ac:dyDescent="0.2">
      <c r="A74" s="85"/>
      <c r="B74" s="85"/>
      <c r="C74" s="85"/>
    </row>
    <row r="75" spans="1:3" ht="13.5" hidden="1" thickBot="1" x14ac:dyDescent="0.25">
      <c r="A75" s="88">
        <f>SUM(A74:A74)</f>
        <v>0</v>
      </c>
      <c r="B75" s="88">
        <f>SUM(B74:B74)</f>
        <v>0</v>
      </c>
      <c r="C75" s="88">
        <f>SUM(C74:C74)</f>
        <v>0</v>
      </c>
    </row>
    <row r="76" spans="1:3" hidden="1" x14ac:dyDescent="0.2">
      <c r="A76" s="85"/>
      <c r="B76" s="85"/>
      <c r="C76" s="85"/>
    </row>
    <row r="77" spans="1:3" s="98" customFormat="1" ht="13.5" hidden="1" thickBot="1" x14ac:dyDescent="0.25">
      <c r="A77" s="97">
        <f>SUM(A75,A72)</f>
        <v>-70928210.439999998</v>
      </c>
      <c r="B77" s="97">
        <f>SUM(B75,B72)</f>
        <v>-996704.11</v>
      </c>
      <c r="C77" s="97">
        <f>SUM(C75,C72)</f>
        <v>-71924914.549999997</v>
      </c>
    </row>
    <row r="78" spans="1:3" x14ac:dyDescent="0.2">
      <c r="A78" s="85"/>
      <c r="B78" s="85"/>
      <c r="C78" s="85"/>
    </row>
    <row r="80" spans="1:3" x14ac:dyDescent="0.2">
      <c r="A80" s="85" t="s">
        <v>118</v>
      </c>
      <c r="B80" s="85" t="s">
        <v>119</v>
      </c>
      <c r="C80" s="85" t="s">
        <v>120</v>
      </c>
    </row>
    <row r="81" spans="1:3" x14ac:dyDescent="0.2">
      <c r="A81" s="85"/>
      <c r="B81" s="85"/>
      <c r="C81" s="85"/>
    </row>
    <row r="82" spans="1:3" x14ac:dyDescent="0.2">
      <c r="A82" s="85">
        <v>17126034.059999999</v>
      </c>
      <c r="B82" s="85">
        <v>71224.210000000006</v>
      </c>
      <c r="C82" s="85">
        <v>17197258.27</v>
      </c>
    </row>
    <row r="83" spans="1:3" x14ac:dyDescent="0.2">
      <c r="A83" s="85">
        <v>17197258.27</v>
      </c>
      <c r="B83" s="85">
        <v>83780.680000000008</v>
      </c>
      <c r="C83" s="85">
        <v>17281038.949999999</v>
      </c>
    </row>
    <row r="84" spans="1:3" x14ac:dyDescent="0.2">
      <c r="A84" s="85">
        <v>17281038.949999999</v>
      </c>
      <c r="B84" s="85">
        <v>119469.43000000001</v>
      </c>
      <c r="C84" s="85">
        <v>17400508.379999999</v>
      </c>
    </row>
    <row r="85" spans="1:3" x14ac:dyDescent="0.2">
      <c r="A85" s="85">
        <v>17400508.379999999</v>
      </c>
      <c r="B85" s="85">
        <v>150028.16</v>
      </c>
      <c r="C85" s="85">
        <v>17550536.539999999</v>
      </c>
    </row>
    <row r="86" spans="1:3" x14ac:dyDescent="0.2">
      <c r="A86" s="85">
        <v>17550536.539999999</v>
      </c>
      <c r="B86" s="85">
        <v>249220.78</v>
      </c>
      <c r="C86" s="85">
        <v>17799757.32</v>
      </c>
    </row>
    <row r="87" spans="1:3" x14ac:dyDescent="0.2">
      <c r="A87" s="85">
        <v>17799757.32</v>
      </c>
      <c r="B87" s="85">
        <v>275494.92</v>
      </c>
      <c r="C87" s="85">
        <v>18075252.239999998</v>
      </c>
    </row>
    <row r="88" spans="1:3" x14ac:dyDescent="0.2">
      <c r="A88" s="85">
        <v>18075252.239999998</v>
      </c>
      <c r="B88" s="85">
        <v>226381</v>
      </c>
      <c r="C88" s="85">
        <v>18301633.239999998</v>
      </c>
    </row>
    <row r="89" spans="1:3" x14ac:dyDescent="0.2">
      <c r="A89" s="85">
        <v>18301633.239999998</v>
      </c>
      <c r="B89" s="85">
        <v>159400.63</v>
      </c>
      <c r="C89" s="85">
        <v>18461033.870000001</v>
      </c>
    </row>
    <row r="90" spans="1:3" x14ac:dyDescent="0.2">
      <c r="A90" s="85">
        <v>18461033.870000001</v>
      </c>
      <c r="B90" s="85">
        <v>130544.18000000001</v>
      </c>
      <c r="C90" s="85">
        <v>18591578.050000001</v>
      </c>
    </row>
    <row r="91" spans="1:3" x14ac:dyDescent="0.2">
      <c r="A91" s="85">
        <v>18591578.050000001</v>
      </c>
      <c r="B91" s="85">
        <v>105594.31</v>
      </c>
      <c r="C91" s="85">
        <v>18697172.359999999</v>
      </c>
    </row>
    <row r="92" spans="1:3" x14ac:dyDescent="0.2">
      <c r="A92" s="85">
        <v>18697172.359999999</v>
      </c>
      <c r="B92" s="85">
        <v>104171.06</v>
      </c>
      <c r="C92" s="85">
        <v>18801343.420000002</v>
      </c>
    </row>
    <row r="93" spans="1:3" x14ac:dyDescent="0.2">
      <c r="A93" s="85">
        <v>18697172.359999999</v>
      </c>
      <c r="B93" s="85">
        <v>104171.06</v>
      </c>
      <c r="C93" s="85">
        <v>18801343.420000002</v>
      </c>
    </row>
    <row r="94" spans="1:3" x14ac:dyDescent="0.2">
      <c r="A94" s="85">
        <v>18801343.420000002</v>
      </c>
      <c r="B94" s="85">
        <v>59065.87</v>
      </c>
      <c r="C94" s="85">
        <v>18860409.289999999</v>
      </c>
    </row>
    <row r="95" spans="1:3" ht="13.5" thickBot="1" x14ac:dyDescent="0.25">
      <c r="A95" s="100">
        <f>SUM(A82:A94)</f>
        <v>233980319.06</v>
      </c>
      <c r="B95" s="100">
        <f>SUM(B82:B94)</f>
        <v>1838546.2900000003</v>
      </c>
      <c r="C95" s="100">
        <f>SUM(C82:C94)</f>
        <v>235818865.34999999</v>
      </c>
    </row>
    <row r="96" spans="1:3" hidden="1" x14ac:dyDescent="0.2">
      <c r="A96" s="85"/>
      <c r="B96" s="85"/>
      <c r="C96" s="85"/>
    </row>
    <row r="97" spans="1:3" hidden="1" x14ac:dyDescent="0.2">
      <c r="A97" s="101"/>
      <c r="B97" s="101"/>
      <c r="C97" s="101"/>
    </row>
    <row r="98" spans="1:3" hidden="1" x14ac:dyDescent="0.2">
      <c r="A98" s="101"/>
      <c r="B98" s="101"/>
      <c r="C98" s="101"/>
    </row>
    <row r="99" spans="1:3" hidden="1" x14ac:dyDescent="0.2">
      <c r="A99" s="101"/>
      <c r="B99" s="101"/>
      <c r="C99" s="101"/>
    </row>
    <row r="100" spans="1:3" hidden="1" x14ac:dyDescent="0.2">
      <c r="A100" s="101"/>
      <c r="B100" s="101"/>
      <c r="C100" s="101"/>
    </row>
    <row r="101" spans="1:3" hidden="1" x14ac:dyDescent="0.2">
      <c r="A101" s="101"/>
      <c r="B101" s="101"/>
      <c r="C101" s="101"/>
    </row>
    <row r="102" spans="1:3" ht="13.5" hidden="1" thickBot="1" x14ac:dyDescent="0.25">
      <c r="A102" s="100">
        <f>SUM(A97:A101)</f>
        <v>0</v>
      </c>
      <c r="B102" s="100">
        <f>SUM(B97:B101)</f>
        <v>0</v>
      </c>
      <c r="C102" s="100">
        <f>SUM(C97:C101)</f>
        <v>0</v>
      </c>
    </row>
    <row r="103" spans="1:3" x14ac:dyDescent="0.2">
      <c r="A103" s="85"/>
      <c r="B103" s="85"/>
      <c r="C103" s="85"/>
    </row>
    <row r="104" spans="1:3" s="98" customFormat="1" ht="13.5" thickBot="1" x14ac:dyDescent="0.25">
      <c r="A104" s="97">
        <f>SUM(A102,A95)</f>
        <v>233980319.06</v>
      </c>
      <c r="B104" s="97">
        <f>SUM(B102,B95)</f>
        <v>1838546.2900000003</v>
      </c>
      <c r="C104" s="97">
        <f>SUM(C102,C95)</f>
        <v>235818865.34999999</v>
      </c>
    </row>
    <row r="105" spans="1:3" s="98" customFormat="1" ht="13.5" thickTop="1" x14ac:dyDescent="0.2">
      <c r="A105" s="99"/>
      <c r="B105" s="99"/>
      <c r="C105" s="99"/>
    </row>
    <row r="106" spans="1:3" x14ac:dyDescent="0.2">
      <c r="A106" s="85">
        <v>-4912578.3899999997</v>
      </c>
      <c r="B106" s="85">
        <v>-20842.5</v>
      </c>
      <c r="C106" s="85">
        <v>-4933420.8899999997</v>
      </c>
    </row>
    <row r="107" spans="1:3" x14ac:dyDescent="0.2">
      <c r="A107" s="85">
        <v>-4933420.8899999997</v>
      </c>
      <c r="B107" s="85">
        <v>-23933.7</v>
      </c>
      <c r="C107" s="85">
        <v>-4957354.59</v>
      </c>
    </row>
    <row r="108" spans="1:3" x14ac:dyDescent="0.2">
      <c r="A108" s="85">
        <v>-4957354.59</v>
      </c>
      <c r="B108" s="85">
        <v>-32190.440000000002</v>
      </c>
      <c r="C108" s="85">
        <v>-4989545.03</v>
      </c>
    </row>
    <row r="109" spans="1:3" x14ac:dyDescent="0.2">
      <c r="A109" s="85">
        <v>-4989545.03</v>
      </c>
      <c r="B109" s="85">
        <v>-34019.96</v>
      </c>
      <c r="C109" s="85">
        <v>-5023564.99</v>
      </c>
    </row>
    <row r="110" spans="1:3" x14ac:dyDescent="0.2">
      <c r="A110" s="85">
        <v>-5023564.99</v>
      </c>
      <c r="B110" s="85">
        <v>-31300.600000000002</v>
      </c>
      <c r="C110" s="85">
        <v>-5054865.59</v>
      </c>
    </row>
    <row r="111" spans="1:3" x14ac:dyDescent="0.2">
      <c r="A111" s="85">
        <v>-5054865.59</v>
      </c>
      <c r="B111" s="85">
        <v>-27600.68</v>
      </c>
      <c r="C111" s="85">
        <v>-5082466.2699999996</v>
      </c>
    </row>
    <row r="112" spans="1:3" x14ac:dyDescent="0.2">
      <c r="A112" s="85">
        <v>-5082466.2699999996</v>
      </c>
      <c r="B112" s="85">
        <v>-34622.54</v>
      </c>
      <c r="C112" s="85">
        <v>-5117088.8099999996</v>
      </c>
    </row>
    <row r="113" spans="1:3" x14ac:dyDescent="0.2">
      <c r="A113" s="85">
        <v>-5117088.8099999996</v>
      </c>
      <c r="B113" s="85">
        <v>-31594.83</v>
      </c>
      <c r="C113" s="85">
        <v>-5148683.6399999997</v>
      </c>
    </row>
    <row r="114" spans="1:3" x14ac:dyDescent="0.2">
      <c r="A114" s="85">
        <v>-5148683.6399999997</v>
      </c>
      <c r="B114" s="85">
        <v>-41112.65</v>
      </c>
      <c r="C114" s="85">
        <v>-5189796.29</v>
      </c>
    </row>
    <row r="115" spans="1:3" x14ac:dyDescent="0.2">
      <c r="A115" s="85">
        <v>-5189796.29</v>
      </c>
      <c r="B115" s="85">
        <v>-31502.77</v>
      </c>
      <c r="C115" s="85">
        <v>-5221299.0599999996</v>
      </c>
    </row>
    <row r="116" spans="1:3" x14ac:dyDescent="0.2">
      <c r="A116" s="85">
        <v>-5221299.0599999996</v>
      </c>
      <c r="B116" s="85">
        <v>-40071.15</v>
      </c>
      <c r="C116" s="85">
        <v>-5261370.21</v>
      </c>
    </row>
    <row r="117" spans="1:3" x14ac:dyDescent="0.2">
      <c r="A117" s="85">
        <v>-5221299.0599999996</v>
      </c>
      <c r="B117" s="85">
        <v>-40071.15</v>
      </c>
      <c r="C117" s="85">
        <v>-5261370.21</v>
      </c>
    </row>
    <row r="118" spans="1:3" x14ac:dyDescent="0.2">
      <c r="A118" s="85">
        <v>-5261370.21</v>
      </c>
      <c r="B118" s="85">
        <v>-28962.53</v>
      </c>
      <c r="C118" s="85">
        <v>-5290332.74</v>
      </c>
    </row>
    <row r="119" spans="1:3" ht="13.5" thickBot="1" x14ac:dyDescent="0.25">
      <c r="A119" s="100">
        <f>SUM(A106:A118)</f>
        <v>-66113332.820000008</v>
      </c>
      <c r="B119" s="100">
        <f>SUM(B106:B118)</f>
        <v>-417825.50000000012</v>
      </c>
      <c r="C119" s="100">
        <f>SUM(C106:C118)</f>
        <v>-66531158.320000008</v>
      </c>
    </row>
    <row r="120" spans="1:3" hidden="1" x14ac:dyDescent="0.2">
      <c r="A120" s="85"/>
      <c r="B120" s="85"/>
      <c r="C120" s="85"/>
    </row>
    <row r="121" spans="1:3" hidden="1" x14ac:dyDescent="0.2">
      <c r="A121" s="85"/>
      <c r="B121" s="85"/>
      <c r="C121" s="85"/>
    </row>
    <row r="122" spans="1:3" hidden="1" x14ac:dyDescent="0.2">
      <c r="A122" s="85"/>
      <c r="B122" s="85"/>
      <c r="C122" s="85"/>
    </row>
    <row r="123" spans="1:3" hidden="1" x14ac:dyDescent="0.2">
      <c r="A123" s="85"/>
      <c r="B123" s="85"/>
      <c r="C123" s="85"/>
    </row>
    <row r="124" spans="1:3" ht="13.5" hidden="1" thickBot="1" x14ac:dyDescent="0.25">
      <c r="A124" s="100">
        <f>SUM(A121:A123)</f>
        <v>0</v>
      </c>
      <c r="B124" s="100">
        <f>SUM(B121:B123)</f>
        <v>0</v>
      </c>
      <c r="C124" s="100">
        <f>SUM(C121:C123)</f>
        <v>0</v>
      </c>
    </row>
    <row r="125" spans="1:3" x14ac:dyDescent="0.2">
      <c r="A125" s="85"/>
      <c r="B125" s="85"/>
      <c r="C125" s="85"/>
    </row>
    <row r="126" spans="1:3" s="98" customFormat="1" ht="13.5" thickBot="1" x14ac:dyDescent="0.25">
      <c r="A126" s="97">
        <f>SUM(A124,A119)</f>
        <v>-66113332.820000008</v>
      </c>
      <c r="B126" s="97">
        <f>SUM(B124,B119)</f>
        <v>-417825.50000000012</v>
      </c>
      <c r="C126" s="97">
        <f>SUM(C124,C119)</f>
        <v>-66531158.320000008</v>
      </c>
    </row>
    <row r="127" spans="1:3" s="98" customFormat="1" ht="13.5" thickTop="1" x14ac:dyDescent="0.2">
      <c r="A127" s="99"/>
      <c r="B127" s="99"/>
      <c r="C127" s="99"/>
    </row>
    <row r="128" spans="1:3" x14ac:dyDescent="0.2">
      <c r="A128" s="85">
        <v>-2470108.37</v>
      </c>
      <c r="B128" s="85">
        <v>-19547.02</v>
      </c>
      <c r="C128" s="85">
        <v>-2489655.39</v>
      </c>
    </row>
    <row r="129" spans="1:3" x14ac:dyDescent="0.2">
      <c r="A129" s="85">
        <v>-2489655.39</v>
      </c>
      <c r="B129" s="85">
        <v>-27380.25</v>
      </c>
      <c r="C129" s="85">
        <v>-2517035.64</v>
      </c>
    </row>
    <row r="130" spans="1:3" x14ac:dyDescent="0.2">
      <c r="A130" s="85">
        <v>-2517035.64</v>
      </c>
      <c r="B130" s="85">
        <v>-29078.27</v>
      </c>
      <c r="C130" s="85">
        <v>-2546113.91</v>
      </c>
    </row>
    <row r="131" spans="1:3" x14ac:dyDescent="0.2">
      <c r="A131" s="85">
        <v>-2546113.91</v>
      </c>
      <c r="B131" s="85">
        <v>-21203.05</v>
      </c>
      <c r="C131" s="85">
        <v>-2567316.96</v>
      </c>
    </row>
    <row r="132" spans="1:3" x14ac:dyDescent="0.2">
      <c r="A132" s="85">
        <v>-2567316.96</v>
      </c>
      <c r="B132" s="85">
        <v>-24909.07</v>
      </c>
      <c r="C132" s="85">
        <v>-2592226.0300000003</v>
      </c>
    </row>
    <row r="133" spans="1:3" x14ac:dyDescent="0.2">
      <c r="A133" s="85">
        <v>-2592226.0300000003</v>
      </c>
      <c r="B133" s="85">
        <v>-16294.91</v>
      </c>
      <c r="C133" s="85">
        <v>-2608520.94</v>
      </c>
    </row>
    <row r="134" spans="1:3" x14ac:dyDescent="0.2">
      <c r="A134" s="85">
        <v>-2608520.94</v>
      </c>
      <c r="B134" s="85">
        <v>-27047.940000000002</v>
      </c>
      <c r="C134" s="85">
        <v>-2635568.88</v>
      </c>
    </row>
    <row r="135" spans="1:3" x14ac:dyDescent="0.2">
      <c r="A135" s="85">
        <v>-2635568.88</v>
      </c>
      <c r="B135" s="85">
        <v>-17365.29</v>
      </c>
      <c r="C135" s="85">
        <v>-2652934.17</v>
      </c>
    </row>
    <row r="136" spans="1:3" x14ac:dyDescent="0.2">
      <c r="A136" s="85">
        <v>-2652934.17</v>
      </c>
      <c r="B136" s="85">
        <v>-20838.98</v>
      </c>
      <c r="C136" s="85">
        <v>-2673773.15</v>
      </c>
    </row>
    <row r="137" spans="1:3" x14ac:dyDescent="0.2">
      <c r="A137" s="85">
        <v>-2673773.15</v>
      </c>
      <c r="B137" s="85">
        <v>-25592.32</v>
      </c>
      <c r="C137" s="85">
        <v>-2699365.4699999997</v>
      </c>
    </row>
    <row r="138" spans="1:3" x14ac:dyDescent="0.2">
      <c r="A138" s="85">
        <v>-2699365.4699999997</v>
      </c>
      <c r="B138" s="85">
        <v>-15842.050000000001</v>
      </c>
      <c r="C138" s="85">
        <v>-2715207.52</v>
      </c>
    </row>
    <row r="139" spans="1:3" x14ac:dyDescent="0.2">
      <c r="A139" s="85">
        <v>-2699365.4699999997</v>
      </c>
      <c r="B139" s="85">
        <v>-15842.050000000001</v>
      </c>
      <c r="C139" s="85">
        <v>-2715207.52</v>
      </c>
    </row>
    <row r="140" spans="1:3" x14ac:dyDescent="0.2">
      <c r="A140" s="85">
        <v>-2715207.52</v>
      </c>
      <c r="B140" s="85">
        <v>-20775.900000000001</v>
      </c>
      <c r="C140" s="85">
        <v>-2735983.42</v>
      </c>
    </row>
    <row r="141" spans="1:3" ht="13.5" thickBot="1" x14ac:dyDescent="0.25">
      <c r="A141" s="100">
        <f>SUM(A128:A140)</f>
        <v>-33867191.899999999</v>
      </c>
      <c r="B141" s="100">
        <f>SUM(B128:B140)</f>
        <v>-281717.10000000003</v>
      </c>
      <c r="C141" s="100">
        <f>SUM(C128:C140)</f>
        <v>-34148909</v>
      </c>
    </row>
    <row r="142" spans="1:3" hidden="1" x14ac:dyDescent="0.2">
      <c r="A142" s="85"/>
      <c r="B142" s="85"/>
      <c r="C142" s="85"/>
    </row>
    <row r="143" spans="1:3" hidden="1" x14ac:dyDescent="0.2">
      <c r="A143" s="85"/>
      <c r="B143" s="85"/>
      <c r="C143" s="85"/>
    </row>
    <row r="144" spans="1:3" hidden="1" x14ac:dyDescent="0.2">
      <c r="A144" s="85"/>
      <c r="B144" s="85"/>
      <c r="C144" s="85"/>
    </row>
    <row r="145" spans="1:4" hidden="1" x14ac:dyDescent="0.2">
      <c r="A145" s="85"/>
      <c r="B145" s="85"/>
      <c r="C145" s="85"/>
    </row>
    <row r="146" spans="1:4" ht="13.5" hidden="1" thickBot="1" x14ac:dyDescent="0.25">
      <c r="A146" s="88">
        <f>SUM(A143:A145)</f>
        <v>0</v>
      </c>
      <c r="B146" s="88">
        <f>SUM(B143:B145)</f>
        <v>0</v>
      </c>
      <c r="C146" s="88">
        <f>SUM(C143:C145)</f>
        <v>0</v>
      </c>
    </row>
    <row r="147" spans="1:4" x14ac:dyDescent="0.2">
      <c r="A147" s="85"/>
      <c r="B147" s="85"/>
      <c r="C147" s="85"/>
    </row>
    <row r="148" spans="1:4" ht="13.5" thickBot="1" x14ac:dyDescent="0.25">
      <c r="A148" s="97">
        <f>SUM(A146,A141)</f>
        <v>-33867191.899999999</v>
      </c>
      <c r="B148" s="97">
        <f>SUM(B146,B141)</f>
        <v>-281717.10000000003</v>
      </c>
      <c r="C148" s="97">
        <f>SUM(C146,C141)</f>
        <v>-34148909</v>
      </c>
      <c r="D148" s="98"/>
    </row>
    <row r="149" spans="1:4" s="98" customFormat="1" ht="13.5" thickTop="1" x14ac:dyDescent="0.2">
      <c r="A149" s="84"/>
      <c r="B149" s="84"/>
      <c r="C149" s="84"/>
      <c r="D149"/>
    </row>
  </sheetData>
  <mergeCells count="7">
    <mergeCell ref="E6:N6"/>
    <mergeCell ref="Q6:R6"/>
    <mergeCell ref="E7:F7"/>
    <mergeCell ref="G7:H7"/>
    <mergeCell ref="I7:J7"/>
    <mergeCell ref="K7:N7"/>
    <mergeCell ref="Q7:R7"/>
  </mergeCells>
  <pageMargins left="0.7" right="0.7" top="0.75" bottom="0.75" header="0.3" footer="0.3"/>
  <pageSetup scale="73" orientation="landscape" r:id="rId1"/>
  <headerFooter>
    <oddFooter>&amp;LStaff_DR_034-Attachment 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view="pageBreakPreview" zoomScale="60" zoomScaleNormal="100"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2.75" x14ac:dyDescent="0.2"/>
  <cols>
    <col min="1" max="1" width="9" bestFit="1" customWidth="1"/>
    <col min="2" max="3" width="15.85546875" bestFit="1" customWidth="1"/>
    <col min="4" max="4" width="14.85546875" bestFit="1" customWidth="1"/>
    <col min="5" max="5" width="13.85546875" bestFit="1" customWidth="1"/>
    <col min="6" max="6" width="12.28515625" bestFit="1" customWidth="1"/>
    <col min="7" max="7" width="11.7109375" bestFit="1" customWidth="1"/>
    <col min="8" max="8" width="14" bestFit="1" customWidth="1"/>
    <col min="9" max="9" width="1.28515625" customWidth="1"/>
    <col min="10" max="10" width="9" bestFit="1" customWidth="1"/>
    <col min="11" max="11" width="13.28515625" bestFit="1" customWidth="1"/>
    <col min="12" max="13" width="12.85546875" bestFit="1" customWidth="1"/>
    <col min="14" max="14" width="11.7109375" bestFit="1" customWidth="1"/>
    <col min="15" max="15" width="9.7109375" bestFit="1" customWidth="1"/>
    <col min="16" max="16" width="11.140625" bestFit="1" customWidth="1"/>
    <col min="17" max="18" width="9.28515625" bestFit="1" customWidth="1"/>
    <col min="19" max="19" width="11.140625" customWidth="1"/>
    <col min="20" max="20" width="14" bestFit="1" customWidth="1"/>
    <col min="21" max="21" width="1.42578125" customWidth="1"/>
    <col min="23" max="23" width="13.28515625" bestFit="1" customWidth="1"/>
    <col min="24" max="24" width="12.5703125" bestFit="1" customWidth="1"/>
    <col min="25" max="25" width="12.140625" bestFit="1" customWidth="1"/>
    <col min="26" max="26" width="11.140625" bestFit="1" customWidth="1"/>
    <col min="27" max="27" width="10.140625" bestFit="1" customWidth="1"/>
    <col min="28" max="29" width="11.7109375" bestFit="1" customWidth="1"/>
    <col min="30" max="30" width="13.7109375" bestFit="1" customWidth="1"/>
    <col min="31" max="31" width="1.7109375" customWidth="1"/>
    <col min="33" max="33" width="13.28515625" bestFit="1" customWidth="1"/>
    <col min="34" max="34" width="12.85546875" bestFit="1" customWidth="1"/>
    <col min="35" max="35" width="12.140625" bestFit="1" customWidth="1"/>
    <col min="36" max="36" width="11.140625" bestFit="1" customWidth="1"/>
    <col min="37" max="37" width="9.5703125" bestFit="1" customWidth="1"/>
    <col min="38" max="38" width="11.7109375" bestFit="1" customWidth="1"/>
    <col min="39" max="39" width="11.140625" customWidth="1"/>
    <col min="40" max="40" width="13.28515625" bestFit="1" customWidth="1"/>
  </cols>
  <sheetData>
    <row r="1" spans="1:40" x14ac:dyDescent="0.2">
      <c r="A1" s="7" t="s">
        <v>55</v>
      </c>
      <c r="J1" s="7" t="s">
        <v>55</v>
      </c>
      <c r="V1" s="7" t="s">
        <v>55</v>
      </c>
      <c r="AF1" s="7" t="s">
        <v>55</v>
      </c>
    </row>
    <row r="2" spans="1:40" x14ac:dyDescent="0.2">
      <c r="A2" s="7" t="s">
        <v>35</v>
      </c>
      <c r="J2" s="7" t="s">
        <v>35</v>
      </c>
      <c r="V2" s="7" t="s">
        <v>35</v>
      </c>
      <c r="AF2" s="7" t="s">
        <v>35</v>
      </c>
    </row>
    <row r="3" spans="1:40" x14ac:dyDescent="0.2">
      <c r="A3" s="7" t="str">
        <f>[2]Input!B2</f>
        <v>TWELVE MONTHS ENDED DECEMBER 31, 2016</v>
      </c>
      <c r="J3" s="7" t="str">
        <f>[2]Input!B2</f>
        <v>TWELVE MONTHS ENDED DECEMBER 31, 2016</v>
      </c>
      <c r="V3" s="7" t="str">
        <f>[2]Input!B2</f>
        <v>TWELVE MONTHS ENDED DECEMBER 31, 2016</v>
      </c>
      <c r="AF3" s="7" t="str">
        <f>[2]Input!B2</f>
        <v>TWELVE MONTHS ENDED DECEMBER 31, 2016</v>
      </c>
    </row>
    <row r="4" spans="1:40" x14ac:dyDescent="0.2">
      <c r="A4" s="7"/>
      <c r="J4" s="7"/>
      <c r="V4" s="7"/>
      <c r="AF4" s="7"/>
    </row>
    <row r="5" spans="1:40" x14ac:dyDescent="0.2">
      <c r="A5" s="7" t="s">
        <v>135</v>
      </c>
      <c r="J5" s="7" t="s">
        <v>136</v>
      </c>
      <c r="V5" s="7" t="s">
        <v>137</v>
      </c>
      <c r="AF5" s="7" t="s">
        <v>138</v>
      </c>
    </row>
    <row r="7" spans="1:40" x14ac:dyDescent="0.2">
      <c r="B7" s="102">
        <v>440000</v>
      </c>
      <c r="C7" s="86">
        <v>442200</v>
      </c>
      <c r="D7" s="86">
        <v>442300</v>
      </c>
      <c r="E7" s="86">
        <v>444000</v>
      </c>
      <c r="F7" s="86">
        <v>448000</v>
      </c>
      <c r="G7" s="102" t="s">
        <v>139</v>
      </c>
      <c r="H7" s="86"/>
      <c r="K7" s="102">
        <v>440000</v>
      </c>
      <c r="L7" s="86">
        <v>442200</v>
      </c>
      <c r="M7" s="86">
        <v>442300</v>
      </c>
      <c r="N7" s="86">
        <v>444000</v>
      </c>
      <c r="O7" s="86">
        <v>448000</v>
      </c>
      <c r="P7" s="102" t="s">
        <v>139</v>
      </c>
      <c r="Q7" s="102">
        <v>440000</v>
      </c>
      <c r="R7" s="86">
        <v>442200</v>
      </c>
      <c r="S7" s="86">
        <v>448000</v>
      </c>
      <c r="T7" s="86"/>
      <c r="W7" s="102">
        <v>480000</v>
      </c>
      <c r="X7" s="86" t="s">
        <v>140</v>
      </c>
      <c r="Y7" s="86">
        <v>481300</v>
      </c>
      <c r="Z7" s="86">
        <v>481400</v>
      </c>
      <c r="AA7" s="86">
        <v>484000</v>
      </c>
      <c r="AB7" s="102" t="s">
        <v>139</v>
      </c>
      <c r="AC7" s="102" t="s">
        <v>141</v>
      </c>
      <c r="AD7" s="86"/>
      <c r="AG7" s="102">
        <v>480000</v>
      </c>
      <c r="AH7" s="86" t="s">
        <v>140</v>
      </c>
      <c r="AI7" s="86">
        <v>481300</v>
      </c>
      <c r="AJ7" s="86">
        <v>481400</v>
      </c>
      <c r="AK7" s="86">
        <v>484000</v>
      </c>
      <c r="AL7" s="102" t="s">
        <v>139</v>
      </c>
      <c r="AM7" s="102">
        <v>489300</v>
      </c>
      <c r="AN7" s="86"/>
    </row>
    <row r="8" spans="1:40" x14ac:dyDescent="0.2">
      <c r="B8" s="86" t="s">
        <v>74</v>
      </c>
      <c r="C8" s="86" t="s">
        <v>74</v>
      </c>
      <c r="D8" s="86" t="s">
        <v>74</v>
      </c>
      <c r="E8" s="86" t="s">
        <v>74</v>
      </c>
      <c r="F8" s="86" t="s">
        <v>74</v>
      </c>
      <c r="G8" s="86" t="s">
        <v>74</v>
      </c>
      <c r="H8" s="86"/>
      <c r="K8" s="86" t="s">
        <v>74</v>
      </c>
      <c r="L8" s="86" t="s">
        <v>74</v>
      </c>
      <c r="M8" s="86" t="s">
        <v>74</v>
      </c>
      <c r="N8" s="86" t="s">
        <v>74</v>
      </c>
      <c r="O8" s="86" t="s">
        <v>74</v>
      </c>
      <c r="P8" s="86" t="s">
        <v>74</v>
      </c>
      <c r="Q8" s="86" t="s">
        <v>74</v>
      </c>
      <c r="R8" s="86" t="s">
        <v>74</v>
      </c>
      <c r="S8" s="86" t="s">
        <v>74</v>
      </c>
      <c r="T8" s="86"/>
      <c r="W8" s="86" t="s">
        <v>75</v>
      </c>
      <c r="X8" s="86" t="s">
        <v>75</v>
      </c>
      <c r="Y8" s="86" t="s">
        <v>75</v>
      </c>
      <c r="Z8" s="86" t="s">
        <v>75</v>
      </c>
      <c r="AA8" s="86" t="s">
        <v>75</v>
      </c>
      <c r="AB8" s="86" t="s">
        <v>75</v>
      </c>
      <c r="AC8" s="86" t="s">
        <v>75</v>
      </c>
      <c r="AD8" s="86"/>
      <c r="AG8" s="86" t="s">
        <v>75</v>
      </c>
      <c r="AH8" s="86" t="s">
        <v>75</v>
      </c>
      <c r="AI8" s="86" t="s">
        <v>75</v>
      </c>
      <c r="AJ8" s="86" t="s">
        <v>75</v>
      </c>
      <c r="AK8" s="86" t="s">
        <v>75</v>
      </c>
      <c r="AL8" s="86" t="s">
        <v>75</v>
      </c>
      <c r="AM8" s="86" t="s">
        <v>75</v>
      </c>
      <c r="AN8" s="86"/>
    </row>
    <row r="9" spans="1:40" x14ac:dyDescent="0.2">
      <c r="B9" s="86" t="s">
        <v>49</v>
      </c>
      <c r="C9" s="86" t="s">
        <v>49</v>
      </c>
      <c r="D9" s="86" t="s">
        <v>49</v>
      </c>
      <c r="E9" s="86" t="s">
        <v>49</v>
      </c>
      <c r="F9" s="86" t="s">
        <v>49</v>
      </c>
      <c r="G9" s="86" t="s">
        <v>49</v>
      </c>
      <c r="H9" s="86" t="s">
        <v>83</v>
      </c>
      <c r="K9" s="86" t="s">
        <v>50</v>
      </c>
      <c r="L9" s="86" t="s">
        <v>50</v>
      </c>
      <c r="M9" s="86" t="s">
        <v>50</v>
      </c>
      <c r="N9" s="86" t="s">
        <v>50</v>
      </c>
      <c r="O9" s="86" t="s">
        <v>50</v>
      </c>
      <c r="P9" s="86" t="s">
        <v>50</v>
      </c>
      <c r="Q9" s="86" t="s">
        <v>142</v>
      </c>
      <c r="R9" s="86" t="s">
        <v>142</v>
      </c>
      <c r="S9" s="86" t="s">
        <v>142</v>
      </c>
      <c r="T9" s="86" t="s">
        <v>83</v>
      </c>
      <c r="W9" s="86" t="s">
        <v>49</v>
      </c>
      <c r="X9" s="86" t="s">
        <v>49</v>
      </c>
      <c r="Y9" s="86" t="s">
        <v>49</v>
      </c>
      <c r="Z9" s="86" t="s">
        <v>49</v>
      </c>
      <c r="AA9" s="86" t="s">
        <v>49</v>
      </c>
      <c r="AB9" s="86" t="s">
        <v>49</v>
      </c>
      <c r="AC9" s="86" t="s">
        <v>49</v>
      </c>
      <c r="AD9" s="86" t="s">
        <v>83</v>
      </c>
      <c r="AG9" s="86" t="s">
        <v>50</v>
      </c>
      <c r="AH9" s="86" t="s">
        <v>50</v>
      </c>
      <c r="AI9" s="86" t="s">
        <v>50</v>
      </c>
      <c r="AJ9" s="86" t="s">
        <v>50</v>
      </c>
      <c r="AK9" s="86" t="s">
        <v>50</v>
      </c>
      <c r="AL9" s="86" t="s">
        <v>50</v>
      </c>
      <c r="AM9" s="86" t="s">
        <v>50</v>
      </c>
      <c r="AN9" s="86" t="s">
        <v>83</v>
      </c>
    </row>
    <row r="10" spans="1:40" x14ac:dyDescent="0.2">
      <c r="A10" t="str">
        <f>[2]Input!B4</f>
        <v>201601</v>
      </c>
      <c r="B10" s="87">
        <v>-27892850.440000001</v>
      </c>
      <c r="C10" s="87">
        <v>-19040159.879999999</v>
      </c>
      <c r="D10" s="87">
        <v>-5159906.09</v>
      </c>
      <c r="E10" s="87">
        <v>-435068.04</v>
      </c>
      <c r="F10" s="87">
        <v>-71851.960000000006</v>
      </c>
      <c r="G10" s="87">
        <v>1513057</v>
      </c>
      <c r="H10" s="91">
        <f>SUM(B10:G10)</f>
        <v>-51086779.409999996</v>
      </c>
      <c r="J10" t="str">
        <f>[2]Input!B4</f>
        <v>201601</v>
      </c>
      <c r="K10" s="87">
        <v>-13317181.390000001</v>
      </c>
      <c r="L10" s="87">
        <v>-8050565.4000000004</v>
      </c>
      <c r="M10" s="87">
        <v>-3864709.72</v>
      </c>
      <c r="N10" s="87">
        <v>-207575.15</v>
      </c>
      <c r="O10" s="87">
        <v>-23984.25</v>
      </c>
      <c r="P10" s="87">
        <v>1089961</v>
      </c>
      <c r="Q10" s="87">
        <v>-2437.65</v>
      </c>
      <c r="R10" s="87">
        <v>-5661.96</v>
      </c>
      <c r="S10" s="87">
        <v>-4079.07</v>
      </c>
      <c r="T10" s="87">
        <f>SUM(K10:S10)</f>
        <v>-24386233.589999996</v>
      </c>
      <c r="V10" t="str">
        <f>[2]Input!B4</f>
        <v>201601</v>
      </c>
      <c r="W10" s="87">
        <v>-16569516.890000001</v>
      </c>
      <c r="X10" s="87">
        <v>-8235157.8499999996</v>
      </c>
      <c r="Y10" s="87">
        <v>-238288.85</v>
      </c>
      <c r="Z10" s="87">
        <v>0</v>
      </c>
      <c r="AA10" s="87">
        <v>-46954.11</v>
      </c>
      <c r="AB10" s="87">
        <v>724909</v>
      </c>
      <c r="AC10" s="87">
        <v>-427929.5</v>
      </c>
      <c r="AD10" s="87">
        <f t="shared" ref="AD10:AD21" si="0">SUM(W10:AC10)</f>
        <v>-24792938.200000003</v>
      </c>
      <c r="AF10" t="str">
        <f>[2]Input!B4</f>
        <v>201601</v>
      </c>
      <c r="AG10" s="87">
        <v>-7110847.2000000002</v>
      </c>
      <c r="AH10" s="87">
        <v>-3139486.24</v>
      </c>
      <c r="AI10" s="87">
        <v>-163999.72</v>
      </c>
      <c r="AJ10" s="87">
        <v>0</v>
      </c>
      <c r="AK10" s="87">
        <v>-5907.38</v>
      </c>
      <c r="AL10" s="87">
        <v>737924</v>
      </c>
      <c r="AM10" s="87">
        <v>-41886.1</v>
      </c>
      <c r="AN10" s="87">
        <f t="shared" ref="AN10:AN21" si="1">SUM(AG10:AM10)</f>
        <v>-9724202.6400000025</v>
      </c>
    </row>
    <row r="11" spans="1:40" x14ac:dyDescent="0.2">
      <c r="A11">
        <f>A10+1</f>
        <v>201602</v>
      </c>
      <c r="B11" s="87">
        <v>-22844700.73</v>
      </c>
      <c r="C11" s="87">
        <v>-17734584.27</v>
      </c>
      <c r="D11" s="87">
        <v>-4731277.82</v>
      </c>
      <c r="E11" s="87">
        <v>-434350.35</v>
      </c>
      <c r="F11" s="87">
        <v>-101542.66</v>
      </c>
      <c r="G11" s="87">
        <v>2490170</v>
      </c>
      <c r="H11" s="91">
        <f t="shared" ref="H11:H21" si="2">SUM(B11:G11)</f>
        <v>-43356285.829999998</v>
      </c>
      <c r="J11">
        <f>J10+1</f>
        <v>201602</v>
      </c>
      <c r="K11" s="87">
        <v>-10868335.33</v>
      </c>
      <c r="L11" s="87">
        <v>-7447955.7699999996</v>
      </c>
      <c r="M11" s="87">
        <v>-3578343.48</v>
      </c>
      <c r="N11" s="87">
        <v>-208083.87</v>
      </c>
      <c r="O11" s="87">
        <v>-20874.41</v>
      </c>
      <c r="P11" s="87">
        <v>1256374</v>
      </c>
      <c r="Q11" s="87">
        <v>-1817.95</v>
      </c>
      <c r="R11" s="87">
        <v>-5131.96</v>
      </c>
      <c r="S11" s="87">
        <v>-3294.6</v>
      </c>
      <c r="T11" s="87">
        <f t="shared" ref="T11:T21" si="3">SUM(K11:S11)</f>
        <v>-20877463.370000005</v>
      </c>
      <c r="V11">
        <f>V10+1</f>
        <v>201602</v>
      </c>
      <c r="W11" s="87">
        <v>-13657401.93</v>
      </c>
      <c r="X11" s="87">
        <v>-6847665.1600000001</v>
      </c>
      <c r="Y11" s="87">
        <v>-203379.21</v>
      </c>
      <c r="Z11" s="87">
        <v>0</v>
      </c>
      <c r="AA11" s="87">
        <v>-35320.35</v>
      </c>
      <c r="AB11" s="87">
        <v>2586109</v>
      </c>
      <c r="AC11" s="87">
        <v>-459035.05</v>
      </c>
      <c r="AD11" s="87">
        <f t="shared" si="0"/>
        <v>-18616692.700000003</v>
      </c>
      <c r="AF11">
        <f>AF10+1</f>
        <v>201602</v>
      </c>
      <c r="AG11" s="87">
        <v>-5758016.8600000003</v>
      </c>
      <c r="AH11" s="87">
        <v>-2579612.7599999998</v>
      </c>
      <c r="AI11" s="87">
        <v>-128728.5</v>
      </c>
      <c r="AJ11" s="87">
        <v>0</v>
      </c>
      <c r="AK11" s="87">
        <v>-4634.01</v>
      </c>
      <c r="AL11" s="87">
        <v>1070871</v>
      </c>
      <c r="AM11" s="87">
        <v>-52013.9</v>
      </c>
      <c r="AN11" s="87">
        <f t="shared" si="1"/>
        <v>-7452135.0300000012</v>
      </c>
    </row>
    <row r="12" spans="1:40" x14ac:dyDescent="0.2">
      <c r="A12">
        <f t="shared" ref="A12:A21" si="4">A11+1</f>
        <v>201603</v>
      </c>
      <c r="B12" s="87">
        <v>-19653213.260000002</v>
      </c>
      <c r="C12" s="87">
        <v>-17016407.899999999</v>
      </c>
      <c r="D12" s="87">
        <v>-4774025.75</v>
      </c>
      <c r="E12" s="87">
        <v>-434608.42</v>
      </c>
      <c r="F12" s="87">
        <v>-77361.77</v>
      </c>
      <c r="G12" s="87">
        <v>-643888</v>
      </c>
      <c r="H12" s="91">
        <f t="shared" si="2"/>
        <v>-42599505.100000001</v>
      </c>
      <c r="J12">
        <f t="shared" ref="J12:J21" si="5">J11+1</f>
        <v>201603</v>
      </c>
      <c r="K12" s="87">
        <v>-9594801.5600000005</v>
      </c>
      <c r="L12" s="87">
        <v>-7110362.9500000002</v>
      </c>
      <c r="M12" s="87">
        <v>-3137716.66</v>
      </c>
      <c r="N12" s="87">
        <v>-208085.36</v>
      </c>
      <c r="O12" s="87">
        <v>-18059.400000000001</v>
      </c>
      <c r="P12" s="87">
        <v>-330200</v>
      </c>
      <c r="Q12" s="87">
        <v>-2353.33</v>
      </c>
      <c r="R12" s="87">
        <v>-4490.25</v>
      </c>
      <c r="S12" s="87">
        <v>-2884.18</v>
      </c>
      <c r="T12" s="87">
        <f t="shared" si="3"/>
        <v>-20408953.689999998</v>
      </c>
      <c r="V12">
        <f t="shared" ref="V12:V21" si="6">V11+1</f>
        <v>201603</v>
      </c>
      <c r="W12" s="87">
        <v>-10843558.640000001</v>
      </c>
      <c r="X12" s="87">
        <v>-5392899.5</v>
      </c>
      <c r="Y12" s="87">
        <v>-181543.04000000001</v>
      </c>
      <c r="Z12" s="87">
        <v>0</v>
      </c>
      <c r="AA12" s="87">
        <v>-29758.29</v>
      </c>
      <c r="AB12" s="87">
        <v>620668</v>
      </c>
      <c r="AC12" s="87">
        <v>-422405</v>
      </c>
      <c r="AD12" s="87">
        <f t="shared" si="0"/>
        <v>-16249496.469999999</v>
      </c>
      <c r="AF12">
        <f t="shared" ref="AF12:AF21" si="7">AF11+1</f>
        <v>201603</v>
      </c>
      <c r="AG12" s="87">
        <v>-4756854.1900000004</v>
      </c>
      <c r="AH12" s="87">
        <v>-2061516.01</v>
      </c>
      <c r="AI12" s="87">
        <v>-102694.1</v>
      </c>
      <c r="AJ12" s="87">
        <v>0</v>
      </c>
      <c r="AK12" s="87">
        <v>-3613.25</v>
      </c>
      <c r="AL12" s="87">
        <v>120817</v>
      </c>
      <c r="AM12" s="87">
        <v>-42400.27</v>
      </c>
      <c r="AN12" s="87">
        <f t="shared" si="1"/>
        <v>-6846260.8199999994</v>
      </c>
    </row>
    <row r="13" spans="1:40" x14ac:dyDescent="0.2">
      <c r="A13">
        <f t="shared" si="4"/>
        <v>201604</v>
      </c>
      <c r="B13" s="87">
        <v>-17423924.780000001</v>
      </c>
      <c r="C13" s="87">
        <v>-16974450.329999998</v>
      </c>
      <c r="D13" s="87">
        <v>-4578399.26</v>
      </c>
      <c r="E13" s="87">
        <v>-431059.55</v>
      </c>
      <c r="F13" s="87">
        <v>-77641.679999999993</v>
      </c>
      <c r="G13" s="87">
        <v>1987425</v>
      </c>
      <c r="H13" s="91">
        <f t="shared" si="2"/>
        <v>-37498050.599999994</v>
      </c>
      <c r="J13">
        <f t="shared" si="5"/>
        <v>201604</v>
      </c>
      <c r="K13" s="87">
        <v>-8595072.6899999995</v>
      </c>
      <c r="L13" s="87">
        <v>-6930457.8099999996</v>
      </c>
      <c r="M13" s="87">
        <v>-3487914.1</v>
      </c>
      <c r="N13" s="87">
        <v>-208322.24</v>
      </c>
      <c r="O13" s="87">
        <v>-16660.13</v>
      </c>
      <c r="P13" s="87">
        <v>950868</v>
      </c>
      <c r="Q13" s="87">
        <v>-1449.24</v>
      </c>
      <c r="R13" s="87">
        <v>-4016.43</v>
      </c>
      <c r="S13" s="87">
        <v>-2098.41</v>
      </c>
      <c r="T13" s="87">
        <f t="shared" si="3"/>
        <v>-18295123.049999997</v>
      </c>
      <c r="V13">
        <f t="shared" si="6"/>
        <v>201604</v>
      </c>
      <c r="W13" s="87">
        <v>-8269600.9500000002</v>
      </c>
      <c r="X13" s="87">
        <v>-3990459.37</v>
      </c>
      <c r="Y13" s="87">
        <v>-136727.63</v>
      </c>
      <c r="Z13" s="87">
        <v>0</v>
      </c>
      <c r="AA13" s="87">
        <v>-27734.71</v>
      </c>
      <c r="AB13" s="87">
        <v>4124944</v>
      </c>
      <c r="AC13" s="87">
        <v>-404288.8</v>
      </c>
      <c r="AD13" s="87">
        <f t="shared" si="0"/>
        <v>-8703867.4600000028</v>
      </c>
      <c r="AF13">
        <f t="shared" si="7"/>
        <v>201604</v>
      </c>
      <c r="AG13" s="87">
        <v>-3611885.35</v>
      </c>
      <c r="AH13" s="87">
        <v>-1601900.06</v>
      </c>
      <c r="AI13" s="87">
        <v>-95194.07</v>
      </c>
      <c r="AJ13" s="87">
        <v>0</v>
      </c>
      <c r="AK13" s="87">
        <v>-3043.88</v>
      </c>
      <c r="AL13" s="87">
        <v>1724716</v>
      </c>
      <c r="AM13" s="87">
        <v>-47503.43</v>
      </c>
      <c r="AN13" s="87">
        <f t="shared" si="1"/>
        <v>-3634810.7900000005</v>
      </c>
    </row>
    <row r="14" spans="1:40" x14ac:dyDescent="0.2">
      <c r="A14">
        <f t="shared" si="4"/>
        <v>201605</v>
      </c>
      <c r="B14" s="87">
        <v>-14902155.57</v>
      </c>
      <c r="C14" s="87">
        <v>-17264393.940000001</v>
      </c>
      <c r="D14" s="87">
        <v>-5649288.3200000003</v>
      </c>
      <c r="E14" s="87">
        <v>-430844.68</v>
      </c>
      <c r="F14" s="87">
        <v>-73418.850000000006</v>
      </c>
      <c r="G14" s="87">
        <v>-256417</v>
      </c>
      <c r="H14" s="91">
        <f t="shared" si="2"/>
        <v>-38576518.359999999</v>
      </c>
      <c r="J14">
        <f t="shared" si="5"/>
        <v>201605</v>
      </c>
      <c r="K14" s="87">
        <v>-7162237.0099999998</v>
      </c>
      <c r="L14" s="87">
        <v>-6841302.2400000002</v>
      </c>
      <c r="M14" s="87">
        <v>-3355147.68</v>
      </c>
      <c r="N14" s="87">
        <v>-208609.27</v>
      </c>
      <c r="O14" s="87">
        <v>-16265.93</v>
      </c>
      <c r="P14" s="87">
        <v>28828</v>
      </c>
      <c r="Q14" s="87">
        <v>-1050.43</v>
      </c>
      <c r="R14" s="87">
        <v>-1896.45</v>
      </c>
      <c r="S14" s="87">
        <v>-1283.56</v>
      </c>
      <c r="T14" s="87">
        <f t="shared" si="3"/>
        <v>-17558964.569999997</v>
      </c>
      <c r="V14">
        <f t="shared" si="6"/>
        <v>201605</v>
      </c>
      <c r="W14" s="87">
        <v>-4661137.01</v>
      </c>
      <c r="X14" s="87">
        <v>-2332826.0099999998</v>
      </c>
      <c r="Y14" s="87">
        <v>-123283.73</v>
      </c>
      <c r="Z14" s="87">
        <v>0</v>
      </c>
      <c r="AA14" s="87">
        <v>-10820.3</v>
      </c>
      <c r="AB14" s="87">
        <v>865250</v>
      </c>
      <c r="AC14" s="87">
        <v>-364578.24</v>
      </c>
      <c r="AD14" s="87">
        <f t="shared" si="0"/>
        <v>-6627395.29</v>
      </c>
      <c r="AF14">
        <f t="shared" si="7"/>
        <v>201605</v>
      </c>
      <c r="AG14" s="87">
        <v>-2061745.7</v>
      </c>
      <c r="AH14" s="87">
        <v>-948269.5</v>
      </c>
      <c r="AI14" s="87">
        <v>-81033.38</v>
      </c>
      <c r="AJ14" s="87">
        <v>0</v>
      </c>
      <c r="AK14" s="87">
        <v>-1459.51</v>
      </c>
      <c r="AL14" s="87">
        <v>319947</v>
      </c>
      <c r="AM14" s="87">
        <v>-42260.95</v>
      </c>
      <c r="AN14" s="87">
        <f t="shared" si="1"/>
        <v>-2814822.04</v>
      </c>
    </row>
    <row r="15" spans="1:40" x14ac:dyDescent="0.2">
      <c r="A15">
        <f t="shared" si="4"/>
        <v>201606</v>
      </c>
      <c r="B15" s="87">
        <v>-15535761.83</v>
      </c>
      <c r="C15" s="87">
        <v>-17970651.030000001</v>
      </c>
      <c r="D15" s="87">
        <v>-3641383.09</v>
      </c>
      <c r="E15" s="87">
        <v>-429266.14</v>
      </c>
      <c r="F15" s="87">
        <v>-77761.990000000005</v>
      </c>
      <c r="G15" s="87">
        <v>-2644398</v>
      </c>
      <c r="H15" s="91">
        <f t="shared" si="2"/>
        <v>-40299222.080000006</v>
      </c>
      <c r="J15">
        <f t="shared" si="5"/>
        <v>201606</v>
      </c>
      <c r="K15" s="87">
        <v>-7253679.0899999999</v>
      </c>
      <c r="L15" s="87">
        <v>-7036920.2699999996</v>
      </c>
      <c r="M15" s="87">
        <v>-3624839.57</v>
      </c>
      <c r="N15" s="87">
        <v>-209457.58</v>
      </c>
      <c r="O15" s="87">
        <v>-16974.62</v>
      </c>
      <c r="P15" s="87">
        <v>28433</v>
      </c>
      <c r="Q15" s="87">
        <v>-922.35</v>
      </c>
      <c r="R15" s="87">
        <v>-1216.93</v>
      </c>
      <c r="S15" s="87">
        <v>-1133.23</v>
      </c>
      <c r="T15" s="87">
        <f t="shared" si="3"/>
        <v>-18116710.640000001</v>
      </c>
      <c r="V15">
        <f t="shared" si="6"/>
        <v>201606</v>
      </c>
      <c r="W15" s="87">
        <v>-3971179.1</v>
      </c>
      <c r="X15" s="87">
        <v>-1873533.56</v>
      </c>
      <c r="Y15" s="87">
        <v>-112993.32</v>
      </c>
      <c r="Z15" s="87">
        <v>0</v>
      </c>
      <c r="AA15" s="87">
        <v>-7649.23</v>
      </c>
      <c r="AB15" s="87">
        <v>625564</v>
      </c>
      <c r="AC15" s="87">
        <v>-364808.49</v>
      </c>
      <c r="AD15" s="87">
        <f t="shared" si="0"/>
        <v>-5704599.7000000011</v>
      </c>
      <c r="AF15">
        <f t="shared" si="7"/>
        <v>201606</v>
      </c>
      <c r="AG15" s="87">
        <v>-1686167.84</v>
      </c>
      <c r="AH15" s="87">
        <v>-820750.94</v>
      </c>
      <c r="AI15" s="87">
        <v>-72186.990000000005</v>
      </c>
      <c r="AJ15" s="87">
        <v>0</v>
      </c>
      <c r="AK15" s="87">
        <v>-1037.76</v>
      </c>
      <c r="AL15" s="87">
        <v>268397</v>
      </c>
      <c r="AM15" s="87">
        <v>-37576.639999999999</v>
      </c>
      <c r="AN15" s="87">
        <f t="shared" si="1"/>
        <v>-2349323.1700000004</v>
      </c>
    </row>
    <row r="16" spans="1:40" x14ac:dyDescent="0.2">
      <c r="A16">
        <f t="shared" si="4"/>
        <v>201607</v>
      </c>
      <c r="B16" s="87">
        <v>-16384842.48</v>
      </c>
      <c r="C16" s="87">
        <v>-18714946.91</v>
      </c>
      <c r="D16" s="87">
        <v>-7845620.8200000003</v>
      </c>
      <c r="E16" s="87">
        <v>-428622.26</v>
      </c>
      <c r="F16" s="87">
        <v>-75419.81</v>
      </c>
      <c r="G16" s="87">
        <v>-182833</v>
      </c>
      <c r="H16" s="91">
        <f t="shared" si="2"/>
        <v>-43632285.280000001</v>
      </c>
      <c r="J16">
        <f t="shared" si="5"/>
        <v>201607</v>
      </c>
      <c r="K16" s="87">
        <v>-7724540.7199999997</v>
      </c>
      <c r="L16" s="87">
        <v>-7304772.6399999997</v>
      </c>
      <c r="M16" s="87">
        <v>-3962385.44</v>
      </c>
      <c r="N16" s="87">
        <v>-210130.84</v>
      </c>
      <c r="O16" s="87">
        <v>-20398.03</v>
      </c>
      <c r="P16" s="87">
        <v>-1164181</v>
      </c>
      <c r="Q16" s="87">
        <v>-658.71</v>
      </c>
      <c r="R16" s="87">
        <v>-965.11</v>
      </c>
      <c r="S16" s="87">
        <v>-682.13</v>
      </c>
      <c r="T16" s="87">
        <f t="shared" si="3"/>
        <v>-20388714.620000001</v>
      </c>
      <c r="V16">
        <f t="shared" si="6"/>
        <v>201607</v>
      </c>
      <c r="W16" s="87">
        <v>-3364579.08</v>
      </c>
      <c r="X16" s="87">
        <v>-1673674.19</v>
      </c>
      <c r="Y16" s="87">
        <v>-88123.15</v>
      </c>
      <c r="Z16" s="87">
        <v>0</v>
      </c>
      <c r="AA16" s="87">
        <v>-5593.26</v>
      </c>
      <c r="AB16" s="87">
        <v>242256</v>
      </c>
      <c r="AC16" s="87">
        <v>-341144.74</v>
      </c>
      <c r="AD16" s="87">
        <f t="shared" si="0"/>
        <v>-5230858.42</v>
      </c>
      <c r="AF16">
        <f t="shared" si="7"/>
        <v>201607</v>
      </c>
      <c r="AG16" s="87">
        <v>-1386212.37</v>
      </c>
      <c r="AH16" s="87">
        <v>-729638.25</v>
      </c>
      <c r="AI16" s="87">
        <v>-112950.02</v>
      </c>
      <c r="AJ16" s="87">
        <v>0</v>
      </c>
      <c r="AK16" s="87">
        <v>-980.22</v>
      </c>
      <c r="AL16" s="87">
        <v>85115</v>
      </c>
      <c r="AM16" s="87">
        <v>-35299.97</v>
      </c>
      <c r="AN16" s="87">
        <f t="shared" si="1"/>
        <v>-2179965.8300000005</v>
      </c>
    </row>
    <row r="17" spans="1:40" x14ac:dyDescent="0.2">
      <c r="A17">
        <f t="shared" si="4"/>
        <v>201608</v>
      </c>
      <c r="B17" s="87">
        <v>-17778153.27</v>
      </c>
      <c r="C17" s="87">
        <v>-19293071.170000002</v>
      </c>
      <c r="D17" s="87">
        <v>-6027797.5599999996</v>
      </c>
      <c r="E17" s="87">
        <v>-428916.81</v>
      </c>
      <c r="F17" s="87">
        <v>-76216.31</v>
      </c>
      <c r="G17" s="87">
        <v>-582965</v>
      </c>
      <c r="H17" s="91">
        <f t="shared" si="2"/>
        <v>-44187120.120000005</v>
      </c>
      <c r="J17">
        <f t="shared" si="5"/>
        <v>201608</v>
      </c>
      <c r="K17" s="87">
        <v>-8426490.7599999998</v>
      </c>
      <c r="L17" s="87">
        <v>-7683619.4900000002</v>
      </c>
      <c r="M17" s="87">
        <v>-4287558.0999999996</v>
      </c>
      <c r="N17" s="87">
        <v>-210116.2</v>
      </c>
      <c r="O17" s="87">
        <v>-20697.189999999999</v>
      </c>
      <c r="P17" s="87">
        <v>-413344</v>
      </c>
      <c r="Q17" s="87">
        <v>-706.64</v>
      </c>
      <c r="R17" s="87">
        <v>-922.79</v>
      </c>
      <c r="S17" s="87">
        <v>-883.13</v>
      </c>
      <c r="T17" s="87">
        <f t="shared" si="3"/>
        <v>-21044338.300000001</v>
      </c>
      <c r="V17">
        <f t="shared" si="6"/>
        <v>201608</v>
      </c>
      <c r="W17" s="87">
        <v>-3030261.17</v>
      </c>
      <c r="X17" s="87">
        <v>-1536299.79</v>
      </c>
      <c r="Y17" s="87">
        <v>-93879.12</v>
      </c>
      <c r="Z17" s="87">
        <v>0</v>
      </c>
      <c r="AA17" s="87">
        <v>-4852.29</v>
      </c>
      <c r="AB17" s="87">
        <v>-415736</v>
      </c>
      <c r="AC17" s="87">
        <v>-325439.89</v>
      </c>
      <c r="AD17" s="87">
        <f t="shared" si="0"/>
        <v>-5406468.2599999998</v>
      </c>
      <c r="AF17">
        <f t="shared" si="7"/>
        <v>201608</v>
      </c>
      <c r="AG17" s="87">
        <v>-1211568.1499999999</v>
      </c>
      <c r="AH17" s="87">
        <v>-756521.14</v>
      </c>
      <c r="AI17" s="87">
        <v>-77118.960000000006</v>
      </c>
      <c r="AJ17" s="87">
        <v>0</v>
      </c>
      <c r="AK17" s="87">
        <v>-803.35</v>
      </c>
      <c r="AL17" s="87">
        <v>-207214</v>
      </c>
      <c r="AM17" s="87">
        <v>-36249.69</v>
      </c>
      <c r="AN17" s="87">
        <f t="shared" si="1"/>
        <v>-2289475.29</v>
      </c>
    </row>
    <row r="18" spans="1:40" x14ac:dyDescent="0.2">
      <c r="A18">
        <f t="shared" si="4"/>
        <v>201609</v>
      </c>
      <c r="B18" s="87">
        <v>-17826886.609999999</v>
      </c>
      <c r="C18" s="87">
        <v>-19230463.719999999</v>
      </c>
      <c r="D18" s="87">
        <v>-5668512.9800000004</v>
      </c>
      <c r="E18" s="87">
        <v>-427544.37</v>
      </c>
      <c r="F18" s="87">
        <v>-80645.87</v>
      </c>
      <c r="G18" s="87">
        <v>3388230</v>
      </c>
      <c r="H18" s="91">
        <f t="shared" si="2"/>
        <v>-39845823.549999997</v>
      </c>
      <c r="J18">
        <f t="shared" si="5"/>
        <v>201609</v>
      </c>
      <c r="K18" s="87">
        <v>-7648036.8200000003</v>
      </c>
      <c r="L18" s="87">
        <v>-7533711.1299999999</v>
      </c>
      <c r="M18" s="87">
        <v>-3891348.95</v>
      </c>
      <c r="N18" s="87">
        <v>-203243.91</v>
      </c>
      <c r="O18" s="87">
        <v>-14899.65</v>
      </c>
      <c r="P18" s="87">
        <v>2295403</v>
      </c>
      <c r="Q18" s="87">
        <v>-848.66</v>
      </c>
      <c r="R18" s="87">
        <v>-1094.76</v>
      </c>
      <c r="S18" s="87">
        <v>-864.49</v>
      </c>
      <c r="T18" s="87">
        <f t="shared" si="3"/>
        <v>-16998645.369999997</v>
      </c>
      <c r="V18">
        <f t="shared" si="6"/>
        <v>201609</v>
      </c>
      <c r="W18" s="87">
        <v>-3426079.65</v>
      </c>
      <c r="X18" s="87">
        <v>-1761662.14</v>
      </c>
      <c r="Y18" s="87">
        <v>-135156.82</v>
      </c>
      <c r="Z18" s="87">
        <v>0</v>
      </c>
      <c r="AA18" s="87">
        <v>-5522.94</v>
      </c>
      <c r="AB18" s="87">
        <v>-514958</v>
      </c>
      <c r="AC18" s="87">
        <v>-366560.51</v>
      </c>
      <c r="AD18" s="87">
        <f t="shared" si="0"/>
        <v>-6209940.0600000005</v>
      </c>
      <c r="AF18">
        <f t="shared" si="7"/>
        <v>201609</v>
      </c>
      <c r="AG18" s="87">
        <v>-1357627.43</v>
      </c>
      <c r="AH18" s="87">
        <v>-732117.5</v>
      </c>
      <c r="AI18" s="87">
        <v>-78229.320000000007</v>
      </c>
      <c r="AJ18" s="87">
        <v>0</v>
      </c>
      <c r="AK18" s="87">
        <v>-957.66</v>
      </c>
      <c r="AL18" s="87">
        <v>-127793</v>
      </c>
      <c r="AM18" s="87">
        <v>-36936.54</v>
      </c>
      <c r="AN18" s="87">
        <f t="shared" si="1"/>
        <v>-2333661.4500000002</v>
      </c>
    </row>
    <row r="19" spans="1:40" x14ac:dyDescent="0.2">
      <c r="A19">
        <f t="shared" si="4"/>
        <v>201610</v>
      </c>
      <c r="B19" s="87">
        <v>-15102976.359999999</v>
      </c>
      <c r="C19" s="87">
        <v>-17423835.890000001</v>
      </c>
      <c r="D19" s="87">
        <v>-5305530.1900000004</v>
      </c>
      <c r="E19" s="87">
        <v>-416509.37</v>
      </c>
      <c r="F19" s="87">
        <v>-76032.179999999993</v>
      </c>
      <c r="G19" s="87">
        <v>-1973240</v>
      </c>
      <c r="H19" s="91">
        <f t="shared" si="2"/>
        <v>-40298123.989999995</v>
      </c>
      <c r="J19">
        <f t="shared" si="5"/>
        <v>201610</v>
      </c>
      <c r="K19" s="87">
        <v>-7162127.8600000003</v>
      </c>
      <c r="L19" s="87">
        <v>-6788834.2000000002</v>
      </c>
      <c r="M19" s="87">
        <v>-3893250.11</v>
      </c>
      <c r="N19" s="87">
        <v>-211164.63</v>
      </c>
      <c r="O19" s="87">
        <v>-14358.24</v>
      </c>
      <c r="P19" s="87">
        <v>-1398962</v>
      </c>
      <c r="Q19" s="87">
        <v>-1108</v>
      </c>
      <c r="R19" s="87">
        <v>-1024.8599999999999</v>
      </c>
      <c r="S19" s="87">
        <v>-1522.73</v>
      </c>
      <c r="T19" s="87">
        <f t="shared" si="3"/>
        <v>-19472352.629999999</v>
      </c>
      <c r="V19">
        <f t="shared" si="6"/>
        <v>201610</v>
      </c>
      <c r="W19" s="87">
        <v>-4819539.3</v>
      </c>
      <c r="X19" s="87">
        <v>-2409231.13</v>
      </c>
      <c r="Y19" s="87">
        <v>-122148.74</v>
      </c>
      <c r="Z19" s="87">
        <v>0</v>
      </c>
      <c r="AA19" s="87">
        <v>-11149.39</v>
      </c>
      <c r="AB19" s="87">
        <v>-3292717</v>
      </c>
      <c r="AC19" s="87">
        <v>-327350.49</v>
      </c>
      <c r="AD19" s="87">
        <f t="shared" si="0"/>
        <v>-10982136.049999999</v>
      </c>
      <c r="AF19">
        <f t="shared" si="7"/>
        <v>201610</v>
      </c>
      <c r="AG19" s="87">
        <v>-2137251.19</v>
      </c>
      <c r="AH19" s="87">
        <v>-932024</v>
      </c>
      <c r="AI19" s="87">
        <v>-84932.24</v>
      </c>
      <c r="AJ19" s="87">
        <v>0</v>
      </c>
      <c r="AK19" s="87">
        <v>-1237.8</v>
      </c>
      <c r="AL19" s="87">
        <v>-1533873</v>
      </c>
      <c r="AM19" s="87">
        <v>-43536.33</v>
      </c>
      <c r="AN19" s="87">
        <f t="shared" si="1"/>
        <v>-4732854.5600000005</v>
      </c>
    </row>
    <row r="20" spans="1:40" x14ac:dyDescent="0.2">
      <c r="A20">
        <f t="shared" si="4"/>
        <v>201611</v>
      </c>
      <c r="B20" s="87">
        <v>-17426906.129999999</v>
      </c>
      <c r="C20" s="87">
        <v>-17189879.559999999</v>
      </c>
      <c r="D20" s="87">
        <v>-4439696.68</v>
      </c>
      <c r="E20" s="87">
        <v>-435172.26</v>
      </c>
      <c r="F20" s="87">
        <v>-72587.22</v>
      </c>
      <c r="G20" s="87">
        <v>-2377169</v>
      </c>
      <c r="H20" s="91">
        <f t="shared" si="2"/>
        <v>-41941410.849999994</v>
      </c>
      <c r="J20">
        <f t="shared" si="5"/>
        <v>201611</v>
      </c>
      <c r="K20" s="87">
        <v>-8307190.2000000002</v>
      </c>
      <c r="L20" s="87">
        <v>-6657475.4100000001</v>
      </c>
      <c r="M20" s="87">
        <v>-3734297.86</v>
      </c>
      <c r="N20" s="87">
        <v>-211092.02</v>
      </c>
      <c r="O20" s="87">
        <v>-16043.23</v>
      </c>
      <c r="P20" s="87">
        <v>-1304864</v>
      </c>
      <c r="Q20" s="87">
        <v>-1390.71</v>
      </c>
      <c r="R20" s="87">
        <v>-1434.87</v>
      </c>
      <c r="S20" s="87">
        <v>-2072.9</v>
      </c>
      <c r="T20" s="87">
        <f t="shared" si="3"/>
        <v>-20235861.199999999</v>
      </c>
      <c r="V20">
        <f t="shared" si="6"/>
        <v>201611</v>
      </c>
      <c r="W20" s="87">
        <v>-7568428.0599999996</v>
      </c>
      <c r="X20" s="87">
        <v>-3336290.06</v>
      </c>
      <c r="Y20" s="87">
        <v>-139195.23000000001</v>
      </c>
      <c r="Z20" s="87">
        <v>0</v>
      </c>
      <c r="AA20" s="87">
        <v>-18833.310000000001</v>
      </c>
      <c r="AB20" s="87">
        <v>-2875468</v>
      </c>
      <c r="AC20" s="87">
        <v>-387531.33</v>
      </c>
      <c r="AD20" s="87">
        <f t="shared" si="0"/>
        <v>-14325745.99</v>
      </c>
      <c r="AF20">
        <f t="shared" si="7"/>
        <v>201611</v>
      </c>
      <c r="AG20" s="87">
        <v>-3371177.68</v>
      </c>
      <c r="AH20" s="87">
        <v>-1414797.79</v>
      </c>
      <c r="AI20" s="87">
        <v>-107349.44</v>
      </c>
      <c r="AJ20" s="87">
        <v>0</v>
      </c>
      <c r="AK20" s="87">
        <v>-2367.62</v>
      </c>
      <c r="AL20" s="87">
        <v>-1047838</v>
      </c>
      <c r="AM20" s="87">
        <v>-32224.9</v>
      </c>
      <c r="AN20" s="87">
        <f t="shared" si="1"/>
        <v>-5975755.4300000016</v>
      </c>
    </row>
    <row r="21" spans="1:40" x14ac:dyDescent="0.2">
      <c r="A21">
        <f t="shared" si="4"/>
        <v>201612</v>
      </c>
      <c r="B21" s="87">
        <v>-25063697.649999999</v>
      </c>
      <c r="C21" s="87">
        <v>-18767459.530000001</v>
      </c>
      <c r="D21" s="87">
        <v>-5227049.58</v>
      </c>
      <c r="E21" s="87">
        <v>-422788.48</v>
      </c>
      <c r="F21" s="87">
        <v>-85470.01</v>
      </c>
      <c r="G21" s="87">
        <v>-4391805</v>
      </c>
      <c r="H21" s="91">
        <f t="shared" si="2"/>
        <v>-53958270.249999993</v>
      </c>
      <c r="J21">
        <f t="shared" si="5"/>
        <v>201612</v>
      </c>
      <c r="K21" s="87">
        <v>-12112746.529999999</v>
      </c>
      <c r="L21" s="87">
        <v>-7786683.4199999999</v>
      </c>
      <c r="M21" s="87">
        <v>-3496773.69</v>
      </c>
      <c r="N21" s="87">
        <v>-211505.74</v>
      </c>
      <c r="O21" s="87">
        <v>-23310.69</v>
      </c>
      <c r="P21" s="87">
        <v>-2270711</v>
      </c>
      <c r="Q21" s="87">
        <v>-2552.15</v>
      </c>
      <c r="R21" s="87">
        <v>-3421.18</v>
      </c>
      <c r="S21" s="87">
        <v>-4648.3599999999997</v>
      </c>
      <c r="T21" s="87">
        <f t="shared" si="3"/>
        <v>-25912352.759999998</v>
      </c>
      <c r="V21">
        <f t="shared" si="6"/>
        <v>201612</v>
      </c>
      <c r="W21" s="87">
        <v>-14051446.279999999</v>
      </c>
      <c r="X21" s="87">
        <v>-6697254.9500000002</v>
      </c>
      <c r="Y21" s="87">
        <v>-217201.12</v>
      </c>
      <c r="Z21" s="87">
        <v>0</v>
      </c>
      <c r="AA21" s="87">
        <v>-40492.800000000003</v>
      </c>
      <c r="AB21" s="87">
        <v>-6432058</v>
      </c>
      <c r="AC21" s="87">
        <v>-404133.54</v>
      </c>
      <c r="AD21" s="87">
        <f t="shared" si="0"/>
        <v>-27842586.690000001</v>
      </c>
      <c r="AF21">
        <f t="shared" si="7"/>
        <v>201612</v>
      </c>
      <c r="AG21" s="87">
        <v>-6049415.9100000001</v>
      </c>
      <c r="AH21" s="87">
        <v>-2498942.5299999998</v>
      </c>
      <c r="AI21" s="87">
        <v>-53155.8</v>
      </c>
      <c r="AJ21" s="87">
        <v>0</v>
      </c>
      <c r="AK21" s="87">
        <v>-3870.91</v>
      </c>
      <c r="AL21" s="87">
        <v>-2692972</v>
      </c>
      <c r="AM21" s="87">
        <v>-38251.25</v>
      </c>
      <c r="AN21" s="87">
        <f t="shared" si="1"/>
        <v>-11336608.4</v>
      </c>
    </row>
    <row r="22" spans="1:40" ht="13.5" thickBot="1" x14ac:dyDescent="0.25">
      <c r="B22" s="103">
        <f>SUM(B10:B21)</f>
        <v>-227836069.11000004</v>
      </c>
      <c r="C22" s="103">
        <f t="shared" ref="C22:H22" si="8">SUM(C10:C21)</f>
        <v>-216620304.13000003</v>
      </c>
      <c r="D22" s="103">
        <f t="shared" si="8"/>
        <v>-63048488.140000008</v>
      </c>
      <c r="E22" s="103">
        <f t="shared" si="8"/>
        <v>-5154750.7300000004</v>
      </c>
      <c r="F22" s="103">
        <f t="shared" si="8"/>
        <v>-945950.31</v>
      </c>
      <c r="G22" s="103">
        <f t="shared" si="8"/>
        <v>-3673833</v>
      </c>
      <c r="H22" s="103">
        <f t="shared" si="8"/>
        <v>-517279395.42000008</v>
      </c>
      <c r="K22" s="103">
        <f t="shared" ref="K22:T22" si="9">SUM(K10:K21)</f>
        <v>-108172439.96000001</v>
      </c>
      <c r="L22" s="103">
        <f t="shared" si="9"/>
        <v>-87172660.730000004</v>
      </c>
      <c r="M22" s="103">
        <f t="shared" si="9"/>
        <v>-44314285.359999999</v>
      </c>
      <c r="N22" s="103">
        <f t="shared" si="9"/>
        <v>-2507386.8099999996</v>
      </c>
      <c r="O22" s="103">
        <f t="shared" si="9"/>
        <v>-222525.77</v>
      </c>
      <c r="P22" s="103">
        <f t="shared" si="9"/>
        <v>-1232395</v>
      </c>
      <c r="Q22" s="103">
        <f t="shared" si="9"/>
        <v>-17295.82</v>
      </c>
      <c r="R22" s="103">
        <f t="shared" si="9"/>
        <v>-31277.55</v>
      </c>
      <c r="S22" s="103">
        <f t="shared" si="9"/>
        <v>-25446.79</v>
      </c>
      <c r="T22" s="103">
        <f t="shared" si="9"/>
        <v>-243695713.78999996</v>
      </c>
      <c r="W22" s="103">
        <f t="shared" ref="W22:AD22" si="10">SUM(W10:W21)</f>
        <v>-94232728.060000002</v>
      </c>
      <c r="X22" s="103">
        <f t="shared" si="10"/>
        <v>-46086953.710000008</v>
      </c>
      <c r="Y22" s="103">
        <f t="shared" si="10"/>
        <v>-1791919.96</v>
      </c>
      <c r="Z22" s="103">
        <f t="shared" si="10"/>
        <v>0</v>
      </c>
      <c r="AA22" s="103">
        <f t="shared" si="10"/>
        <v>-244680.97999999998</v>
      </c>
      <c r="AB22" s="103">
        <f t="shared" si="10"/>
        <v>-3741237</v>
      </c>
      <c r="AC22" s="103">
        <f t="shared" si="10"/>
        <v>-4595205.580000001</v>
      </c>
      <c r="AD22" s="103">
        <f t="shared" si="10"/>
        <v>-150692725.29000002</v>
      </c>
      <c r="AG22" s="103">
        <f t="shared" ref="AG22:AN22" si="11">SUM(AG10:AG21)</f>
        <v>-40498769.870000005</v>
      </c>
      <c r="AH22" s="103">
        <f t="shared" si="11"/>
        <v>-18215576.720000003</v>
      </c>
      <c r="AI22" s="103">
        <f t="shared" si="11"/>
        <v>-1157572.54</v>
      </c>
      <c r="AJ22" s="103">
        <f t="shared" si="11"/>
        <v>0</v>
      </c>
      <c r="AK22" s="103">
        <f t="shared" si="11"/>
        <v>-29913.349999999995</v>
      </c>
      <c r="AL22" s="103">
        <f t="shared" si="11"/>
        <v>-1281903</v>
      </c>
      <c r="AM22" s="103">
        <f t="shared" si="11"/>
        <v>-486139.97000000003</v>
      </c>
      <c r="AN22" s="103">
        <f t="shared" si="11"/>
        <v>-61669875.450000003</v>
      </c>
    </row>
    <row r="23" spans="1:40" s="94" customFormat="1" x14ac:dyDescent="0.2">
      <c r="H23" s="90" t="s">
        <v>72</v>
      </c>
      <c r="T23" s="90" t="s">
        <v>72</v>
      </c>
      <c r="AD23" s="90" t="s">
        <v>72</v>
      </c>
      <c r="AN23" s="90" t="s">
        <v>72</v>
      </c>
    </row>
  </sheetData>
  <pageMargins left="0.7" right="0.7" top="0.75" bottom="0.75" header="0.3" footer="0.3"/>
  <pageSetup scale="99" orientation="landscape" r:id="rId1"/>
  <headerFooter>
    <oddFooter>&amp;LStaff_DR_034-Attachment A&amp;RPage &amp;P of &amp;N</oddFooter>
  </headerFooter>
  <colBreaks count="3" manualBreakCount="3">
    <brk id="8" max="1048575" man="1"/>
    <brk id="20" max="1048575" man="1"/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5"/>
  <sheetViews>
    <sheetView tabSelected="1" zoomScaleNormal="100" workbookViewId="0">
      <selection activeCell="H10" sqref="H10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9.7109375" style="2" customWidth="1"/>
    <col min="4" max="4" width="15.140625" style="2" customWidth="1"/>
    <col min="5" max="5" width="12" style="2" customWidth="1"/>
    <col min="6" max="9" width="9.140625" style="2"/>
    <col min="10" max="10" width="9.42578125" style="2" customWidth="1"/>
    <col min="11" max="16384" width="9.140625" style="2"/>
  </cols>
  <sheetData>
    <row r="1" spans="1:11" s="20" customFormat="1" x14ac:dyDescent="0.2">
      <c r="A1" s="18" t="str">
        <f>SharedInputs!B4</f>
        <v>AVISTA UTILITIES</v>
      </c>
      <c r="B1" s="18"/>
      <c r="C1" s="18"/>
      <c r="D1" s="18"/>
      <c r="E1" s="19"/>
      <c r="F1" s="18"/>
    </row>
    <row r="2" spans="1:11" s="20" customFormat="1" x14ac:dyDescent="0.2">
      <c r="A2" s="18" t="s">
        <v>56</v>
      </c>
      <c r="B2" s="18"/>
      <c r="C2" s="18"/>
      <c r="D2" s="18"/>
      <c r="E2" s="21"/>
      <c r="F2" s="18"/>
    </row>
    <row r="3" spans="1:11" s="20" customFormat="1" x14ac:dyDescent="0.2">
      <c r="A3" s="18" t="str">
        <f>SharedInputs!B2</f>
        <v>TWELVE MONTHS ENDED DECEMBER 31, 2016</v>
      </c>
      <c r="B3" s="18"/>
      <c r="C3" s="18"/>
      <c r="D3" s="18"/>
      <c r="E3" s="18"/>
      <c r="F3" s="18"/>
    </row>
    <row r="4" spans="1:11" x14ac:dyDescent="0.2">
      <c r="A4" s="1"/>
      <c r="B4" s="1"/>
      <c r="C4" s="1"/>
      <c r="E4" s="1"/>
      <c r="F4" s="1"/>
    </row>
    <row r="5" spans="1:11" x14ac:dyDescent="0.2">
      <c r="A5" s="1" t="s">
        <v>0</v>
      </c>
      <c r="B5" s="1"/>
      <c r="C5" s="1"/>
      <c r="E5" s="1">
        <v>1</v>
      </c>
      <c r="F5" s="1"/>
    </row>
    <row r="6" spans="1:11" x14ac:dyDescent="0.2">
      <c r="A6" s="1"/>
      <c r="B6" s="1"/>
      <c r="C6" s="1"/>
      <c r="E6" s="1"/>
      <c r="F6" s="1"/>
    </row>
    <row r="7" spans="1:11" x14ac:dyDescent="0.2">
      <c r="A7" s="1" t="s">
        <v>1</v>
      </c>
      <c r="B7" s="1"/>
      <c r="C7" s="1"/>
      <c r="E7" s="1"/>
      <c r="F7" s="1"/>
    </row>
    <row r="8" spans="1:11" x14ac:dyDescent="0.2">
      <c r="A8" s="1"/>
      <c r="B8" s="1"/>
      <c r="C8" s="1"/>
      <c r="E8" s="1"/>
      <c r="F8" s="1"/>
    </row>
    <row r="9" spans="1:11" x14ac:dyDescent="0.2">
      <c r="A9" s="1" t="s">
        <v>2</v>
      </c>
      <c r="B9" s="1"/>
      <c r="C9" s="1"/>
      <c r="E9" s="1">
        <f>E30</f>
        <v>6.1828076488528987E-3</v>
      </c>
      <c r="F9" s="1"/>
    </row>
    <row r="10" spans="1:11" x14ac:dyDescent="0.2">
      <c r="A10" s="1"/>
      <c r="B10" s="1"/>
      <c r="C10" s="1"/>
      <c r="E10" s="1"/>
      <c r="F10" s="1"/>
    </row>
    <row r="11" spans="1:11" x14ac:dyDescent="0.2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">
      <c r="A12" s="1"/>
      <c r="B12" s="1"/>
      <c r="C12" s="1"/>
      <c r="E12" s="1"/>
      <c r="F12" s="1"/>
    </row>
    <row r="13" spans="1:11" x14ac:dyDescent="0.2">
      <c r="A13" s="1" t="s">
        <v>4</v>
      </c>
      <c r="B13" s="1"/>
      <c r="C13" s="1"/>
      <c r="E13" s="1">
        <f>E43</f>
        <v>3.8494515128529326E-2</v>
      </c>
      <c r="F13" s="1"/>
    </row>
    <row r="14" spans="1:11" x14ac:dyDescent="0.2">
      <c r="A14" s="1"/>
      <c r="B14" s="1"/>
      <c r="C14" s="1"/>
      <c r="E14" s="1"/>
      <c r="F14" s="1"/>
    </row>
    <row r="15" spans="1:11" x14ac:dyDescent="0.2">
      <c r="A15" s="1"/>
      <c r="B15" s="1"/>
      <c r="C15" s="1"/>
      <c r="E15" s="1"/>
    </row>
    <row r="16" spans="1:11" x14ac:dyDescent="0.2">
      <c r="A16" s="1" t="s">
        <v>5</v>
      </c>
      <c r="B16" s="1"/>
      <c r="C16" s="1"/>
      <c r="E16" s="3">
        <f>SUM(E8:E14)</f>
        <v>4.6677322777382221E-2</v>
      </c>
      <c r="F16" s="1"/>
      <c r="K16" s="44"/>
    </row>
    <row r="17" spans="1:6" x14ac:dyDescent="0.2">
      <c r="A17" s="1"/>
      <c r="B17" s="1"/>
      <c r="C17" s="1"/>
      <c r="E17" s="1"/>
    </row>
    <row r="18" spans="1:6" x14ac:dyDescent="0.2">
      <c r="A18" s="1" t="s">
        <v>6</v>
      </c>
      <c r="B18" s="1"/>
      <c r="C18" s="1"/>
      <c r="E18" s="1">
        <f>E5-E16</f>
        <v>0.95332267722261776</v>
      </c>
      <c r="F18" s="1"/>
    </row>
    <row r="19" spans="1:6" x14ac:dyDescent="0.2">
      <c r="A19" s="1"/>
      <c r="B19" s="1"/>
      <c r="C19" s="1"/>
      <c r="E19" s="1"/>
      <c r="F19" s="1"/>
    </row>
    <row r="20" spans="1:6" x14ac:dyDescent="0.2">
      <c r="A20" s="1" t="s">
        <v>7</v>
      </c>
      <c r="B20" s="4">
        <f>SharedInputs!B10</f>
        <v>0.35</v>
      </c>
      <c r="C20" s="53" t="s">
        <v>81</v>
      </c>
      <c r="E20" s="1">
        <f>E18*$B$20</f>
        <v>0.33366293702791622</v>
      </c>
      <c r="F20" s="1"/>
    </row>
    <row r="21" spans="1:6" x14ac:dyDescent="0.2">
      <c r="A21" s="1"/>
      <c r="B21" s="1"/>
      <c r="C21" s="1"/>
      <c r="E21" s="1"/>
      <c r="F21" s="1"/>
    </row>
    <row r="22" spans="1:6" x14ac:dyDescent="0.2">
      <c r="A22" s="1" t="s">
        <v>8</v>
      </c>
      <c r="B22" s="1"/>
      <c r="C22" s="1"/>
      <c r="E22" s="3">
        <f>E18-E20</f>
        <v>0.61965974019470149</v>
      </c>
      <c r="F22" s="1"/>
    </row>
    <row r="23" spans="1:6" x14ac:dyDescent="0.2">
      <c r="A23" s="1"/>
      <c r="B23" s="1"/>
      <c r="C23" s="1"/>
      <c r="E23" s="1"/>
      <c r="F23" s="1"/>
    </row>
    <row r="24" spans="1:6" x14ac:dyDescent="0.2">
      <c r="A24" s="1"/>
      <c r="B24" s="1"/>
      <c r="C24" s="1"/>
      <c r="E24" s="1"/>
      <c r="F24" s="1"/>
    </row>
    <row r="25" spans="1:6" x14ac:dyDescent="0.2">
      <c r="A25" s="1" t="s">
        <v>9</v>
      </c>
      <c r="B25" s="1"/>
      <c r="C25" s="1"/>
      <c r="E25" s="1"/>
      <c r="F25" s="1"/>
    </row>
    <row r="26" spans="1:6" x14ac:dyDescent="0.2">
      <c r="A26" s="1" t="s">
        <v>10</v>
      </c>
      <c r="B26" s="1"/>
      <c r="C26" s="1"/>
      <c r="E26" s="1"/>
      <c r="F26" s="1"/>
    </row>
    <row r="27" spans="1:6" x14ac:dyDescent="0.2">
      <c r="A27" s="1" t="s">
        <v>11</v>
      </c>
      <c r="B27" s="1"/>
      <c r="C27" s="51" t="s">
        <v>72</v>
      </c>
      <c r="D27" s="14">
        <f>'C-UE-1'!E11</f>
        <v>3198239</v>
      </c>
      <c r="E27" s="5"/>
      <c r="F27" s="1"/>
    </row>
    <row r="28" spans="1:6" x14ac:dyDescent="0.2">
      <c r="A28" s="1" t="s">
        <v>12</v>
      </c>
      <c r="B28" s="1"/>
      <c r="C28" s="1"/>
      <c r="D28" s="14"/>
      <c r="E28" s="5"/>
      <c r="F28" s="1"/>
    </row>
    <row r="29" spans="1:6" x14ac:dyDescent="0.2">
      <c r="A29" s="1" t="s">
        <v>13</v>
      </c>
      <c r="B29" s="1"/>
      <c r="C29" s="51" t="s">
        <v>81</v>
      </c>
      <c r="D29" s="52">
        <f>SharedInputs!B13</f>
        <v>517279395</v>
      </c>
      <c r="E29" s="5"/>
      <c r="F29" s="1"/>
    </row>
    <row r="30" spans="1:6" x14ac:dyDescent="0.2">
      <c r="A30" s="1" t="s">
        <v>14</v>
      </c>
      <c r="B30" s="1"/>
      <c r="C30" s="1"/>
      <c r="E30" s="3">
        <f>D27/D29</f>
        <v>6.1828076488528987E-3</v>
      </c>
      <c r="F30" s="1"/>
    </row>
    <row r="31" spans="1:6" x14ac:dyDescent="0.2">
      <c r="A31" s="1" t="s">
        <v>15</v>
      </c>
      <c r="B31" s="1"/>
      <c r="C31" s="1"/>
      <c r="E31" s="1"/>
      <c r="F31" s="1"/>
    </row>
    <row r="32" spans="1:6" x14ac:dyDescent="0.2">
      <c r="A32" s="1" t="s">
        <v>16</v>
      </c>
      <c r="B32" s="1"/>
      <c r="E32" s="1"/>
      <c r="F32" s="1"/>
    </row>
    <row r="33" spans="1:6" x14ac:dyDescent="0.2">
      <c r="A33" s="1"/>
      <c r="B33" s="1"/>
      <c r="C33" s="1"/>
      <c r="E33" s="1"/>
      <c r="F33" s="1"/>
    </row>
    <row r="34" spans="1:6" s="34" customFormat="1" ht="24" customHeight="1" x14ac:dyDescent="0.2">
      <c r="A34" s="105" t="str">
        <f>SharedInputs!C7</f>
        <v>(2) WUTC fees rate per Regulatory Fee Calculation Schedule, Annual Report Year 2016 - Order No. A 140166 dated 02/23/2017</v>
      </c>
      <c r="B34" s="105"/>
      <c r="C34" s="105"/>
      <c r="D34" s="105"/>
      <c r="E34" s="105"/>
      <c r="F34" s="48"/>
    </row>
    <row r="35" spans="1:6" x14ac:dyDescent="0.2">
      <c r="A35" s="1"/>
      <c r="B35" s="1"/>
      <c r="C35" s="1"/>
      <c r="E35" s="1"/>
      <c r="F35" s="1"/>
    </row>
    <row r="36" spans="1:6" x14ac:dyDescent="0.2">
      <c r="A36" s="1" t="s">
        <v>17</v>
      </c>
      <c r="B36" s="1"/>
      <c r="C36" s="1"/>
      <c r="E36" s="1"/>
      <c r="F36" s="1"/>
    </row>
    <row r="37" spans="1:6" x14ac:dyDescent="0.2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">
      <c r="A38" s="1" t="s">
        <v>19</v>
      </c>
      <c r="B38" s="1"/>
      <c r="C38" s="1"/>
      <c r="D38" s="1"/>
      <c r="E38" s="1"/>
      <c r="F38" s="1"/>
    </row>
    <row r="39" spans="1:6" x14ac:dyDescent="0.2">
      <c r="A39" s="1" t="s">
        <v>20</v>
      </c>
      <c r="B39" s="1"/>
      <c r="C39" s="1"/>
      <c r="D39" s="1"/>
      <c r="E39" s="1"/>
      <c r="F39" s="1"/>
    </row>
    <row r="40" spans="1:6" x14ac:dyDescent="0.2">
      <c r="A40" s="1" t="s">
        <v>21</v>
      </c>
      <c r="C40" s="1">
        <v>1</v>
      </c>
      <c r="D40" s="1"/>
      <c r="E40" s="1"/>
      <c r="F40" s="1"/>
    </row>
    <row r="41" spans="1:6" x14ac:dyDescent="0.2">
      <c r="A41" s="1" t="s">
        <v>22</v>
      </c>
      <c r="C41" s="1"/>
      <c r="D41" s="1"/>
      <c r="E41" s="1"/>
      <c r="F41" s="1"/>
    </row>
    <row r="42" spans="1:6" x14ac:dyDescent="0.2">
      <c r="A42" s="1" t="s">
        <v>23</v>
      </c>
      <c r="C42" s="6">
        <f>E30</f>
        <v>6.1828076488528987E-3</v>
      </c>
      <c r="D42" s="6">
        <f>C40-C42</f>
        <v>0.99381719235114707</v>
      </c>
      <c r="E42" s="6"/>
      <c r="F42" s="1"/>
    </row>
    <row r="43" spans="1:6" x14ac:dyDescent="0.2">
      <c r="A43" s="1" t="s">
        <v>24</v>
      </c>
      <c r="B43" s="1"/>
      <c r="C43" s="1"/>
      <c r="D43" s="1"/>
      <c r="E43" s="6">
        <f>D37*D42</f>
        <v>3.8494515128529326E-2</v>
      </c>
      <c r="F43" s="1"/>
    </row>
    <row r="44" spans="1:6" x14ac:dyDescent="0.2">
      <c r="A44" s="1" t="s">
        <v>25</v>
      </c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&amp;LStaff_DR_034-Attachment 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zoomScaleNormal="100" workbookViewId="0">
      <selection activeCell="H10" sqref="H10"/>
    </sheetView>
  </sheetViews>
  <sheetFormatPr defaultColWidth="9.140625" defaultRowHeight="12.75" x14ac:dyDescent="0.2"/>
  <cols>
    <col min="1" max="1" width="30.85546875" style="2" customWidth="1"/>
    <col min="2" max="3" width="9.140625" style="2" customWidth="1"/>
    <col min="4" max="4" width="16.5703125" style="2" customWidth="1"/>
    <col min="5" max="5" width="16.140625" style="2" customWidth="1"/>
    <col min="6" max="9" width="9.140625" style="2"/>
    <col min="10" max="10" width="9.42578125" style="2" customWidth="1"/>
    <col min="11" max="16384" width="9.140625" style="2"/>
  </cols>
  <sheetData>
    <row r="1" spans="1:11" s="20" customFormat="1" x14ac:dyDescent="0.2">
      <c r="A1" s="24" t="str">
        <f>SharedInputs!B4</f>
        <v>AVISTA UTILITIES</v>
      </c>
      <c r="B1" s="18"/>
      <c r="C1" s="18"/>
      <c r="D1" s="18"/>
      <c r="E1" s="19"/>
    </row>
    <row r="2" spans="1:11" s="20" customFormat="1" x14ac:dyDescent="0.2">
      <c r="A2" s="18" t="s">
        <v>57</v>
      </c>
      <c r="B2" s="18"/>
      <c r="C2" s="18"/>
      <c r="E2" s="21"/>
    </row>
    <row r="3" spans="1:11" s="20" customFormat="1" x14ac:dyDescent="0.2">
      <c r="A3" s="22" t="str">
        <f>SharedInputs!B2</f>
        <v>TWELVE MONTHS ENDED DECEMBER 31, 2016</v>
      </c>
      <c r="B3" s="18"/>
      <c r="C3" s="18"/>
      <c r="D3" s="18"/>
      <c r="E3" s="18"/>
    </row>
    <row r="4" spans="1:11" x14ac:dyDescent="0.2">
      <c r="A4" s="1"/>
      <c r="B4" s="1"/>
      <c r="C4" s="1"/>
      <c r="D4" s="1"/>
      <c r="E4" s="1"/>
    </row>
    <row r="5" spans="1:11" x14ac:dyDescent="0.2">
      <c r="A5" s="1" t="s">
        <v>26</v>
      </c>
      <c r="B5" s="1"/>
      <c r="C5" s="1"/>
      <c r="D5" s="1"/>
      <c r="E5" s="1">
        <v>1</v>
      </c>
    </row>
    <row r="6" spans="1:11" x14ac:dyDescent="0.2">
      <c r="A6" s="1"/>
      <c r="B6" s="1"/>
      <c r="C6" s="1"/>
      <c r="D6" s="1"/>
      <c r="E6" s="1"/>
    </row>
    <row r="7" spans="1:11" x14ac:dyDescent="0.2">
      <c r="A7" s="1" t="s">
        <v>1</v>
      </c>
      <c r="B7" s="1"/>
      <c r="C7" s="1"/>
      <c r="D7" s="1"/>
      <c r="E7" s="1"/>
    </row>
    <row r="8" spans="1:11" x14ac:dyDescent="0.2">
      <c r="A8" s="1"/>
      <c r="B8" s="1"/>
      <c r="C8" s="1"/>
      <c r="D8" s="1"/>
      <c r="E8" s="1"/>
    </row>
    <row r="9" spans="1:11" x14ac:dyDescent="0.2">
      <c r="A9" s="1" t="s">
        <v>2</v>
      </c>
      <c r="B9" s="1"/>
      <c r="C9" s="1"/>
      <c r="D9" s="1"/>
      <c r="E9" s="1">
        <f>E29</f>
        <v>6.1828996311341531E-3</v>
      </c>
    </row>
    <row r="10" spans="1:11" x14ac:dyDescent="0.2">
      <c r="A10" s="1"/>
      <c r="B10" s="1"/>
      <c r="C10" s="1"/>
      <c r="D10" s="1"/>
      <c r="E10" s="1"/>
    </row>
    <row r="11" spans="1:11" x14ac:dyDescent="0.2">
      <c r="A11" s="1" t="s">
        <v>27</v>
      </c>
      <c r="B11" s="1"/>
      <c r="C11" s="1"/>
      <c r="D11" s="1"/>
      <c r="E11" s="15">
        <f>SharedInputs!B7</f>
        <v>2E-3</v>
      </c>
    </row>
    <row r="12" spans="1:11" x14ac:dyDescent="0.2">
      <c r="A12" s="1"/>
      <c r="B12" s="1"/>
      <c r="C12" s="1"/>
      <c r="D12" s="1"/>
      <c r="E12" s="1"/>
    </row>
    <row r="13" spans="1:11" x14ac:dyDescent="0.2">
      <c r="A13" s="1" t="s">
        <v>4</v>
      </c>
      <c r="B13" s="1"/>
      <c r="C13" s="1"/>
      <c r="D13" s="1"/>
      <c r="E13" s="1">
        <f>E41</f>
        <v>3.828183470620871E-2</v>
      </c>
    </row>
    <row r="14" spans="1:11" x14ac:dyDescent="0.2">
      <c r="A14" s="1"/>
      <c r="B14" s="1"/>
      <c r="C14" s="1"/>
      <c r="D14" s="1"/>
      <c r="E14" s="1"/>
    </row>
    <row r="15" spans="1:11" x14ac:dyDescent="0.2">
      <c r="A15" s="1"/>
      <c r="B15" s="1"/>
      <c r="C15" s="1"/>
      <c r="D15" s="1"/>
    </row>
    <row r="16" spans="1:11" x14ac:dyDescent="0.2">
      <c r="A16" s="1" t="s">
        <v>5</v>
      </c>
      <c r="B16" s="1"/>
      <c r="C16" s="1"/>
      <c r="D16" s="1"/>
      <c r="E16" s="3">
        <f>SUM(E8:E14)</f>
        <v>4.6464734337342863E-2</v>
      </c>
      <c r="K16" s="44"/>
    </row>
    <row r="17" spans="1:5" x14ac:dyDescent="0.2">
      <c r="A17" s="1"/>
      <c r="B17" s="1"/>
      <c r="C17" s="1"/>
      <c r="D17" s="1"/>
      <c r="E17" s="1"/>
    </row>
    <row r="18" spans="1:5" x14ac:dyDescent="0.2">
      <c r="A18" s="1" t="s">
        <v>6</v>
      </c>
      <c r="C18" s="1"/>
      <c r="D18" s="1"/>
      <c r="E18" s="1">
        <f>E5-E16</f>
        <v>0.95353526566265712</v>
      </c>
    </row>
    <row r="19" spans="1:5" x14ac:dyDescent="0.2">
      <c r="A19" s="1"/>
      <c r="B19" s="1"/>
      <c r="C19" s="1"/>
      <c r="D19" s="1"/>
      <c r="E19" s="1"/>
    </row>
    <row r="20" spans="1:5" x14ac:dyDescent="0.2">
      <c r="A20" s="1" t="s">
        <v>7</v>
      </c>
      <c r="B20" s="16">
        <f>SharedInputs!B10</f>
        <v>0.35</v>
      </c>
      <c r="C20" s="53" t="s">
        <v>81</v>
      </c>
      <c r="D20" s="1"/>
      <c r="E20" s="1">
        <f>E18*$B$20</f>
        <v>0.33373734298192997</v>
      </c>
    </row>
    <row r="21" spans="1:5" x14ac:dyDescent="0.2">
      <c r="A21" s="1"/>
      <c r="B21" s="1"/>
      <c r="C21" s="1"/>
      <c r="E21" s="1"/>
    </row>
    <row r="22" spans="1:5" x14ac:dyDescent="0.2">
      <c r="A22" s="1" t="s">
        <v>8</v>
      </c>
      <c r="B22" s="1"/>
      <c r="C22" s="1"/>
      <c r="E22" s="3">
        <f>E18-E20</f>
        <v>0.61979792268072709</v>
      </c>
    </row>
    <row r="23" spans="1:5" x14ac:dyDescent="0.2">
      <c r="A23" s="1"/>
      <c r="B23" s="1"/>
      <c r="C23" s="1"/>
      <c r="E23" s="1"/>
    </row>
    <row r="24" spans="1:5" x14ac:dyDescent="0.2">
      <c r="A24" s="1" t="s">
        <v>9</v>
      </c>
      <c r="B24" s="1"/>
      <c r="C24" s="1"/>
      <c r="E24" s="1"/>
    </row>
    <row r="25" spans="1:5" x14ac:dyDescent="0.2">
      <c r="A25" s="1" t="s">
        <v>28</v>
      </c>
      <c r="B25" s="1"/>
      <c r="C25" s="1"/>
      <c r="E25" s="1"/>
    </row>
    <row r="26" spans="1:5" x14ac:dyDescent="0.2">
      <c r="A26" s="1" t="s">
        <v>11</v>
      </c>
      <c r="B26" s="1"/>
      <c r="C26" s="51" t="s">
        <v>72</v>
      </c>
      <c r="D26" s="14">
        <f>'C-UE-1'!E21</f>
        <v>931718</v>
      </c>
      <c r="E26" s="1"/>
    </row>
    <row r="27" spans="1:5" x14ac:dyDescent="0.2">
      <c r="A27" s="1" t="s">
        <v>12</v>
      </c>
      <c r="B27" s="1"/>
      <c r="C27" s="1"/>
      <c r="D27" s="17"/>
      <c r="E27" s="1"/>
    </row>
    <row r="28" spans="1:5" x14ac:dyDescent="0.2">
      <c r="A28" s="1" t="s">
        <v>29</v>
      </c>
      <c r="B28" s="1"/>
      <c r="C28" s="51" t="s">
        <v>81</v>
      </c>
      <c r="D28" s="52">
        <f>SharedInputs!C13</f>
        <v>150692726</v>
      </c>
      <c r="E28" s="1"/>
    </row>
    <row r="29" spans="1:5" x14ac:dyDescent="0.2">
      <c r="A29" s="1" t="s">
        <v>14</v>
      </c>
      <c r="B29" s="1"/>
      <c r="C29" s="1"/>
      <c r="E29" s="3">
        <f>D26/D28</f>
        <v>6.1828996311341531E-3</v>
      </c>
    </row>
    <row r="30" spans="1:5" x14ac:dyDescent="0.2">
      <c r="A30" s="1" t="s">
        <v>30</v>
      </c>
      <c r="B30" s="1"/>
      <c r="C30" s="1"/>
      <c r="E30" s="1"/>
    </row>
    <row r="31" spans="1:5" x14ac:dyDescent="0.2">
      <c r="A31" s="1" t="s">
        <v>31</v>
      </c>
      <c r="B31" s="1"/>
      <c r="C31" s="1"/>
      <c r="E31" s="1"/>
    </row>
    <row r="32" spans="1:5" x14ac:dyDescent="0.2">
      <c r="A32" s="1"/>
      <c r="B32" s="1"/>
      <c r="E32" s="1"/>
    </row>
    <row r="33" spans="1:5" s="34" customFormat="1" x14ac:dyDescent="0.2">
      <c r="A33" s="105" t="str">
        <f>SharedInputs!C7</f>
        <v>(2) WUTC fees rate per Regulatory Fee Calculation Schedule, Annual Report Year 2016 - Order No. A 140166 dated 02/23/2017</v>
      </c>
      <c r="B33" s="105"/>
      <c r="C33" s="105"/>
      <c r="D33" s="105"/>
      <c r="E33" s="105"/>
    </row>
    <row r="34" spans="1:5" x14ac:dyDescent="0.2">
      <c r="A34" s="1"/>
      <c r="B34" s="1"/>
      <c r="C34" s="1"/>
      <c r="E34" s="1"/>
    </row>
    <row r="35" spans="1:5" x14ac:dyDescent="0.2">
      <c r="A35" s="1" t="s">
        <v>32</v>
      </c>
      <c r="B35" s="1"/>
      <c r="C35" s="1"/>
      <c r="E35" s="1"/>
    </row>
    <row r="36" spans="1:5" x14ac:dyDescent="0.2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">
      <c r="A37" s="1" t="s">
        <v>19</v>
      </c>
      <c r="B37" s="1"/>
      <c r="C37" s="1"/>
      <c r="D37" s="1"/>
      <c r="E37" s="1"/>
    </row>
    <row r="38" spans="1:5" x14ac:dyDescent="0.2">
      <c r="A38" s="1" t="s">
        <v>20</v>
      </c>
      <c r="B38" s="1"/>
      <c r="C38" s="1"/>
      <c r="D38" s="1"/>
      <c r="E38" s="1"/>
    </row>
    <row r="39" spans="1:5" x14ac:dyDescent="0.2">
      <c r="A39" s="1" t="s">
        <v>21</v>
      </c>
      <c r="C39" s="1">
        <v>1</v>
      </c>
      <c r="D39" s="1"/>
      <c r="E39" s="1"/>
    </row>
    <row r="40" spans="1:5" x14ac:dyDescent="0.2">
      <c r="A40" s="1" t="s">
        <v>34</v>
      </c>
      <c r="C40" s="6">
        <f>E29</f>
        <v>6.1828996311341531E-3</v>
      </c>
      <c r="D40" s="6">
        <f>C39-C40</f>
        <v>0.99381710036886584</v>
      </c>
      <c r="E40" s="6"/>
    </row>
    <row r="41" spans="1:5" x14ac:dyDescent="0.2">
      <c r="A41" s="1" t="s">
        <v>24</v>
      </c>
      <c r="B41" s="1"/>
      <c r="C41" s="1"/>
      <c r="D41" s="1"/>
      <c r="E41" s="6">
        <f>D36*D40</f>
        <v>3.828183470620871E-2</v>
      </c>
    </row>
    <row r="42" spans="1:5" x14ac:dyDescent="0.2">
      <c r="A42" s="1" t="s">
        <v>25</v>
      </c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r:id="rId1"/>
  <headerFooter alignWithMargins="0">
    <oddHeader xml:space="preserve">&amp;RAdjustment No. _______
Workpaper Ref. &amp;A
</oddHeader>
    <oddFooter>&amp;LStaff_DR_034-Attachment 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topLeftCell="A2" zoomScaleNormal="100" workbookViewId="0">
      <selection activeCell="B14" sqref="B14:E14"/>
    </sheetView>
  </sheetViews>
  <sheetFormatPr defaultColWidth="9.140625" defaultRowHeight="12.75" x14ac:dyDescent="0.2"/>
  <cols>
    <col min="1" max="1" width="24.5703125" style="2" customWidth="1"/>
    <col min="2" max="5" width="11.7109375" style="2" customWidth="1"/>
    <col min="6" max="6" width="10.140625" style="2" bestFit="1" customWidth="1"/>
    <col min="7" max="9" width="9.140625" style="2"/>
    <col min="10" max="10" width="9.42578125" style="2" customWidth="1"/>
    <col min="11" max="11" width="15.28515625" style="2" customWidth="1"/>
    <col min="12" max="12" width="12.42578125" style="34" customWidth="1"/>
    <col min="13" max="13" width="13" style="2" customWidth="1"/>
    <col min="14" max="16384" width="9.140625" style="2"/>
  </cols>
  <sheetData>
    <row r="1" spans="1:13" x14ac:dyDescent="0.2">
      <c r="K1" s="36" t="s">
        <v>59</v>
      </c>
    </row>
    <row r="2" spans="1:13" x14ac:dyDescent="0.2">
      <c r="A2" s="2" t="s">
        <v>48</v>
      </c>
      <c r="B2" s="31" t="s">
        <v>79</v>
      </c>
      <c r="C2" s="25"/>
      <c r="F2" s="34"/>
      <c r="G2" s="34"/>
      <c r="H2" s="34"/>
      <c r="K2" s="46" t="s">
        <v>77</v>
      </c>
    </row>
    <row r="3" spans="1:13" x14ac:dyDescent="0.2">
      <c r="B3" s="25"/>
      <c r="C3" s="25"/>
      <c r="K3" s="50"/>
    </row>
    <row r="4" spans="1:13" x14ac:dyDescent="0.2">
      <c r="A4" s="2" t="s">
        <v>54</v>
      </c>
      <c r="B4" s="32" t="s">
        <v>55</v>
      </c>
      <c r="K4" s="50"/>
    </row>
    <row r="5" spans="1:13" x14ac:dyDescent="0.2">
      <c r="B5" s="25"/>
      <c r="C5" s="25"/>
      <c r="K5" s="50"/>
    </row>
    <row r="6" spans="1:13" x14ac:dyDescent="0.2">
      <c r="A6" s="1" t="s">
        <v>66</v>
      </c>
      <c r="B6" s="25"/>
      <c r="C6" s="25"/>
      <c r="K6" s="50"/>
    </row>
    <row r="7" spans="1:13" ht="27" customHeight="1" x14ac:dyDescent="0.2">
      <c r="A7" s="38" t="s">
        <v>49</v>
      </c>
      <c r="B7" s="31">
        <v>2E-3</v>
      </c>
      <c r="C7" s="115" t="s">
        <v>87</v>
      </c>
      <c r="D7" s="115"/>
      <c r="E7" s="115"/>
      <c r="F7" s="115"/>
      <c r="G7" s="115"/>
      <c r="H7" s="115"/>
      <c r="I7" s="115"/>
      <c r="J7" s="115"/>
      <c r="K7" s="47" t="s">
        <v>80</v>
      </c>
      <c r="L7" s="41"/>
    </row>
    <row r="8" spans="1:13" ht="27" customHeight="1" x14ac:dyDescent="0.2">
      <c r="A8" s="38" t="s">
        <v>50</v>
      </c>
      <c r="B8" s="49">
        <v>2.2750000000000001E-3</v>
      </c>
      <c r="C8" s="116" t="s">
        <v>86</v>
      </c>
      <c r="D8" s="116"/>
      <c r="E8" s="116"/>
      <c r="F8" s="116"/>
      <c r="G8" s="116"/>
      <c r="H8" s="116"/>
      <c r="I8" s="116"/>
      <c r="J8" s="116"/>
      <c r="K8" s="46" t="s">
        <v>84</v>
      </c>
    </row>
    <row r="9" spans="1:13" x14ac:dyDescent="0.2">
      <c r="B9" s="25"/>
      <c r="C9" s="2" t="s">
        <v>70</v>
      </c>
      <c r="K9" s="13"/>
    </row>
    <row r="10" spans="1:13" x14ac:dyDescent="0.2">
      <c r="A10" s="1" t="s">
        <v>67</v>
      </c>
      <c r="B10" s="35">
        <v>0.35</v>
      </c>
      <c r="K10" s="13"/>
    </row>
    <row r="11" spans="1:13" x14ac:dyDescent="0.2">
      <c r="K11" s="13"/>
    </row>
    <row r="12" spans="1:13" x14ac:dyDescent="0.2">
      <c r="B12" s="13" t="s">
        <v>51</v>
      </c>
      <c r="C12" s="13" t="s">
        <v>52</v>
      </c>
      <c r="D12" s="13" t="s">
        <v>53</v>
      </c>
      <c r="E12" s="13" t="s">
        <v>58</v>
      </c>
      <c r="F12" s="112" t="s">
        <v>68</v>
      </c>
      <c r="G12" s="113"/>
      <c r="H12" s="113"/>
      <c r="I12" s="113"/>
      <c r="J12" s="113"/>
      <c r="K12" s="13"/>
      <c r="L12" s="50" t="s">
        <v>76</v>
      </c>
      <c r="M12" s="13" t="s">
        <v>83</v>
      </c>
    </row>
    <row r="13" spans="1:13" x14ac:dyDescent="0.2">
      <c r="A13" s="1" t="s">
        <v>61</v>
      </c>
      <c r="B13" s="40">
        <v>517279395</v>
      </c>
      <c r="C13" s="40">
        <f>146097520+4595206</f>
        <v>150692726</v>
      </c>
      <c r="D13" s="40">
        <v>243695715</v>
      </c>
      <c r="E13" s="40">
        <f>61183736+486140</f>
        <v>61669876</v>
      </c>
      <c r="F13" s="113"/>
      <c r="G13" s="113"/>
      <c r="H13" s="113"/>
      <c r="I13" s="113"/>
      <c r="J13" s="113"/>
      <c r="K13" s="46" t="s">
        <v>77</v>
      </c>
      <c r="L13" s="40">
        <f>86689588+3354562</f>
        <v>90044150</v>
      </c>
      <c r="M13" s="55">
        <f>SUM(B13:E13,L13)</f>
        <v>1063381862</v>
      </c>
    </row>
    <row r="14" spans="1:13" x14ac:dyDescent="0.2">
      <c r="A14" s="2" t="s">
        <v>143</v>
      </c>
      <c r="B14" s="104">
        <f>B13+'C-UE-3'!H22</f>
        <v>-0.42000007629394531</v>
      </c>
      <c r="C14" s="104">
        <f>C13+'C-UE-3'!AD22</f>
        <v>0.70999997854232788</v>
      </c>
      <c r="D14" s="104">
        <f>D13+'C-UE-3'!T22</f>
        <v>1.2100000381469727</v>
      </c>
      <c r="E14" s="104">
        <f>E13+'C-UE-3'!AN22</f>
        <v>0.54999999701976776</v>
      </c>
      <c r="F14" s="37"/>
      <c r="G14" s="37"/>
      <c r="H14" s="37"/>
      <c r="I14" s="37"/>
      <c r="J14" s="37"/>
      <c r="K14" s="46" t="s">
        <v>84</v>
      </c>
    </row>
    <row r="15" spans="1:13" x14ac:dyDescent="0.2">
      <c r="K15" s="13"/>
    </row>
    <row r="16" spans="1:13" ht="12.75" customHeight="1" x14ac:dyDescent="0.2">
      <c r="A16" s="1" t="s">
        <v>63</v>
      </c>
      <c r="B16" s="13" t="s">
        <v>51</v>
      </c>
      <c r="C16" s="13" t="s">
        <v>52</v>
      </c>
      <c r="E16" s="39" t="s">
        <v>62</v>
      </c>
      <c r="K16" s="13"/>
    </row>
    <row r="17" spans="1:12" x14ac:dyDescent="0.2">
      <c r="A17" s="114"/>
      <c r="B17" s="31">
        <v>3.8733999999999998E-2</v>
      </c>
      <c r="C17" s="31">
        <v>3.8519999999999999E-2</v>
      </c>
      <c r="G17" s="32"/>
      <c r="H17" s="32"/>
      <c r="I17" s="32"/>
      <c r="K17" s="47" t="s">
        <v>78</v>
      </c>
    </row>
    <row r="18" spans="1:12" x14ac:dyDescent="0.2">
      <c r="A18" s="114"/>
      <c r="B18" s="31"/>
      <c r="C18" s="31"/>
      <c r="D18" s="34"/>
      <c r="E18" s="34"/>
      <c r="G18" s="33"/>
      <c r="H18" s="33"/>
      <c r="I18" s="33"/>
      <c r="K18" s="13"/>
    </row>
    <row r="19" spans="1:12" x14ac:dyDescent="0.2">
      <c r="B19" s="33" t="s">
        <v>69</v>
      </c>
      <c r="D19" s="29"/>
      <c r="E19" s="29"/>
      <c r="F19" s="28"/>
      <c r="K19" s="13"/>
    </row>
    <row r="20" spans="1:12" x14ac:dyDescent="0.2">
      <c r="A20" s="1"/>
      <c r="B20" s="1"/>
      <c r="C20" s="1"/>
      <c r="D20" s="30"/>
      <c r="E20" s="30"/>
      <c r="F20" s="28"/>
      <c r="K20" s="13"/>
    </row>
    <row r="21" spans="1:12" x14ac:dyDescent="0.2">
      <c r="D21" s="28"/>
      <c r="E21" s="28"/>
      <c r="F21" s="28"/>
      <c r="K21" s="13"/>
    </row>
    <row r="22" spans="1:12" x14ac:dyDescent="0.2">
      <c r="A22" s="1" t="s">
        <v>64</v>
      </c>
      <c r="B22" s="1"/>
      <c r="C22" s="1"/>
      <c r="D22" s="45">
        <v>7.3999999999999996E-2</v>
      </c>
      <c r="E22" s="23"/>
      <c r="F22" s="28"/>
      <c r="K22" s="46" t="s">
        <v>84</v>
      </c>
      <c r="L22" s="33"/>
    </row>
    <row r="23" spans="1:12" x14ac:dyDescent="0.2">
      <c r="A23" s="56" t="s">
        <v>85</v>
      </c>
      <c r="B23" s="48"/>
      <c r="C23" s="1"/>
      <c r="D23" s="45">
        <v>0.200103</v>
      </c>
      <c r="E23" s="31" t="s">
        <v>73</v>
      </c>
      <c r="F23" s="28"/>
      <c r="K23" s="46" t="s">
        <v>84</v>
      </c>
    </row>
    <row r="24" spans="1:12" x14ac:dyDescent="0.2">
      <c r="A24" s="54" t="s">
        <v>82</v>
      </c>
      <c r="D24" s="2">
        <f>(D13+E13)/M13</f>
        <v>0.2871645661001504</v>
      </c>
      <c r="E24" s="1" t="s">
        <v>65</v>
      </c>
      <c r="K24" s="46" t="s">
        <v>84</v>
      </c>
    </row>
    <row r="27" spans="1:12" x14ac:dyDescent="0.2">
      <c r="C27" s="33"/>
      <c r="D27" s="34"/>
      <c r="E27" s="34"/>
      <c r="F27" s="34"/>
      <c r="G27" s="34"/>
      <c r="H27" s="34"/>
      <c r="I27" s="34"/>
      <c r="J27" s="34"/>
    </row>
    <row r="28" spans="1:12" x14ac:dyDescent="0.2">
      <c r="E28" s="34"/>
      <c r="F28" s="34"/>
      <c r="G28" s="34"/>
      <c r="H28" s="34"/>
      <c r="I28" s="34"/>
      <c r="J28" s="34"/>
    </row>
    <row r="29" spans="1:12" x14ac:dyDescent="0.2">
      <c r="E29" s="34"/>
      <c r="F29" s="34"/>
      <c r="G29" s="34"/>
      <c r="H29" s="34"/>
      <c r="I29" s="34"/>
      <c r="J29" s="34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92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B069A72-76FF-4625-A498-EE81214696B9}"/>
</file>

<file path=customXml/itemProps2.xml><?xml version="1.0" encoding="utf-8"?>
<ds:datastoreItem xmlns:ds="http://schemas.openxmlformats.org/officeDocument/2006/customXml" ds:itemID="{308847AA-8D37-4513-85AC-AE62154B9FD0}"/>
</file>

<file path=customXml/itemProps3.xml><?xml version="1.0" encoding="utf-8"?>
<ds:datastoreItem xmlns:ds="http://schemas.openxmlformats.org/officeDocument/2006/customXml" ds:itemID="{8F8575F9-E2B6-4D9B-84DA-C6C607E3CB52}"/>
</file>

<file path=customXml/itemProps4.xml><?xml version="1.0" encoding="utf-8"?>
<ds:datastoreItem xmlns:ds="http://schemas.openxmlformats.org/officeDocument/2006/customXml" ds:itemID="{241E498D-8F29-4E05-9606-281C666FD504}"/>
</file>

<file path=customXml/itemProps5.xml><?xml version="1.0" encoding="utf-8"?>
<ds:datastoreItem xmlns:ds="http://schemas.openxmlformats.org/officeDocument/2006/customXml" ds:itemID="{52DEB45C-A3AC-4A75-A71C-13C9D3017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C-UE-1</vt:lpstr>
      <vt:lpstr>C-UE-2</vt:lpstr>
      <vt:lpstr>C-UE-3</vt:lpstr>
      <vt:lpstr>CF WA Elec</vt:lpstr>
      <vt:lpstr>CF WA Gas</vt:lpstr>
      <vt:lpstr>SharedInputs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Avista Resp to Staff DR 34 Attach A</dc:title>
  <dc:creator>Preferred Customer</dc:creator>
  <dc:description/>
  <cp:lastModifiedBy>Liz Andrews</cp:lastModifiedBy>
  <cp:lastPrinted>2017-08-08T20:59:04Z</cp:lastPrinted>
  <dcterms:created xsi:type="dcterms:W3CDTF">1997-04-18T16:56:32Z</dcterms:created>
  <dcterms:modified xsi:type="dcterms:W3CDTF">2017-08-08T20:59:05Z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