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48.xml" ContentType="application/vnd.openxmlformats-officedocument.spreadsheetml.worksheet+xml"/>
  <Override PartName="/xl/worksheets/sheet47.xml" ContentType="application/vnd.openxmlformats-officedocument.spreadsheetml.worksheet+xml"/>
  <Override PartName="/xl/worksheets/sheet46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worksheets/sheet65.xml" ContentType="application/vnd.openxmlformats-officedocument.spreadsheetml.worksheet+xml"/>
  <Override PartName="/xl/worksheets/sheet64.xml" ContentType="application/vnd.openxmlformats-officedocument.spreadsheetml.worksheet+xml"/>
  <Override PartName="/xl/worksheets/sheet63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3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7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20.xml" ContentType="application/vnd.openxmlformats-officedocument.spreadsheetml.worksheet+xml"/>
  <Override PartName="/xl/worksheets/sheet2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8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9.xml" ContentType="application/vnd.openxmlformats-officedocument.spreadsheetml.worksheet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9585" yWindow="-15" windowWidth="9570" windowHeight="8115" tabRatio="933" activeTab="1"/>
  </bookViews>
  <sheets>
    <sheet name="Proposed Rates-WA" sheetId="50" r:id="rId1"/>
    <sheet name="RevReq_Exh_WA" sheetId="51" r:id="rId2"/>
    <sheet name="ConverFac_Exh-WA" sheetId="52" r:id="rId3"/>
    <sheet name="WAElec09_08" sheetId="1" r:id="rId4"/>
    <sheet name="PFRstmtSheet" sheetId="3" r:id="rId5"/>
    <sheet name="ResultSumEl" sheetId="5" r:id="rId6"/>
    <sheet name="DFITAMA" sheetId="6" r:id="rId7"/>
    <sheet name="BldGain" sheetId="8" r:id="rId8"/>
    <sheet name="ColstripAFUDC" sheetId="9" r:id="rId9"/>
    <sheet name="ColstripCommon" sheetId="10" r:id="rId10"/>
    <sheet name="KF-BP_Summ" sheetId="11" r:id="rId11"/>
    <sheet name="CustAdv" sheetId="13" r:id="rId12"/>
    <sheet name="DeprTrue-up" sheetId="28" r:id="rId13"/>
    <sheet name="WA-SettleEx" sheetId="15" r:id="rId14"/>
    <sheet name="BandO" sheetId="19" r:id="rId15"/>
    <sheet name="PropTax" sheetId="20" r:id="rId16"/>
    <sheet name="UncollExp" sheetId="21" r:id="rId17"/>
    <sheet name="RegExp" sheetId="22" r:id="rId18"/>
    <sheet name="InjDam" sheetId="23" r:id="rId19"/>
    <sheet name="FIT" sheetId="24" r:id="rId20"/>
    <sheet name="ElimPowerCost" sheetId="27" r:id="rId21"/>
    <sheet name="NezPerce" sheetId="38" r:id="rId22"/>
    <sheet name="GainsLoss" sheetId="76" r:id="rId23"/>
    <sheet name="ElimAR" sheetId="29" r:id="rId24"/>
    <sheet name="SubSpace" sheetId="30" r:id="rId25"/>
    <sheet name="ExciseTax" sheetId="37" r:id="rId26"/>
    <sheet name="RevNormalztn" sheetId="65" r:id="rId27"/>
    <sheet name="MiscRestate" sheetId="79" r:id="rId28"/>
    <sheet name="DebtInt" sheetId="25" r:id="rId29"/>
    <sheet name="DebtCalc" sheetId="48" r:id="rId30"/>
    <sheet name="Inputs" sheetId="33" r:id="rId31"/>
    <sheet name="PFPSWA" sheetId="56" r:id="rId32"/>
    <sheet name="PFProdFctr-WA" sheetId="81" r:id="rId33"/>
    <sheet name="Retail Revenue Credit" sheetId="82" r:id="rId34"/>
    <sheet name="PFLabor" sheetId="68" r:id="rId35"/>
    <sheet name="PFExec" sheetId="72" r:id="rId36"/>
    <sheet name="PFTrans" sheetId="70" r:id="rId37"/>
    <sheet name="PFCapx2008" sheetId="69" r:id="rId38"/>
    <sheet name="PFCapx2009" sheetId="73" r:id="rId39"/>
    <sheet name="PFNoxon2010" sheetId="74" r:id="rId40"/>
    <sheet name="PFInfoServ" sheetId="97" r:id="rId41"/>
    <sheet name="PFAssetMgmt" sheetId="34" r:id="rId42"/>
    <sheet name="PFSR_Relicense" sheetId="77" r:id="rId43"/>
    <sheet name="PFCDAtribe" sheetId="78" r:id="rId44"/>
    <sheet name="PFColstripEmiss" sheetId="80" r:id="rId45"/>
    <sheet name="PFMoLease" sheetId="83" r:id="rId46"/>
    <sheet name="PFIncentives" sheetId="84" r:id="rId47"/>
    <sheet name="PFO&amp;MPlant" sheetId="95" r:id="rId48"/>
    <sheet name="PFEmpBen" sheetId="86" r:id="rId49"/>
    <sheet name="PFInsur" sheetId="87" r:id="rId50"/>
    <sheet name="PFClarkFork" sheetId="96" r:id="rId51"/>
    <sheet name="PF20open" sheetId="98" r:id="rId52"/>
    <sheet name="ExhEMA2" sheetId="54" r:id="rId53"/>
    <sheet name="NOT USED AFTER THIS TAB" sheetId="94" r:id="rId54"/>
    <sheet name="PSWA-not used" sheetId="18" r:id="rId55"/>
    <sheet name="CWIPAllocDebt" sheetId="49" r:id="rId56"/>
    <sheet name="WARateNorm" sheetId="47" r:id="rId57"/>
    <sheet name="SYSElec12_05" sheetId="4" r:id="rId58"/>
    <sheet name="PFDebtIntnot used" sheetId="58" r:id="rId59"/>
    <sheet name="PFPSID" sheetId="60" r:id="rId60"/>
    <sheet name="PFProdFctr-ID" sheetId="90" r:id="rId61"/>
    <sheet name="ProdFctrCalc-ID" sheetId="89" r:id="rId62"/>
    <sheet name="RevReq_Exh_ID" sheetId="91" r:id="rId63"/>
    <sheet name="Proposed Rates-ID" sheetId="92" r:id="rId64"/>
    <sheet name="ConverFac_Exh-ID" sheetId="93" r:id="rId65"/>
    <sheet name="IDElec12_07" sheetId="2" r:id="rId66"/>
    <sheet name="ID_DSM_Inv" sheetId="36" r:id="rId67"/>
    <sheet name="ID_ClarkFork" sheetId="59" r:id="rId68"/>
    <sheet name="PFID_AMR" sheetId="88" r:id="rId69"/>
    <sheet name="PFCS2" sheetId="85" r:id="rId70"/>
  </sheets>
  <definedNames>
    <definedName name="ID_Elec">DebtCalc!$A$86:$F$163</definedName>
    <definedName name="ID_Gas">DebtCalc!#REF!</definedName>
    <definedName name="_xlnm.Print_Area" localSheetId="14">BandO!$A$1:$G$110</definedName>
    <definedName name="_xlnm.Print_Area" localSheetId="7">BldGain!$A$1:$G$63</definedName>
    <definedName name="_xlnm.Print_Area" localSheetId="8">ColstripAFUDC!$A$1:$G$63</definedName>
    <definedName name="_xlnm.Print_Area" localSheetId="9">ColstripCommon!$A$1:$G$63</definedName>
    <definedName name="_xlnm.Print_Area" localSheetId="64">'ConverFac_Exh-ID'!$A$1:$E$24</definedName>
    <definedName name="_xlnm.Print_Area" localSheetId="2">'ConverFac_Exh-WA'!$A$1:$E$27</definedName>
    <definedName name="_xlnm.Print_Area" localSheetId="11">CustAdv!$A$1:$G$63</definedName>
    <definedName name="_xlnm.Print_Area" localSheetId="55">CWIPAllocDebt!$A$1:$W$99,CWIPAllocDebt!$X$1:$AB$16</definedName>
    <definedName name="_xlnm.Print_Area" localSheetId="29">DebtCalc!$A$1:$F$64</definedName>
    <definedName name="_xlnm.Print_Area" localSheetId="28">DebtInt!$A$1:$G$110</definedName>
    <definedName name="_xlnm.Print_Area" localSheetId="12">'DeprTrue-up'!$A$1:$G$109</definedName>
    <definedName name="_xlnm.Print_Area" localSheetId="6">DFITAMA!$A$1:$G$63</definedName>
    <definedName name="_xlnm.Print_Area" localSheetId="23">ElimAR!$A$1:$G$109</definedName>
    <definedName name="_xlnm.Print_Area" localSheetId="20">ElimPowerCost!$A$1:$G$65</definedName>
    <definedName name="_xlnm.Print_Area" localSheetId="25">ExciseTax!$A$1:$G$63</definedName>
    <definedName name="_xlnm.Print_Area" localSheetId="19">FIT!$A$1:$G$63</definedName>
    <definedName name="_xlnm.Print_Area" localSheetId="22">GainsLoss!$A$1:$G$63</definedName>
    <definedName name="_xlnm.Print_Area" localSheetId="67">ID_ClarkFork!$A$1:$G$110</definedName>
    <definedName name="_xlnm.Print_Area" localSheetId="66">ID_DSM_Inv!$A$1:$G$64</definedName>
    <definedName name="_xlnm.Print_Area" localSheetId="65">IDElec12_07!$E$11:$BA$69</definedName>
    <definedName name="_xlnm.Print_Area" localSheetId="18">InjDam!$A$1:$G$110</definedName>
    <definedName name="_xlnm.Print_Area" localSheetId="10">'KF-BP_Summ'!$A$1:$G$63</definedName>
    <definedName name="_xlnm.Print_Area" localSheetId="27">MiscRestate!$A$1:$G$63</definedName>
    <definedName name="_xlnm.Print_Area" localSheetId="21">NezPerce!$A$1:$G$110</definedName>
    <definedName name="_xlnm.Print_Area" localSheetId="51">PF20open!$A$1:$G$63</definedName>
    <definedName name="_xlnm.Print_Area" localSheetId="41">PFAssetMgmt!$A$1:$G$109</definedName>
    <definedName name="_xlnm.Print_Area" localSheetId="38">PFCapx2009!$A$1:$G$109</definedName>
    <definedName name="_xlnm.Print_Area" localSheetId="43">PFCDAtribe!$A$1:$G$109</definedName>
    <definedName name="_xlnm.Print_Area" localSheetId="50">PFClarkFork!$A$1:$G$63</definedName>
    <definedName name="_xlnm.Print_Area" localSheetId="44">PFColstripEmiss!$A$1:$G$64</definedName>
    <definedName name="_xlnm.Print_Area" localSheetId="69">PFCS2!$A$1:$G$63</definedName>
    <definedName name="_xlnm.Print_Area" localSheetId="58">'PFDebtIntnot used'!$A$1:$H$112</definedName>
    <definedName name="_xlnm.Print_Area" localSheetId="48">PFEmpBen!$A$1:$G$63</definedName>
    <definedName name="_xlnm.Print_Area" localSheetId="68">PFID_AMR!$A$1:$G$109</definedName>
    <definedName name="_xlnm.Print_Area" localSheetId="46">PFIncentives!$A$1:$G$63</definedName>
    <definedName name="_xlnm.Print_Area" localSheetId="40">PFInfoServ!$A$1:$G$63</definedName>
    <definedName name="_xlnm.Print_Area" localSheetId="49">PFInsur!$A$1:$G$63</definedName>
    <definedName name="_xlnm.Print_Area" localSheetId="45">PFMoLease!$A$1:$G$109</definedName>
    <definedName name="_xlnm.Print_Area" localSheetId="39">PFNoxon2010!$A$1:$G$64</definedName>
    <definedName name="_xlnm.Print_Area" localSheetId="47">'PFO&amp;MPlant'!$A$1:$G$63</definedName>
    <definedName name="_xlnm.Print_Area" localSheetId="60">'PFProdFctr-ID'!$A$1:$G$65</definedName>
    <definedName name="_xlnm.Print_Area" localSheetId="32">'PFProdFctr-WA'!$A$1:$G$65</definedName>
    <definedName name="_xlnm.Print_Area" localSheetId="59">PFPSID!$A$1:$G$110</definedName>
    <definedName name="_xlnm.Print_Area" localSheetId="31">PFPSWA!$A$1:$G$65</definedName>
    <definedName name="_xlnm.Print_Area" localSheetId="4">PFRstmtSheet!$A$1:$H$65</definedName>
    <definedName name="_xlnm.Print_Area" localSheetId="42">PFSR_Relicense!$A$1:$G$110</definedName>
    <definedName name="_xlnm.Print_Area" localSheetId="61">'ProdFctrCalc-ID'!$A$1:$H$68</definedName>
    <definedName name="_xlnm.Print_Area" localSheetId="63">'Proposed Rates-ID'!$A$1:$K$78</definedName>
    <definedName name="_xlnm.Print_Area" localSheetId="0">'Proposed Rates-WA'!$A$1:$K$74</definedName>
    <definedName name="_xlnm.Print_Area" localSheetId="15">PropTax!$A$1:$G$111</definedName>
    <definedName name="_xlnm.Print_Area" localSheetId="54">'PSWA-not used'!$A$1:$G$63</definedName>
    <definedName name="_xlnm.Print_Area" localSheetId="17">RegExp!$A$1:$G$110</definedName>
    <definedName name="_xlnm.Print_Area" localSheetId="5">ResultSumEl!$A$1:$G$63</definedName>
    <definedName name="_xlnm.Print_Area" localSheetId="33">'Retail Revenue Credit'!$A$1:$H$95</definedName>
    <definedName name="_xlnm.Print_Area" localSheetId="62">RevReq_Exh_ID!$A$33:$E$57</definedName>
    <definedName name="_xlnm.Print_Area" localSheetId="1">RevReq_Exh_WA!$A$1:$E$25</definedName>
    <definedName name="_xlnm.Print_Area" localSheetId="24">SubSpace!$A$1:$G$63</definedName>
    <definedName name="_xlnm.Print_Area" localSheetId="57">SYSElec12_05!$E$11:$AT$73</definedName>
    <definedName name="_xlnm.Print_Area" localSheetId="16">UncollExp!$A$1:$G$110</definedName>
    <definedName name="_xlnm.Print_Area" localSheetId="3">WAElec09_08!$E$11:$BD$69</definedName>
    <definedName name="_xlnm.Print_Area" localSheetId="56">WARateNorm!$A$1:$G$63</definedName>
    <definedName name="_xlnm.Print_Area" localSheetId="13">'WA-SettleEx'!$A$1:$G$63</definedName>
    <definedName name="Print_for_CBReport" localSheetId="61">'ProdFctrCalc-ID'!$A$1:$H$116</definedName>
    <definedName name="Print_for_CBReport" localSheetId="33">'Retail Revenue Credit'!$A$1:$H$114</definedName>
    <definedName name="Print_for_CBReport">PFRstmtSheet!$A$1:$H$128</definedName>
    <definedName name="Print_for_Checking" localSheetId="61">'ProdFctrCalc-ID'!$A$1:'ProdFctrCalc-ID'!$J$116</definedName>
    <definedName name="Print_for_Checking" localSheetId="33">'Retail Revenue Credit'!$A$1:'Retail Revenue Credit'!$J$114</definedName>
    <definedName name="Print_for_Checking">PFRstmtSheet!$A$1:'PFRstmtSheet'!$J$128</definedName>
    <definedName name="_xlnm.Print_Titles" localSheetId="55">CWIPAllocDebt!$1:$4</definedName>
    <definedName name="_xlnm.Print_Titles" localSheetId="65">IDElec12_07!$A:$D,IDElec12_07!$1:$10</definedName>
    <definedName name="_xlnm.Print_Titles" localSheetId="33">'Retail Revenue Credit'!$1:$6</definedName>
    <definedName name="_xlnm.Print_Titles" localSheetId="57">SYSElec12_05!$1:$10,SYSElec12_05!$A:$D</definedName>
    <definedName name="_xlnm.Print_Titles" localSheetId="3">WAElec09_08!$A:$D,WAElec09_08!$1:$10</definedName>
    <definedName name="proforma" localSheetId="65">IDElec12_07!$E$11:$AQ$69</definedName>
    <definedName name="proforma" localSheetId="57">SYSElec12_05!$E$11:$AT$73</definedName>
    <definedName name="restated" localSheetId="65">IDElec12_07!$E$11:$AP$69</definedName>
    <definedName name="restated" localSheetId="57">SYSElec12_05!$E$11:$AI$73</definedName>
    <definedName name="Summary">CWIPAllocDebt!$AD$1:$AJ$16</definedName>
    <definedName name="WA_Elec">DebtCalc!$A$1:$F$85</definedName>
    <definedName name="WA_Gas">DebtCalc!#REF!</definedName>
    <definedName name="Z_6E1B8C45_B07F_11D2_B0DC_0000832CDFF0_.wvu.Cols" localSheetId="28" hidden="1">DebtInt!#REF!</definedName>
    <definedName name="Z_6E1B8C45_B07F_11D2_B0DC_0000832CDFF0_.wvu.Cols" localSheetId="12" hidden="1">'DeprTrue-up'!#REF!</definedName>
    <definedName name="Z_6E1B8C45_B07F_11D2_B0DC_0000832CDFF0_.wvu.Cols" localSheetId="19" hidden="1">FIT!#REF!</definedName>
    <definedName name="Z_6E1B8C45_B07F_11D2_B0DC_0000832CDFF0_.wvu.Cols" localSheetId="65" hidden="1">IDElec12_07!#REF!,IDElec12_07!#REF!</definedName>
    <definedName name="Z_6E1B8C45_B07F_11D2_B0DC_0000832CDFF0_.wvu.Cols" localSheetId="10" hidden="1">'KF-BP_Summ'!#REF!</definedName>
    <definedName name="Z_6E1B8C45_B07F_11D2_B0DC_0000832CDFF0_.wvu.Cols" localSheetId="58" hidden="1">'PFDebtIntnot used'!$H:$H</definedName>
    <definedName name="Z_6E1B8C45_B07F_11D2_B0DC_0000832CDFF0_.wvu.Cols" localSheetId="57" hidden="1">SYSElec12_05!$AN:$AP</definedName>
    <definedName name="Z_6E1B8C45_B07F_11D2_B0DC_0000832CDFF0_.wvu.Cols" localSheetId="3" hidden="1">WAElec09_08!#REF!,WAElec09_08!$AH:$BD</definedName>
    <definedName name="Z_6E1B8C45_B07F_11D2_B0DC_0000832CDFF0_.wvu.Cols" localSheetId="13" hidden="1">'WA-SettleEx'!#REF!</definedName>
    <definedName name="Z_6E1B8C45_B07F_11D2_B0DC_0000832CDFF0_.wvu.PrintArea" localSheetId="14" hidden="1">BandO!$A$1:$G$110</definedName>
    <definedName name="Z_6E1B8C45_B07F_11D2_B0DC_0000832CDFF0_.wvu.PrintArea" localSheetId="7" hidden="1">BldGain!$A$1:$G$63</definedName>
    <definedName name="Z_6E1B8C45_B07F_11D2_B0DC_0000832CDFF0_.wvu.PrintArea" localSheetId="8" hidden="1">ColstripAFUDC!$A$1:$G$63</definedName>
    <definedName name="Z_6E1B8C45_B07F_11D2_B0DC_0000832CDFF0_.wvu.PrintArea" localSheetId="9" hidden="1">ColstripCommon!$A$1:$G$63</definedName>
    <definedName name="Z_6E1B8C45_B07F_11D2_B0DC_0000832CDFF0_.wvu.PrintArea" localSheetId="11" hidden="1">CustAdv!$A$1:$G$63</definedName>
    <definedName name="Z_6E1B8C45_B07F_11D2_B0DC_0000832CDFF0_.wvu.PrintArea" localSheetId="28" hidden="1">DebtInt!$A$1:$G$110</definedName>
    <definedName name="Z_6E1B8C45_B07F_11D2_B0DC_0000832CDFF0_.wvu.PrintArea" localSheetId="12" hidden="1">'DeprTrue-up'!$A$1:$G$64</definedName>
    <definedName name="Z_6E1B8C45_B07F_11D2_B0DC_0000832CDFF0_.wvu.PrintArea" localSheetId="6" hidden="1">DFITAMA!$A$1:$G$63</definedName>
    <definedName name="Z_6E1B8C45_B07F_11D2_B0DC_0000832CDFF0_.wvu.PrintArea" localSheetId="23" hidden="1">ElimAR!$A$1:$G$63</definedName>
    <definedName name="Z_6E1B8C45_B07F_11D2_B0DC_0000832CDFF0_.wvu.PrintArea" localSheetId="20" hidden="1">ElimPowerCost!$A$1:$G$65</definedName>
    <definedName name="Z_6E1B8C45_B07F_11D2_B0DC_0000832CDFF0_.wvu.PrintArea" localSheetId="25" hidden="1">ExciseTax!$A$1:$G$64</definedName>
    <definedName name="Z_6E1B8C45_B07F_11D2_B0DC_0000832CDFF0_.wvu.PrintArea" localSheetId="19" hidden="1">FIT!$A$1:$G$63</definedName>
    <definedName name="Z_6E1B8C45_B07F_11D2_B0DC_0000832CDFF0_.wvu.PrintArea" localSheetId="65" hidden="1">IDElec12_07!$E$1:$AP$69</definedName>
    <definedName name="Z_6E1B8C45_B07F_11D2_B0DC_0000832CDFF0_.wvu.PrintArea" localSheetId="10" hidden="1">'KF-BP_Summ'!$A$1:$G$63</definedName>
    <definedName name="Z_6E1B8C45_B07F_11D2_B0DC_0000832CDFF0_.wvu.PrintArea" localSheetId="21" hidden="1">NezPerce!$A$1:$G$110</definedName>
    <definedName name="Z_6E1B8C45_B07F_11D2_B0DC_0000832CDFF0_.wvu.PrintArea" localSheetId="58" hidden="1">'PFDebtIntnot used'!$A$1:$H$112</definedName>
    <definedName name="Z_6E1B8C45_B07F_11D2_B0DC_0000832CDFF0_.wvu.PrintArea" localSheetId="4" hidden="1">PFRstmtSheet!$A$1:$I$109</definedName>
    <definedName name="Z_6E1B8C45_B07F_11D2_B0DC_0000832CDFF0_.wvu.PrintArea" localSheetId="61" hidden="1">'ProdFctrCalc-ID'!$A$1:$I$105</definedName>
    <definedName name="Z_6E1B8C45_B07F_11D2_B0DC_0000832CDFF0_.wvu.PrintArea" localSheetId="15" hidden="1">PropTax!$A$1:$G$111</definedName>
    <definedName name="Z_6E1B8C45_B07F_11D2_B0DC_0000832CDFF0_.wvu.PrintArea" localSheetId="17" hidden="1">RegExp!$A$1:$G$110</definedName>
    <definedName name="Z_6E1B8C45_B07F_11D2_B0DC_0000832CDFF0_.wvu.PrintArea" localSheetId="5" hidden="1">ResultSumEl!$A$1:$G$63</definedName>
    <definedName name="Z_6E1B8C45_B07F_11D2_B0DC_0000832CDFF0_.wvu.PrintArea" localSheetId="33" hidden="1">'Retail Revenue Credit'!$A$1:$I$103</definedName>
    <definedName name="Z_6E1B8C45_B07F_11D2_B0DC_0000832CDFF0_.wvu.PrintArea" localSheetId="24" hidden="1">SubSpace!$A$1:$G$64</definedName>
    <definedName name="Z_6E1B8C45_B07F_11D2_B0DC_0000832CDFF0_.wvu.PrintArea" localSheetId="57" hidden="1">SYSElec12_05!$E$11:$AT$73</definedName>
    <definedName name="Z_6E1B8C45_B07F_11D2_B0DC_0000832CDFF0_.wvu.PrintArea" localSheetId="16" hidden="1">UncollExp!$A$1:$G$110</definedName>
    <definedName name="Z_6E1B8C45_B07F_11D2_B0DC_0000832CDFF0_.wvu.PrintArea" localSheetId="3" hidden="1">WAElec09_08!$E:$AG</definedName>
    <definedName name="Z_6E1B8C45_B07F_11D2_B0DC_0000832CDFF0_.wvu.PrintArea" localSheetId="56" hidden="1">WARateNorm!$A$1:$G$64</definedName>
    <definedName name="Z_6E1B8C45_B07F_11D2_B0DC_0000832CDFF0_.wvu.PrintArea" localSheetId="13" hidden="1">'WA-SettleEx'!$A$1:$G$63</definedName>
    <definedName name="Z_6E1B8C45_B07F_11D2_B0DC_0000832CDFF0_.wvu.PrintTitles" localSheetId="65" hidden="1">IDElec12_07!$A:$D,IDElec12_07!$1:$10</definedName>
    <definedName name="Z_6E1B8C45_B07F_11D2_B0DC_0000832CDFF0_.wvu.PrintTitles" localSheetId="57" hidden="1">SYSElec12_05!$1:$10,SYSElec12_05!$A:$D</definedName>
    <definedName name="Z_6E1B8C45_B07F_11D2_B0DC_0000832CDFF0_.wvu.PrintTitles" localSheetId="3" hidden="1">WAElec09_08!$A:$D,WAElec09_08!$1:$10</definedName>
    <definedName name="Z_6E1B8C45_B07F_11D2_B0DC_0000832CDFF0_.wvu.Rows" localSheetId="4" hidden="1">PFRstmtSheet!$19:$19,PFRstmtSheet!$30:$38,PFRstmtSheet!$41:$41,PFRstmtSheet!$46:$70,PFRstmtSheet!$101:$101,PFRstmtSheet!$103:$103,PFRstmtSheet!$110:$128</definedName>
    <definedName name="Z_6E1B8C45_B07F_11D2_B0DC_0000832CDFF0_.wvu.Rows" localSheetId="61" hidden="1">'ProdFctrCalc-ID'!$18:$18,'ProdFctrCalc-ID'!$30:$38,'ProdFctrCalc-ID'!$41:$41,'ProdFctrCalc-ID'!$46:$61,'ProdFctrCalc-ID'!$98:$98,'ProdFctrCalc-ID'!$100:$100,'ProdFctrCalc-ID'!$106:$116</definedName>
    <definedName name="Z_6E1B8C45_B07F_11D2_B0DC_0000832CDFF0_.wvu.Rows" localSheetId="33" hidden="1">'Retail Revenue Credit'!$19:$19,'Retail Revenue Credit'!$30:$38,'Retail Revenue Credit'!$41:$41,'Retail Revenue Credit'!$46:$66,'Retail Revenue Credit'!$96:$96,'Retail Revenue Credit'!$98:$98,'Retail Revenue Credit'!$104:$114</definedName>
    <definedName name="Z_A15D1962_B049_11D2_8670_0000832CEEE8_.wvu.Cols" localSheetId="65" hidden="1">IDElec12_07!#REF!</definedName>
    <definedName name="Z_A15D1962_B049_11D2_8670_0000832CEEE8_.wvu.Cols" localSheetId="3" hidden="1">WAElec09_08!$AH:$BE</definedName>
    <definedName name="Z_A15D1962_B049_11D2_8670_0000832CEEE8_.wvu.Rows" localSheetId="4" hidden="1">PFRstmtSheet!$46:$65,PFRstmtSheet!$109:$128</definedName>
    <definedName name="Z_A15D1962_B049_11D2_8670_0000832CEEE8_.wvu.Rows" localSheetId="61" hidden="1">'ProdFctrCalc-ID'!$46:$59,'ProdFctrCalc-ID'!$105:$116</definedName>
    <definedName name="Z_A15D1962_B049_11D2_8670_0000832CEEE8_.wvu.Rows" localSheetId="33" hidden="1">'Retail Revenue Credit'!$46:$65,'Retail Revenue Credit'!$103:$114</definedName>
  </definedNames>
  <calcPr calcId="125725" fullCalcOnLoad="1"/>
  <customWorkbookViews>
    <customWorkbookView name="Kathy Mitchell - Personal View" guid="{A15D1962-B049-11D2-8670-0000832CEEE8}" mergeInterval="0" personalView="1" maximized="1" windowWidth="796" windowHeight="436" tabRatio="768" activeSheetId="2"/>
    <customWorkbookView name="Don Falkner - Personal View" guid="{6E1B8C45-B07F-11D2-B0DC-0000832CDFF0}" mergeInterval="0" personalView="1" maximized="1" windowWidth="1020" windowHeight="604" tabRatio="768" activeSheetId="3"/>
  </customWorkbookViews>
</workbook>
</file>

<file path=xl/calcChain.xml><?xml version="1.0" encoding="utf-8"?>
<calcChain xmlns="http://schemas.openxmlformats.org/spreadsheetml/2006/main">
  <c r="F59" i="56"/>
  <c r="F56"/>
  <c r="F63"/>
  <c r="H63"/>
  <c r="F37"/>
  <c r="F27"/>
  <c r="F18"/>
  <c r="F17"/>
  <c r="F21"/>
  <c r="F38"/>
  <c r="F12"/>
  <c r="F11"/>
  <c r="F13"/>
  <c r="F40"/>
  <c r="E26" i="52"/>
  <c r="G11" i="82"/>
  <c r="F89"/>
  <c r="F17" i="81"/>
  <c r="F34" i="86"/>
  <c r="F17"/>
  <c r="AH22" i="1"/>
  <c r="AX22"/>
  <c r="E51" i="81"/>
  <c r="F51"/>
  <c r="E61"/>
  <c r="E57"/>
  <c r="F53"/>
  <c r="E53"/>
  <c r="E19"/>
  <c r="E20"/>
  <c r="F12"/>
  <c r="C109" i="72"/>
  <c r="B60" i="82"/>
  <c r="B59"/>
  <c r="B58"/>
  <c r="B57"/>
  <c r="A60"/>
  <c r="A59"/>
  <c r="A58"/>
  <c r="A57"/>
  <c r="G49"/>
  <c r="G50"/>
  <c r="F43" i="24"/>
  <c r="F36" i="73"/>
  <c r="F35"/>
  <c r="F20"/>
  <c r="F19"/>
  <c r="F35" i="69"/>
  <c r="F19"/>
  <c r="F100" i="73"/>
  <c r="F101"/>
  <c r="C109"/>
  <c r="AI58" i="1"/>
  <c r="AI56"/>
  <c r="AI62"/>
  <c r="AI66"/>
  <c r="AM56"/>
  <c r="AM57"/>
  <c r="AM58"/>
  <c r="AM59"/>
  <c r="AM60"/>
  <c r="AM61"/>
  <c r="AM62"/>
  <c r="AM66"/>
  <c r="AN56"/>
  <c r="AN57"/>
  <c r="AN58"/>
  <c r="AN59"/>
  <c r="AN60"/>
  <c r="AN61"/>
  <c r="AN62"/>
  <c r="AN66"/>
  <c r="AO57"/>
  <c r="AO56"/>
  <c r="AO58"/>
  <c r="AO59"/>
  <c r="AO60"/>
  <c r="AO61"/>
  <c r="AO62"/>
  <c r="AO63"/>
  <c r="AO64" s="1"/>
  <c r="AO68" s="1"/>
  <c r="G51" i="3" s="1"/>
  <c r="F39" i="48" s="1"/>
  <c r="AO66" i="1"/>
  <c r="AO65"/>
  <c r="B51" i="3"/>
  <c r="B39" i="48" s="1"/>
  <c r="B53" i="3"/>
  <c r="B41" i="48" s="1"/>
  <c r="A53" i="3"/>
  <c r="A41" i="48" s="1"/>
  <c r="AQ39" i="1"/>
  <c r="BA66"/>
  <c r="BA65"/>
  <c r="BA63"/>
  <c r="BA62"/>
  <c r="BA60"/>
  <c r="BA59"/>
  <c r="BA58"/>
  <c r="BA57"/>
  <c r="BA56"/>
  <c r="BA49"/>
  <c r="F11" i="98"/>
  <c r="F13"/>
  <c r="F21"/>
  <c r="F27"/>
  <c r="F37"/>
  <c r="F38"/>
  <c r="BA41" i="1"/>
  <c r="BA40"/>
  <c r="BA39"/>
  <c r="BA38"/>
  <c r="BA37"/>
  <c r="BA36"/>
  <c r="BA35"/>
  <c r="BA34"/>
  <c r="BA31"/>
  <c r="BA30"/>
  <c r="BA29"/>
  <c r="BA25"/>
  <c r="BA24"/>
  <c r="BA23"/>
  <c r="BA22"/>
  <c r="BA17"/>
  <c r="BA15"/>
  <c r="BA14"/>
  <c r="BA13"/>
  <c r="A1" i="98"/>
  <c r="A4" i="1"/>
  <c r="D5" i="82"/>
  <c r="E8" i="98"/>
  <c r="H8"/>
  <c r="H9"/>
  <c r="H10"/>
  <c r="E11"/>
  <c r="G11"/>
  <c r="H11"/>
  <c r="H12"/>
  <c r="E13"/>
  <c r="G13"/>
  <c r="E17"/>
  <c r="H17"/>
  <c r="H18"/>
  <c r="E19"/>
  <c r="H19"/>
  <c r="E20"/>
  <c r="H20"/>
  <c r="G21"/>
  <c r="E24"/>
  <c r="H24"/>
  <c r="H25"/>
  <c r="C109"/>
  <c r="F73"/>
  <c r="F76"/>
  <c r="F78"/>
  <c r="F74"/>
  <c r="F75"/>
  <c r="F77"/>
  <c r="F82"/>
  <c r="F83"/>
  <c r="F84"/>
  <c r="F85"/>
  <c r="F86"/>
  <c r="F89"/>
  <c r="F90"/>
  <c r="F92"/>
  <c r="F94"/>
  <c r="F95"/>
  <c r="F96"/>
  <c r="F99"/>
  <c r="F100"/>
  <c r="F101"/>
  <c r="F102"/>
  <c r="E29"/>
  <c r="H29"/>
  <c r="E30"/>
  <c r="H30"/>
  <c r="E31"/>
  <c r="H31"/>
  <c r="E34"/>
  <c r="H34"/>
  <c r="H35"/>
  <c r="H36"/>
  <c r="E37"/>
  <c r="G37"/>
  <c r="H37"/>
  <c r="H44"/>
  <c r="H45"/>
  <c r="H51"/>
  <c r="E52"/>
  <c r="H52"/>
  <c r="H53"/>
  <c r="H54"/>
  <c r="H55"/>
  <c r="E56"/>
  <c r="H56"/>
  <c r="F56"/>
  <c r="G56"/>
  <c r="E57"/>
  <c r="H57"/>
  <c r="H58"/>
  <c r="F59"/>
  <c r="F63"/>
  <c r="G59"/>
  <c r="H60"/>
  <c r="E61"/>
  <c r="H61"/>
  <c r="G63"/>
  <c r="A65"/>
  <c r="F67"/>
  <c r="F68"/>
  <c r="F69"/>
  <c r="E20" i="52"/>
  <c r="E22"/>
  <c r="E24"/>
  <c r="E72" i="1"/>
  <c r="AQ56"/>
  <c r="AQ57"/>
  <c r="AQ58"/>
  <c r="AQ59"/>
  <c r="AQ60"/>
  <c r="AQ61"/>
  <c r="AQ62"/>
  <c r="AQ63"/>
  <c r="AQ64" s="1"/>
  <c r="AQ68" s="1"/>
  <c r="AQ65"/>
  <c r="AQ66"/>
  <c r="AQ13"/>
  <c r="AQ14"/>
  <c r="AQ15"/>
  <c r="AQ16"/>
  <c r="AQ17"/>
  <c r="AQ18"/>
  <c r="AQ40"/>
  <c r="AQ41"/>
  <c r="AQ42"/>
  <c r="AQ36"/>
  <c r="AQ35"/>
  <c r="AQ34"/>
  <c r="AQ29"/>
  <c r="AQ30"/>
  <c r="AQ31"/>
  <c r="AQ32"/>
  <c r="AQ22"/>
  <c r="AQ23"/>
  <c r="AQ24"/>
  <c r="AQ26" s="1"/>
  <c r="AQ25"/>
  <c r="F11" i="97"/>
  <c r="F13"/>
  <c r="F40"/>
  <c r="F43"/>
  <c r="AQ48" i="1"/>
  <c r="F21" i="97"/>
  <c r="F38"/>
  <c r="F27"/>
  <c r="F37"/>
  <c r="AQ49" i="1"/>
  <c r="P12" i="51"/>
  <c r="R12"/>
  <c r="R16"/>
  <c r="R20"/>
  <c r="AQ38" i="1"/>
  <c r="AQ37"/>
  <c r="BA61"/>
  <c r="BA64"/>
  <c r="BA68"/>
  <c r="BA16"/>
  <c r="BA18"/>
  <c r="BA42"/>
  <c r="BA43" s="1"/>
  <c r="BA32"/>
  <c r="BA26"/>
  <c r="G17" i="68"/>
  <c r="F17"/>
  <c r="E61" i="77"/>
  <c r="F19"/>
  <c r="E51" i="78"/>
  <c r="F11" i="22"/>
  <c r="F13"/>
  <c r="F40"/>
  <c r="F43"/>
  <c r="F21"/>
  <c r="F27"/>
  <c r="F37"/>
  <c r="F38"/>
  <c r="F99"/>
  <c r="G86" i="5"/>
  <c r="F102" i="20"/>
  <c r="F100"/>
  <c r="F101"/>
  <c r="F103"/>
  <c r="F90"/>
  <c r="F91"/>
  <c r="F93"/>
  <c r="F105"/>
  <c r="F83"/>
  <c r="F84"/>
  <c r="F85"/>
  <c r="F86"/>
  <c r="F87"/>
  <c r="F95"/>
  <c r="F96"/>
  <c r="F97"/>
  <c r="F74"/>
  <c r="F75"/>
  <c r="F76"/>
  <c r="F77"/>
  <c r="F78"/>
  <c r="F79"/>
  <c r="F107"/>
  <c r="C110"/>
  <c r="F110" s="1"/>
  <c r="G26" s="1"/>
  <c r="G27" s="1"/>
  <c r="G38" s="1"/>
  <c r="G40" s="1"/>
  <c r="G43" s="1"/>
  <c r="Q48" i="2" s="1"/>
  <c r="AW13" i="1"/>
  <c r="AW14"/>
  <c r="AW15"/>
  <c r="AW16"/>
  <c r="AW17"/>
  <c r="AW18" s="1"/>
  <c r="AW39"/>
  <c r="AW40"/>
  <c r="AW41"/>
  <c r="AW42" s="1"/>
  <c r="AW36"/>
  <c r="AW35"/>
  <c r="AW34"/>
  <c r="AW29"/>
  <c r="AW30"/>
  <c r="AW32" s="1"/>
  <c r="AW31"/>
  <c r="AW22"/>
  <c r="AW23"/>
  <c r="AW24"/>
  <c r="AW25"/>
  <c r="AW26"/>
  <c r="F57" i="82"/>
  <c r="F11" i="95"/>
  <c r="F13"/>
  <c r="F21"/>
  <c r="F27"/>
  <c r="F37"/>
  <c r="F38"/>
  <c r="AW49" i="1"/>
  <c r="AX13"/>
  <c r="AX14"/>
  <c r="AX15"/>
  <c r="AX16"/>
  <c r="AX17"/>
  <c r="AX18"/>
  <c r="AX39"/>
  <c r="AX40"/>
  <c r="AX41"/>
  <c r="AX42"/>
  <c r="AX36"/>
  <c r="AX35"/>
  <c r="AX34"/>
  <c r="AX29"/>
  <c r="AX32" s="1"/>
  <c r="AX30"/>
  <c r="AX31"/>
  <c r="AX23"/>
  <c r="AX26" s="1"/>
  <c r="F58" i="82" s="1"/>
  <c r="AX24" i="1"/>
  <c r="AX25"/>
  <c r="F21" i="86"/>
  <c r="F27"/>
  <c r="F37"/>
  <c r="F38"/>
  <c r="F11"/>
  <c r="F13"/>
  <c r="F40"/>
  <c r="F43"/>
  <c r="AX48" i="1"/>
  <c r="AX49"/>
  <c r="AY13"/>
  <c r="AY14"/>
  <c r="AY15"/>
  <c r="AY16" s="1"/>
  <c r="AY18" s="1"/>
  <c r="AY17"/>
  <c r="AY39"/>
  <c r="AY40"/>
  <c r="AY41"/>
  <c r="AY42"/>
  <c r="AY36"/>
  <c r="AY35"/>
  <c r="AY34"/>
  <c r="AY29"/>
  <c r="AY30"/>
  <c r="AY32" s="1"/>
  <c r="AY31"/>
  <c r="AY22"/>
  <c r="AY23"/>
  <c r="AY24"/>
  <c r="AY25"/>
  <c r="AY26" s="1"/>
  <c r="F59" i="82" s="1"/>
  <c r="F37" i="87"/>
  <c r="F21"/>
  <c r="F27"/>
  <c r="F38"/>
  <c r="F11"/>
  <c r="F13"/>
  <c r="F40"/>
  <c r="F43"/>
  <c r="AY48" i="1"/>
  <c r="AY49"/>
  <c r="AZ13"/>
  <c r="AZ14"/>
  <c r="AZ15"/>
  <c r="AZ16" s="1"/>
  <c r="AZ18" s="1"/>
  <c r="AZ17"/>
  <c r="AZ39"/>
  <c r="AZ40"/>
  <c r="AZ41"/>
  <c r="AZ42"/>
  <c r="AZ36"/>
  <c r="AZ35"/>
  <c r="AZ34"/>
  <c r="AZ29"/>
  <c r="AZ32" s="1"/>
  <c r="AZ30"/>
  <c r="AZ31"/>
  <c r="AZ22"/>
  <c r="AZ23"/>
  <c r="AZ24"/>
  <c r="AZ25"/>
  <c r="AZ26"/>
  <c r="F60" i="82" s="1"/>
  <c r="F21" i="96"/>
  <c r="F27"/>
  <c r="F37"/>
  <c r="F38"/>
  <c r="F11"/>
  <c r="F13"/>
  <c r="F40"/>
  <c r="F43"/>
  <c r="AZ48" i="1"/>
  <c r="AZ49"/>
  <c r="P25"/>
  <c r="P22"/>
  <c r="P23"/>
  <c r="P26" s="1"/>
  <c r="F23" i="82" s="1"/>
  <c r="P24" i="1"/>
  <c r="P31"/>
  <c r="P29"/>
  <c r="P30"/>
  <c r="P32" s="1"/>
  <c r="P41"/>
  <c r="P39"/>
  <c r="P40"/>
  <c r="P42"/>
  <c r="P36"/>
  <c r="P35"/>
  <c r="P34"/>
  <c r="P13"/>
  <c r="P14"/>
  <c r="P16" s="1"/>
  <c r="P18" s="1"/>
  <c r="P15"/>
  <c r="P17"/>
  <c r="F21" i="20"/>
  <c r="F27"/>
  <c r="F37"/>
  <c r="F38"/>
  <c r="F11"/>
  <c r="F13"/>
  <c r="F40"/>
  <c r="F43"/>
  <c r="P48" i="1"/>
  <c r="P49"/>
  <c r="S39"/>
  <c r="S40"/>
  <c r="S41"/>
  <c r="S42"/>
  <c r="S36"/>
  <c r="S35"/>
  <c r="S34"/>
  <c r="S29"/>
  <c r="S30"/>
  <c r="S32" s="1"/>
  <c r="S31"/>
  <c r="S22"/>
  <c r="S23"/>
  <c r="S26" s="1"/>
  <c r="F26" i="82" s="1"/>
  <c r="S24" i="1"/>
  <c r="S25"/>
  <c r="S13"/>
  <c r="S14"/>
  <c r="S16" s="1"/>
  <c r="S18" s="1"/>
  <c r="S15"/>
  <c r="S17"/>
  <c r="F37" i="23"/>
  <c r="F21"/>
  <c r="F27"/>
  <c r="F38"/>
  <c r="F11"/>
  <c r="F13"/>
  <c r="F40"/>
  <c r="F43"/>
  <c r="S48" i="1"/>
  <c r="S49"/>
  <c r="F43" i="5"/>
  <c r="E48" i="1"/>
  <c r="F44" i="5"/>
  <c r="E49" i="1"/>
  <c r="F71" i="5"/>
  <c r="F8"/>
  <c r="E13" i="1"/>
  <c r="F9" i="5"/>
  <c r="E14" i="1"/>
  <c r="F10" i="5"/>
  <c r="E15" i="1"/>
  <c r="E10" i="82"/>
  <c r="F12" i="5"/>
  <c r="E17" i="1"/>
  <c r="F34" i="5"/>
  <c r="E39" i="1"/>
  <c r="E42" s="1"/>
  <c r="F99" i="5"/>
  <c r="F35"/>
  <c r="E40" i="1"/>
  <c r="F36" i="5"/>
  <c r="E41" i="1"/>
  <c r="F31" i="5"/>
  <c r="E36" i="1"/>
  <c r="F30" i="5"/>
  <c r="E35" i="1"/>
  <c r="F29" i="5"/>
  <c r="E34" i="1"/>
  <c r="F24" i="5"/>
  <c r="E29" i="1"/>
  <c r="F25" i="5"/>
  <c r="E30" i="1"/>
  <c r="F26" i="5"/>
  <c r="E31" i="1"/>
  <c r="F81" i="5"/>
  <c r="F17"/>
  <c r="E22" i="1"/>
  <c r="F18" i="5"/>
  <c r="E23" i="1"/>
  <c r="F86" i="5"/>
  <c r="F19"/>
  <c r="E24" i="1"/>
  <c r="F20" i="5"/>
  <c r="E25" i="1"/>
  <c r="F13"/>
  <c r="F14"/>
  <c r="F16" s="1"/>
  <c r="F18" s="1"/>
  <c r="F15"/>
  <c r="F17"/>
  <c r="F39"/>
  <c r="F40"/>
  <c r="F42" s="1"/>
  <c r="F41"/>
  <c r="F36"/>
  <c r="F35"/>
  <c r="F34"/>
  <c r="F29"/>
  <c r="F30"/>
  <c r="F31"/>
  <c r="F32"/>
  <c r="F22"/>
  <c r="F23"/>
  <c r="F26" s="1"/>
  <c r="F11" i="82" s="1"/>
  <c r="F24" i="1"/>
  <c r="F25"/>
  <c r="F48"/>
  <c r="F49"/>
  <c r="G13"/>
  <c r="G14"/>
  <c r="G16" s="1"/>
  <c r="G18" s="1"/>
  <c r="G15"/>
  <c r="G17"/>
  <c r="G39"/>
  <c r="G40"/>
  <c r="G42" s="1"/>
  <c r="G41"/>
  <c r="G36"/>
  <c r="G35"/>
  <c r="G34"/>
  <c r="G29"/>
  <c r="G30"/>
  <c r="G31"/>
  <c r="G32"/>
  <c r="G22"/>
  <c r="G23"/>
  <c r="G26" s="1"/>
  <c r="F12" i="82" s="1"/>
  <c r="G24" i="1"/>
  <c r="G25"/>
  <c r="F11" i="8"/>
  <c r="F13"/>
  <c r="F40"/>
  <c r="F43"/>
  <c r="G48" i="1"/>
  <c r="F21" i="8"/>
  <c r="F38"/>
  <c r="F27"/>
  <c r="F37"/>
  <c r="G49" i="1"/>
  <c r="H13"/>
  <c r="H16" s="1"/>
  <c r="H18" s="1"/>
  <c r="H14"/>
  <c r="H15"/>
  <c r="H17"/>
  <c r="H39"/>
  <c r="H42" s="1"/>
  <c r="H40"/>
  <c r="H41"/>
  <c r="H36"/>
  <c r="H35"/>
  <c r="H34"/>
  <c r="H29"/>
  <c r="H30"/>
  <c r="H31"/>
  <c r="H32"/>
  <c r="H22"/>
  <c r="H23"/>
  <c r="H26" s="1"/>
  <c r="F13" i="82" s="1"/>
  <c r="H24" i="1"/>
  <c r="H25"/>
  <c r="H48"/>
  <c r="H49"/>
  <c r="I13"/>
  <c r="I14"/>
  <c r="I15"/>
  <c r="I16"/>
  <c r="I17"/>
  <c r="I18" s="1"/>
  <c r="I39"/>
  <c r="I40"/>
  <c r="I41"/>
  <c r="I42" s="1"/>
  <c r="I43" s="1"/>
  <c r="I36"/>
  <c r="I35"/>
  <c r="I34"/>
  <c r="I29"/>
  <c r="I30"/>
  <c r="I31"/>
  <c r="I32"/>
  <c r="I22"/>
  <c r="I23"/>
  <c r="I24"/>
  <c r="I25"/>
  <c r="I26"/>
  <c r="F14" i="82" s="1"/>
  <c r="I48" i="1"/>
  <c r="I49"/>
  <c r="J13"/>
  <c r="J14"/>
  <c r="J15"/>
  <c r="J16"/>
  <c r="J17"/>
  <c r="J18"/>
  <c r="E15" i="82" s="1"/>
  <c r="J39" i="1"/>
  <c r="J40"/>
  <c r="J41"/>
  <c r="J42"/>
  <c r="J36"/>
  <c r="J35"/>
  <c r="J34"/>
  <c r="J29"/>
  <c r="J30"/>
  <c r="J31"/>
  <c r="J32"/>
  <c r="J22"/>
  <c r="J23"/>
  <c r="J24"/>
  <c r="J25"/>
  <c r="J26"/>
  <c r="J43" s="1"/>
  <c r="J45" s="1"/>
  <c r="J52" s="1"/>
  <c r="F15" i="3" s="1"/>
  <c r="F15" i="82"/>
  <c r="J48" i="1"/>
  <c r="J49"/>
  <c r="K13"/>
  <c r="K14"/>
  <c r="K15"/>
  <c r="K16"/>
  <c r="K17"/>
  <c r="K18" s="1"/>
  <c r="K39"/>
  <c r="K40"/>
  <c r="K41"/>
  <c r="K42"/>
  <c r="K36"/>
  <c r="K35"/>
  <c r="K34"/>
  <c r="K29"/>
  <c r="K30"/>
  <c r="K31"/>
  <c r="K32"/>
  <c r="K22"/>
  <c r="K23"/>
  <c r="K24"/>
  <c r="K25"/>
  <c r="K26"/>
  <c r="F11" i="13"/>
  <c r="F13"/>
  <c r="F40"/>
  <c r="F43"/>
  <c r="K48" i="1"/>
  <c r="F21" i="13"/>
  <c r="F38"/>
  <c r="F27"/>
  <c r="F37"/>
  <c r="K49" i="1"/>
  <c r="L13"/>
  <c r="L14"/>
  <c r="L15"/>
  <c r="L16"/>
  <c r="L18"/>
  <c r="L17"/>
  <c r="L39"/>
  <c r="L40"/>
  <c r="L41"/>
  <c r="L42"/>
  <c r="L36"/>
  <c r="L35"/>
  <c r="L34"/>
  <c r="L29"/>
  <c r="L30"/>
  <c r="L31"/>
  <c r="L32" s="1"/>
  <c r="L22"/>
  <c r="L23"/>
  <c r="L24"/>
  <c r="L25"/>
  <c r="L26"/>
  <c r="F17" i="82" s="1"/>
  <c r="F11" i="28"/>
  <c r="F13"/>
  <c r="F21"/>
  <c r="F38"/>
  <c r="F40"/>
  <c r="F43"/>
  <c r="L48" i="1"/>
  <c r="F27" i="28"/>
  <c r="F37"/>
  <c r="L49" i="1"/>
  <c r="M13"/>
  <c r="M16" s="1"/>
  <c r="M18" s="1"/>
  <c r="M14"/>
  <c r="M15"/>
  <c r="M17"/>
  <c r="M39"/>
  <c r="M42" s="1"/>
  <c r="M40"/>
  <c r="M41"/>
  <c r="M36"/>
  <c r="M35"/>
  <c r="M34"/>
  <c r="M29"/>
  <c r="M30"/>
  <c r="M31"/>
  <c r="M32"/>
  <c r="M22"/>
  <c r="M23"/>
  <c r="M24"/>
  <c r="M26" s="1"/>
  <c r="F18" i="82" s="1"/>
  <c r="M25" i="1"/>
  <c r="M48"/>
  <c r="M49"/>
  <c r="F66"/>
  <c r="F56"/>
  <c r="F57"/>
  <c r="F61" s="1"/>
  <c r="F68" s="1"/>
  <c r="F58"/>
  <c r="F59"/>
  <c r="F60"/>
  <c r="F62"/>
  <c r="F63"/>
  <c r="F64"/>
  <c r="F65"/>
  <c r="F51" i="5"/>
  <c r="E56" i="1"/>
  <c r="E61" s="1"/>
  <c r="F121" i="5"/>
  <c r="F52"/>
  <c r="E57" i="1"/>
  <c r="F53" i="5"/>
  <c r="E58" i="1"/>
  <c r="G10" i="82" s="1"/>
  <c r="F54" i="5"/>
  <c r="E59" i="1"/>
  <c r="F55" i="5"/>
  <c r="E60" i="1"/>
  <c r="F57" i="5"/>
  <c r="E62" i="1"/>
  <c r="E64" s="1"/>
  <c r="F58" i="5"/>
  <c r="E63" i="1"/>
  <c r="E65"/>
  <c r="E66"/>
  <c r="G56"/>
  <c r="G57"/>
  <c r="G58"/>
  <c r="G59"/>
  <c r="G60"/>
  <c r="G61"/>
  <c r="G62"/>
  <c r="G63"/>
  <c r="G64"/>
  <c r="G65"/>
  <c r="G68" s="1"/>
  <c r="G12" i="3" s="1"/>
  <c r="F10" i="48" s="1"/>
  <c r="G66" i="1"/>
  <c r="H56"/>
  <c r="H61" s="1"/>
  <c r="H57"/>
  <c r="H58"/>
  <c r="H59"/>
  <c r="H60"/>
  <c r="H62"/>
  <c r="H63"/>
  <c r="H64" s="1"/>
  <c r="H65"/>
  <c r="H66"/>
  <c r="I56"/>
  <c r="I57"/>
  <c r="I58"/>
  <c r="I59"/>
  <c r="I60"/>
  <c r="I61"/>
  <c r="I62"/>
  <c r="I63"/>
  <c r="I64"/>
  <c r="I65"/>
  <c r="I68" s="1"/>
  <c r="I66"/>
  <c r="J56"/>
  <c r="J57"/>
  <c r="J61" s="1"/>
  <c r="J68" s="1"/>
  <c r="J58"/>
  <c r="J59"/>
  <c r="J60"/>
  <c r="J62"/>
  <c r="J63"/>
  <c r="J64"/>
  <c r="J65"/>
  <c r="J66"/>
  <c r="K56"/>
  <c r="K57"/>
  <c r="K58"/>
  <c r="K59"/>
  <c r="K60"/>
  <c r="K61"/>
  <c r="K62"/>
  <c r="K63"/>
  <c r="K64" s="1"/>
  <c r="K68" s="1"/>
  <c r="G16" i="3" s="1"/>
  <c r="F14" i="48" s="1"/>
  <c r="K65" i="1"/>
  <c r="K66"/>
  <c r="L56"/>
  <c r="L61" s="1"/>
  <c r="L57"/>
  <c r="L58"/>
  <c r="L59"/>
  <c r="L60"/>
  <c r="L62"/>
  <c r="L63"/>
  <c r="L64" s="1"/>
  <c r="L65"/>
  <c r="L66"/>
  <c r="M56"/>
  <c r="M57"/>
  <c r="M58"/>
  <c r="M59"/>
  <c r="M60"/>
  <c r="M61"/>
  <c r="M62"/>
  <c r="M63"/>
  <c r="M64"/>
  <c r="M68" s="1"/>
  <c r="M65"/>
  <c r="M66"/>
  <c r="O56"/>
  <c r="O61" s="1"/>
  <c r="O57"/>
  <c r="O58"/>
  <c r="O59"/>
  <c r="O60"/>
  <c r="O62"/>
  <c r="O63"/>
  <c r="O64" s="1"/>
  <c r="O65"/>
  <c r="O66"/>
  <c r="P56"/>
  <c r="P57"/>
  <c r="P58"/>
  <c r="P59"/>
  <c r="P60"/>
  <c r="P61"/>
  <c r="P62"/>
  <c r="P63"/>
  <c r="P64"/>
  <c r="P65"/>
  <c r="P68" s="1"/>
  <c r="G23" i="3" s="1"/>
  <c r="F18" i="48" s="1"/>
  <c r="P66" i="1"/>
  <c r="Q56"/>
  <c r="Q61" s="1"/>
  <c r="Q57"/>
  <c r="Q58"/>
  <c r="Q59"/>
  <c r="Q60"/>
  <c r="Q62"/>
  <c r="Q63"/>
  <c r="Q64" s="1"/>
  <c r="Q65"/>
  <c r="Q66"/>
  <c r="R56"/>
  <c r="R57"/>
  <c r="R58"/>
  <c r="R59"/>
  <c r="R60"/>
  <c r="R61"/>
  <c r="R62"/>
  <c r="R63"/>
  <c r="R64" s="1"/>
  <c r="R68" s="1"/>
  <c r="G25" i="3" s="1"/>
  <c r="F20" i="48" s="1"/>
  <c r="R65" i="1"/>
  <c r="R66"/>
  <c r="S56"/>
  <c r="S61" s="1"/>
  <c r="S68" s="1"/>
  <c r="G26" i="3" s="1"/>
  <c r="F21" i="48" s="1"/>
  <c r="S57" i="1"/>
  <c r="S58"/>
  <c r="S59"/>
  <c r="S60"/>
  <c r="S62"/>
  <c r="S63"/>
  <c r="S64"/>
  <c r="S65"/>
  <c r="S66"/>
  <c r="T56"/>
  <c r="T57"/>
  <c r="T58"/>
  <c r="T59"/>
  <c r="T60"/>
  <c r="T61"/>
  <c r="T62"/>
  <c r="T63"/>
  <c r="T64"/>
  <c r="T65"/>
  <c r="T68" s="1"/>
  <c r="G27" i="3" s="1"/>
  <c r="F22" i="48" s="1"/>
  <c r="T66" i="1"/>
  <c r="U56"/>
  <c r="U57"/>
  <c r="U58"/>
  <c r="U59"/>
  <c r="U60"/>
  <c r="U61"/>
  <c r="U62"/>
  <c r="U63"/>
  <c r="U64" s="1"/>
  <c r="U65"/>
  <c r="U66"/>
  <c r="V56"/>
  <c r="V57"/>
  <c r="V58"/>
  <c r="V59"/>
  <c r="V60"/>
  <c r="V61"/>
  <c r="V68" s="1"/>
  <c r="G29" i="3" s="1"/>
  <c r="F24" i="48" s="1"/>
  <c r="V62" i="1"/>
  <c r="V63"/>
  <c r="V64"/>
  <c r="V65"/>
  <c r="V66"/>
  <c r="W56"/>
  <c r="W57"/>
  <c r="W58"/>
  <c r="W59"/>
  <c r="W60"/>
  <c r="W61" s="1"/>
  <c r="W68" s="1"/>
  <c r="G30" i="3" s="1"/>
  <c r="F25" i="48" s="1"/>
  <c r="W62" i="1"/>
  <c r="W63"/>
  <c r="W64"/>
  <c r="W65"/>
  <c r="W66"/>
  <c r="X56"/>
  <c r="X57"/>
  <c r="X58"/>
  <c r="X59"/>
  <c r="X60"/>
  <c r="X61" s="1"/>
  <c r="X68" s="1"/>
  <c r="G31" i="3" s="1"/>
  <c r="F26" i="48" s="1"/>
  <c r="X62" i="1"/>
  <c r="X63"/>
  <c r="X64"/>
  <c r="X65"/>
  <c r="X66"/>
  <c r="Y56"/>
  <c r="Y57"/>
  <c r="Y58"/>
  <c r="Y59"/>
  <c r="Y60"/>
  <c r="Y61"/>
  <c r="Y62"/>
  <c r="Y63"/>
  <c r="Y64"/>
  <c r="Y65"/>
  <c r="Y66"/>
  <c r="Y68"/>
  <c r="G32" i="3" s="1"/>
  <c r="F27" i="48" s="1"/>
  <c r="Z56" i="1"/>
  <c r="Z57"/>
  <c r="Z58"/>
  <c r="Z59"/>
  <c r="Z61" s="1"/>
  <c r="Z68" s="1"/>
  <c r="G33" i="3" s="1"/>
  <c r="F28" i="48" s="1"/>
  <c r="Z60" i="1"/>
  <c r="Z62"/>
  <c r="Z63"/>
  <c r="Z64"/>
  <c r="Z65"/>
  <c r="Z66"/>
  <c r="AA56"/>
  <c r="AA57"/>
  <c r="AA58"/>
  <c r="AA59"/>
  <c r="AA60"/>
  <c r="AA61" s="1"/>
  <c r="AA68" s="1"/>
  <c r="G34" i="3" s="1"/>
  <c r="F29" i="48" s="1"/>
  <c r="AA62" i="1"/>
  <c r="AA63"/>
  <c r="AA64"/>
  <c r="AA65"/>
  <c r="AA66"/>
  <c r="AB56"/>
  <c r="AB57"/>
  <c r="AB58"/>
  <c r="AB59"/>
  <c r="AB60"/>
  <c r="AB61"/>
  <c r="AB62"/>
  <c r="AB63"/>
  <c r="AB64" s="1"/>
  <c r="AB68" s="1"/>
  <c r="G35" i="3" s="1"/>
  <c r="F30" i="48" s="1"/>
  <c r="AB65" i="1"/>
  <c r="AB66"/>
  <c r="AC56"/>
  <c r="AC57"/>
  <c r="AC58"/>
  <c r="AC59"/>
  <c r="AC60"/>
  <c r="AC61"/>
  <c r="AC62"/>
  <c r="AC63"/>
  <c r="AC64" s="1"/>
  <c r="AC68" s="1"/>
  <c r="G36" i="3" s="1"/>
  <c r="F31" i="48" s="1"/>
  <c r="AC65" i="1"/>
  <c r="AC66"/>
  <c r="AH56"/>
  <c r="AH57"/>
  <c r="AH58"/>
  <c r="AH59"/>
  <c r="AH60"/>
  <c r="AH61"/>
  <c r="AH62"/>
  <c r="AH63"/>
  <c r="AH64" s="1"/>
  <c r="AH65"/>
  <c r="AH66"/>
  <c r="AS56"/>
  <c r="AS57"/>
  <c r="AS58"/>
  <c r="AS59"/>
  <c r="AS60"/>
  <c r="AS61"/>
  <c r="AS62"/>
  <c r="AS63"/>
  <c r="AS64" s="1"/>
  <c r="AS68" s="1"/>
  <c r="AS65"/>
  <c r="AS66"/>
  <c r="AR56"/>
  <c r="AR57"/>
  <c r="AR58"/>
  <c r="AR59"/>
  <c r="AR60"/>
  <c r="AR61"/>
  <c r="AR63"/>
  <c r="AR62"/>
  <c r="AR64" s="1"/>
  <c r="AR68" s="1"/>
  <c r="AR66"/>
  <c r="AR65"/>
  <c r="AL56"/>
  <c r="AL57"/>
  <c r="AL58"/>
  <c r="AL59"/>
  <c r="AL60"/>
  <c r="AL61" s="1"/>
  <c r="AL68" s="1"/>
  <c r="AL62"/>
  <c r="AL63"/>
  <c r="AL64"/>
  <c r="AL65"/>
  <c r="AL66"/>
  <c r="AP56"/>
  <c r="AP57"/>
  <c r="AP58"/>
  <c r="AP59"/>
  <c r="AP60"/>
  <c r="AP61" s="1"/>
  <c r="AP68" s="1"/>
  <c r="AP62"/>
  <c r="AP63"/>
  <c r="AP64"/>
  <c r="AP65"/>
  <c r="AP66"/>
  <c r="AT56"/>
  <c r="AT57"/>
  <c r="AT58"/>
  <c r="AT59"/>
  <c r="AT60"/>
  <c r="AT61"/>
  <c r="AT62"/>
  <c r="AT63"/>
  <c r="AT64" s="1"/>
  <c r="AT68" s="1"/>
  <c r="AT65"/>
  <c r="AT66"/>
  <c r="AU56"/>
  <c r="AU57"/>
  <c r="AU58"/>
  <c r="AU59"/>
  <c r="AU60"/>
  <c r="AU61"/>
  <c r="AU62"/>
  <c r="AU63"/>
  <c r="AU64"/>
  <c r="AU65"/>
  <c r="AU68" s="1"/>
  <c r="AU66"/>
  <c r="AI59"/>
  <c r="AI60"/>
  <c r="AI63"/>
  <c r="AI64"/>
  <c r="AI65"/>
  <c r="AJ56"/>
  <c r="AJ57"/>
  <c r="AJ58"/>
  <c r="AJ59"/>
  <c r="AJ60"/>
  <c r="AJ61" s="1"/>
  <c r="AJ68" s="1"/>
  <c r="G46" i="3" s="1"/>
  <c r="F34" i="48" s="1"/>
  <c r="AJ62" i="1"/>
  <c r="AJ63"/>
  <c r="AJ64"/>
  <c r="AJ65"/>
  <c r="AJ66"/>
  <c r="AK56"/>
  <c r="AK57"/>
  <c r="AK58"/>
  <c r="AK59"/>
  <c r="AK60"/>
  <c r="AK61"/>
  <c r="AK62"/>
  <c r="AK63"/>
  <c r="AK64"/>
  <c r="AK68" s="1"/>
  <c r="G47" i="3" s="1"/>
  <c r="F35" i="48" s="1"/>
  <c r="AK65" i="1"/>
  <c r="AK66"/>
  <c r="AM63"/>
  <c r="AM64"/>
  <c r="AM68" s="1"/>
  <c r="G49" i="3" s="1"/>
  <c r="F37" i="48" s="1"/>
  <c r="AM65" i="1"/>
  <c r="AN63"/>
  <c r="AN64" s="1"/>
  <c r="AN68" s="1"/>
  <c r="G50" i="3" s="1"/>
  <c r="F38" i="48" s="1"/>
  <c r="AN65" i="1"/>
  <c r="AV56"/>
  <c r="AV57"/>
  <c r="AV58"/>
  <c r="AV59"/>
  <c r="AV60"/>
  <c r="AV61"/>
  <c r="AV62"/>
  <c r="AV63"/>
  <c r="AV64"/>
  <c r="AV65"/>
  <c r="AV68" s="1"/>
  <c r="G58" i="3" s="1"/>
  <c r="F46" i="48" s="1"/>
  <c r="AV66" i="1"/>
  <c r="AX56"/>
  <c r="AX61" s="1"/>
  <c r="AX68" s="1"/>
  <c r="AX57"/>
  <c r="AX58"/>
  <c r="AX59"/>
  <c r="AX60"/>
  <c r="AX62"/>
  <c r="AX63"/>
  <c r="AX64"/>
  <c r="AX65"/>
  <c r="AX66"/>
  <c r="AY56"/>
  <c r="AY57"/>
  <c r="AY58"/>
  <c r="AY59"/>
  <c r="AY60"/>
  <c r="AY61"/>
  <c r="AY62"/>
  <c r="AY63"/>
  <c r="AY64"/>
  <c r="AY65"/>
  <c r="AY68" s="1"/>
  <c r="G61" i="3" s="1"/>
  <c r="F49" i="48" s="1"/>
  <c r="AY66" i="1"/>
  <c r="S12" i="51"/>
  <c r="F55" i="48"/>
  <c r="AC13" i="1"/>
  <c r="AC14"/>
  <c r="AC15"/>
  <c r="AC16"/>
  <c r="AC17"/>
  <c r="AC18"/>
  <c r="AC39"/>
  <c r="AC40"/>
  <c r="AC41"/>
  <c r="AC42"/>
  <c r="AC36"/>
  <c r="AC35"/>
  <c r="AC34"/>
  <c r="AC29"/>
  <c r="AC30"/>
  <c r="AC31"/>
  <c r="AC32"/>
  <c r="AC22"/>
  <c r="AC23"/>
  <c r="AC24"/>
  <c r="AC25"/>
  <c r="AC26"/>
  <c r="AC43" s="1"/>
  <c r="AC45" s="1"/>
  <c r="F36" i="82"/>
  <c r="AC49" i="1"/>
  <c r="R39"/>
  <c r="R40"/>
  <c r="R41"/>
  <c r="R42"/>
  <c r="R36"/>
  <c r="R35"/>
  <c r="R34"/>
  <c r="R29"/>
  <c r="R30"/>
  <c r="R31"/>
  <c r="R32"/>
  <c r="R22"/>
  <c r="R23"/>
  <c r="R24"/>
  <c r="R25"/>
  <c r="R26"/>
  <c r="R13"/>
  <c r="R14"/>
  <c r="R15"/>
  <c r="R16"/>
  <c r="R17"/>
  <c r="R18"/>
  <c r="R48"/>
  <c r="R49"/>
  <c r="T48"/>
  <c r="T49"/>
  <c r="T13"/>
  <c r="T14"/>
  <c r="T15"/>
  <c r="T16"/>
  <c r="T18"/>
  <c r="T17"/>
  <c r="T39"/>
  <c r="T42" s="1"/>
  <c r="T43" s="1"/>
  <c r="T40"/>
  <c r="T41"/>
  <c r="T36"/>
  <c r="T35"/>
  <c r="T34"/>
  <c r="T29"/>
  <c r="T30"/>
  <c r="T31"/>
  <c r="T32"/>
  <c r="T22"/>
  <c r="T23"/>
  <c r="T24"/>
  <c r="T25"/>
  <c r="T26" s="1"/>
  <c r="F27" i="82" s="1"/>
  <c r="AB39" i="1"/>
  <c r="AB40"/>
  <c r="AB41"/>
  <c r="AB42" s="1"/>
  <c r="AB43" s="1"/>
  <c r="AB36"/>
  <c r="AB35"/>
  <c r="AB34"/>
  <c r="AB29"/>
  <c r="AB30"/>
  <c r="AB31"/>
  <c r="AB32"/>
  <c r="AB22"/>
  <c r="AB23"/>
  <c r="AB24"/>
  <c r="AB25"/>
  <c r="AB26" s="1"/>
  <c r="F35" i="82" s="1"/>
  <c r="AB13" i="1"/>
  <c r="AB14"/>
  <c r="AB15"/>
  <c r="AB16" s="1"/>
  <c r="AB18" s="1"/>
  <c r="AB17"/>
  <c r="F37" i="79"/>
  <c r="F21"/>
  <c r="F27"/>
  <c r="F38"/>
  <c r="F11"/>
  <c r="F13"/>
  <c r="F40"/>
  <c r="F43"/>
  <c r="AB48" i="1"/>
  <c r="AB49"/>
  <c r="U13"/>
  <c r="U14"/>
  <c r="U15"/>
  <c r="U16" s="1"/>
  <c r="U18" s="1"/>
  <c r="U17"/>
  <c r="U22"/>
  <c r="U23"/>
  <c r="U24"/>
  <c r="U25"/>
  <c r="U26"/>
  <c r="F28" i="82" s="1"/>
  <c r="U31" i="1"/>
  <c r="U29"/>
  <c r="U30"/>
  <c r="U32" s="1"/>
  <c r="U34"/>
  <c r="U39"/>
  <c r="U40"/>
  <c r="U41"/>
  <c r="U42"/>
  <c r="U43" s="1"/>
  <c r="U36"/>
  <c r="U35"/>
  <c r="U48"/>
  <c r="U49"/>
  <c r="O13"/>
  <c r="O14"/>
  <c r="O15"/>
  <c r="O16" s="1"/>
  <c r="O18" s="1"/>
  <c r="O45" s="1"/>
  <c r="O17"/>
  <c r="O39"/>
  <c r="O40"/>
  <c r="O41"/>
  <c r="O42"/>
  <c r="O36"/>
  <c r="O35"/>
  <c r="O34"/>
  <c r="O29"/>
  <c r="O30"/>
  <c r="F26" i="19"/>
  <c r="O31" i="1"/>
  <c r="O32"/>
  <c r="O22"/>
  <c r="O23"/>
  <c r="O24"/>
  <c r="O25"/>
  <c r="O26"/>
  <c r="F22" i="82" s="1"/>
  <c r="O43" i="1"/>
  <c r="F11" i="19"/>
  <c r="F13"/>
  <c r="F21"/>
  <c r="F38"/>
  <c r="F27"/>
  <c r="F37"/>
  <c r="O49" i="1"/>
  <c r="Q13"/>
  <c r="Q16" s="1"/>
  <c r="Q18" s="1"/>
  <c r="Q14"/>
  <c r="Q15"/>
  <c r="Q17"/>
  <c r="Q39"/>
  <c r="Q40"/>
  <c r="Q41"/>
  <c r="Q42" s="1"/>
  <c r="Q43" s="1"/>
  <c r="Q36"/>
  <c r="Q35"/>
  <c r="Q34"/>
  <c r="Q29"/>
  <c r="Q30"/>
  <c r="Q31"/>
  <c r="Q32"/>
  <c r="Q22"/>
  <c r="Q23"/>
  <c r="Q24"/>
  <c r="Q25"/>
  <c r="Q26"/>
  <c r="F24" i="82" s="1"/>
  <c r="F11" i="21"/>
  <c r="F13"/>
  <c r="F40"/>
  <c r="F43"/>
  <c r="Q48" i="1"/>
  <c r="F21" i="21"/>
  <c r="F38"/>
  <c r="F27"/>
  <c r="F37"/>
  <c r="Q49" i="1"/>
  <c r="V13"/>
  <c r="V14"/>
  <c r="V15"/>
  <c r="V16"/>
  <c r="V18"/>
  <c r="V17"/>
  <c r="V39"/>
  <c r="V40"/>
  <c r="V41"/>
  <c r="V42" s="1"/>
  <c r="V36"/>
  <c r="V35"/>
  <c r="V34"/>
  <c r="V29"/>
  <c r="V30"/>
  <c r="V31"/>
  <c r="V32"/>
  <c r="V22"/>
  <c r="V23"/>
  <c r="V24"/>
  <c r="V25"/>
  <c r="V26"/>
  <c r="F29" i="82"/>
  <c r="F11" i="38"/>
  <c r="F13"/>
  <c r="F21"/>
  <c r="F27"/>
  <c r="F37"/>
  <c r="F38"/>
  <c r="V49" i="1"/>
  <c r="W13"/>
  <c r="W14"/>
  <c r="W15"/>
  <c r="W16"/>
  <c r="W17"/>
  <c r="W18"/>
  <c r="W39"/>
  <c r="W40"/>
  <c r="W41"/>
  <c r="W42"/>
  <c r="W36"/>
  <c r="W35"/>
  <c r="W34"/>
  <c r="W29"/>
  <c r="W30"/>
  <c r="W31"/>
  <c r="W32"/>
  <c r="W22"/>
  <c r="W23"/>
  <c r="W24"/>
  <c r="W25"/>
  <c r="W26" s="1"/>
  <c r="F11" i="29"/>
  <c r="F13"/>
  <c r="F21"/>
  <c r="F38"/>
  <c r="F27"/>
  <c r="F37"/>
  <c r="W49" i="1"/>
  <c r="X13"/>
  <c r="X14"/>
  <c r="X15"/>
  <c r="X16"/>
  <c r="X18" s="1"/>
  <c r="X17"/>
  <c r="X39"/>
  <c r="X40"/>
  <c r="X41"/>
  <c r="X42"/>
  <c r="X36"/>
  <c r="X35"/>
  <c r="X34"/>
  <c r="X29"/>
  <c r="X30"/>
  <c r="X31"/>
  <c r="X32" s="1"/>
  <c r="X22"/>
  <c r="X23"/>
  <c r="X24"/>
  <c r="X25"/>
  <c r="X26"/>
  <c r="F11" i="30"/>
  <c r="F13"/>
  <c r="F21"/>
  <c r="F38"/>
  <c r="F27"/>
  <c r="F37"/>
  <c r="X49" i="1"/>
  <c r="Y13"/>
  <c r="Y14"/>
  <c r="Y15"/>
  <c r="Y16"/>
  <c r="Y18" s="1"/>
  <c r="Y17"/>
  <c r="Y39"/>
  <c r="Y40"/>
  <c r="Y41"/>
  <c r="Y42"/>
  <c r="Y36"/>
  <c r="Y43" s="1"/>
  <c r="Y35"/>
  <c r="Y34"/>
  <c r="Y29"/>
  <c r="Y30"/>
  <c r="Y31"/>
  <c r="Y32"/>
  <c r="Y22"/>
  <c r="Y23"/>
  <c r="Y24"/>
  <c r="Y25"/>
  <c r="Y26"/>
  <c r="F32" i="82" s="1"/>
  <c r="F11" i="37"/>
  <c r="F13"/>
  <c r="F40"/>
  <c r="F43"/>
  <c r="Y48" i="1"/>
  <c r="F21" i="37"/>
  <c r="F38"/>
  <c r="F27"/>
  <c r="F37"/>
  <c r="Y49" i="1"/>
  <c r="Z13"/>
  <c r="Z14"/>
  <c r="Z15"/>
  <c r="Z16" s="1"/>
  <c r="Z18" s="1"/>
  <c r="Z17"/>
  <c r="Z39"/>
  <c r="Z40"/>
  <c r="Z41"/>
  <c r="Z42" s="1"/>
  <c r="Z36"/>
  <c r="Z35"/>
  <c r="Z34"/>
  <c r="Z29"/>
  <c r="Z30"/>
  <c r="Z31"/>
  <c r="Z32"/>
  <c r="Z22"/>
  <c r="Z23"/>
  <c r="Z24"/>
  <c r="Z25"/>
  <c r="Z26" s="1"/>
  <c r="F33" i="82" s="1"/>
  <c r="F11" i="76"/>
  <c r="F13"/>
  <c r="F21"/>
  <c r="F27"/>
  <c r="F37"/>
  <c r="F38"/>
  <c r="Z49" i="1"/>
  <c r="AA13"/>
  <c r="AA14"/>
  <c r="AA15"/>
  <c r="AA16"/>
  <c r="AA17"/>
  <c r="AA18" s="1"/>
  <c r="AA39"/>
  <c r="AA40"/>
  <c r="AA41"/>
  <c r="AA42"/>
  <c r="AA36"/>
  <c r="AA35"/>
  <c r="AA34"/>
  <c r="AA29"/>
  <c r="AA30"/>
  <c r="AA31"/>
  <c r="AA32"/>
  <c r="AA22"/>
  <c r="AA23"/>
  <c r="AA24"/>
  <c r="AA25"/>
  <c r="AA26" s="1"/>
  <c r="F34" i="82" s="1"/>
  <c r="F11" i="65"/>
  <c r="F13"/>
  <c r="F21"/>
  <c r="F27"/>
  <c r="F37"/>
  <c r="F38"/>
  <c r="F40"/>
  <c r="F43"/>
  <c r="AA48" i="1"/>
  <c r="AA49"/>
  <c r="F39" i="3"/>
  <c r="AR22" i="1"/>
  <c r="AR24"/>
  <c r="AR23"/>
  <c r="AR26" s="1"/>
  <c r="F52" i="82" s="1"/>
  <c r="AR25" i="1"/>
  <c r="AJ22"/>
  <c r="AJ23"/>
  <c r="AJ24"/>
  <c r="AJ25"/>
  <c r="AJ26"/>
  <c r="F46" i="82" s="1"/>
  <c r="AK22" i="1"/>
  <c r="AK23"/>
  <c r="AK24"/>
  <c r="AK26" s="1"/>
  <c r="F47" i="82" s="1"/>
  <c r="AK25" i="1"/>
  <c r="AH23"/>
  <c r="AH24"/>
  <c r="AH25"/>
  <c r="AL22"/>
  <c r="AL23"/>
  <c r="AL24"/>
  <c r="AL26" s="1"/>
  <c r="AL25"/>
  <c r="AM22"/>
  <c r="AM23"/>
  <c r="AM24"/>
  <c r="AM25"/>
  <c r="AM26"/>
  <c r="F49" i="82" s="1"/>
  <c r="AN22" i="1"/>
  <c r="AN23"/>
  <c r="AN24"/>
  <c r="AN26" s="1"/>
  <c r="F50" i="82" s="1"/>
  <c r="AN25" i="1"/>
  <c r="AP22"/>
  <c r="AP23"/>
  <c r="AP24"/>
  <c r="AP25"/>
  <c r="AP26"/>
  <c r="F51" i="82" s="1"/>
  <c r="AS22" i="1"/>
  <c r="AS23"/>
  <c r="AS24"/>
  <c r="AS26" s="1"/>
  <c r="F53" i="82" s="1"/>
  <c r="AS25" i="1"/>
  <c r="AT22"/>
  <c r="AT23"/>
  <c r="AT24"/>
  <c r="AT25"/>
  <c r="AT26"/>
  <c r="F54" i="82" s="1"/>
  <c r="AU22" i="1"/>
  <c r="AU23"/>
  <c r="AU24"/>
  <c r="AU25"/>
  <c r="AU26"/>
  <c r="F55" i="82" s="1"/>
  <c r="AV22" i="1"/>
  <c r="AV23"/>
  <c r="AV24"/>
  <c r="AV25"/>
  <c r="AV26"/>
  <c r="F56" i="82" s="1"/>
  <c r="AI22" i="1"/>
  <c r="AI23"/>
  <c r="AI24"/>
  <c r="AI25"/>
  <c r="AI26"/>
  <c r="F45" i="82"/>
  <c r="AI39" i="1"/>
  <c r="AI40"/>
  <c r="AI41"/>
  <c r="AI42"/>
  <c r="AI36"/>
  <c r="AI35"/>
  <c r="AI34"/>
  <c r="AI29"/>
  <c r="AI30"/>
  <c r="AI31"/>
  <c r="AI32"/>
  <c r="AI13"/>
  <c r="AI14"/>
  <c r="AI15"/>
  <c r="AI16"/>
  <c r="AH13"/>
  <c r="AH14"/>
  <c r="AH15"/>
  <c r="AH16"/>
  <c r="AH17"/>
  <c r="AH18" s="1"/>
  <c r="E44" i="82" s="1"/>
  <c r="AL13" i="1"/>
  <c r="AL14"/>
  <c r="AL15"/>
  <c r="AL16"/>
  <c r="AL17"/>
  <c r="AL18"/>
  <c r="AI17"/>
  <c r="AI18" s="1"/>
  <c r="F21" i="81"/>
  <c r="F27"/>
  <c r="F37"/>
  <c r="F38"/>
  <c r="F11"/>
  <c r="F13"/>
  <c r="AI49" i="1"/>
  <c r="AR39"/>
  <c r="AR40"/>
  <c r="AR41"/>
  <c r="AR42"/>
  <c r="AR36"/>
  <c r="AR35"/>
  <c r="AR34"/>
  <c r="AR29"/>
  <c r="AR30"/>
  <c r="AR31"/>
  <c r="AR32" s="1"/>
  <c r="AR13"/>
  <c r="AR14"/>
  <c r="AR15"/>
  <c r="AR16"/>
  <c r="AR17"/>
  <c r="AR18" s="1"/>
  <c r="F21" i="77"/>
  <c r="F27"/>
  <c r="F37"/>
  <c r="F38"/>
  <c r="F11"/>
  <c r="F13"/>
  <c r="F40"/>
  <c r="F43"/>
  <c r="AR48" i="1"/>
  <c r="AR49"/>
  <c r="AJ29"/>
  <c r="AJ30"/>
  <c r="AJ31"/>
  <c r="AJ32"/>
  <c r="AJ34"/>
  <c r="AJ35"/>
  <c r="AJ36"/>
  <c r="AJ39"/>
  <c r="AJ40"/>
  <c r="AJ41"/>
  <c r="AJ42"/>
  <c r="AJ43"/>
  <c r="AJ13"/>
  <c r="AJ14"/>
  <c r="AJ15"/>
  <c r="AJ16"/>
  <c r="AJ17"/>
  <c r="AJ18"/>
  <c r="AJ45" s="1"/>
  <c r="F21" i="68"/>
  <c r="F27"/>
  <c r="F37"/>
  <c r="F38"/>
  <c r="F11"/>
  <c r="F13"/>
  <c r="AJ49" i="1"/>
  <c r="AK39"/>
  <c r="AK40"/>
  <c r="AK41"/>
  <c r="AK42"/>
  <c r="AK43" s="1"/>
  <c r="AK36"/>
  <c r="AK35"/>
  <c r="AK34"/>
  <c r="AK29"/>
  <c r="AK30"/>
  <c r="AK31"/>
  <c r="AK32"/>
  <c r="AK13"/>
  <c r="AK14"/>
  <c r="AK15"/>
  <c r="AK16"/>
  <c r="AK17"/>
  <c r="AK18" s="1"/>
  <c r="AK45" s="1"/>
  <c r="F21" i="72"/>
  <c r="F37"/>
  <c r="F27"/>
  <c r="F38"/>
  <c r="F11"/>
  <c r="F13"/>
  <c r="F40"/>
  <c r="F43"/>
  <c r="AK48" i="1"/>
  <c r="AK49"/>
  <c r="AH39"/>
  <c r="AH40"/>
  <c r="AH41"/>
  <c r="AH42" s="1"/>
  <c r="AH36"/>
  <c r="AH35"/>
  <c r="AH34"/>
  <c r="AH29"/>
  <c r="AH30"/>
  <c r="AH31"/>
  <c r="AH49"/>
  <c r="AL39"/>
  <c r="AL40"/>
  <c r="AL41"/>
  <c r="AL42"/>
  <c r="AL36"/>
  <c r="AL35"/>
  <c r="AL34"/>
  <c r="AL29"/>
  <c r="AL30"/>
  <c r="AL31"/>
  <c r="AL32"/>
  <c r="F11" i="70"/>
  <c r="F13"/>
  <c r="F21"/>
  <c r="F38"/>
  <c r="F27"/>
  <c r="F37"/>
  <c r="AL49" i="1"/>
  <c r="AM13"/>
  <c r="AM14"/>
  <c r="AM15"/>
  <c r="AM16"/>
  <c r="AM18" s="1"/>
  <c r="AM45" s="1"/>
  <c r="AM17"/>
  <c r="AM39"/>
  <c r="AM40"/>
  <c r="AM41"/>
  <c r="AM42"/>
  <c r="AM36"/>
  <c r="AM35"/>
  <c r="AM34"/>
  <c r="AM29"/>
  <c r="AM30"/>
  <c r="AM31"/>
  <c r="AM32" s="1"/>
  <c r="AM43" s="1"/>
  <c r="F11" i="69"/>
  <c r="F13"/>
  <c r="F40"/>
  <c r="F43"/>
  <c r="AM48" i="1"/>
  <c r="F21" i="69"/>
  <c r="F38"/>
  <c r="F27"/>
  <c r="F37"/>
  <c r="AM49" i="1"/>
  <c r="AN13"/>
  <c r="AN16" s="1"/>
  <c r="AN18" s="1"/>
  <c r="AN14"/>
  <c r="AN15"/>
  <c r="AN17"/>
  <c r="AN39"/>
  <c r="AN42" s="1"/>
  <c r="AN40"/>
  <c r="AN41"/>
  <c r="AN36"/>
  <c r="AN35"/>
  <c r="AN34"/>
  <c r="AN29"/>
  <c r="AN30"/>
  <c r="AN31"/>
  <c r="AN32" s="1"/>
  <c r="F11" i="73"/>
  <c r="F13"/>
  <c r="F21"/>
  <c r="F27"/>
  <c r="F37"/>
  <c r="F38"/>
  <c r="F40"/>
  <c r="F43"/>
  <c r="AN48" i="1"/>
  <c r="AN49"/>
  <c r="AO13"/>
  <c r="AO14"/>
  <c r="AO15"/>
  <c r="AO16"/>
  <c r="AO17"/>
  <c r="AO18"/>
  <c r="AO39"/>
  <c r="AO40"/>
  <c r="AO41"/>
  <c r="AO42"/>
  <c r="AO36"/>
  <c r="AO35"/>
  <c r="AO34"/>
  <c r="AO29"/>
  <c r="AO30"/>
  <c r="AO32" s="1"/>
  <c r="AO43" s="1"/>
  <c r="AO45" s="1"/>
  <c r="AO31"/>
  <c r="AO22"/>
  <c r="AO23"/>
  <c r="AO24"/>
  <c r="AO25"/>
  <c r="AO26"/>
  <c r="F11" i="74"/>
  <c r="F13"/>
  <c r="F21"/>
  <c r="F27"/>
  <c r="F37"/>
  <c r="F38"/>
  <c r="F40"/>
  <c r="F43"/>
  <c r="AO48" i="1"/>
  <c r="AO49"/>
  <c r="AP13"/>
  <c r="AP14"/>
  <c r="AP15"/>
  <c r="AP16" s="1"/>
  <c r="AP18" s="1"/>
  <c r="AP45" s="1"/>
  <c r="AP17"/>
  <c r="AP39"/>
  <c r="AP40"/>
  <c r="AP41"/>
  <c r="AP42"/>
  <c r="AP36"/>
  <c r="AP35"/>
  <c r="AP34"/>
  <c r="AP29"/>
  <c r="AP30"/>
  <c r="AP31"/>
  <c r="AP32"/>
  <c r="AP43"/>
  <c r="F11" i="34"/>
  <c r="F13"/>
  <c r="F40"/>
  <c r="F43"/>
  <c r="AP48" i="1"/>
  <c r="F21" i="34"/>
  <c r="F38"/>
  <c r="F27"/>
  <c r="F37"/>
  <c r="AP49" i="1"/>
  <c r="AS13"/>
  <c r="AS14"/>
  <c r="AS16" s="1"/>
  <c r="AS18" s="1"/>
  <c r="AS15"/>
  <c r="AS17"/>
  <c r="AS39"/>
  <c r="AS42" s="1"/>
  <c r="AS43" s="1"/>
  <c r="AS40"/>
  <c r="AS41"/>
  <c r="AS36"/>
  <c r="AS35"/>
  <c r="AS34"/>
  <c r="AS29"/>
  <c r="AS30"/>
  <c r="AS31"/>
  <c r="AS32"/>
  <c r="F11" i="78"/>
  <c r="F13"/>
  <c r="F21"/>
  <c r="F27"/>
  <c r="F37"/>
  <c r="F38"/>
  <c r="F40"/>
  <c r="F43"/>
  <c r="AS48" i="1"/>
  <c r="AS49"/>
  <c r="AT13"/>
  <c r="AT14"/>
  <c r="AT15"/>
  <c r="AT16"/>
  <c r="AT17"/>
  <c r="AT18"/>
  <c r="AT39"/>
  <c r="AT40"/>
  <c r="AT41"/>
  <c r="AT42"/>
  <c r="AT36"/>
  <c r="AT35"/>
  <c r="AT34"/>
  <c r="AT29"/>
  <c r="AT30"/>
  <c r="AT31"/>
  <c r="AT32"/>
  <c r="AT43"/>
  <c r="AT45" s="1"/>
  <c r="F11" i="83"/>
  <c r="F13"/>
  <c r="F40"/>
  <c r="F43"/>
  <c r="AT48" i="1"/>
  <c r="F21" i="83"/>
  <c r="F38"/>
  <c r="F27"/>
  <c r="F37"/>
  <c r="AT49" i="1"/>
  <c r="AU13"/>
  <c r="AU14"/>
  <c r="AU15"/>
  <c r="AU16" s="1"/>
  <c r="AU18" s="1"/>
  <c r="AU17"/>
  <c r="AU39"/>
  <c r="AU40"/>
  <c r="AU41"/>
  <c r="AU42" s="1"/>
  <c r="AU43" s="1"/>
  <c r="AU36"/>
  <c r="AU35"/>
  <c r="AU34"/>
  <c r="AU29"/>
  <c r="AU30"/>
  <c r="AU31"/>
  <c r="AU32"/>
  <c r="F11" i="80"/>
  <c r="F13"/>
  <c r="F21"/>
  <c r="F38"/>
  <c r="F27"/>
  <c r="F37"/>
  <c r="AU49" i="1"/>
  <c r="AV13"/>
  <c r="AV14"/>
  <c r="AV15"/>
  <c r="AV16"/>
  <c r="AV17"/>
  <c r="AV18" s="1"/>
  <c r="AV39"/>
  <c r="AV40"/>
  <c r="AV41"/>
  <c r="AV42" s="1"/>
  <c r="AV43" s="1"/>
  <c r="AV36"/>
  <c r="AV35"/>
  <c r="AV34"/>
  <c r="AV29"/>
  <c r="AV30"/>
  <c r="AV31"/>
  <c r="AV32"/>
  <c r="F11" i="84"/>
  <c r="F13"/>
  <c r="F21"/>
  <c r="F27"/>
  <c r="F37"/>
  <c r="F38"/>
  <c r="F40"/>
  <c r="F43"/>
  <c r="AV48" i="1"/>
  <c r="AV49"/>
  <c r="AW56"/>
  <c r="AW57"/>
  <c r="AW58"/>
  <c r="AW59"/>
  <c r="AW60"/>
  <c r="AW61" s="1"/>
  <c r="AW68" s="1"/>
  <c r="AW62"/>
  <c r="AW63"/>
  <c r="AW64"/>
  <c r="AW65"/>
  <c r="AW66"/>
  <c r="AZ56"/>
  <c r="AZ57"/>
  <c r="AZ58"/>
  <c r="AZ59"/>
  <c r="AZ60"/>
  <c r="AZ61"/>
  <c r="AZ62"/>
  <c r="AZ63"/>
  <c r="AZ64"/>
  <c r="AZ68" s="1"/>
  <c r="AZ65"/>
  <c r="AZ66"/>
  <c r="G39" i="3"/>
  <c r="G63"/>
  <c r="F51" i="48"/>
  <c r="B63" i="3"/>
  <c r="B51" i="48" s="1"/>
  <c r="B62" i="3"/>
  <c r="B50" i="48" s="1"/>
  <c r="A63" i="3"/>
  <c r="A51" i="48" s="1"/>
  <c r="A62" i="3"/>
  <c r="A50" i="48" s="1"/>
  <c r="A1" i="97"/>
  <c r="A3"/>
  <c r="E8"/>
  <c r="H8"/>
  <c r="H9"/>
  <c r="H10"/>
  <c r="E11"/>
  <c r="G11"/>
  <c r="H11"/>
  <c r="H12"/>
  <c r="E13"/>
  <c r="G13"/>
  <c r="H13"/>
  <c r="E17"/>
  <c r="H17"/>
  <c r="H18"/>
  <c r="E19"/>
  <c r="H19"/>
  <c r="E20"/>
  <c r="H20"/>
  <c r="G21"/>
  <c r="E24"/>
  <c r="H24"/>
  <c r="H25"/>
  <c r="C109"/>
  <c r="F73"/>
  <c r="F76"/>
  <c r="F78"/>
  <c r="F74"/>
  <c r="F75"/>
  <c r="F77"/>
  <c r="F82"/>
  <c r="F83"/>
  <c r="F84"/>
  <c r="F85"/>
  <c r="F86"/>
  <c r="F89"/>
  <c r="F90"/>
  <c r="F92"/>
  <c r="F94"/>
  <c r="F95"/>
  <c r="F96"/>
  <c r="F99"/>
  <c r="F100"/>
  <c r="F101"/>
  <c r="F102"/>
  <c r="E29"/>
  <c r="H29"/>
  <c r="E30"/>
  <c r="H30"/>
  <c r="E31"/>
  <c r="H31"/>
  <c r="E34"/>
  <c r="H34"/>
  <c r="H35"/>
  <c r="H36"/>
  <c r="E37"/>
  <c r="G37"/>
  <c r="H37"/>
  <c r="H44"/>
  <c r="H45"/>
  <c r="F47"/>
  <c r="H51"/>
  <c r="E52"/>
  <c r="H52"/>
  <c r="H53"/>
  <c r="H54"/>
  <c r="H55"/>
  <c r="E56"/>
  <c r="H56"/>
  <c r="F56"/>
  <c r="G56"/>
  <c r="E57"/>
  <c r="H57"/>
  <c r="H58"/>
  <c r="F59"/>
  <c r="F63"/>
  <c r="G59"/>
  <c r="H60"/>
  <c r="E61"/>
  <c r="H61"/>
  <c r="G63"/>
  <c r="A65"/>
  <c r="A67"/>
  <c r="F67"/>
  <c r="F68"/>
  <c r="F69"/>
  <c r="AZ38" i="1"/>
  <c r="AZ37"/>
  <c r="A1" i="96"/>
  <c r="A3"/>
  <c r="E8"/>
  <c r="H8"/>
  <c r="H9"/>
  <c r="H10"/>
  <c r="E11"/>
  <c r="G11"/>
  <c r="H11"/>
  <c r="H12"/>
  <c r="E13"/>
  <c r="G13"/>
  <c r="H13"/>
  <c r="E17"/>
  <c r="H17"/>
  <c r="H18"/>
  <c r="E19"/>
  <c r="H19"/>
  <c r="E20"/>
  <c r="H20"/>
  <c r="G21"/>
  <c r="E24"/>
  <c r="H24"/>
  <c r="H25"/>
  <c r="C109"/>
  <c r="F73"/>
  <c r="F76"/>
  <c r="F78"/>
  <c r="F74"/>
  <c r="F75"/>
  <c r="F77"/>
  <c r="F82"/>
  <c r="F83"/>
  <c r="F84"/>
  <c r="F85"/>
  <c r="F86"/>
  <c r="F89"/>
  <c r="F90"/>
  <c r="F92"/>
  <c r="F94"/>
  <c r="F95"/>
  <c r="F96"/>
  <c r="F99"/>
  <c r="F100"/>
  <c r="F101"/>
  <c r="F102"/>
  <c r="E29"/>
  <c r="H29"/>
  <c r="E30"/>
  <c r="H30"/>
  <c r="E31"/>
  <c r="H31"/>
  <c r="E34"/>
  <c r="H34"/>
  <c r="H35"/>
  <c r="H36"/>
  <c r="E37"/>
  <c r="G37"/>
  <c r="H37"/>
  <c r="H44"/>
  <c r="H45"/>
  <c r="F47"/>
  <c r="H51"/>
  <c r="E52"/>
  <c r="H52"/>
  <c r="H53"/>
  <c r="H54"/>
  <c r="H55"/>
  <c r="E56"/>
  <c r="F56"/>
  <c r="G56"/>
  <c r="G63"/>
  <c r="E57"/>
  <c r="H58"/>
  <c r="F59"/>
  <c r="G59"/>
  <c r="H60"/>
  <c r="E61"/>
  <c r="H61"/>
  <c r="F63"/>
  <c r="A65"/>
  <c r="A67"/>
  <c r="F67"/>
  <c r="F68"/>
  <c r="F69"/>
  <c r="F89" i="19"/>
  <c r="F90"/>
  <c r="F92"/>
  <c r="F82"/>
  <c r="F83"/>
  <c r="F86"/>
  <c r="F104"/>
  <c r="F84"/>
  <c r="F85"/>
  <c r="F94"/>
  <c r="F95"/>
  <c r="F96"/>
  <c r="F99"/>
  <c r="F100"/>
  <c r="F101"/>
  <c r="F102"/>
  <c r="F73"/>
  <c r="F76"/>
  <c r="F78"/>
  <c r="F106"/>
  <c r="F74"/>
  <c r="F75"/>
  <c r="F77"/>
  <c r="C109"/>
  <c r="F109" s="1"/>
  <c r="G26" s="1"/>
  <c r="G99" i="5"/>
  <c r="G81"/>
  <c r="G71"/>
  <c r="B59" i="3"/>
  <c r="B47" i="48" s="1"/>
  <c r="A59" i="3"/>
  <c r="A47" i="48" s="1"/>
  <c r="N13" i="1"/>
  <c r="AG13" s="1"/>
  <c r="AW38"/>
  <c r="AW37"/>
  <c r="A1" i="95"/>
  <c r="A3"/>
  <c r="E8"/>
  <c r="H8"/>
  <c r="H9"/>
  <c r="H10"/>
  <c r="E11"/>
  <c r="G11"/>
  <c r="H11"/>
  <c r="H12"/>
  <c r="E13"/>
  <c r="G13"/>
  <c r="H13"/>
  <c r="E17"/>
  <c r="H17"/>
  <c r="H18"/>
  <c r="E19"/>
  <c r="H19"/>
  <c r="E20"/>
  <c r="H20"/>
  <c r="E21"/>
  <c r="G21"/>
  <c r="H21"/>
  <c r="E24"/>
  <c r="H24"/>
  <c r="H25"/>
  <c r="C109"/>
  <c r="F73"/>
  <c r="F74"/>
  <c r="F75"/>
  <c r="F76"/>
  <c r="F77"/>
  <c r="F78"/>
  <c r="F82"/>
  <c r="F83"/>
  <c r="F86"/>
  <c r="F84"/>
  <c r="F85"/>
  <c r="F89"/>
  <c r="F90"/>
  <c r="F92"/>
  <c r="F94"/>
  <c r="F95"/>
  <c r="F96"/>
  <c r="F99"/>
  <c r="F102"/>
  <c r="F100"/>
  <c r="F101"/>
  <c r="E29"/>
  <c r="H29"/>
  <c r="E30"/>
  <c r="H30"/>
  <c r="E31"/>
  <c r="H31"/>
  <c r="E34"/>
  <c r="H34"/>
  <c r="H35"/>
  <c r="H36"/>
  <c r="E37"/>
  <c r="G37"/>
  <c r="H37"/>
  <c r="H44"/>
  <c r="H45"/>
  <c r="H51"/>
  <c r="E52"/>
  <c r="H52"/>
  <c r="H53"/>
  <c r="H54"/>
  <c r="H55"/>
  <c r="F56"/>
  <c r="G56"/>
  <c r="E57"/>
  <c r="H57"/>
  <c r="H58"/>
  <c r="E59"/>
  <c r="H59"/>
  <c r="F59"/>
  <c r="G59"/>
  <c r="G63"/>
  <c r="H60"/>
  <c r="E61"/>
  <c r="H61"/>
  <c r="F63"/>
  <c r="A65"/>
  <c r="A67"/>
  <c r="F67"/>
  <c r="F68"/>
  <c r="F69"/>
  <c r="N39" i="1"/>
  <c r="AG39" s="1"/>
  <c r="AW66" i="2"/>
  <c r="AW65"/>
  <c r="AW63"/>
  <c r="AW62"/>
  <c r="AW60"/>
  <c r="AW59"/>
  <c r="AW58"/>
  <c r="AW57"/>
  <c r="AW56"/>
  <c r="AW61" s="1"/>
  <c r="AW68" s="1"/>
  <c r="AW49"/>
  <c r="G11" i="86"/>
  <c r="G13"/>
  <c r="G21"/>
  <c r="F73"/>
  <c r="F76"/>
  <c r="F78"/>
  <c r="F74"/>
  <c r="F75"/>
  <c r="F77"/>
  <c r="F82"/>
  <c r="F83"/>
  <c r="F84"/>
  <c r="F85"/>
  <c r="F86"/>
  <c r="F89"/>
  <c r="F90"/>
  <c r="F92"/>
  <c r="F94"/>
  <c r="F95"/>
  <c r="F96"/>
  <c r="F99"/>
  <c r="F100"/>
  <c r="F101"/>
  <c r="F102"/>
  <c r="C109"/>
  <c r="G37"/>
  <c r="AW41" i="2"/>
  <c r="AW40"/>
  <c r="AW39"/>
  <c r="AW38"/>
  <c r="AW37"/>
  <c r="AW36"/>
  <c r="AW35"/>
  <c r="AW34"/>
  <c r="AW30"/>
  <c r="AW29"/>
  <c r="AW25"/>
  <c r="AW24"/>
  <c r="AW23"/>
  <c r="AW22"/>
  <c r="AW17"/>
  <c r="AW15"/>
  <c r="AW14"/>
  <c r="AW13"/>
  <c r="AW64"/>
  <c r="AW16"/>
  <c r="AW18" s="1"/>
  <c r="AW42"/>
  <c r="AW26"/>
  <c r="R35" i="91"/>
  <c r="P37"/>
  <c r="Q37"/>
  <c r="R37"/>
  <c r="P38"/>
  <c r="Q38"/>
  <c r="R38" s="1"/>
  <c r="P39"/>
  <c r="Q39"/>
  <c r="R39"/>
  <c r="R41"/>
  <c r="E17" i="93"/>
  <c r="E19"/>
  <c r="F100" i="74"/>
  <c r="F102"/>
  <c r="F99"/>
  <c r="F101"/>
  <c r="F82"/>
  <c r="F83"/>
  <c r="F84"/>
  <c r="F85"/>
  <c r="F86"/>
  <c r="F89"/>
  <c r="F90"/>
  <c r="F92"/>
  <c r="F94"/>
  <c r="F95"/>
  <c r="F96"/>
  <c r="F73"/>
  <c r="F76"/>
  <c r="F78"/>
  <c r="F74"/>
  <c r="F75"/>
  <c r="F77"/>
  <c r="C109"/>
  <c r="A51" i="3"/>
  <c r="A39" i="48" s="1"/>
  <c r="N56" i="1"/>
  <c r="AG56"/>
  <c r="N57"/>
  <c r="AG57"/>
  <c r="N58"/>
  <c r="AG58"/>
  <c r="N59"/>
  <c r="AG59"/>
  <c r="N60"/>
  <c r="AG60"/>
  <c r="N62"/>
  <c r="AG62"/>
  <c r="N63"/>
  <c r="AG63" s="1"/>
  <c r="N65"/>
  <c r="AG65" s="1"/>
  <c r="N66"/>
  <c r="AG66" s="1"/>
  <c r="BC61"/>
  <c r="BC64"/>
  <c r="BC68"/>
  <c r="N48"/>
  <c r="N14"/>
  <c r="AG14" s="1"/>
  <c r="N15"/>
  <c r="AG15" s="1"/>
  <c r="N17"/>
  <c r="AG17" s="1"/>
  <c r="N40"/>
  <c r="AG40" s="1"/>
  <c r="N41"/>
  <c r="AG41" s="1"/>
  <c r="N36"/>
  <c r="AG36" s="1"/>
  <c r="N35"/>
  <c r="AG35" s="1"/>
  <c r="N34"/>
  <c r="AG34" s="1"/>
  <c r="N29"/>
  <c r="AG29" s="1"/>
  <c r="N30"/>
  <c r="AG30" s="1"/>
  <c r="N31"/>
  <c r="AG31" s="1"/>
  <c r="N22"/>
  <c r="AG22" s="1"/>
  <c r="AG26" s="1"/>
  <c r="N23"/>
  <c r="AG23"/>
  <c r="N24"/>
  <c r="AG24"/>
  <c r="N25"/>
  <c r="AG25"/>
  <c r="N49"/>
  <c r="AG49"/>
  <c r="BC42"/>
  <c r="BC32"/>
  <c r="BC26"/>
  <c r="BC43"/>
  <c r="BC45"/>
  <c r="BC52"/>
  <c r="BB81"/>
  <c r="G51" i="5"/>
  <c r="E56" i="2"/>
  <c r="G121" i="5"/>
  <c r="G52"/>
  <c r="E57" i="2"/>
  <c r="G53" i="5"/>
  <c r="E58" i="2"/>
  <c r="G54" i="5"/>
  <c r="E59" i="2"/>
  <c r="G55" i="5"/>
  <c r="E60" i="2"/>
  <c r="G57" i="5"/>
  <c r="E62" i="2"/>
  <c r="E64" s="1"/>
  <c r="G58" i="5"/>
  <c r="E63" i="2"/>
  <c r="E65"/>
  <c r="E66"/>
  <c r="F56"/>
  <c r="F61" s="1"/>
  <c r="F68" s="1"/>
  <c r="G81" i="3" s="1"/>
  <c r="F94" i="48" s="1"/>
  <c r="F57" i="2"/>
  <c r="F58"/>
  <c r="F59"/>
  <c r="F60"/>
  <c r="F62"/>
  <c r="F63"/>
  <c r="F64"/>
  <c r="F65"/>
  <c r="F66"/>
  <c r="G56"/>
  <c r="G61" s="1"/>
  <c r="G68" s="1"/>
  <c r="G82" i="3" s="1"/>
  <c r="F95" i="48" s="1"/>
  <c r="G57" i="2"/>
  <c r="G58"/>
  <c r="G59"/>
  <c r="G60"/>
  <c r="G62"/>
  <c r="G63"/>
  <c r="G64"/>
  <c r="G65"/>
  <c r="G66"/>
  <c r="H56"/>
  <c r="H61" s="1"/>
  <c r="H68" s="1"/>
  <c r="H57"/>
  <c r="H58"/>
  <c r="H59"/>
  <c r="H60"/>
  <c r="H62"/>
  <c r="H63"/>
  <c r="H64"/>
  <c r="H65"/>
  <c r="H66"/>
  <c r="I56"/>
  <c r="I61" s="1"/>
  <c r="I68" s="1"/>
  <c r="I57"/>
  <c r="I58"/>
  <c r="I59"/>
  <c r="I60"/>
  <c r="I62"/>
  <c r="I63"/>
  <c r="I64"/>
  <c r="I65"/>
  <c r="I66"/>
  <c r="J56"/>
  <c r="J61" s="1"/>
  <c r="J68" s="1"/>
  <c r="J57"/>
  <c r="J58"/>
  <c r="J59"/>
  <c r="J60"/>
  <c r="J62"/>
  <c r="J63"/>
  <c r="J64"/>
  <c r="J65"/>
  <c r="J66"/>
  <c r="K56"/>
  <c r="K61" s="1"/>
  <c r="K68" s="1"/>
  <c r="G86" i="3" s="1"/>
  <c r="F99" i="48" s="1"/>
  <c r="K57" i="2"/>
  <c r="K58"/>
  <c r="K59"/>
  <c r="K60"/>
  <c r="K62"/>
  <c r="K63"/>
  <c r="K64"/>
  <c r="K65"/>
  <c r="K66"/>
  <c r="L56"/>
  <c r="L61" s="1"/>
  <c r="L68" s="1"/>
  <c r="L57"/>
  <c r="L58"/>
  <c r="L59"/>
  <c r="L60"/>
  <c r="L62"/>
  <c r="L63"/>
  <c r="L64"/>
  <c r="L65"/>
  <c r="L66"/>
  <c r="P56"/>
  <c r="P61" s="1"/>
  <c r="P68" s="1"/>
  <c r="G93" i="3" s="1"/>
  <c r="F101" i="48" s="1"/>
  <c r="P57" i="2"/>
  <c r="P58"/>
  <c r="P59"/>
  <c r="P60"/>
  <c r="P62"/>
  <c r="P63"/>
  <c r="P64"/>
  <c r="P65"/>
  <c r="P66"/>
  <c r="Q56"/>
  <c r="Q61" s="1"/>
  <c r="Q68" s="1"/>
  <c r="G94" i="3" s="1"/>
  <c r="F102" i="48" s="1"/>
  <c r="Q57" i="2"/>
  <c r="Q58"/>
  <c r="Q59"/>
  <c r="Q60"/>
  <c r="Q62"/>
  <c r="Q63"/>
  <c r="Q64"/>
  <c r="Q65"/>
  <c r="Q66"/>
  <c r="R56"/>
  <c r="R61" s="1"/>
  <c r="R68" s="1"/>
  <c r="G95" i="3" s="1"/>
  <c r="F103" i="48" s="1"/>
  <c r="R57" i="2"/>
  <c r="R58"/>
  <c r="R59"/>
  <c r="R60"/>
  <c r="R62"/>
  <c r="R63"/>
  <c r="R64"/>
  <c r="R65"/>
  <c r="R66"/>
  <c r="S56"/>
  <c r="S61" s="1"/>
  <c r="S68" s="1"/>
  <c r="G96" i="3" s="1"/>
  <c r="F104" i="48" s="1"/>
  <c r="S57" i="2"/>
  <c r="S58"/>
  <c r="S59"/>
  <c r="S60"/>
  <c r="S62"/>
  <c r="S63"/>
  <c r="S64"/>
  <c r="S65"/>
  <c r="S66"/>
  <c r="T56"/>
  <c r="T57"/>
  <c r="T58"/>
  <c r="T59"/>
  <c r="T60"/>
  <c r="T61"/>
  <c r="T62"/>
  <c r="T63"/>
  <c r="T64"/>
  <c r="T65"/>
  <c r="T68" s="1"/>
  <c r="G97" i="3" s="1"/>
  <c r="F105" i="48" s="1"/>
  <c r="T66" i="2"/>
  <c r="U56"/>
  <c r="U57"/>
  <c r="U58"/>
  <c r="U59"/>
  <c r="U60"/>
  <c r="U61"/>
  <c r="U62"/>
  <c r="U63"/>
  <c r="U64" s="1"/>
  <c r="U68" s="1"/>
  <c r="G98" i="3" s="1"/>
  <c r="F106" i="48" s="1"/>
  <c r="U65" i="2"/>
  <c r="U66"/>
  <c r="V56"/>
  <c r="V57"/>
  <c r="V58"/>
  <c r="V59"/>
  <c r="V60"/>
  <c r="V61"/>
  <c r="V62"/>
  <c r="V63"/>
  <c r="V64" s="1"/>
  <c r="V68" s="1"/>
  <c r="G99" i="3" s="1"/>
  <c r="F107" i="48" s="1"/>
  <c r="V65" i="2"/>
  <c r="V66"/>
  <c r="W56"/>
  <c r="W57"/>
  <c r="W58"/>
  <c r="W59"/>
  <c r="W60"/>
  <c r="W61"/>
  <c r="W62"/>
  <c r="W63"/>
  <c r="W64" s="1"/>
  <c r="W68" s="1"/>
  <c r="G100" i="3" s="1"/>
  <c r="F108" i="48" s="1"/>
  <c r="W65" i="2"/>
  <c r="W66"/>
  <c r="X56"/>
  <c r="X57"/>
  <c r="X61" s="1"/>
  <c r="X68" s="1"/>
  <c r="G101" i="3" s="1"/>
  <c r="F109" i="48" s="1"/>
  <c r="X58" i="2"/>
  <c r="X59"/>
  <c r="X64"/>
  <c r="Y56"/>
  <c r="Y61" s="1"/>
  <c r="Y57"/>
  <c r="Y58"/>
  <c r="Y59"/>
  <c r="Y60"/>
  <c r="Y62"/>
  <c r="Y63"/>
  <c r="Y64" s="1"/>
  <c r="Y65"/>
  <c r="Y66"/>
  <c r="Z56"/>
  <c r="Z61" s="1"/>
  <c r="Z57"/>
  <c r="Z58"/>
  <c r="Z59"/>
  <c r="Z60"/>
  <c r="Z62"/>
  <c r="Z63"/>
  <c r="Z64" s="1"/>
  <c r="Z65"/>
  <c r="Z66"/>
  <c r="AA56"/>
  <c r="AA61" s="1"/>
  <c r="AA57"/>
  <c r="AA58"/>
  <c r="AA59"/>
  <c r="AA60"/>
  <c r="AA62"/>
  <c r="AA63"/>
  <c r="AA64" s="1"/>
  <c r="AA65"/>
  <c r="AA66"/>
  <c r="AB56"/>
  <c r="AB57"/>
  <c r="AB58"/>
  <c r="AB59"/>
  <c r="AB61"/>
  <c r="AB64"/>
  <c r="AB68"/>
  <c r="G105" i="3" s="1"/>
  <c r="F113" i="48" s="1"/>
  <c r="AH56" i="2"/>
  <c r="AH57"/>
  <c r="AH58"/>
  <c r="AH59"/>
  <c r="AH60"/>
  <c r="AH61"/>
  <c r="AH62"/>
  <c r="AH63"/>
  <c r="AH64" s="1"/>
  <c r="AH68" s="1"/>
  <c r="AH65"/>
  <c r="AH66"/>
  <c r="AI56"/>
  <c r="G11" i="89"/>
  <c r="O56" i="2"/>
  <c r="O57"/>
  <c r="O58"/>
  <c r="O59"/>
  <c r="O60"/>
  <c r="O61"/>
  <c r="O62"/>
  <c r="O63"/>
  <c r="O64" s="1"/>
  <c r="O68" s="1"/>
  <c r="O65"/>
  <c r="O66"/>
  <c r="O22"/>
  <c r="O23"/>
  <c r="O24"/>
  <c r="O26" s="1"/>
  <c r="F22" i="89" s="1"/>
  <c r="O25" i="2"/>
  <c r="O39"/>
  <c r="O40"/>
  <c r="O42" s="1"/>
  <c r="O41"/>
  <c r="O36"/>
  <c r="O35"/>
  <c r="O34"/>
  <c r="O29"/>
  <c r="O30"/>
  <c r="F84" i="28"/>
  <c r="F82"/>
  <c r="F86"/>
  <c r="F104"/>
  <c r="F83"/>
  <c r="F85"/>
  <c r="F90"/>
  <c r="F89"/>
  <c r="F92"/>
  <c r="F100"/>
  <c r="F99"/>
  <c r="F101"/>
  <c r="F102"/>
  <c r="F94"/>
  <c r="F95"/>
  <c r="F96"/>
  <c r="F73"/>
  <c r="F74"/>
  <c r="F75"/>
  <c r="F76"/>
  <c r="F77"/>
  <c r="F78"/>
  <c r="F106"/>
  <c r="C109"/>
  <c r="F109" s="1"/>
  <c r="G26" s="1"/>
  <c r="AJ56" i="2"/>
  <c r="AJ57"/>
  <c r="AJ58"/>
  <c r="AJ59"/>
  <c r="AJ60"/>
  <c r="AJ61"/>
  <c r="AJ62"/>
  <c r="AJ63"/>
  <c r="AJ64" s="1"/>
  <c r="AJ68" s="1"/>
  <c r="AJ65"/>
  <c r="AJ66"/>
  <c r="G49" i="89"/>
  <c r="G50"/>
  <c r="AO56" i="2"/>
  <c r="AO57"/>
  <c r="AO61" s="1"/>
  <c r="AO68" s="1"/>
  <c r="AO58"/>
  <c r="AO59"/>
  <c r="AO60"/>
  <c r="AO62"/>
  <c r="AO63"/>
  <c r="AO64"/>
  <c r="AO65"/>
  <c r="AO66"/>
  <c r="AP56"/>
  <c r="AP57"/>
  <c r="AP58"/>
  <c r="AP59"/>
  <c r="AP60"/>
  <c r="AP61"/>
  <c r="AP62"/>
  <c r="AP63"/>
  <c r="AP64" s="1"/>
  <c r="AP68" s="1"/>
  <c r="AP65"/>
  <c r="AP66"/>
  <c r="AQ56"/>
  <c r="AQ57"/>
  <c r="AQ61" s="1"/>
  <c r="AQ68" s="1"/>
  <c r="AQ58"/>
  <c r="AQ59"/>
  <c r="AQ60"/>
  <c r="AQ62"/>
  <c r="AQ63"/>
  <c r="AQ64"/>
  <c r="AQ65"/>
  <c r="AQ66"/>
  <c r="AR56"/>
  <c r="AR57"/>
  <c r="AR58"/>
  <c r="AR59"/>
  <c r="AR60"/>
  <c r="AR61"/>
  <c r="AR62"/>
  <c r="AR63"/>
  <c r="AR64" s="1"/>
  <c r="AR68" s="1"/>
  <c r="AR65"/>
  <c r="AR66"/>
  <c r="AS56"/>
  <c r="AS57"/>
  <c r="AS61" s="1"/>
  <c r="AS68" s="1"/>
  <c r="AS58"/>
  <c r="AS59"/>
  <c r="AS60"/>
  <c r="AS62"/>
  <c r="AS63"/>
  <c r="AS64"/>
  <c r="AS65"/>
  <c r="AS66"/>
  <c r="D62" i="89"/>
  <c r="D61"/>
  <c r="D63"/>
  <c r="AI58" i="2"/>
  <c r="AI59"/>
  <c r="AI60"/>
  <c r="AI62"/>
  <c r="AI63"/>
  <c r="AI64" s="1"/>
  <c r="AI65"/>
  <c r="AI66"/>
  <c r="AK56"/>
  <c r="AK57"/>
  <c r="AK58"/>
  <c r="AK61" s="1"/>
  <c r="AK68" s="1"/>
  <c r="G113" i="3" s="1"/>
  <c r="F118" i="48" s="1"/>
  <c r="AK59" i="2"/>
  <c r="AK60"/>
  <c r="AK62"/>
  <c r="AK63"/>
  <c r="AK64"/>
  <c r="AK65"/>
  <c r="AK66"/>
  <c r="AL56"/>
  <c r="AL57"/>
  <c r="AL58"/>
  <c r="AL59"/>
  <c r="AL60"/>
  <c r="AL61"/>
  <c r="AL62"/>
  <c r="AL63"/>
  <c r="AL64" s="1"/>
  <c r="AL68" s="1"/>
  <c r="G114" i="3" s="1"/>
  <c r="F119" i="48" s="1"/>
  <c r="AL65" i="2"/>
  <c r="AL66"/>
  <c r="AM56"/>
  <c r="AM57"/>
  <c r="AM58"/>
  <c r="AM59"/>
  <c r="AM60"/>
  <c r="AM61"/>
  <c r="AM62"/>
  <c r="AM63"/>
  <c r="AM64" s="1"/>
  <c r="AM68" s="1"/>
  <c r="G115" i="3" s="1"/>
  <c r="F120" i="48" s="1"/>
  <c r="AM65" i="2"/>
  <c r="AM66"/>
  <c r="AN56"/>
  <c r="AN57"/>
  <c r="AN58"/>
  <c r="AN59"/>
  <c r="AN60"/>
  <c r="AN61"/>
  <c r="AN62"/>
  <c r="AN63"/>
  <c r="AN64" s="1"/>
  <c r="AN68" s="1"/>
  <c r="G116" i="3" s="1"/>
  <c r="F121" i="48" s="1"/>
  <c r="AN65" i="2"/>
  <c r="AN66"/>
  <c r="AT56"/>
  <c r="AT57"/>
  <c r="AT58"/>
  <c r="AT59"/>
  <c r="AT60"/>
  <c r="AT61"/>
  <c r="AT62"/>
  <c r="AT63"/>
  <c r="AT64" s="1"/>
  <c r="AT68" s="1"/>
  <c r="G122" i="3" s="1"/>
  <c r="F127" i="48" s="1"/>
  <c r="AT65" i="2"/>
  <c r="AT66"/>
  <c r="AU56"/>
  <c r="AU57"/>
  <c r="AU58"/>
  <c r="AU59"/>
  <c r="AU60"/>
  <c r="AU61"/>
  <c r="AU62"/>
  <c r="AU63"/>
  <c r="AU64"/>
  <c r="AU68" s="1"/>
  <c r="G123" i="3" s="1"/>
  <c r="F128" i="48" s="1"/>
  <c r="AU65" i="2"/>
  <c r="AU66"/>
  <c r="AV56"/>
  <c r="AV57"/>
  <c r="AV58"/>
  <c r="AV59"/>
  <c r="AV60"/>
  <c r="AV61"/>
  <c r="AV62"/>
  <c r="AV63"/>
  <c r="AV64"/>
  <c r="AV68" s="1"/>
  <c r="G124" i="3" s="1"/>
  <c r="F129" i="48" s="1"/>
  <c r="AV65" i="2"/>
  <c r="AV66"/>
  <c r="F130" i="48"/>
  <c r="R35" i="51"/>
  <c r="S35"/>
  <c r="F133" i="48"/>
  <c r="AA48" i="2"/>
  <c r="G43" i="5"/>
  <c r="E48" i="2"/>
  <c r="F48"/>
  <c r="G11" i="8"/>
  <c r="G13"/>
  <c r="G40"/>
  <c r="G43"/>
  <c r="G48" i="2"/>
  <c r="G21" i="8"/>
  <c r="G27"/>
  <c r="G37"/>
  <c r="G38"/>
  <c r="H48" i="2"/>
  <c r="I48"/>
  <c r="J48"/>
  <c r="G11" i="13"/>
  <c r="G13"/>
  <c r="G40"/>
  <c r="G43"/>
  <c r="K48" i="2"/>
  <c r="G21" i="13"/>
  <c r="G27"/>
  <c r="G37"/>
  <c r="G38"/>
  <c r="G11" i="36"/>
  <c r="G13"/>
  <c r="G21"/>
  <c r="G38"/>
  <c r="G27"/>
  <c r="G37"/>
  <c r="G21" i="28"/>
  <c r="G37"/>
  <c r="G11"/>
  <c r="G13"/>
  <c r="G21" i="19"/>
  <c r="G37"/>
  <c r="G11"/>
  <c r="G13"/>
  <c r="G11" i="20"/>
  <c r="G13"/>
  <c r="G21"/>
  <c r="G37"/>
  <c r="F94" i="21"/>
  <c r="F82"/>
  <c r="F83"/>
  <c r="F84"/>
  <c r="F85"/>
  <c r="F86"/>
  <c r="F89"/>
  <c r="F90"/>
  <c r="F92"/>
  <c r="F95"/>
  <c r="F96"/>
  <c r="F99"/>
  <c r="F102"/>
  <c r="F100"/>
  <c r="F101"/>
  <c r="F73"/>
  <c r="F74"/>
  <c r="F75"/>
  <c r="F76"/>
  <c r="F77"/>
  <c r="F78"/>
  <c r="C109"/>
  <c r="G21"/>
  <c r="G37"/>
  <c r="G11"/>
  <c r="G13"/>
  <c r="G11" i="22"/>
  <c r="G13"/>
  <c r="G21"/>
  <c r="F73"/>
  <c r="F74"/>
  <c r="F75"/>
  <c r="F76"/>
  <c r="F77"/>
  <c r="F78"/>
  <c r="F82"/>
  <c r="F83"/>
  <c r="F86"/>
  <c r="F104"/>
  <c r="F106"/>
  <c r="F84"/>
  <c r="F85"/>
  <c r="F89"/>
  <c r="F90"/>
  <c r="F92"/>
  <c r="F94"/>
  <c r="F95"/>
  <c r="F96"/>
  <c r="F100"/>
  <c r="F101"/>
  <c r="F102"/>
  <c r="C109"/>
  <c r="F109" s="1"/>
  <c r="G26" s="1"/>
  <c r="G37"/>
  <c r="F99" i="23"/>
  <c r="F102"/>
  <c r="F100"/>
  <c r="F101"/>
  <c r="F82"/>
  <c r="F83"/>
  <c r="F84"/>
  <c r="F85"/>
  <c r="F86"/>
  <c r="F89"/>
  <c r="F90"/>
  <c r="F92"/>
  <c r="F94"/>
  <c r="F95"/>
  <c r="F96"/>
  <c r="F73"/>
  <c r="F76"/>
  <c r="F78"/>
  <c r="F74"/>
  <c r="F75"/>
  <c r="F77"/>
  <c r="C109"/>
  <c r="G37"/>
  <c r="G21"/>
  <c r="G11"/>
  <c r="G13"/>
  <c r="U48" i="2"/>
  <c r="V48"/>
  <c r="G21" i="38"/>
  <c r="F82"/>
  <c r="F83"/>
  <c r="F84"/>
  <c r="F85"/>
  <c r="F86"/>
  <c r="F89"/>
  <c r="F90"/>
  <c r="F92"/>
  <c r="F94"/>
  <c r="F95"/>
  <c r="F96"/>
  <c r="F99"/>
  <c r="F100"/>
  <c r="F101"/>
  <c r="F102"/>
  <c r="F73"/>
  <c r="F76"/>
  <c r="F78"/>
  <c r="F74"/>
  <c r="F75"/>
  <c r="F77"/>
  <c r="C109"/>
  <c r="G37"/>
  <c r="G11"/>
  <c r="G13"/>
  <c r="F94" i="29"/>
  <c r="F82"/>
  <c r="F83"/>
  <c r="F86"/>
  <c r="F104"/>
  <c r="F84"/>
  <c r="F85"/>
  <c r="F89"/>
  <c r="F90"/>
  <c r="F92"/>
  <c r="F95"/>
  <c r="F96"/>
  <c r="F99"/>
  <c r="F100"/>
  <c r="F101"/>
  <c r="F102"/>
  <c r="F73"/>
  <c r="F76"/>
  <c r="F78"/>
  <c r="F106"/>
  <c r="F74"/>
  <c r="F75"/>
  <c r="F77"/>
  <c r="C109"/>
  <c r="F109" s="1"/>
  <c r="G26" s="1"/>
  <c r="G21"/>
  <c r="G37"/>
  <c r="G11"/>
  <c r="G13"/>
  <c r="G11" i="59"/>
  <c r="G13"/>
  <c r="G21"/>
  <c r="F73"/>
  <c r="F76"/>
  <c r="F78"/>
  <c r="F74"/>
  <c r="F75"/>
  <c r="F77"/>
  <c r="F82"/>
  <c r="F83"/>
  <c r="F84"/>
  <c r="F85"/>
  <c r="F86"/>
  <c r="F89"/>
  <c r="F90"/>
  <c r="F92"/>
  <c r="F94"/>
  <c r="F95"/>
  <c r="F96"/>
  <c r="F99"/>
  <c r="F100"/>
  <c r="F101"/>
  <c r="F102"/>
  <c r="C109"/>
  <c r="G37"/>
  <c r="G11" i="65"/>
  <c r="G13"/>
  <c r="G21"/>
  <c r="F73"/>
  <c r="F74"/>
  <c r="F75"/>
  <c r="F76"/>
  <c r="F77"/>
  <c r="F78"/>
  <c r="F82"/>
  <c r="F83"/>
  <c r="F86"/>
  <c r="F84"/>
  <c r="F85"/>
  <c r="F89"/>
  <c r="F90"/>
  <c r="F92"/>
  <c r="F94"/>
  <c r="F95"/>
  <c r="F96"/>
  <c r="F99"/>
  <c r="F102"/>
  <c r="F100"/>
  <c r="F101"/>
  <c r="C109"/>
  <c r="G37"/>
  <c r="G11" i="79"/>
  <c r="G13"/>
  <c r="G21"/>
  <c r="F73"/>
  <c r="F76"/>
  <c r="F78"/>
  <c r="F74"/>
  <c r="F75"/>
  <c r="F77"/>
  <c r="F82"/>
  <c r="F83"/>
  <c r="F84"/>
  <c r="F85"/>
  <c r="F86"/>
  <c r="F89"/>
  <c r="F90"/>
  <c r="F92"/>
  <c r="F94"/>
  <c r="F95"/>
  <c r="F96"/>
  <c r="F99"/>
  <c r="F100"/>
  <c r="F101"/>
  <c r="F102"/>
  <c r="C109"/>
  <c r="G37"/>
  <c r="G8" i="5"/>
  <c r="E13" i="2"/>
  <c r="F13"/>
  <c r="G13"/>
  <c r="H13"/>
  <c r="I13"/>
  <c r="J13"/>
  <c r="K13"/>
  <c r="L13"/>
  <c r="N13"/>
  <c r="O13"/>
  <c r="AG13" s="1"/>
  <c r="P13"/>
  <c r="Q13"/>
  <c r="R13"/>
  <c r="S13"/>
  <c r="T13"/>
  <c r="U13"/>
  <c r="V13"/>
  <c r="W13"/>
  <c r="X13"/>
  <c r="Y13"/>
  <c r="Z13"/>
  <c r="AA13"/>
  <c r="AB13"/>
  <c r="G9" i="5"/>
  <c r="E14" i="2"/>
  <c r="N14" s="1"/>
  <c r="AG14" s="1"/>
  <c r="F14"/>
  <c r="G14"/>
  <c r="H14"/>
  <c r="I14"/>
  <c r="J14"/>
  <c r="K14"/>
  <c r="L14"/>
  <c r="O14"/>
  <c r="P14"/>
  <c r="Q14"/>
  <c r="R14"/>
  <c r="S14"/>
  <c r="T14"/>
  <c r="U14"/>
  <c r="V14"/>
  <c r="W14"/>
  <c r="X14"/>
  <c r="Y14"/>
  <c r="Z14"/>
  <c r="AA14"/>
  <c r="AB14"/>
  <c r="G10" i="5"/>
  <c r="E15" i="2"/>
  <c r="F15"/>
  <c r="G15"/>
  <c r="H15"/>
  <c r="I15"/>
  <c r="J15"/>
  <c r="K15"/>
  <c r="L15"/>
  <c r="N15" s="1"/>
  <c r="AG15" s="1"/>
  <c r="O15"/>
  <c r="P15"/>
  <c r="Q15"/>
  <c r="R15"/>
  <c r="S15"/>
  <c r="T15"/>
  <c r="U15"/>
  <c r="V15"/>
  <c r="W15"/>
  <c r="X15"/>
  <c r="Y15"/>
  <c r="Z15"/>
  <c r="AA15"/>
  <c r="AB15"/>
  <c r="G12" i="5"/>
  <c r="E17" i="2"/>
  <c r="F17"/>
  <c r="G17"/>
  <c r="H17"/>
  <c r="I17"/>
  <c r="J17"/>
  <c r="K17"/>
  <c r="L17"/>
  <c r="N17" s="1"/>
  <c r="AG17" s="1"/>
  <c r="O17"/>
  <c r="P17"/>
  <c r="Q17"/>
  <c r="R17"/>
  <c r="S17"/>
  <c r="T17"/>
  <c r="U17"/>
  <c r="V17"/>
  <c r="W17"/>
  <c r="X17"/>
  <c r="Y17"/>
  <c r="Z17"/>
  <c r="AA17"/>
  <c r="AB17"/>
  <c r="G34" i="5"/>
  <c r="E39" i="2"/>
  <c r="F39"/>
  <c r="G39"/>
  <c r="H39"/>
  <c r="I39"/>
  <c r="J39"/>
  <c r="K39"/>
  <c r="L39"/>
  <c r="N39"/>
  <c r="P39"/>
  <c r="Q39"/>
  <c r="R39"/>
  <c r="S39"/>
  <c r="T39"/>
  <c r="U39"/>
  <c r="V39"/>
  <c r="W39"/>
  <c r="X39"/>
  <c r="Y39"/>
  <c r="Z39"/>
  <c r="AA39"/>
  <c r="AB39"/>
  <c r="AG39"/>
  <c r="G35" i="5"/>
  <c r="E40" i="2"/>
  <c r="F40"/>
  <c r="G40"/>
  <c r="H40"/>
  <c r="I40"/>
  <c r="J40"/>
  <c r="N40" s="1"/>
  <c r="AG40" s="1"/>
  <c r="K40"/>
  <c r="L40"/>
  <c r="P40"/>
  <c r="Q40"/>
  <c r="R40"/>
  <c r="S40"/>
  <c r="T40"/>
  <c r="U40"/>
  <c r="V40"/>
  <c r="W40"/>
  <c r="X40"/>
  <c r="Y40"/>
  <c r="Z40"/>
  <c r="AA40"/>
  <c r="AB40"/>
  <c r="G36" i="5"/>
  <c r="E41" i="2"/>
  <c r="F41"/>
  <c r="G41"/>
  <c r="H41"/>
  <c r="I41"/>
  <c r="J41"/>
  <c r="K41"/>
  <c r="L41"/>
  <c r="N41" s="1"/>
  <c r="AG41" s="1"/>
  <c r="P41"/>
  <c r="Q41"/>
  <c r="R41"/>
  <c r="S41"/>
  <c r="T41"/>
  <c r="U41"/>
  <c r="V41"/>
  <c r="W41"/>
  <c r="X41"/>
  <c r="Y41"/>
  <c r="Z41"/>
  <c r="AA41"/>
  <c r="AB41"/>
  <c r="G31" i="5"/>
  <c r="E36" i="2"/>
  <c r="F36"/>
  <c r="N36" s="1"/>
  <c r="AG36" s="1"/>
  <c r="G36"/>
  <c r="H36"/>
  <c r="I36"/>
  <c r="J36"/>
  <c r="K36"/>
  <c r="L36"/>
  <c r="P36"/>
  <c r="Q36"/>
  <c r="R36"/>
  <c r="S36"/>
  <c r="T36"/>
  <c r="U36"/>
  <c r="V36"/>
  <c r="W36"/>
  <c r="X36"/>
  <c r="Y36"/>
  <c r="Z36"/>
  <c r="AA36"/>
  <c r="AB36"/>
  <c r="G30" i="5"/>
  <c r="E35" i="2"/>
  <c r="F35"/>
  <c r="N35" s="1"/>
  <c r="AG35" s="1"/>
  <c r="G35"/>
  <c r="H35"/>
  <c r="I35"/>
  <c r="J35"/>
  <c r="K35"/>
  <c r="L35"/>
  <c r="P35"/>
  <c r="Q35"/>
  <c r="R35"/>
  <c r="S35"/>
  <c r="T35"/>
  <c r="U35"/>
  <c r="V35"/>
  <c r="W35"/>
  <c r="X35"/>
  <c r="Y35"/>
  <c r="Z35"/>
  <c r="AA35"/>
  <c r="AB35"/>
  <c r="G29" i="5"/>
  <c r="E34" i="2"/>
  <c r="F34"/>
  <c r="N34" s="1"/>
  <c r="AG34" s="1"/>
  <c r="G34"/>
  <c r="H34"/>
  <c r="I34"/>
  <c r="J34"/>
  <c r="K34"/>
  <c r="L34"/>
  <c r="P34"/>
  <c r="Q34"/>
  <c r="R34"/>
  <c r="S34"/>
  <c r="T34"/>
  <c r="U34"/>
  <c r="V34"/>
  <c r="W34"/>
  <c r="X34"/>
  <c r="Y34"/>
  <c r="Z34"/>
  <c r="AA34"/>
  <c r="AB34"/>
  <c r="G24" i="5"/>
  <c r="E29" i="2"/>
  <c r="F29"/>
  <c r="G29"/>
  <c r="H29"/>
  <c r="I29"/>
  <c r="J29"/>
  <c r="K29"/>
  <c r="L29"/>
  <c r="P29"/>
  <c r="Q29"/>
  <c r="R29"/>
  <c r="S29"/>
  <c r="T29"/>
  <c r="U29"/>
  <c r="V29"/>
  <c r="W29"/>
  <c r="Y29"/>
  <c r="Z29"/>
  <c r="AA29"/>
  <c r="G25" i="5"/>
  <c r="E30" i="2"/>
  <c r="F30"/>
  <c r="N30" s="1"/>
  <c r="G30"/>
  <c r="H30"/>
  <c r="I30"/>
  <c r="J30"/>
  <c r="K30"/>
  <c r="L30"/>
  <c r="P30"/>
  <c r="Q30"/>
  <c r="R30"/>
  <c r="S30"/>
  <c r="T30"/>
  <c r="U30"/>
  <c r="V30"/>
  <c r="W30"/>
  <c r="X30"/>
  <c r="Y30"/>
  <c r="Z30"/>
  <c r="AA30"/>
  <c r="AB30"/>
  <c r="G26" i="5"/>
  <c r="E31" i="2"/>
  <c r="G26" i="6"/>
  <c r="F31" i="2"/>
  <c r="G31"/>
  <c r="H31"/>
  <c r="I31"/>
  <c r="G26" i="11"/>
  <c r="J31" i="2"/>
  <c r="K31"/>
  <c r="L31"/>
  <c r="Q31"/>
  <c r="G26" i="24"/>
  <c r="U31" i="2"/>
  <c r="V31"/>
  <c r="G73" i="25"/>
  <c r="G76"/>
  <c r="G78"/>
  <c r="G74"/>
  <c r="G75"/>
  <c r="G77"/>
  <c r="G82"/>
  <c r="G83"/>
  <c r="G84"/>
  <c r="G85"/>
  <c r="G86"/>
  <c r="G89"/>
  <c r="G90"/>
  <c r="G92"/>
  <c r="G94"/>
  <c r="G95"/>
  <c r="G96"/>
  <c r="G99"/>
  <c r="G100"/>
  <c r="G101"/>
  <c r="G102"/>
  <c r="C109"/>
  <c r="G17" i="5"/>
  <c r="E22" i="2"/>
  <c r="N22" s="1"/>
  <c r="F22"/>
  <c r="G22"/>
  <c r="H22"/>
  <c r="I22"/>
  <c r="J22"/>
  <c r="K22"/>
  <c r="L22"/>
  <c r="P22"/>
  <c r="Q22"/>
  <c r="R22"/>
  <c r="S22"/>
  <c r="T22"/>
  <c r="U22"/>
  <c r="V22"/>
  <c r="W22"/>
  <c r="X22"/>
  <c r="Y22"/>
  <c r="Z22"/>
  <c r="AA22"/>
  <c r="AB22"/>
  <c r="G18" i="5"/>
  <c r="E23" i="2"/>
  <c r="F23"/>
  <c r="N23" s="1"/>
  <c r="G23"/>
  <c r="H23"/>
  <c r="I23"/>
  <c r="J23"/>
  <c r="K23"/>
  <c r="L23"/>
  <c r="P23"/>
  <c r="Q23"/>
  <c r="R23"/>
  <c r="S23"/>
  <c r="T23"/>
  <c r="U23"/>
  <c r="V23"/>
  <c r="W23"/>
  <c r="X23"/>
  <c r="Y23"/>
  <c r="Z23"/>
  <c r="AA23"/>
  <c r="AB23"/>
  <c r="G19" i="5"/>
  <c r="E24" i="2"/>
  <c r="F24"/>
  <c r="N24" s="1"/>
  <c r="G24"/>
  <c r="H24"/>
  <c r="I24"/>
  <c r="J24"/>
  <c r="K24"/>
  <c r="L24"/>
  <c r="P24"/>
  <c r="Q24"/>
  <c r="Q26" s="1"/>
  <c r="R24"/>
  <c r="S24"/>
  <c r="S26" s="1"/>
  <c r="T24"/>
  <c r="U24"/>
  <c r="U26" s="1"/>
  <c r="V24"/>
  <c r="W24"/>
  <c r="W26" s="1"/>
  <c r="X24"/>
  <c r="Y24"/>
  <c r="Y26" s="1"/>
  <c r="Z24"/>
  <c r="AA24"/>
  <c r="AA26" s="1"/>
  <c r="AB24"/>
  <c r="G20" i="5"/>
  <c r="E25" i="2"/>
  <c r="F25"/>
  <c r="N25" s="1"/>
  <c r="G25"/>
  <c r="H25"/>
  <c r="I25"/>
  <c r="J25"/>
  <c r="K25"/>
  <c r="L25"/>
  <c r="P25"/>
  <c r="Q25"/>
  <c r="R25"/>
  <c r="S25"/>
  <c r="T25"/>
  <c r="U25"/>
  <c r="V25"/>
  <c r="W25"/>
  <c r="X25"/>
  <c r="Y25"/>
  <c r="Z25"/>
  <c r="AA25"/>
  <c r="AB25"/>
  <c r="G44" i="5"/>
  <c r="E49" i="2"/>
  <c r="F49"/>
  <c r="N49" s="1"/>
  <c r="G49"/>
  <c r="H49"/>
  <c r="I49"/>
  <c r="J49"/>
  <c r="K49"/>
  <c r="L49"/>
  <c r="O49"/>
  <c r="P49"/>
  <c r="Q49"/>
  <c r="R49"/>
  <c r="S49"/>
  <c r="T49"/>
  <c r="U49"/>
  <c r="V49"/>
  <c r="W49"/>
  <c r="X49"/>
  <c r="Y49"/>
  <c r="Z49"/>
  <c r="AA49"/>
  <c r="AB49"/>
  <c r="AN22"/>
  <c r="AN23"/>
  <c r="AN26" s="1"/>
  <c r="F50" i="89" s="1"/>
  <c r="AN24" i="2"/>
  <c r="AN25"/>
  <c r="AM22"/>
  <c r="AM23"/>
  <c r="AM26" s="1"/>
  <c r="AM24"/>
  <c r="AM25"/>
  <c r="P26"/>
  <c r="F23" i="89"/>
  <c r="R26" i="2"/>
  <c r="F25" i="89"/>
  <c r="T26" i="2"/>
  <c r="F27" i="89"/>
  <c r="V26" i="2"/>
  <c r="F29" i="89"/>
  <c r="Z26" i="2"/>
  <c r="F32" i="89"/>
  <c r="AB26" i="2"/>
  <c r="F34" i="89"/>
  <c r="F35"/>
  <c r="F36"/>
  <c r="G17" i="60"/>
  <c r="AH22" i="2"/>
  <c r="AH26" s="1"/>
  <c r="F44" i="89" s="1"/>
  <c r="G18" i="60"/>
  <c r="AH23" i="2"/>
  <c r="AH24"/>
  <c r="AH25"/>
  <c r="AJ22"/>
  <c r="AJ23"/>
  <c r="AJ26" s="1"/>
  <c r="F46" i="89" s="1"/>
  <c r="AJ24" i="2"/>
  <c r="AJ25"/>
  <c r="AK22"/>
  <c r="AK23"/>
  <c r="AK26" s="1"/>
  <c r="F47" i="89" s="1"/>
  <c r="AK24" i="2"/>
  <c r="AK25"/>
  <c r="AL22"/>
  <c r="AL23"/>
  <c r="AL26" s="1"/>
  <c r="AL24"/>
  <c r="AL25"/>
  <c r="AO22"/>
  <c r="AO23"/>
  <c r="AO26" s="1"/>
  <c r="AO24"/>
  <c r="AO25"/>
  <c r="AP22"/>
  <c r="AP23"/>
  <c r="AP26" s="1"/>
  <c r="F52" i="89" s="1"/>
  <c r="AP24" i="2"/>
  <c r="AP25"/>
  <c r="AQ22"/>
  <c r="AQ23"/>
  <c r="AQ26" s="1"/>
  <c r="F53" i="89" s="1"/>
  <c r="AQ24" i="2"/>
  <c r="AQ25"/>
  <c r="AR22"/>
  <c r="AR23"/>
  <c r="AR26" s="1"/>
  <c r="F54" i="89" s="1"/>
  <c r="AR24" i="2"/>
  <c r="AR25"/>
  <c r="AS22"/>
  <c r="AS23"/>
  <c r="AS26" s="1"/>
  <c r="F55" i="89" s="1"/>
  <c r="AS24" i="2"/>
  <c r="AS25"/>
  <c r="AT22"/>
  <c r="AT23"/>
  <c r="AT26" s="1"/>
  <c r="F56" i="89" s="1"/>
  <c r="AT24" i="2"/>
  <c r="AT25"/>
  <c r="AU22"/>
  <c r="AU23"/>
  <c r="AU26" s="1"/>
  <c r="F57" i="89" s="1"/>
  <c r="AU24" i="2"/>
  <c r="AU25"/>
  <c r="AI23"/>
  <c r="AI24"/>
  <c r="AI25"/>
  <c r="AI39"/>
  <c r="AI42" s="1"/>
  <c r="AI40"/>
  <c r="AI41"/>
  <c r="AI36"/>
  <c r="AI35"/>
  <c r="AI34"/>
  <c r="AI29"/>
  <c r="AI30"/>
  <c r="AI31"/>
  <c r="AI32"/>
  <c r="AM13"/>
  <c r="AM14"/>
  <c r="AM15"/>
  <c r="AM16" s="1"/>
  <c r="AM17"/>
  <c r="E10" i="89"/>
  <c r="H16" i="2"/>
  <c r="H18"/>
  <c r="E13" i="89" s="1"/>
  <c r="I16" i="2"/>
  <c r="I18" s="1"/>
  <c r="J16"/>
  <c r="J18"/>
  <c r="E15" i="89" s="1"/>
  <c r="L16" i="2"/>
  <c r="L18" s="1"/>
  <c r="O16"/>
  <c r="O18"/>
  <c r="E22" i="89" s="1"/>
  <c r="AH13" i="2"/>
  <c r="AH16" s="1"/>
  <c r="AH18" s="1"/>
  <c r="E44" i="89" s="1"/>
  <c r="AH14" i="2"/>
  <c r="AH15"/>
  <c r="G12" i="60"/>
  <c r="AH17" i="2"/>
  <c r="AI13"/>
  <c r="AI16" s="1"/>
  <c r="AI14"/>
  <c r="AI15"/>
  <c r="G27" i="90"/>
  <c r="G37"/>
  <c r="G11"/>
  <c r="AI49" i="2"/>
  <c r="AN13"/>
  <c r="AN16" s="1"/>
  <c r="AN18" s="1"/>
  <c r="AN14"/>
  <c r="AN15"/>
  <c r="AN17"/>
  <c r="AN39"/>
  <c r="AN42" s="1"/>
  <c r="AN40"/>
  <c r="AN41"/>
  <c r="AN36"/>
  <c r="AN35"/>
  <c r="AN34"/>
  <c r="AN29"/>
  <c r="AN30"/>
  <c r="F73" i="73"/>
  <c r="F74"/>
  <c r="F75"/>
  <c r="F77"/>
  <c r="F82"/>
  <c r="F83"/>
  <c r="F84"/>
  <c r="F85"/>
  <c r="F86"/>
  <c r="F89"/>
  <c r="F90"/>
  <c r="F92"/>
  <c r="F94"/>
  <c r="F95"/>
  <c r="F96"/>
  <c r="F99"/>
  <c r="F102"/>
  <c r="G11"/>
  <c r="G13"/>
  <c r="G21"/>
  <c r="G37"/>
  <c r="AN49" i="2"/>
  <c r="AM39"/>
  <c r="AM40"/>
  <c r="AM41"/>
  <c r="AM42"/>
  <c r="AM36"/>
  <c r="AM35"/>
  <c r="AM34"/>
  <c r="AM29"/>
  <c r="AM30"/>
  <c r="F73" i="69"/>
  <c r="F74"/>
  <c r="F75"/>
  <c r="F77"/>
  <c r="F82"/>
  <c r="F83"/>
  <c r="F84"/>
  <c r="F85"/>
  <c r="F86"/>
  <c r="F89"/>
  <c r="F90"/>
  <c r="F92"/>
  <c r="F94"/>
  <c r="F95"/>
  <c r="F96"/>
  <c r="F99"/>
  <c r="F100"/>
  <c r="F101"/>
  <c r="F102"/>
  <c r="C109"/>
  <c r="G11"/>
  <c r="G13"/>
  <c r="G21"/>
  <c r="G37"/>
  <c r="AM49" i="2"/>
  <c r="AH39"/>
  <c r="AH40"/>
  <c r="AH41"/>
  <c r="AH42"/>
  <c r="AH36"/>
  <c r="AH35"/>
  <c r="AH34"/>
  <c r="AH29"/>
  <c r="AH30"/>
  <c r="F73" i="60"/>
  <c r="F76"/>
  <c r="F78"/>
  <c r="F74"/>
  <c r="F75"/>
  <c r="F77"/>
  <c r="F82"/>
  <c r="F83"/>
  <c r="F84"/>
  <c r="F85"/>
  <c r="F86"/>
  <c r="F89"/>
  <c r="F90"/>
  <c r="F92"/>
  <c r="F94"/>
  <c r="F95"/>
  <c r="F96"/>
  <c r="F99"/>
  <c r="F100"/>
  <c r="F101"/>
  <c r="F102"/>
  <c r="C109"/>
  <c r="G11"/>
  <c r="G13"/>
  <c r="G21"/>
  <c r="G37"/>
  <c r="AH49" i="2"/>
  <c r="AJ13"/>
  <c r="AJ14"/>
  <c r="AJ15"/>
  <c r="AJ16"/>
  <c r="AJ17"/>
  <c r="AJ18"/>
  <c r="AJ39"/>
  <c r="AJ40"/>
  <c r="AJ41"/>
  <c r="AJ42"/>
  <c r="AJ36"/>
  <c r="AJ35"/>
  <c r="AJ34"/>
  <c r="AJ29"/>
  <c r="AJ30"/>
  <c r="F73" i="68"/>
  <c r="F76"/>
  <c r="F78"/>
  <c r="F74"/>
  <c r="F75"/>
  <c r="F77"/>
  <c r="F82"/>
  <c r="F83"/>
  <c r="F84"/>
  <c r="F85"/>
  <c r="F86"/>
  <c r="F89"/>
  <c r="F90"/>
  <c r="F92"/>
  <c r="F94"/>
  <c r="F95"/>
  <c r="F96"/>
  <c r="F99"/>
  <c r="F100"/>
  <c r="F101"/>
  <c r="F102"/>
  <c r="C109"/>
  <c r="G11"/>
  <c r="G13"/>
  <c r="G21"/>
  <c r="G37"/>
  <c r="AJ49" i="2"/>
  <c r="AK13"/>
  <c r="AK14"/>
  <c r="AK15"/>
  <c r="AK16"/>
  <c r="AK17"/>
  <c r="AK18"/>
  <c r="AK39"/>
  <c r="AK40"/>
  <c r="AK41"/>
  <c r="AK42"/>
  <c r="AK36"/>
  <c r="AK35"/>
  <c r="AK34"/>
  <c r="AK29"/>
  <c r="AK30"/>
  <c r="F73" i="72"/>
  <c r="F76"/>
  <c r="F78"/>
  <c r="F74"/>
  <c r="F75"/>
  <c r="F77"/>
  <c r="F82"/>
  <c r="F83"/>
  <c r="F84"/>
  <c r="F85"/>
  <c r="F86"/>
  <c r="F89"/>
  <c r="F90"/>
  <c r="F92"/>
  <c r="F94"/>
  <c r="F95"/>
  <c r="F96"/>
  <c r="F99"/>
  <c r="F100"/>
  <c r="F101"/>
  <c r="F102"/>
  <c r="G11"/>
  <c r="G13"/>
  <c r="G21"/>
  <c r="G37"/>
  <c r="AK49" i="2"/>
  <c r="AL13"/>
  <c r="AL16" s="1"/>
  <c r="AL14"/>
  <c r="AL15"/>
  <c r="AL17"/>
  <c r="AL39"/>
  <c r="AL42" s="1"/>
  <c r="AO42" i="4" s="1"/>
  <c r="AL40" i="2"/>
  <c r="AL41"/>
  <c r="AL36"/>
  <c r="AL35"/>
  <c r="AL34"/>
  <c r="AL29"/>
  <c r="AL30"/>
  <c r="F73" i="70"/>
  <c r="F74"/>
  <c r="F75"/>
  <c r="F76"/>
  <c r="F77"/>
  <c r="F78"/>
  <c r="F82"/>
  <c r="F83"/>
  <c r="F86"/>
  <c r="F84"/>
  <c r="F85"/>
  <c r="F89"/>
  <c r="F90"/>
  <c r="F92"/>
  <c r="F94"/>
  <c r="F95"/>
  <c r="F96"/>
  <c r="F99"/>
  <c r="F102"/>
  <c r="F100"/>
  <c r="F101"/>
  <c r="C109"/>
  <c r="G11"/>
  <c r="G13"/>
  <c r="G21"/>
  <c r="G37"/>
  <c r="AL49" i="2"/>
  <c r="AO13"/>
  <c r="AO16" s="1"/>
  <c r="AO14"/>
  <c r="AO15"/>
  <c r="AO17"/>
  <c r="AO39"/>
  <c r="AO42" s="1"/>
  <c r="AQ42" i="4" s="1"/>
  <c r="AO40" i="2"/>
  <c r="AO41"/>
  <c r="AO36"/>
  <c r="AO35"/>
  <c r="AO34"/>
  <c r="AO29"/>
  <c r="AO30"/>
  <c r="F73" i="34"/>
  <c r="F74"/>
  <c r="F75"/>
  <c r="F76"/>
  <c r="F77"/>
  <c r="F78"/>
  <c r="F82"/>
  <c r="F83"/>
  <c r="F86"/>
  <c r="F104"/>
  <c r="F84"/>
  <c r="F85"/>
  <c r="F89"/>
  <c r="F90"/>
  <c r="F92"/>
  <c r="F94"/>
  <c r="F95"/>
  <c r="F96"/>
  <c r="F99"/>
  <c r="F102"/>
  <c r="F100"/>
  <c r="F101"/>
  <c r="C109"/>
  <c r="G11"/>
  <c r="G13"/>
  <c r="G21"/>
  <c r="G37"/>
  <c r="AO49" i="2"/>
  <c r="AP13"/>
  <c r="AP14"/>
  <c r="AP16" s="1"/>
  <c r="AP18" s="1"/>
  <c r="AP15"/>
  <c r="AP17"/>
  <c r="AP39"/>
  <c r="AP40"/>
  <c r="AP41"/>
  <c r="AP42" s="1"/>
  <c r="AP36"/>
  <c r="AP35"/>
  <c r="AP34"/>
  <c r="AP29"/>
  <c r="AP30"/>
  <c r="F73" i="77"/>
  <c r="F74"/>
  <c r="F75"/>
  <c r="F76"/>
  <c r="F77"/>
  <c r="F78"/>
  <c r="F82"/>
  <c r="F83"/>
  <c r="F86"/>
  <c r="F84"/>
  <c r="F85"/>
  <c r="F89"/>
  <c r="F90"/>
  <c r="F92"/>
  <c r="F94"/>
  <c r="F95"/>
  <c r="F96"/>
  <c r="F99"/>
  <c r="F102"/>
  <c r="F100"/>
  <c r="F101"/>
  <c r="C109"/>
  <c r="G11"/>
  <c r="G13"/>
  <c r="G21"/>
  <c r="G37"/>
  <c r="AP49" i="2"/>
  <c r="AQ13"/>
  <c r="AQ14"/>
  <c r="AQ16" s="1"/>
  <c r="AQ18" s="1"/>
  <c r="AQ15"/>
  <c r="AQ17"/>
  <c r="AQ39"/>
  <c r="AQ40"/>
  <c r="AQ41"/>
  <c r="AQ42" s="1"/>
  <c r="AQ36"/>
  <c r="AQ35"/>
  <c r="AQ34"/>
  <c r="AQ29"/>
  <c r="AQ30"/>
  <c r="F84" i="78"/>
  <c r="F82"/>
  <c r="F86"/>
  <c r="F104"/>
  <c r="F83"/>
  <c r="F85"/>
  <c r="F89"/>
  <c r="F90"/>
  <c r="F92"/>
  <c r="F94"/>
  <c r="F95"/>
  <c r="F96"/>
  <c r="F99"/>
  <c r="F102"/>
  <c r="F100"/>
  <c r="F101"/>
  <c r="F73"/>
  <c r="F74"/>
  <c r="F75"/>
  <c r="F76"/>
  <c r="F77"/>
  <c r="F78"/>
  <c r="C109"/>
  <c r="G21"/>
  <c r="G37"/>
  <c r="G11"/>
  <c r="G13"/>
  <c r="AQ49" i="2"/>
  <c r="AR13"/>
  <c r="AR16" s="1"/>
  <c r="AR18" s="1"/>
  <c r="AR14"/>
  <c r="AR15"/>
  <c r="AR17"/>
  <c r="AR39"/>
  <c r="AR42" s="1"/>
  <c r="AR40"/>
  <c r="AR41"/>
  <c r="AR36"/>
  <c r="AR35"/>
  <c r="AR34"/>
  <c r="AR29"/>
  <c r="AR30"/>
  <c r="F84" i="83"/>
  <c r="F82"/>
  <c r="F86"/>
  <c r="F83"/>
  <c r="F85"/>
  <c r="F89"/>
  <c r="F90"/>
  <c r="F92"/>
  <c r="F94"/>
  <c r="F95"/>
  <c r="F96"/>
  <c r="F99"/>
  <c r="F102"/>
  <c r="F100"/>
  <c r="F101"/>
  <c r="F73"/>
  <c r="F74"/>
  <c r="F75"/>
  <c r="F76"/>
  <c r="F77"/>
  <c r="F78"/>
  <c r="C109"/>
  <c r="G21"/>
  <c r="G37"/>
  <c r="G11"/>
  <c r="G13"/>
  <c r="AR49" i="2"/>
  <c r="AS13"/>
  <c r="AS16" s="1"/>
  <c r="AS18" s="1"/>
  <c r="AS14"/>
  <c r="AS15"/>
  <c r="AS17"/>
  <c r="AS39"/>
  <c r="AS42" s="1"/>
  <c r="AS40"/>
  <c r="AS41"/>
  <c r="AS36"/>
  <c r="AS35"/>
  <c r="AS34"/>
  <c r="AS29"/>
  <c r="AS30"/>
  <c r="F73" i="80"/>
  <c r="F74"/>
  <c r="F75"/>
  <c r="F76"/>
  <c r="F77"/>
  <c r="F78"/>
  <c r="F82"/>
  <c r="F83"/>
  <c r="F86"/>
  <c r="F104"/>
  <c r="F84"/>
  <c r="F85"/>
  <c r="F89"/>
  <c r="F90"/>
  <c r="F92"/>
  <c r="F94"/>
  <c r="F95"/>
  <c r="F96"/>
  <c r="F99"/>
  <c r="F102"/>
  <c r="F100"/>
  <c r="F101"/>
  <c r="C109"/>
  <c r="G11"/>
  <c r="G13"/>
  <c r="G21"/>
  <c r="G37"/>
  <c r="AS49" i="2"/>
  <c r="AT13"/>
  <c r="AT14"/>
  <c r="AT16" s="1"/>
  <c r="AT18" s="1"/>
  <c r="AT15"/>
  <c r="AT17"/>
  <c r="AT39"/>
  <c r="AT40"/>
  <c r="AT41"/>
  <c r="AT42" s="1"/>
  <c r="AT36"/>
  <c r="AT35"/>
  <c r="AT34"/>
  <c r="AT29"/>
  <c r="AT30"/>
  <c r="F99" i="84"/>
  <c r="F100"/>
  <c r="F101"/>
  <c r="F102"/>
  <c r="F82"/>
  <c r="F83"/>
  <c r="F86"/>
  <c r="F104"/>
  <c r="F84"/>
  <c r="F85"/>
  <c r="F89"/>
  <c r="F90"/>
  <c r="F92"/>
  <c r="F94"/>
  <c r="F95"/>
  <c r="F96"/>
  <c r="F73"/>
  <c r="F74"/>
  <c r="F75"/>
  <c r="F76"/>
  <c r="F77"/>
  <c r="F78"/>
  <c r="F106"/>
  <c r="C109"/>
  <c r="F109" s="1"/>
  <c r="G26" s="1"/>
  <c r="G37"/>
  <c r="G21"/>
  <c r="G11"/>
  <c r="G13"/>
  <c r="AT49" i="2"/>
  <c r="AU13"/>
  <c r="AU14"/>
  <c r="AU16" s="1"/>
  <c r="AU18" s="1"/>
  <c r="AU15"/>
  <c r="AU17"/>
  <c r="AU39"/>
  <c r="AU40"/>
  <c r="AU41"/>
  <c r="AU42" s="1"/>
  <c r="AU36"/>
  <c r="AU35"/>
  <c r="AU34"/>
  <c r="AU29"/>
  <c r="AU30"/>
  <c r="F73" i="88"/>
  <c r="F74"/>
  <c r="F75"/>
  <c r="F76"/>
  <c r="F77"/>
  <c r="F78"/>
  <c r="F82"/>
  <c r="F83"/>
  <c r="F86"/>
  <c r="F84"/>
  <c r="F85"/>
  <c r="F89"/>
  <c r="F90"/>
  <c r="F92"/>
  <c r="F94"/>
  <c r="F95"/>
  <c r="F96"/>
  <c r="F99"/>
  <c r="F102"/>
  <c r="F100"/>
  <c r="F101"/>
  <c r="C109"/>
  <c r="AU48" i="2"/>
  <c r="AU49"/>
  <c r="AV13"/>
  <c r="AV16" s="1"/>
  <c r="AV18" s="1"/>
  <c r="AV14"/>
  <c r="AV15"/>
  <c r="AV17"/>
  <c r="AV39"/>
  <c r="AV42" s="1"/>
  <c r="AV40"/>
  <c r="AV41"/>
  <c r="AV36"/>
  <c r="AV35"/>
  <c r="AV34"/>
  <c r="AV29"/>
  <c r="AV32" s="1"/>
  <c r="AV30"/>
  <c r="AV31"/>
  <c r="AV22"/>
  <c r="AV23"/>
  <c r="AV24"/>
  <c r="AV25"/>
  <c r="AV26" s="1"/>
  <c r="AV48"/>
  <c r="G11" i="85"/>
  <c r="G13"/>
  <c r="G40"/>
  <c r="G21"/>
  <c r="G27"/>
  <c r="G37"/>
  <c r="G38"/>
  <c r="AX13" i="2"/>
  <c r="AX14"/>
  <c r="AX15"/>
  <c r="AX16"/>
  <c r="AX17"/>
  <c r="AX18"/>
  <c r="AX39"/>
  <c r="AX40"/>
  <c r="AX41"/>
  <c r="AX42"/>
  <c r="AX36"/>
  <c r="AX35"/>
  <c r="AX34"/>
  <c r="AX29"/>
  <c r="AX30"/>
  <c r="F73" i="87"/>
  <c r="F76"/>
  <c r="F78"/>
  <c r="F74"/>
  <c r="F75"/>
  <c r="F77"/>
  <c r="F82"/>
  <c r="F83"/>
  <c r="F84"/>
  <c r="F85"/>
  <c r="F86"/>
  <c r="F89"/>
  <c r="F90"/>
  <c r="F92"/>
  <c r="F94"/>
  <c r="F95"/>
  <c r="F96"/>
  <c r="F99"/>
  <c r="F100"/>
  <c r="F101"/>
  <c r="F102"/>
  <c r="C109"/>
  <c r="AX22" i="2"/>
  <c r="AX23"/>
  <c r="AX24"/>
  <c r="AX25"/>
  <c r="AX26"/>
  <c r="G11" i="87"/>
  <c r="G13"/>
  <c r="G21"/>
  <c r="G37"/>
  <c r="AX49" i="2"/>
  <c r="N56"/>
  <c r="AG56" s="1"/>
  <c r="N57"/>
  <c r="AG57" s="1"/>
  <c r="AF60" i="4" s="1"/>
  <c r="N58" i="2"/>
  <c r="AG58" s="1"/>
  <c r="N59"/>
  <c r="AG59" s="1"/>
  <c r="N60"/>
  <c r="AG60" s="1"/>
  <c r="N62"/>
  <c r="AG62" s="1"/>
  <c r="N63"/>
  <c r="AG63"/>
  <c r="N65"/>
  <c r="AG65"/>
  <c r="BA65" s="1"/>
  <c r="G67" i="92" s="1"/>
  <c r="N66" i="2"/>
  <c r="AG66"/>
  <c r="BA66" s="1"/>
  <c r="G68" i="92" s="1"/>
  <c r="AX56" i="2"/>
  <c r="AX57"/>
  <c r="AX58"/>
  <c r="AX59"/>
  <c r="AX60"/>
  <c r="AX61"/>
  <c r="AX62"/>
  <c r="AX63"/>
  <c r="AX64" s="1"/>
  <c r="AX68" s="1"/>
  <c r="G125" i="3" s="1"/>
  <c r="AX65" i="2"/>
  <c r="AX66"/>
  <c r="Z16"/>
  <c r="Z18"/>
  <c r="Z42"/>
  <c r="Y16"/>
  <c r="Y18" s="1"/>
  <c r="AC18" i="4" s="1"/>
  <c r="Y42" i="2"/>
  <c r="BA13"/>
  <c r="BA14"/>
  <c r="E55" i="91" s="1"/>
  <c r="F57"/>
  <c r="G65"/>
  <c r="AA16" i="2"/>
  <c r="AA18" s="1"/>
  <c r="W18" i="4" s="1"/>
  <c r="AA42" i="2"/>
  <c r="J42"/>
  <c r="J32"/>
  <c r="J43" s="1"/>
  <c r="J26"/>
  <c r="E16"/>
  <c r="E18" s="1"/>
  <c r="E42"/>
  <c r="E32"/>
  <c r="E26"/>
  <c r="E43"/>
  <c r="F16"/>
  <c r="F18"/>
  <c r="F42"/>
  <c r="F32"/>
  <c r="F26"/>
  <c r="F43" s="1"/>
  <c r="F45" s="1"/>
  <c r="F52" s="1"/>
  <c r="F81" i="3" s="1"/>
  <c r="G16" i="2"/>
  <c r="G18"/>
  <c r="G45" s="1"/>
  <c r="G52" s="1"/>
  <c r="F82" i="3" s="1"/>
  <c r="G42" i="2"/>
  <c r="G43" s="1"/>
  <c r="G32"/>
  <c r="G26"/>
  <c r="H42"/>
  <c r="H43" s="1"/>
  <c r="H32"/>
  <c r="H26"/>
  <c r="I42"/>
  <c r="I32"/>
  <c r="I26"/>
  <c r="I43"/>
  <c r="K16"/>
  <c r="K18" s="1"/>
  <c r="K42"/>
  <c r="K32"/>
  <c r="K26"/>
  <c r="K43" s="1"/>
  <c r="K44" i="4" s="1"/>
  <c r="L42" i="2"/>
  <c r="L32"/>
  <c r="L26"/>
  <c r="L43"/>
  <c r="P16"/>
  <c r="P18" s="1"/>
  <c r="Q18" i="4" s="1"/>
  <c r="P42" i="2"/>
  <c r="Q16"/>
  <c r="Q18"/>
  <c r="Q42"/>
  <c r="Q32"/>
  <c r="R16"/>
  <c r="R18"/>
  <c r="R42"/>
  <c r="S16"/>
  <c r="S18" s="1"/>
  <c r="T18" i="4" s="1"/>
  <c r="S42" i="2"/>
  <c r="T16"/>
  <c r="T18"/>
  <c r="T42"/>
  <c r="U16"/>
  <c r="U18" s="1"/>
  <c r="U42"/>
  <c r="U32"/>
  <c r="U43" s="1"/>
  <c r="V44" i="4" s="1"/>
  <c r="V16" i="2"/>
  <c r="V18" s="1"/>
  <c r="V42"/>
  <c r="V32"/>
  <c r="V43" s="1"/>
  <c r="X44" i="4" s="1"/>
  <c r="W16" i="2"/>
  <c r="W18" s="1"/>
  <c r="Y18" i="4" s="1"/>
  <c r="W42" i="2"/>
  <c r="X16"/>
  <c r="X18"/>
  <c r="X42"/>
  <c r="X26"/>
  <c r="X50"/>
  <c r="AB16"/>
  <c r="AB18" s="1"/>
  <c r="AE18" i="4" s="1"/>
  <c r="AB42" i="2"/>
  <c r="AB50"/>
  <c r="H26" i="92"/>
  <c r="E19" i="51"/>
  <c r="AY61" i="2"/>
  <c r="AY64"/>
  <c r="AY68"/>
  <c r="AZ61"/>
  <c r="AZ64"/>
  <c r="AZ68"/>
  <c r="AY42"/>
  <c r="AY43"/>
  <c r="AY45"/>
  <c r="AY52"/>
  <c r="AY32"/>
  <c r="AY26"/>
  <c r="AZ42"/>
  <c r="AZ43"/>
  <c r="AZ45"/>
  <c r="AZ52"/>
  <c r="AZ32"/>
  <c r="AZ26"/>
  <c r="F10" i="89"/>
  <c r="F11"/>
  <c r="F12"/>
  <c r="F13"/>
  <c r="F19" s="1"/>
  <c r="F14"/>
  <c r="F15"/>
  <c r="F16"/>
  <c r="F17"/>
  <c r="A3" i="28"/>
  <c r="A67" s="1"/>
  <c r="A65"/>
  <c r="G13" i="92"/>
  <c r="E13"/>
  <c r="F13" s="1"/>
  <c r="F16" s="1"/>
  <c r="P37" i="51"/>
  <c r="Q37"/>
  <c r="R37" s="1"/>
  <c r="R44" s="1"/>
  <c r="L36" s="1"/>
  <c r="E43" s="1"/>
  <c r="P38"/>
  <c r="Q38"/>
  <c r="R38"/>
  <c r="P39"/>
  <c r="Q39"/>
  <c r="R39" s="1"/>
  <c r="R41"/>
  <c r="BA63" i="2"/>
  <c r="G65" i="92"/>
  <c r="G52"/>
  <c r="BA41" i="2"/>
  <c r="G41" i="92" s="1"/>
  <c r="BA40" i="2"/>
  <c r="G40" i="92" s="1"/>
  <c r="BA39" i="2"/>
  <c r="G39" i="92" s="1"/>
  <c r="F39" s="1"/>
  <c r="BA36" i="2"/>
  <c r="G36" i="92" s="1"/>
  <c r="BA35" i="2"/>
  <c r="G35" i="92" s="1"/>
  <c r="BA34" i="2"/>
  <c r="G34" i="92" s="1"/>
  <c r="F34" s="1"/>
  <c r="BA15" i="2"/>
  <c r="G15" i="92"/>
  <c r="I15" s="1"/>
  <c r="G14"/>
  <c r="E68"/>
  <c r="E67"/>
  <c r="E66"/>
  <c r="E65"/>
  <c r="E64"/>
  <c r="E62"/>
  <c r="E61"/>
  <c r="E60"/>
  <c r="E59"/>
  <c r="E58"/>
  <c r="E52"/>
  <c r="E49"/>
  <c r="E48"/>
  <c r="E43"/>
  <c r="E42"/>
  <c r="E41"/>
  <c r="E40"/>
  <c r="E39"/>
  <c r="E36"/>
  <c r="E35"/>
  <c r="E34"/>
  <c r="E32"/>
  <c r="E31"/>
  <c r="E30"/>
  <c r="E29"/>
  <c r="E26"/>
  <c r="E25"/>
  <c r="E24"/>
  <c r="E23"/>
  <c r="E22"/>
  <c r="E17"/>
  <c r="E16"/>
  <c r="E15"/>
  <c r="E14"/>
  <c r="A4"/>
  <c r="F14"/>
  <c r="I14"/>
  <c r="F15"/>
  <c r="F52"/>
  <c r="I52"/>
  <c r="H63"/>
  <c r="H66"/>
  <c r="H70"/>
  <c r="A4" i="91"/>
  <c r="C36" s="1"/>
  <c r="P12"/>
  <c r="R12"/>
  <c r="R16"/>
  <c r="R20"/>
  <c r="Y12"/>
  <c r="Z16"/>
  <c r="Y14"/>
  <c r="W16"/>
  <c r="W25"/>
  <c r="X16"/>
  <c r="Y16"/>
  <c r="AA16"/>
  <c r="E19"/>
  <c r="L20"/>
  <c r="W20"/>
  <c r="X20"/>
  <c r="Y20"/>
  <c r="Y25"/>
  <c r="BD14" i="1"/>
  <c r="P25" i="91"/>
  <c r="S35"/>
  <c r="P44"/>
  <c r="L47"/>
  <c r="A4" i="51"/>
  <c r="C36" s="1"/>
  <c r="E55"/>
  <c r="L47"/>
  <c r="AI38" i="2"/>
  <c r="AI37"/>
  <c r="A1" i="90"/>
  <c r="A3"/>
  <c r="E8"/>
  <c r="H8"/>
  <c r="H9"/>
  <c r="E10"/>
  <c r="H10"/>
  <c r="E11"/>
  <c r="F11"/>
  <c r="H11"/>
  <c r="F13"/>
  <c r="E18"/>
  <c r="H18"/>
  <c r="H19"/>
  <c r="H20"/>
  <c r="F21"/>
  <c r="H24"/>
  <c r="H25"/>
  <c r="E26"/>
  <c r="H26"/>
  <c r="E27"/>
  <c r="F27"/>
  <c r="H27"/>
  <c r="H29"/>
  <c r="H30"/>
  <c r="H31"/>
  <c r="E34"/>
  <c r="H34"/>
  <c r="H35"/>
  <c r="H36"/>
  <c r="E37"/>
  <c r="F37"/>
  <c r="H37"/>
  <c r="H44"/>
  <c r="H45"/>
  <c r="H51"/>
  <c r="H53"/>
  <c r="H54"/>
  <c r="H55"/>
  <c r="F56"/>
  <c r="H57"/>
  <c r="H58"/>
  <c r="E59"/>
  <c r="F59"/>
  <c r="G59"/>
  <c r="H59"/>
  <c r="H60"/>
  <c r="H61"/>
  <c r="F63"/>
  <c r="X38" i="2"/>
  <c r="X37"/>
  <c r="G75" i="5"/>
  <c r="G83"/>
  <c r="G88"/>
  <c r="G103"/>
  <c r="G105"/>
  <c r="G112"/>
  <c r="G93"/>
  <c r="G101"/>
  <c r="G110"/>
  <c r="F69" i="74"/>
  <c r="F68"/>
  <c r="F67"/>
  <c r="A3"/>
  <c r="A67" s="1"/>
  <c r="A65"/>
  <c r="F69" i="73"/>
  <c r="F68"/>
  <c r="F67"/>
  <c r="A3"/>
  <c r="A67" s="1"/>
  <c r="A65"/>
  <c r="E66" i="5"/>
  <c r="A116" i="3"/>
  <c r="A121" i="48" s="1"/>
  <c r="B116" i="3"/>
  <c r="B121" i="48" s="1"/>
  <c r="A117" i="3"/>
  <c r="A122" i="48" s="1"/>
  <c r="B117" i="3"/>
  <c r="B122" i="48" s="1"/>
  <c r="A118" i="3"/>
  <c r="A123" i="48" s="1"/>
  <c r="B118" i="3"/>
  <c r="B123" i="48" s="1"/>
  <c r="A119" i="3"/>
  <c r="A124" i="48" s="1"/>
  <c r="B119" i="3"/>
  <c r="B124" i="48" s="1"/>
  <c r="A120" i="3"/>
  <c r="A125" i="48" s="1"/>
  <c r="B120" i="3"/>
  <c r="B125" i="48" s="1"/>
  <c r="A121" i="3"/>
  <c r="A126" i="48" s="1"/>
  <c r="B121" i="3"/>
  <c r="B126" i="48" s="1"/>
  <c r="A122" i="3"/>
  <c r="A127" i="48" s="1"/>
  <c r="B122" i="3"/>
  <c r="B127" i="48" s="1"/>
  <c r="A123" i="3"/>
  <c r="A128" i="48" s="1"/>
  <c r="B123" i="3"/>
  <c r="B128" i="48" s="1"/>
  <c r="A124" i="3"/>
  <c r="A129" i="48" s="1"/>
  <c r="B124" i="3"/>
  <c r="B129" i="48" s="1"/>
  <c r="A93" i="3"/>
  <c r="A101" i="48" s="1"/>
  <c r="B93" i="3"/>
  <c r="B101" i="48" s="1"/>
  <c r="A94" i="3"/>
  <c r="A102" i="48" s="1"/>
  <c r="B94" i="3"/>
  <c r="B102" i="48" s="1"/>
  <c r="A95" i="3"/>
  <c r="A103" i="48" s="1"/>
  <c r="B95" i="3"/>
  <c r="B103" i="48" s="1"/>
  <c r="A96" i="3"/>
  <c r="A104" i="48" s="1"/>
  <c r="B96" i="3"/>
  <c r="B104" i="48" s="1"/>
  <c r="A97" i="3"/>
  <c r="A105" i="48" s="1"/>
  <c r="B97" i="3"/>
  <c r="B105" i="48" s="1"/>
  <c r="A98" i="3"/>
  <c r="A106" i="48" s="1"/>
  <c r="B98" i="3"/>
  <c r="B106" i="48" s="1"/>
  <c r="A99" i="3"/>
  <c r="A107" i="48" s="1"/>
  <c r="B99" i="3"/>
  <c r="B107" i="48" s="1"/>
  <c r="A100" i="3"/>
  <c r="A108" i="48" s="1"/>
  <c r="B100" i="3"/>
  <c r="B108" i="48" s="1"/>
  <c r="A101" i="3"/>
  <c r="A109" i="48" s="1"/>
  <c r="B101" i="3"/>
  <c r="B109" i="48" s="1"/>
  <c r="A102" i="3"/>
  <c r="A110" i="48" s="1"/>
  <c r="B102" i="3"/>
  <c r="B110" i="48" s="1"/>
  <c r="A103" i="3"/>
  <c r="A111" i="48" s="1"/>
  <c r="B103" i="3"/>
  <c r="B111" i="48" s="1"/>
  <c r="A104" i="3"/>
  <c r="A112" i="48" s="1"/>
  <c r="B104" i="3"/>
  <c r="B112" i="48" s="1"/>
  <c r="A105" i="3"/>
  <c r="A113" i="48" s="1"/>
  <c r="B105" i="3"/>
  <c r="B113" i="48" s="1"/>
  <c r="A110" i="3"/>
  <c r="A115" i="48" s="1"/>
  <c r="B110" i="3"/>
  <c r="B115" i="48" s="1"/>
  <c r="A111" i="3"/>
  <c r="A116" i="48" s="1"/>
  <c r="B111" i="3"/>
  <c r="B116" i="48" s="1"/>
  <c r="A112" i="3"/>
  <c r="A117" i="48" s="1"/>
  <c r="B112" i="3"/>
  <c r="B117" i="48" s="1"/>
  <c r="A113" i="3"/>
  <c r="A118" i="48" s="1"/>
  <c r="B113" i="3"/>
  <c r="B118" i="48" s="1"/>
  <c r="A114" i="3"/>
  <c r="A119" i="48" s="1"/>
  <c r="B114" i="3"/>
  <c r="B119" i="48" s="1"/>
  <c r="A115" i="3"/>
  <c r="A120" i="48" s="1"/>
  <c r="B115" i="3"/>
  <c r="B120" i="48" s="1"/>
  <c r="F69" i="29"/>
  <c r="F68"/>
  <c r="F67"/>
  <c r="A3"/>
  <c r="A67" s="1"/>
  <c r="A65"/>
  <c r="BG56" i="2"/>
  <c r="BG57"/>
  <c r="BG61" s="1"/>
  <c r="BG68" s="1"/>
  <c r="BG58"/>
  <c r="BG59"/>
  <c r="BG60"/>
  <c r="BG62"/>
  <c r="BG63"/>
  <c r="BG64"/>
  <c r="BG65"/>
  <c r="BG66"/>
  <c r="BG13"/>
  <c r="BG14"/>
  <c r="BG16" s="1"/>
  <c r="BG18" s="1"/>
  <c r="BG15"/>
  <c r="BG17"/>
  <c r="BG39"/>
  <c r="BG40"/>
  <c r="BG41"/>
  <c r="BG42" s="1"/>
  <c r="BG36"/>
  <c r="BG35"/>
  <c r="BG34"/>
  <c r="BG29"/>
  <c r="BG30"/>
  <c r="BG22"/>
  <c r="BG23"/>
  <c r="BG24"/>
  <c r="BG25"/>
  <c r="BG26" s="1"/>
  <c r="G11" i="74"/>
  <c r="G13"/>
  <c r="G21"/>
  <c r="G37"/>
  <c r="BG49" i="2"/>
  <c r="F44" i="85"/>
  <c r="BD49" i="1"/>
  <c r="Y37" i="2"/>
  <c r="Y38"/>
  <c r="E8" i="85"/>
  <c r="E11"/>
  <c r="E13"/>
  <c r="E17"/>
  <c r="E21"/>
  <c r="E19"/>
  <c r="E20"/>
  <c r="E24"/>
  <c r="E26"/>
  <c r="E27"/>
  <c r="E29"/>
  <c r="E30"/>
  <c r="E31"/>
  <c r="E34"/>
  <c r="E37"/>
  <c r="H37"/>
  <c r="F11"/>
  <c r="F13"/>
  <c r="F21"/>
  <c r="F38"/>
  <c r="F27"/>
  <c r="F37"/>
  <c r="H43"/>
  <c r="J50" i="89"/>
  <c r="B44"/>
  <c r="A44"/>
  <c r="A16" i="3"/>
  <c r="A14" i="48" s="1"/>
  <c r="B16" i="3"/>
  <c r="B14" i="48" s="1"/>
  <c r="A17" i="3"/>
  <c r="A15" i="48" s="1"/>
  <c r="B17" i="3"/>
  <c r="B15" i="48" s="1"/>
  <c r="A18" i="3"/>
  <c r="A16" i="48" s="1"/>
  <c r="B18" i="3"/>
  <c r="B16" i="48" s="1"/>
  <c r="A22" i="3"/>
  <c r="A17" i="48" s="1"/>
  <c r="B22" i="3"/>
  <c r="B17" i="48" s="1"/>
  <c r="A23" i="3"/>
  <c r="A18" i="48" s="1"/>
  <c r="B23" i="3"/>
  <c r="B18" i="48" s="1"/>
  <c r="A24" i="3"/>
  <c r="A19" i="48" s="1"/>
  <c r="B24" i="3"/>
  <c r="B19" i="48" s="1"/>
  <c r="A25" i="3"/>
  <c r="A20" i="48" s="1"/>
  <c r="B25" i="3"/>
  <c r="B20" i="48" s="1"/>
  <c r="A26" i="3"/>
  <c r="A21" i="48" s="1"/>
  <c r="B26" i="3"/>
  <c r="B21" i="48" s="1"/>
  <c r="A27" i="3"/>
  <c r="A22" i="48" s="1"/>
  <c r="B27" i="3"/>
  <c r="B22" i="48" s="1"/>
  <c r="A28" i="3"/>
  <c r="A23" i="48" s="1"/>
  <c r="B28" i="3"/>
  <c r="B23" i="48" s="1"/>
  <c r="A29" i="3"/>
  <c r="A24" i="48" s="1"/>
  <c r="B29" i="3"/>
  <c r="B24" i="48" s="1"/>
  <c r="A30" i="3"/>
  <c r="A25" i="48" s="1"/>
  <c r="B30" i="3"/>
  <c r="B25" i="48" s="1"/>
  <c r="A31" i="3"/>
  <c r="A26" i="48" s="1"/>
  <c r="B31" i="3"/>
  <c r="B26" i="48" s="1"/>
  <c r="A32" i="3"/>
  <c r="A27" i="48" s="1"/>
  <c r="B32" i="3"/>
  <c r="B27" i="48" s="1"/>
  <c r="A33" i="3"/>
  <c r="A28" i="48" s="1"/>
  <c r="B33" i="3"/>
  <c r="B28" i="48" s="1"/>
  <c r="A34" i="3"/>
  <c r="A29" i="48" s="1"/>
  <c r="B34" i="3"/>
  <c r="B29" i="48" s="1"/>
  <c r="A35" i="3"/>
  <c r="A30" i="48" s="1"/>
  <c r="B35" i="3"/>
  <c r="B30" i="48" s="1"/>
  <c r="A36" i="3"/>
  <c r="A31" i="48" s="1"/>
  <c r="B36" i="3"/>
  <c r="B31" i="48" s="1"/>
  <c r="A44" i="3"/>
  <c r="A32" i="48" s="1"/>
  <c r="B44" i="3"/>
  <c r="B32" i="48" s="1"/>
  <c r="A45" i="3"/>
  <c r="A33" i="48" s="1"/>
  <c r="B45" i="3"/>
  <c r="B33" i="48" s="1"/>
  <c r="A46" i="3"/>
  <c r="A34" i="48" s="1"/>
  <c r="B46" i="3"/>
  <c r="B34" i="48" s="1"/>
  <c r="A47" i="3"/>
  <c r="A35" i="48" s="1"/>
  <c r="B47" i="3"/>
  <c r="B35" i="48" s="1"/>
  <c r="A48" i="3"/>
  <c r="A36" i="48" s="1"/>
  <c r="B48" i="3"/>
  <c r="B36" i="48" s="1"/>
  <c r="A49" i="3"/>
  <c r="A37" i="48" s="1"/>
  <c r="B49" i="3"/>
  <c r="B37" i="48" s="1"/>
  <c r="A50" i="3"/>
  <c r="A38" i="48" s="1"/>
  <c r="B50" i="3"/>
  <c r="B38" i="48" s="1"/>
  <c r="A52" i="3"/>
  <c r="A40" i="48" s="1"/>
  <c r="B52" i="3"/>
  <c r="B40" i="48" s="1"/>
  <c r="A54" i="3"/>
  <c r="A42" i="48" s="1"/>
  <c r="B54" i="3"/>
  <c r="B42" i="48" s="1"/>
  <c r="A55" i="3"/>
  <c r="A43" i="48" s="1"/>
  <c r="B55" i="3"/>
  <c r="B43" i="48" s="1"/>
  <c r="A56" i="3"/>
  <c r="A44" i="48" s="1"/>
  <c r="B56" i="3"/>
  <c r="B44" i="48" s="1"/>
  <c r="A57" i="3"/>
  <c r="A45" i="48" s="1"/>
  <c r="B57" i="3"/>
  <c r="B45" i="48" s="1"/>
  <c r="A58" i="3"/>
  <c r="A46" i="48" s="1"/>
  <c r="B58" i="3"/>
  <c r="B46" i="48" s="1"/>
  <c r="A60" i="3"/>
  <c r="A48" i="48" s="1"/>
  <c r="B60" i="3"/>
  <c r="B48" i="48" s="1"/>
  <c r="A61" i="3"/>
  <c r="A49" i="48" s="1"/>
  <c r="B61" i="3"/>
  <c r="B49" i="48" s="1"/>
  <c r="E58" i="88"/>
  <c r="E53"/>
  <c r="E54"/>
  <c r="E25"/>
  <c r="G21"/>
  <c r="G37"/>
  <c r="G11"/>
  <c r="G13"/>
  <c r="G11" i="81"/>
  <c r="G13"/>
  <c r="G40"/>
  <c r="G43"/>
  <c r="G21"/>
  <c r="G27"/>
  <c r="G37"/>
  <c r="G38"/>
  <c r="B57" i="89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39"/>
  <c r="A39"/>
  <c r="B36"/>
  <c r="A36"/>
  <c r="B35"/>
  <c r="A35"/>
  <c r="B34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1"/>
  <c r="A21"/>
  <c r="B17"/>
  <c r="A17"/>
  <c r="B22"/>
  <c r="A22"/>
  <c r="B16"/>
  <c r="A16"/>
  <c r="B15"/>
  <c r="A15"/>
  <c r="B14"/>
  <c r="A14"/>
  <c r="B13"/>
  <c r="A13"/>
  <c r="B12"/>
  <c r="A12"/>
  <c r="B11"/>
  <c r="A11"/>
  <c r="B10"/>
  <c r="A10"/>
  <c r="G76"/>
  <c r="E91"/>
  <c r="F91"/>
  <c r="T130" i="3"/>
  <c r="S129"/>
  <c r="G74" i="82"/>
  <c r="BG38" i="2"/>
  <c r="BG37"/>
  <c r="AO38" i="1"/>
  <c r="AO37"/>
  <c r="L20" i="51"/>
  <c r="E53" i="74"/>
  <c r="E54"/>
  <c r="E55"/>
  <c r="E51"/>
  <c r="E53" i="73"/>
  <c r="E54"/>
  <c r="E55"/>
  <c r="E51"/>
  <c r="E36"/>
  <c r="E35"/>
  <c r="E25"/>
  <c r="E20" i="69"/>
  <c r="E19"/>
  <c r="E61"/>
  <c r="E60"/>
  <c r="E58"/>
  <c r="E57"/>
  <c r="E53"/>
  <c r="E54"/>
  <c r="E55"/>
  <c r="E52"/>
  <c r="E51"/>
  <c r="E36"/>
  <c r="E35"/>
  <c r="E25"/>
  <c r="F68" i="68"/>
  <c r="F67"/>
  <c r="F68" i="72"/>
  <c r="F67"/>
  <c r="E44" i="83"/>
  <c r="H44"/>
  <c r="B56" i="82"/>
  <c r="B55"/>
  <c r="B54"/>
  <c r="B53"/>
  <c r="A56"/>
  <c r="A55"/>
  <c r="A54"/>
  <c r="A53"/>
  <c r="F68" i="59"/>
  <c r="F69"/>
  <c r="F67"/>
  <c r="A3"/>
  <c r="A67" s="1"/>
  <c r="A65"/>
  <c r="E58" i="77"/>
  <c r="E51"/>
  <c r="G73" i="9"/>
  <c r="G74"/>
  <c r="G75"/>
  <c r="G76"/>
  <c r="G77"/>
  <c r="G78"/>
  <c r="G82"/>
  <c r="G83"/>
  <c r="G86"/>
  <c r="G104"/>
  <c r="G84"/>
  <c r="G85"/>
  <c r="G89"/>
  <c r="G90"/>
  <c r="G92"/>
  <c r="G94"/>
  <c r="G95"/>
  <c r="G96"/>
  <c r="G99"/>
  <c r="G102"/>
  <c r="G100"/>
  <c r="G101"/>
  <c r="G92" i="3"/>
  <c r="B125"/>
  <c r="A125"/>
  <c r="B92"/>
  <c r="A92"/>
  <c r="AU38" i="2"/>
  <c r="AU37"/>
  <c r="A1" i="88"/>
  <c r="A3"/>
  <c r="A67" s="1"/>
  <c r="E8"/>
  <c r="H8"/>
  <c r="H9"/>
  <c r="H10"/>
  <c r="E11"/>
  <c r="F11"/>
  <c r="H11"/>
  <c r="H12"/>
  <c r="E13"/>
  <c r="F13"/>
  <c r="H13"/>
  <c r="E17"/>
  <c r="H17"/>
  <c r="H18"/>
  <c r="E19"/>
  <c r="H19"/>
  <c r="E20"/>
  <c r="H20"/>
  <c r="F21"/>
  <c r="E24"/>
  <c r="H24"/>
  <c r="H25"/>
  <c r="F27"/>
  <c r="E29"/>
  <c r="H29"/>
  <c r="E30"/>
  <c r="H30"/>
  <c r="E31"/>
  <c r="H31"/>
  <c r="E34"/>
  <c r="H34"/>
  <c r="H35"/>
  <c r="H36"/>
  <c r="E37"/>
  <c r="F37"/>
  <c r="H37"/>
  <c r="F38"/>
  <c r="H44"/>
  <c r="H45"/>
  <c r="H51"/>
  <c r="E52"/>
  <c r="H52"/>
  <c r="H53"/>
  <c r="H54"/>
  <c r="H55"/>
  <c r="E56"/>
  <c r="H56"/>
  <c r="F56"/>
  <c r="G56"/>
  <c r="E57"/>
  <c r="H57"/>
  <c r="H58"/>
  <c r="F59"/>
  <c r="F63"/>
  <c r="G59"/>
  <c r="H60"/>
  <c r="E61"/>
  <c r="H61"/>
  <c r="G63"/>
  <c r="A65"/>
  <c r="F67"/>
  <c r="F68"/>
  <c r="F69"/>
  <c r="AX38" i="2"/>
  <c r="AX37"/>
  <c r="BA67"/>
  <c r="BA28"/>
  <c r="BA21"/>
  <c r="AV38"/>
  <c r="AV37"/>
  <c r="AT38"/>
  <c r="AT37"/>
  <c r="AR38"/>
  <c r="AR37"/>
  <c r="AS38"/>
  <c r="AS37"/>
  <c r="AQ38"/>
  <c r="AQ37"/>
  <c r="AP38"/>
  <c r="AP37"/>
  <c r="AO38"/>
  <c r="AO37"/>
  <c r="O38"/>
  <c r="O37"/>
  <c r="AY38" i="1"/>
  <c r="AY37"/>
  <c r="AX38"/>
  <c r="AX37"/>
  <c r="AV38"/>
  <c r="AV37"/>
  <c r="AT38"/>
  <c r="AT37"/>
  <c r="A1" i="87"/>
  <c r="A3"/>
  <c r="A67" s="1"/>
  <c r="E8"/>
  <c r="H8"/>
  <c r="H9"/>
  <c r="H10"/>
  <c r="E11"/>
  <c r="H11"/>
  <c r="H12"/>
  <c r="E17"/>
  <c r="H17"/>
  <c r="H18"/>
  <c r="E19"/>
  <c r="H19"/>
  <c r="E20"/>
  <c r="H20"/>
  <c r="E21"/>
  <c r="H21"/>
  <c r="E24"/>
  <c r="H24"/>
  <c r="H25"/>
  <c r="E29"/>
  <c r="H29"/>
  <c r="E30"/>
  <c r="H30"/>
  <c r="E31"/>
  <c r="H31"/>
  <c r="E34"/>
  <c r="H34"/>
  <c r="H35"/>
  <c r="H36"/>
  <c r="E37"/>
  <c r="H37"/>
  <c r="H44"/>
  <c r="H45"/>
  <c r="F47"/>
  <c r="H51"/>
  <c r="E52"/>
  <c r="H52"/>
  <c r="H53"/>
  <c r="H54"/>
  <c r="H55"/>
  <c r="F56"/>
  <c r="G56"/>
  <c r="E57"/>
  <c r="H57"/>
  <c r="H58"/>
  <c r="E59"/>
  <c r="H59"/>
  <c r="F59"/>
  <c r="G59"/>
  <c r="G63"/>
  <c r="H60"/>
  <c r="E61"/>
  <c r="H61"/>
  <c r="F63"/>
  <c r="A65"/>
  <c r="F67"/>
  <c r="F68"/>
  <c r="F69"/>
  <c r="A1" i="86"/>
  <c r="A3"/>
  <c r="A67" s="1"/>
  <c r="E8"/>
  <c r="H8"/>
  <c r="H9"/>
  <c r="H10"/>
  <c r="E11"/>
  <c r="H11"/>
  <c r="H12"/>
  <c r="E17"/>
  <c r="H17"/>
  <c r="H18"/>
  <c r="E19"/>
  <c r="H19"/>
  <c r="E20"/>
  <c r="H20"/>
  <c r="E21"/>
  <c r="H21"/>
  <c r="E24"/>
  <c r="H24"/>
  <c r="H25"/>
  <c r="E29"/>
  <c r="H29"/>
  <c r="E30"/>
  <c r="H30"/>
  <c r="E31"/>
  <c r="H31"/>
  <c r="E34"/>
  <c r="H34"/>
  <c r="H35"/>
  <c r="H36"/>
  <c r="E37"/>
  <c r="H37"/>
  <c r="H44"/>
  <c r="H45"/>
  <c r="F47"/>
  <c r="H51"/>
  <c r="E52"/>
  <c r="H53"/>
  <c r="H54"/>
  <c r="H55"/>
  <c r="F56"/>
  <c r="G56"/>
  <c r="E57"/>
  <c r="H57"/>
  <c r="H58"/>
  <c r="E59"/>
  <c r="F59"/>
  <c r="G59"/>
  <c r="G63"/>
  <c r="H60"/>
  <c r="E61"/>
  <c r="H61"/>
  <c r="F63"/>
  <c r="A65"/>
  <c r="F67"/>
  <c r="F68"/>
  <c r="F69"/>
  <c r="A1" i="85"/>
  <c r="A3"/>
  <c r="H8"/>
  <c r="H9"/>
  <c r="H10"/>
  <c r="H11"/>
  <c r="H12"/>
  <c r="H17"/>
  <c r="H18"/>
  <c r="H19"/>
  <c r="H20"/>
  <c r="H21"/>
  <c r="H24"/>
  <c r="H25"/>
  <c r="H26"/>
  <c r="H27"/>
  <c r="H29"/>
  <c r="H30"/>
  <c r="H31"/>
  <c r="H34"/>
  <c r="H35"/>
  <c r="H36"/>
  <c r="H45"/>
  <c r="H51"/>
  <c r="E52"/>
  <c r="H52"/>
  <c r="H53"/>
  <c r="H54"/>
  <c r="H55"/>
  <c r="E56"/>
  <c r="F56"/>
  <c r="G56"/>
  <c r="G63"/>
  <c r="E57"/>
  <c r="H58"/>
  <c r="F59"/>
  <c r="F63"/>
  <c r="G59"/>
  <c r="H60"/>
  <c r="E61"/>
  <c r="H61"/>
  <c r="A1" i="84"/>
  <c r="A3"/>
  <c r="A67" s="1"/>
  <c r="E8"/>
  <c r="H8"/>
  <c r="H9"/>
  <c r="H10"/>
  <c r="H12"/>
  <c r="E17"/>
  <c r="H17"/>
  <c r="H18"/>
  <c r="E19"/>
  <c r="H19"/>
  <c r="E20"/>
  <c r="H20"/>
  <c r="E24"/>
  <c r="H24"/>
  <c r="H25"/>
  <c r="E29"/>
  <c r="H29"/>
  <c r="E30"/>
  <c r="H30"/>
  <c r="E31"/>
  <c r="H31"/>
  <c r="E34"/>
  <c r="H34"/>
  <c r="H35"/>
  <c r="H36"/>
  <c r="E37"/>
  <c r="H37"/>
  <c r="H44"/>
  <c r="H45"/>
  <c r="F47"/>
  <c r="H51"/>
  <c r="E52"/>
  <c r="H52"/>
  <c r="H53"/>
  <c r="H54"/>
  <c r="H55"/>
  <c r="E56"/>
  <c r="H56"/>
  <c r="F56"/>
  <c r="G56"/>
  <c r="E57"/>
  <c r="H57"/>
  <c r="H58"/>
  <c r="F59"/>
  <c r="F63"/>
  <c r="G59"/>
  <c r="H60"/>
  <c r="E61"/>
  <c r="H61"/>
  <c r="G63"/>
  <c r="A65"/>
  <c r="F67"/>
  <c r="F68"/>
  <c r="F69"/>
  <c r="A1" i="83"/>
  <c r="A3"/>
  <c r="A67" s="1"/>
  <c r="E8"/>
  <c r="H8"/>
  <c r="H9"/>
  <c r="H10"/>
  <c r="E11"/>
  <c r="H11"/>
  <c r="H12"/>
  <c r="E13"/>
  <c r="H13"/>
  <c r="E17"/>
  <c r="H17"/>
  <c r="H18"/>
  <c r="E19"/>
  <c r="H19"/>
  <c r="E20"/>
  <c r="H20"/>
  <c r="E24"/>
  <c r="H24"/>
  <c r="H25"/>
  <c r="E29"/>
  <c r="H29"/>
  <c r="E30"/>
  <c r="H30"/>
  <c r="E31"/>
  <c r="H31"/>
  <c r="E34"/>
  <c r="H34"/>
  <c r="H35"/>
  <c r="H36"/>
  <c r="E37"/>
  <c r="H37"/>
  <c r="H45"/>
  <c r="F47"/>
  <c r="H51"/>
  <c r="E52"/>
  <c r="H52"/>
  <c r="H53"/>
  <c r="H54"/>
  <c r="H55"/>
  <c r="F56"/>
  <c r="G56"/>
  <c r="E57"/>
  <c r="H57"/>
  <c r="H58"/>
  <c r="E59"/>
  <c r="H59"/>
  <c r="F59"/>
  <c r="G59"/>
  <c r="G63"/>
  <c r="H60"/>
  <c r="E61"/>
  <c r="H61"/>
  <c r="F63"/>
  <c r="A65"/>
  <c r="F67"/>
  <c r="F68"/>
  <c r="F69"/>
  <c r="E57" i="28"/>
  <c r="E55"/>
  <c r="E54"/>
  <c r="E53"/>
  <c r="E51"/>
  <c r="E35"/>
  <c r="E25"/>
  <c r="Y12" i="51"/>
  <c r="W16"/>
  <c r="X16"/>
  <c r="Y16"/>
  <c r="Y14"/>
  <c r="X20"/>
  <c r="W20"/>
  <c r="G11" i="24"/>
  <c r="G13"/>
  <c r="G40"/>
  <c r="G47"/>
  <c r="G21"/>
  <c r="G27"/>
  <c r="G37"/>
  <c r="G38"/>
  <c r="F11"/>
  <c r="F13"/>
  <c r="F40"/>
  <c r="F47"/>
  <c r="F21"/>
  <c r="F27"/>
  <c r="F37"/>
  <c r="F38"/>
  <c r="E43"/>
  <c r="E8"/>
  <c r="E11"/>
  <c r="E21"/>
  <c r="E26"/>
  <c r="E27"/>
  <c r="E37"/>
  <c r="E44"/>
  <c r="F68" i="69"/>
  <c r="U8" i="49"/>
  <c r="U9"/>
  <c r="U13"/>
  <c r="U32"/>
  <c r="U61"/>
  <c r="U33"/>
  <c r="U15"/>
  <c r="U16"/>
  <c r="U91"/>
  <c r="U94"/>
  <c r="T18"/>
  <c r="U92"/>
  <c r="U93"/>
  <c r="T23"/>
  <c r="T12"/>
  <c r="V32"/>
  <c r="V61"/>
  <c r="V33"/>
  <c r="V15"/>
  <c r="E8"/>
  <c r="E9"/>
  <c r="E13"/>
  <c r="E32"/>
  <c r="E61"/>
  <c r="E33"/>
  <c r="E15"/>
  <c r="E16"/>
  <c r="E91"/>
  <c r="E94"/>
  <c r="D18"/>
  <c r="E92"/>
  <c r="E93"/>
  <c r="D23"/>
  <c r="D12"/>
  <c r="F32"/>
  <c r="F61"/>
  <c r="F33"/>
  <c r="F15"/>
  <c r="M8"/>
  <c r="M9"/>
  <c r="M13"/>
  <c r="M32"/>
  <c r="M61"/>
  <c r="M33"/>
  <c r="M15"/>
  <c r="M16"/>
  <c r="M91"/>
  <c r="M94"/>
  <c r="L18"/>
  <c r="M92"/>
  <c r="M93"/>
  <c r="L23"/>
  <c r="L12"/>
  <c r="N32"/>
  <c r="N61"/>
  <c r="N33"/>
  <c r="N15"/>
  <c r="V8"/>
  <c r="V9"/>
  <c r="V13"/>
  <c r="V16"/>
  <c r="F8"/>
  <c r="F9"/>
  <c r="F13"/>
  <c r="F16"/>
  <c r="N8"/>
  <c r="N9"/>
  <c r="N13"/>
  <c r="N16"/>
  <c r="U37"/>
  <c r="U39"/>
  <c r="U42"/>
  <c r="U62"/>
  <c r="U44"/>
  <c r="T44"/>
  <c r="T49"/>
  <c r="U45"/>
  <c r="V91"/>
  <c r="V92"/>
  <c r="V93"/>
  <c r="V94"/>
  <c r="T47"/>
  <c r="T41"/>
  <c r="V62"/>
  <c r="V44"/>
  <c r="E37"/>
  <c r="E39"/>
  <c r="E42"/>
  <c r="E62"/>
  <c r="E44"/>
  <c r="E45"/>
  <c r="F91"/>
  <c r="F94"/>
  <c r="D47"/>
  <c r="F92"/>
  <c r="F93"/>
  <c r="D41"/>
  <c r="F62"/>
  <c r="F44"/>
  <c r="D44"/>
  <c r="D49"/>
  <c r="M37"/>
  <c r="M39"/>
  <c r="M42"/>
  <c r="M62"/>
  <c r="M44"/>
  <c r="L44"/>
  <c r="M45"/>
  <c r="N91"/>
  <c r="N92"/>
  <c r="N93"/>
  <c r="N94"/>
  <c r="L47"/>
  <c r="L41"/>
  <c r="N62"/>
  <c r="N44"/>
  <c r="V37"/>
  <c r="V39"/>
  <c r="V42"/>
  <c r="V45"/>
  <c r="F37"/>
  <c r="F39"/>
  <c r="F42"/>
  <c r="F45"/>
  <c r="N37"/>
  <c r="N39"/>
  <c r="N42"/>
  <c r="N45"/>
  <c r="U66"/>
  <c r="U72"/>
  <c r="W91"/>
  <c r="W92"/>
  <c r="W93"/>
  <c r="W94"/>
  <c r="T74"/>
  <c r="T67"/>
  <c r="T68"/>
  <c r="T69"/>
  <c r="T71"/>
  <c r="E66"/>
  <c r="E69"/>
  <c r="E72"/>
  <c r="G91"/>
  <c r="G92"/>
  <c r="G93"/>
  <c r="G94"/>
  <c r="D74"/>
  <c r="D67"/>
  <c r="D68"/>
  <c r="D69"/>
  <c r="D71"/>
  <c r="M66"/>
  <c r="M69"/>
  <c r="M72"/>
  <c r="O91"/>
  <c r="O92"/>
  <c r="O93"/>
  <c r="O94"/>
  <c r="L74"/>
  <c r="L67"/>
  <c r="L68"/>
  <c r="L69"/>
  <c r="L71"/>
  <c r="C70" i="48"/>
  <c r="E77"/>
  <c r="B52" i="82"/>
  <c r="A52"/>
  <c r="B51"/>
  <c r="A51"/>
  <c r="B50"/>
  <c r="A50"/>
  <c r="B49"/>
  <c r="A49"/>
  <c r="B48"/>
  <c r="A48"/>
  <c r="B47"/>
  <c r="A47"/>
  <c r="B46"/>
  <c r="A46"/>
  <c r="B45"/>
  <c r="A45"/>
  <c r="B44"/>
  <c r="A44"/>
  <c r="B39"/>
  <c r="A39"/>
  <c r="B36"/>
  <c r="A36"/>
  <c r="B35"/>
  <c r="A35"/>
  <c r="B34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F38" i="2"/>
  <c r="F37"/>
  <c r="G56" i="6"/>
  <c r="G59"/>
  <c r="G63"/>
  <c r="E13" i="50"/>
  <c r="E17" i="70"/>
  <c r="A130" i="48"/>
  <c r="B130"/>
  <c r="AI38" i="1"/>
  <c r="AI37"/>
  <c r="AH38" i="2"/>
  <c r="AH37"/>
  <c r="A1" i="81"/>
  <c r="A3"/>
  <c r="E8"/>
  <c r="H8"/>
  <c r="H9"/>
  <c r="E10"/>
  <c r="H10"/>
  <c r="E12"/>
  <c r="H12"/>
  <c r="E17"/>
  <c r="H17"/>
  <c r="E18"/>
  <c r="H18"/>
  <c r="H19"/>
  <c r="H20"/>
  <c r="E21"/>
  <c r="H21"/>
  <c r="H24"/>
  <c r="H25"/>
  <c r="E26"/>
  <c r="H26"/>
  <c r="E27"/>
  <c r="H27"/>
  <c r="H29"/>
  <c r="H30"/>
  <c r="H31"/>
  <c r="E34"/>
  <c r="H34"/>
  <c r="H35"/>
  <c r="H36"/>
  <c r="E37"/>
  <c r="H37"/>
  <c r="E38"/>
  <c r="H38"/>
  <c r="H44"/>
  <c r="H45"/>
  <c r="G47"/>
  <c r="H51"/>
  <c r="H53"/>
  <c r="H54"/>
  <c r="H55"/>
  <c r="G56"/>
  <c r="H57"/>
  <c r="H58"/>
  <c r="E59"/>
  <c r="F59"/>
  <c r="G59"/>
  <c r="H59"/>
  <c r="H60"/>
  <c r="H61"/>
  <c r="G63"/>
  <c r="AJ37" i="2"/>
  <c r="AK37"/>
  <c r="AL37"/>
  <c r="AM37"/>
  <c r="AN37"/>
  <c r="AJ38"/>
  <c r="AK38"/>
  <c r="AL38"/>
  <c r="AM38"/>
  <c r="AN38"/>
  <c r="AB38"/>
  <c r="AB37"/>
  <c r="E30" i="65"/>
  <c r="E29"/>
  <c r="E19"/>
  <c r="E17"/>
  <c r="D106" i="49"/>
  <c r="D99"/>
  <c r="D98"/>
  <c r="D97"/>
  <c r="D94"/>
  <c r="D85"/>
  <c r="D84"/>
  <c r="F66"/>
  <c r="F72"/>
  <c r="D60"/>
  <c r="D59"/>
  <c r="D58"/>
  <c r="D57"/>
  <c r="D31"/>
  <c r="D30"/>
  <c r="D29"/>
  <c r="D28"/>
  <c r="N66"/>
  <c r="N72"/>
  <c r="V66"/>
  <c r="V72"/>
  <c r="AU38" i="1"/>
  <c r="AU37"/>
  <c r="A1" i="80"/>
  <c r="A3"/>
  <c r="A67" s="1"/>
  <c r="E8"/>
  <c r="H8"/>
  <c r="H9"/>
  <c r="H10"/>
  <c r="E11"/>
  <c r="H11"/>
  <c r="H12"/>
  <c r="E13"/>
  <c r="H13"/>
  <c r="E17"/>
  <c r="H17"/>
  <c r="H18"/>
  <c r="E19"/>
  <c r="H19"/>
  <c r="E20"/>
  <c r="H20"/>
  <c r="E24"/>
  <c r="H24"/>
  <c r="H25"/>
  <c r="E29"/>
  <c r="H29"/>
  <c r="E30"/>
  <c r="H30"/>
  <c r="E31"/>
  <c r="H31"/>
  <c r="E34"/>
  <c r="H34"/>
  <c r="H35"/>
  <c r="H36"/>
  <c r="E37"/>
  <c r="H37"/>
  <c r="H44"/>
  <c r="H45"/>
  <c r="H51"/>
  <c r="E52"/>
  <c r="H52"/>
  <c r="H53"/>
  <c r="H54"/>
  <c r="H55"/>
  <c r="E56"/>
  <c r="H56"/>
  <c r="F56"/>
  <c r="G56"/>
  <c r="E57"/>
  <c r="H57"/>
  <c r="H58"/>
  <c r="F59"/>
  <c r="F63"/>
  <c r="G59"/>
  <c r="H60"/>
  <c r="E61"/>
  <c r="H61"/>
  <c r="G63"/>
  <c r="A65"/>
  <c r="F67"/>
  <c r="F68"/>
  <c r="F69"/>
  <c r="AR38" i="1"/>
  <c r="AR37"/>
  <c r="E25" i="74"/>
  <c r="Z38" i="2"/>
  <c r="Z37"/>
  <c r="Z38" i="1"/>
  <c r="Z37"/>
  <c r="E25" i="76"/>
  <c r="L38" i="2"/>
  <c r="L37"/>
  <c r="A4"/>
  <c r="A39" i="3"/>
  <c r="B39"/>
  <c r="F17" i="18"/>
  <c r="AB38" i="1"/>
  <c r="AB37"/>
  <c r="A1" i="79"/>
  <c r="A3"/>
  <c r="E8"/>
  <c r="H8"/>
  <c r="H9"/>
  <c r="H10"/>
  <c r="E11"/>
  <c r="H11"/>
  <c r="H12"/>
  <c r="E17"/>
  <c r="H17"/>
  <c r="H18"/>
  <c r="E19"/>
  <c r="H19"/>
  <c r="E20"/>
  <c r="H20"/>
  <c r="E21"/>
  <c r="H21"/>
  <c r="E24"/>
  <c r="H24"/>
  <c r="H25"/>
  <c r="E29"/>
  <c r="H29"/>
  <c r="E30"/>
  <c r="H30"/>
  <c r="E31"/>
  <c r="H31"/>
  <c r="E34"/>
  <c r="H34"/>
  <c r="H35"/>
  <c r="H36"/>
  <c r="E37"/>
  <c r="H37"/>
  <c r="H44"/>
  <c r="H45"/>
  <c r="F47"/>
  <c r="H51"/>
  <c r="E52"/>
  <c r="H52"/>
  <c r="H53"/>
  <c r="H54"/>
  <c r="H55"/>
  <c r="F56"/>
  <c r="G56"/>
  <c r="E57"/>
  <c r="H57"/>
  <c r="H58"/>
  <c r="E59"/>
  <c r="H59"/>
  <c r="F59"/>
  <c r="G59"/>
  <c r="G63"/>
  <c r="H60"/>
  <c r="E61"/>
  <c r="H61"/>
  <c r="F63"/>
  <c r="A65"/>
  <c r="A67"/>
  <c r="F67"/>
  <c r="F68"/>
  <c r="F69"/>
  <c r="AS38" i="1"/>
  <c r="AS37"/>
  <c r="F11" i="18"/>
  <c r="F13"/>
  <c r="F21"/>
  <c r="F38"/>
  <c r="F27"/>
  <c r="F37"/>
  <c r="AP38" i="1"/>
  <c r="AP37"/>
  <c r="A1" i="78"/>
  <c r="A3"/>
  <c r="A67" s="1"/>
  <c r="E8"/>
  <c r="H8"/>
  <c r="H9"/>
  <c r="H10"/>
  <c r="E11"/>
  <c r="H11"/>
  <c r="H12"/>
  <c r="E13"/>
  <c r="H13"/>
  <c r="E17"/>
  <c r="H17"/>
  <c r="H18"/>
  <c r="E19"/>
  <c r="H19"/>
  <c r="E20"/>
  <c r="H20"/>
  <c r="E24"/>
  <c r="H24"/>
  <c r="H25"/>
  <c r="E29"/>
  <c r="H29"/>
  <c r="E30"/>
  <c r="H30"/>
  <c r="E31"/>
  <c r="H31"/>
  <c r="E34"/>
  <c r="H34"/>
  <c r="H35"/>
  <c r="H36"/>
  <c r="E37"/>
  <c r="H37"/>
  <c r="H44"/>
  <c r="H45"/>
  <c r="F47"/>
  <c r="H51"/>
  <c r="E52"/>
  <c r="H52"/>
  <c r="H53"/>
  <c r="H54"/>
  <c r="H55"/>
  <c r="E56"/>
  <c r="H56"/>
  <c r="F56"/>
  <c r="G56"/>
  <c r="E57"/>
  <c r="H57"/>
  <c r="H58"/>
  <c r="F59"/>
  <c r="F63"/>
  <c r="G59"/>
  <c r="H60"/>
  <c r="E61"/>
  <c r="H61"/>
  <c r="G63"/>
  <c r="A65"/>
  <c r="F67"/>
  <c r="F68"/>
  <c r="F69"/>
  <c r="A1" i="77"/>
  <c r="A3"/>
  <c r="A67" s="1"/>
  <c r="E8"/>
  <c r="H8"/>
  <c r="H9"/>
  <c r="H10"/>
  <c r="E11"/>
  <c r="H11"/>
  <c r="H12"/>
  <c r="E13"/>
  <c r="H13"/>
  <c r="E17"/>
  <c r="H17"/>
  <c r="H18"/>
  <c r="E19"/>
  <c r="H19"/>
  <c r="E20"/>
  <c r="H20"/>
  <c r="E24"/>
  <c r="H24"/>
  <c r="H25"/>
  <c r="E29"/>
  <c r="H29"/>
  <c r="E30"/>
  <c r="H30"/>
  <c r="E31"/>
  <c r="H31"/>
  <c r="E34"/>
  <c r="H34"/>
  <c r="H35"/>
  <c r="H36"/>
  <c r="E37"/>
  <c r="H37"/>
  <c r="H44"/>
  <c r="H45"/>
  <c r="F47"/>
  <c r="H51"/>
  <c r="H52"/>
  <c r="H53"/>
  <c r="H54"/>
  <c r="H55"/>
  <c r="E56"/>
  <c r="F56"/>
  <c r="G56"/>
  <c r="H56"/>
  <c r="H57"/>
  <c r="H58"/>
  <c r="E59"/>
  <c r="F59"/>
  <c r="G59"/>
  <c r="H59"/>
  <c r="H60"/>
  <c r="H61"/>
  <c r="E63"/>
  <c r="F63"/>
  <c r="G63"/>
  <c r="H63"/>
  <c r="A65"/>
  <c r="F67"/>
  <c r="F68"/>
  <c r="F69"/>
  <c r="A1" i="76"/>
  <c r="A3"/>
  <c r="E8"/>
  <c r="H8"/>
  <c r="H9"/>
  <c r="H10"/>
  <c r="E11"/>
  <c r="G11"/>
  <c r="H11"/>
  <c r="H12"/>
  <c r="E13"/>
  <c r="G13"/>
  <c r="H13"/>
  <c r="E17"/>
  <c r="H17"/>
  <c r="H18"/>
  <c r="E19"/>
  <c r="H19"/>
  <c r="E20"/>
  <c r="H20"/>
  <c r="E21"/>
  <c r="G21"/>
  <c r="H21"/>
  <c r="E24"/>
  <c r="H24"/>
  <c r="H25"/>
  <c r="C109"/>
  <c r="F73"/>
  <c r="F74"/>
  <c r="F75"/>
  <c r="F76"/>
  <c r="F77"/>
  <c r="F78"/>
  <c r="F82"/>
  <c r="F83"/>
  <c r="F86"/>
  <c r="F104"/>
  <c r="F84"/>
  <c r="F85"/>
  <c r="F89"/>
  <c r="F90"/>
  <c r="F92"/>
  <c r="F94"/>
  <c r="F95"/>
  <c r="F96"/>
  <c r="F99"/>
  <c r="F102"/>
  <c r="F100"/>
  <c r="F101"/>
  <c r="E29"/>
  <c r="H29"/>
  <c r="E30"/>
  <c r="H30"/>
  <c r="E31"/>
  <c r="H31"/>
  <c r="E34"/>
  <c r="H34"/>
  <c r="H35"/>
  <c r="H36"/>
  <c r="E37"/>
  <c r="G37"/>
  <c r="H37"/>
  <c r="H44"/>
  <c r="H45"/>
  <c r="H51"/>
  <c r="E52"/>
  <c r="H52"/>
  <c r="H53"/>
  <c r="H54"/>
  <c r="H55"/>
  <c r="F56"/>
  <c r="G56"/>
  <c r="E57"/>
  <c r="H57"/>
  <c r="H58"/>
  <c r="E59"/>
  <c r="H59"/>
  <c r="F59"/>
  <c r="G59"/>
  <c r="G63"/>
  <c r="H60"/>
  <c r="E61"/>
  <c r="H61"/>
  <c r="F63"/>
  <c r="A65"/>
  <c r="A67"/>
  <c r="F67"/>
  <c r="F68"/>
  <c r="F69"/>
  <c r="E8" i="19"/>
  <c r="E11"/>
  <c r="E12"/>
  <c r="E26"/>
  <c r="E27"/>
  <c r="E38" s="1"/>
  <c r="E34"/>
  <c r="E37"/>
  <c r="H37"/>
  <c r="E21"/>
  <c r="A1"/>
  <c r="H8"/>
  <c r="H9"/>
  <c r="H10"/>
  <c r="H12"/>
  <c r="H17"/>
  <c r="H18"/>
  <c r="H19"/>
  <c r="H20"/>
  <c r="H21"/>
  <c r="H24"/>
  <c r="H25"/>
  <c r="H29"/>
  <c r="H30"/>
  <c r="H31"/>
  <c r="H34"/>
  <c r="H35"/>
  <c r="H36"/>
  <c r="H44"/>
  <c r="H45"/>
  <c r="H51"/>
  <c r="H52"/>
  <c r="H53"/>
  <c r="H54"/>
  <c r="H55"/>
  <c r="E56"/>
  <c r="F56"/>
  <c r="G56"/>
  <c r="H56"/>
  <c r="H57"/>
  <c r="H58"/>
  <c r="E59"/>
  <c r="F59"/>
  <c r="G59"/>
  <c r="H59"/>
  <c r="H60"/>
  <c r="H61"/>
  <c r="E63"/>
  <c r="F63"/>
  <c r="G63"/>
  <c r="H63"/>
  <c r="A65"/>
  <c r="F67"/>
  <c r="F68"/>
  <c r="F69"/>
  <c r="A3"/>
  <c r="A67" s="1"/>
  <c r="F11" i="36"/>
  <c r="F13"/>
  <c r="F40"/>
  <c r="F21"/>
  <c r="F38"/>
  <c r="F27"/>
  <c r="F37"/>
  <c r="E8"/>
  <c r="E11"/>
  <c r="E13"/>
  <c r="E21"/>
  <c r="E38"/>
  <c r="H38"/>
  <c r="E27"/>
  <c r="E37"/>
  <c r="H37"/>
  <c r="E52"/>
  <c r="E56"/>
  <c r="H56"/>
  <c r="E57"/>
  <c r="E59"/>
  <c r="E61"/>
  <c r="E63"/>
  <c r="F56"/>
  <c r="F59"/>
  <c r="F63"/>
  <c r="G56"/>
  <c r="G59"/>
  <c r="G63"/>
  <c r="H61"/>
  <c r="H60"/>
  <c r="H59"/>
  <c r="H58"/>
  <c r="H57"/>
  <c r="H55"/>
  <c r="H54"/>
  <c r="H53"/>
  <c r="H52"/>
  <c r="H51"/>
  <c r="H45"/>
  <c r="H44"/>
  <c r="H36"/>
  <c r="H35"/>
  <c r="H34"/>
  <c r="H31"/>
  <c r="H30"/>
  <c r="H29"/>
  <c r="H27"/>
  <c r="H26"/>
  <c r="H25"/>
  <c r="H24"/>
  <c r="H21"/>
  <c r="H20"/>
  <c r="H19"/>
  <c r="H18"/>
  <c r="H17"/>
  <c r="H12"/>
  <c r="H10"/>
  <c r="H9"/>
  <c r="H8"/>
  <c r="A1"/>
  <c r="A3"/>
  <c r="F47" i="65"/>
  <c r="E34"/>
  <c r="E37"/>
  <c r="E21"/>
  <c r="E8"/>
  <c r="E11"/>
  <c r="E12"/>
  <c r="E13"/>
  <c r="F69"/>
  <c r="F68"/>
  <c r="F67"/>
  <c r="A65"/>
  <c r="E56"/>
  <c r="E59"/>
  <c r="E63"/>
  <c r="F56"/>
  <c r="F59"/>
  <c r="F63"/>
  <c r="G56"/>
  <c r="G59"/>
  <c r="G63"/>
  <c r="A1"/>
  <c r="A3"/>
  <c r="A67" s="1"/>
  <c r="G47" i="8"/>
  <c r="F47"/>
  <c r="E8"/>
  <c r="E11"/>
  <c r="E21"/>
  <c r="E26"/>
  <c r="E27"/>
  <c r="E37"/>
  <c r="H37"/>
  <c r="E43"/>
  <c r="A1"/>
  <c r="H8"/>
  <c r="H9"/>
  <c r="H10"/>
  <c r="H12"/>
  <c r="H17"/>
  <c r="H18"/>
  <c r="H19"/>
  <c r="H20"/>
  <c r="H21"/>
  <c r="H24"/>
  <c r="H25"/>
  <c r="H29"/>
  <c r="H30"/>
  <c r="H31"/>
  <c r="H34"/>
  <c r="H35"/>
  <c r="H36"/>
  <c r="H43"/>
  <c r="H44"/>
  <c r="H45"/>
  <c r="H51"/>
  <c r="H52"/>
  <c r="H53"/>
  <c r="H54"/>
  <c r="H55"/>
  <c r="E56"/>
  <c r="F56"/>
  <c r="G56"/>
  <c r="H56"/>
  <c r="H57"/>
  <c r="H58"/>
  <c r="E59"/>
  <c r="F59"/>
  <c r="G59"/>
  <c r="H59"/>
  <c r="E60"/>
  <c r="H60"/>
  <c r="E61"/>
  <c r="H61"/>
  <c r="E63"/>
  <c r="F63"/>
  <c r="G63"/>
  <c r="H63"/>
  <c r="A65"/>
  <c r="C109"/>
  <c r="A3"/>
  <c r="A67" s="1"/>
  <c r="G21" i="9"/>
  <c r="G27"/>
  <c r="G37"/>
  <c r="G38"/>
  <c r="G11"/>
  <c r="G13"/>
  <c r="G40"/>
  <c r="G47"/>
  <c r="F21"/>
  <c r="F27"/>
  <c r="F37"/>
  <c r="F38"/>
  <c r="F11"/>
  <c r="F13"/>
  <c r="F40"/>
  <c r="F47"/>
  <c r="E19"/>
  <c r="E21"/>
  <c r="E26"/>
  <c r="E27"/>
  <c r="E37"/>
  <c r="E38"/>
  <c r="E8"/>
  <c r="E11"/>
  <c r="E13"/>
  <c r="E43"/>
  <c r="A1"/>
  <c r="H8"/>
  <c r="H9"/>
  <c r="H10"/>
  <c r="H12"/>
  <c r="H17"/>
  <c r="H18"/>
  <c r="H19"/>
  <c r="H20"/>
  <c r="H21"/>
  <c r="H24"/>
  <c r="H25"/>
  <c r="H26"/>
  <c r="H27"/>
  <c r="H29"/>
  <c r="H30"/>
  <c r="H31"/>
  <c r="H34"/>
  <c r="H35"/>
  <c r="H36"/>
  <c r="H37"/>
  <c r="H38"/>
  <c r="H43"/>
  <c r="H44"/>
  <c r="H45"/>
  <c r="H51"/>
  <c r="E52"/>
  <c r="H52"/>
  <c r="H53"/>
  <c r="H54"/>
  <c r="H55"/>
  <c r="E56"/>
  <c r="H56"/>
  <c r="F56"/>
  <c r="G56"/>
  <c r="G63"/>
  <c r="E57"/>
  <c r="H57"/>
  <c r="H58"/>
  <c r="F59"/>
  <c r="G59"/>
  <c r="H60"/>
  <c r="H61"/>
  <c r="F63"/>
  <c r="A65"/>
  <c r="G67"/>
  <c r="G68"/>
  <c r="G69"/>
  <c r="A3"/>
  <c r="A67" s="1"/>
  <c r="G11" i="10"/>
  <c r="G13"/>
  <c r="G40"/>
  <c r="G47"/>
  <c r="G21"/>
  <c r="G27"/>
  <c r="G37"/>
  <c r="G38"/>
  <c r="F11"/>
  <c r="F13"/>
  <c r="F40"/>
  <c r="F47"/>
  <c r="F21"/>
  <c r="F27"/>
  <c r="F37"/>
  <c r="F38"/>
  <c r="E8"/>
  <c r="E11"/>
  <c r="E13"/>
  <c r="E21"/>
  <c r="H21"/>
  <c r="E26"/>
  <c r="E27"/>
  <c r="H27"/>
  <c r="E37"/>
  <c r="E38"/>
  <c r="H38"/>
  <c r="E43"/>
  <c r="H43"/>
  <c r="A1"/>
  <c r="H8"/>
  <c r="H9"/>
  <c r="H10"/>
  <c r="H11"/>
  <c r="H12"/>
  <c r="H17"/>
  <c r="H18"/>
  <c r="H19"/>
  <c r="H20"/>
  <c r="H24"/>
  <c r="H25"/>
  <c r="H26"/>
  <c r="H29"/>
  <c r="H30"/>
  <c r="H31"/>
  <c r="H34"/>
  <c r="H35"/>
  <c r="H36"/>
  <c r="H37"/>
  <c r="H44"/>
  <c r="H45"/>
  <c r="H51"/>
  <c r="E52"/>
  <c r="H52"/>
  <c r="H53"/>
  <c r="H54"/>
  <c r="H55"/>
  <c r="F56"/>
  <c r="G56"/>
  <c r="H57"/>
  <c r="H58"/>
  <c r="E59"/>
  <c r="F59"/>
  <c r="G59"/>
  <c r="H59"/>
  <c r="H60"/>
  <c r="H61"/>
  <c r="F63"/>
  <c r="G63"/>
  <c r="A65"/>
  <c r="G67"/>
  <c r="G68"/>
  <c r="G69"/>
  <c r="G73"/>
  <c r="G74"/>
  <c r="G75"/>
  <c r="G76"/>
  <c r="G77"/>
  <c r="G78"/>
  <c r="G82"/>
  <c r="G83"/>
  <c r="G86"/>
  <c r="G104"/>
  <c r="G84"/>
  <c r="G85"/>
  <c r="G89"/>
  <c r="G90"/>
  <c r="G92"/>
  <c r="G94"/>
  <c r="G95"/>
  <c r="G96"/>
  <c r="G99"/>
  <c r="G102"/>
  <c r="G100"/>
  <c r="G101"/>
  <c r="C109"/>
  <c r="A3"/>
  <c r="A67" s="1"/>
  <c r="A4" i="52"/>
  <c r="E43" i="13"/>
  <c r="E26"/>
  <c r="E54"/>
  <c r="E56"/>
  <c r="H56"/>
  <c r="E59"/>
  <c r="E63"/>
  <c r="F56"/>
  <c r="F59"/>
  <c r="F63"/>
  <c r="G56"/>
  <c r="G59"/>
  <c r="G63"/>
  <c r="H61"/>
  <c r="H60"/>
  <c r="H59"/>
  <c r="H58"/>
  <c r="H57"/>
  <c r="H55"/>
  <c r="H54"/>
  <c r="H53"/>
  <c r="H52"/>
  <c r="H51"/>
  <c r="E27"/>
  <c r="E38"/>
  <c r="H38"/>
  <c r="E21"/>
  <c r="E37"/>
  <c r="H37"/>
  <c r="E8"/>
  <c r="E11"/>
  <c r="F47"/>
  <c r="G47"/>
  <c r="H45"/>
  <c r="H44"/>
  <c r="H43"/>
  <c r="H36"/>
  <c r="H35"/>
  <c r="H34"/>
  <c r="H31"/>
  <c r="H30"/>
  <c r="H29"/>
  <c r="H27"/>
  <c r="H26"/>
  <c r="H25"/>
  <c r="H24"/>
  <c r="H21"/>
  <c r="H20"/>
  <c r="H19"/>
  <c r="H18"/>
  <c r="H17"/>
  <c r="H12"/>
  <c r="H10"/>
  <c r="H9"/>
  <c r="H8"/>
  <c r="A1"/>
  <c r="A3"/>
  <c r="T99" i="49"/>
  <c r="L99"/>
  <c r="T98"/>
  <c r="L98"/>
  <c r="T97"/>
  <c r="L97"/>
  <c r="T94"/>
  <c r="L94"/>
  <c r="T85"/>
  <c r="L85"/>
  <c r="T84"/>
  <c r="L84"/>
  <c r="V60"/>
  <c r="U60"/>
  <c r="T60"/>
  <c r="L60"/>
  <c r="T59"/>
  <c r="L59"/>
  <c r="T58"/>
  <c r="L58"/>
  <c r="T57"/>
  <c r="L57"/>
  <c r="V31"/>
  <c r="U31"/>
  <c r="T31"/>
  <c r="L31"/>
  <c r="T30"/>
  <c r="L30"/>
  <c r="T29"/>
  <c r="L29"/>
  <c r="T28"/>
  <c r="L28"/>
  <c r="C146" i="48"/>
  <c r="C147"/>
  <c r="C148"/>
  <c r="E155"/>
  <c r="A87"/>
  <c r="A89"/>
  <c r="A86"/>
  <c r="B133"/>
  <c r="A86" i="3"/>
  <c r="A99" i="48" s="1"/>
  <c r="B86" i="3"/>
  <c r="B99" i="48" s="1"/>
  <c r="A87" i="3"/>
  <c r="A100" i="48" s="1"/>
  <c r="B87" i="3"/>
  <c r="B100" i="48" s="1"/>
  <c r="A80" i="3"/>
  <c r="A93" i="48" s="1"/>
  <c r="B80" i="3"/>
  <c r="B93" i="48" s="1"/>
  <c r="B85" i="3"/>
  <c r="B98" i="48" s="1"/>
  <c r="A85" i="3"/>
  <c r="A98" i="48" s="1"/>
  <c r="B84" i="3"/>
  <c r="B97" i="48" s="1"/>
  <c r="A84" i="3"/>
  <c r="A97" i="48" s="1"/>
  <c r="B83" i="3"/>
  <c r="B96" i="48" s="1"/>
  <c r="A83" i="3"/>
  <c r="A96" i="48" s="1"/>
  <c r="B82" i="3"/>
  <c r="B95" i="48" s="1"/>
  <c r="A82" i="3"/>
  <c r="A95" i="48" s="1"/>
  <c r="B81" i="3"/>
  <c r="B94" i="48" s="1"/>
  <c r="A81" i="3"/>
  <c r="A94" i="48" s="1"/>
  <c r="A10" i="3"/>
  <c r="A8" i="48" s="1"/>
  <c r="B10" i="3"/>
  <c r="B8" i="48" s="1"/>
  <c r="B15" i="3"/>
  <c r="B13" i="48" s="1"/>
  <c r="A15" i="3"/>
  <c r="A13" i="48" s="1"/>
  <c r="B14" i="3"/>
  <c r="B12" i="48" s="1"/>
  <c r="A14" i="3"/>
  <c r="A12" i="48" s="1"/>
  <c r="B13" i="3"/>
  <c r="B11" i="48" s="1"/>
  <c r="A13" i="3"/>
  <c r="A11" i="48" s="1"/>
  <c r="A12" i="3"/>
  <c r="A10" i="48" s="1"/>
  <c r="B11" i="3"/>
  <c r="B9" i="48" s="1"/>
  <c r="A11" i="3"/>
  <c r="A9" i="48" s="1"/>
  <c r="B12" i="3"/>
  <c r="B10" i="48" s="1"/>
  <c r="E8" i="25"/>
  <c r="E56"/>
  <c r="E59"/>
  <c r="E63"/>
  <c r="F56"/>
  <c r="F59"/>
  <c r="F63"/>
  <c r="G56"/>
  <c r="G59"/>
  <c r="G63"/>
  <c r="H61"/>
  <c r="H60"/>
  <c r="H58"/>
  <c r="H57"/>
  <c r="H56"/>
  <c r="H55"/>
  <c r="H54"/>
  <c r="H53"/>
  <c r="H52"/>
  <c r="H51"/>
  <c r="E11"/>
  <c r="E13"/>
  <c r="E21"/>
  <c r="E37"/>
  <c r="H37"/>
  <c r="H45"/>
  <c r="H44"/>
  <c r="G21"/>
  <c r="G37"/>
  <c r="G11"/>
  <c r="G13"/>
  <c r="F11"/>
  <c r="F13"/>
  <c r="F40"/>
  <c r="F21"/>
  <c r="F38"/>
  <c r="F27"/>
  <c r="F37"/>
  <c r="H36"/>
  <c r="H35"/>
  <c r="H34"/>
  <c r="H31"/>
  <c r="H30"/>
  <c r="H29"/>
  <c r="H25"/>
  <c r="H24"/>
  <c r="H21"/>
  <c r="H20"/>
  <c r="H19"/>
  <c r="H18"/>
  <c r="H17"/>
  <c r="H12"/>
  <c r="H10"/>
  <c r="H9"/>
  <c r="H8"/>
  <c r="A1"/>
  <c r="A65"/>
  <c r="G67"/>
  <c r="G68"/>
  <c r="G69"/>
  <c r="A3"/>
  <c r="A67" s="1"/>
  <c r="F11" i="6"/>
  <c r="F13"/>
  <c r="F21"/>
  <c r="F38"/>
  <c r="F27"/>
  <c r="F37"/>
  <c r="G11"/>
  <c r="G13"/>
  <c r="G21"/>
  <c r="G38"/>
  <c r="G27"/>
  <c r="G37"/>
  <c r="E8"/>
  <c r="E11"/>
  <c r="E21"/>
  <c r="E26"/>
  <c r="E27"/>
  <c r="E37"/>
  <c r="E43"/>
  <c r="E44"/>
  <c r="A1"/>
  <c r="H9"/>
  <c r="H10"/>
  <c r="H12"/>
  <c r="H17"/>
  <c r="H18"/>
  <c r="H19"/>
  <c r="H20"/>
  <c r="H24"/>
  <c r="H25"/>
  <c r="H26"/>
  <c r="H29"/>
  <c r="H30"/>
  <c r="H31"/>
  <c r="H34"/>
  <c r="H35"/>
  <c r="H36"/>
  <c r="H37"/>
  <c r="H43"/>
  <c r="H44"/>
  <c r="H51"/>
  <c r="H52"/>
  <c r="H53"/>
  <c r="H54"/>
  <c r="H55"/>
  <c r="E56"/>
  <c r="F56"/>
  <c r="H56"/>
  <c r="H57"/>
  <c r="H58"/>
  <c r="E59"/>
  <c r="F59"/>
  <c r="H59"/>
  <c r="H60"/>
  <c r="E61"/>
  <c r="H61"/>
  <c r="E63"/>
  <c r="A3"/>
  <c r="E29" i="29"/>
  <c r="E21"/>
  <c r="E26"/>
  <c r="E27"/>
  <c r="E37"/>
  <c r="E8"/>
  <c r="E11"/>
  <c r="A1"/>
  <c r="H9"/>
  <c r="H10"/>
  <c r="H12"/>
  <c r="H17"/>
  <c r="H18"/>
  <c r="H19"/>
  <c r="H20"/>
  <c r="H21"/>
  <c r="H24"/>
  <c r="H25"/>
  <c r="H26"/>
  <c r="H29"/>
  <c r="H30"/>
  <c r="H31"/>
  <c r="H34"/>
  <c r="H35"/>
  <c r="H36"/>
  <c r="H37"/>
  <c r="H44"/>
  <c r="H45"/>
  <c r="H51"/>
  <c r="H52"/>
  <c r="H53"/>
  <c r="H54"/>
  <c r="H55"/>
  <c r="E56"/>
  <c r="H56"/>
  <c r="F56"/>
  <c r="G56"/>
  <c r="H57"/>
  <c r="H58"/>
  <c r="E59"/>
  <c r="H59"/>
  <c r="F59"/>
  <c r="G59"/>
  <c r="H60"/>
  <c r="H61"/>
  <c r="E63"/>
  <c r="H63"/>
  <c r="F63"/>
  <c r="G63"/>
  <c r="G11" i="27"/>
  <c r="G13"/>
  <c r="G21"/>
  <c r="G38"/>
  <c r="G27"/>
  <c r="G37"/>
  <c r="F11"/>
  <c r="F13"/>
  <c r="F21"/>
  <c r="F38"/>
  <c r="F27"/>
  <c r="F37"/>
  <c r="E8"/>
  <c r="E10"/>
  <c r="E11"/>
  <c r="E13"/>
  <c r="E17"/>
  <c r="E18"/>
  <c r="E21"/>
  <c r="E26"/>
  <c r="E27"/>
  <c r="E29"/>
  <c r="E34"/>
  <c r="E37"/>
  <c r="E43"/>
  <c r="E44"/>
  <c r="A1"/>
  <c r="H8"/>
  <c r="H9"/>
  <c r="H10"/>
  <c r="H12"/>
  <c r="H17"/>
  <c r="H18"/>
  <c r="H19"/>
  <c r="H20"/>
  <c r="H21"/>
  <c r="H24"/>
  <c r="H25"/>
  <c r="H26"/>
  <c r="H27"/>
  <c r="H29"/>
  <c r="H30"/>
  <c r="H31"/>
  <c r="H34"/>
  <c r="H35"/>
  <c r="H36"/>
  <c r="H43"/>
  <c r="H44"/>
  <c r="H45"/>
  <c r="H51"/>
  <c r="H52"/>
  <c r="H53"/>
  <c r="H54"/>
  <c r="H55"/>
  <c r="E56"/>
  <c r="F56"/>
  <c r="G56"/>
  <c r="H56"/>
  <c r="H57"/>
  <c r="H58"/>
  <c r="E59"/>
  <c r="F59"/>
  <c r="G59"/>
  <c r="H59"/>
  <c r="H60"/>
  <c r="H61"/>
  <c r="E63"/>
  <c r="F63"/>
  <c r="G63"/>
  <c r="H63"/>
  <c r="A3"/>
  <c r="E56" i="24"/>
  <c r="H56"/>
  <c r="E59"/>
  <c r="E63"/>
  <c r="F56"/>
  <c r="F59"/>
  <c r="F63"/>
  <c r="G56"/>
  <c r="G59"/>
  <c r="G63"/>
  <c r="H61"/>
  <c r="H60"/>
  <c r="H59"/>
  <c r="H58"/>
  <c r="H57"/>
  <c r="H55"/>
  <c r="H54"/>
  <c r="H53"/>
  <c r="H52"/>
  <c r="H51"/>
  <c r="H45"/>
  <c r="H44"/>
  <c r="H43"/>
  <c r="H37"/>
  <c r="H36"/>
  <c r="H35"/>
  <c r="H34"/>
  <c r="H31"/>
  <c r="H30"/>
  <c r="H29"/>
  <c r="H26"/>
  <c r="H25"/>
  <c r="H24"/>
  <c r="H21"/>
  <c r="H20"/>
  <c r="H19"/>
  <c r="H18"/>
  <c r="H17"/>
  <c r="H12"/>
  <c r="H10"/>
  <c r="H9"/>
  <c r="H8"/>
  <c r="A1"/>
  <c r="A3"/>
  <c r="K38" i="2"/>
  <c r="K37"/>
  <c r="W38"/>
  <c r="W37"/>
  <c r="V38"/>
  <c r="V37"/>
  <c r="G37"/>
  <c r="H37"/>
  <c r="I37"/>
  <c r="J37"/>
  <c r="P37"/>
  <c r="Q37"/>
  <c r="R37"/>
  <c r="S37"/>
  <c r="T37"/>
  <c r="U37"/>
  <c r="AA37"/>
  <c r="G38"/>
  <c r="H38"/>
  <c r="I38"/>
  <c r="J38"/>
  <c r="P38"/>
  <c r="Q38"/>
  <c r="R38"/>
  <c r="S38"/>
  <c r="T38"/>
  <c r="U38"/>
  <c r="AA38"/>
  <c r="N64"/>
  <c r="N61"/>
  <c r="N68" s="1"/>
  <c r="N42"/>
  <c r="N16"/>
  <c r="N18"/>
  <c r="F47" i="23"/>
  <c r="E34"/>
  <c r="E37"/>
  <c r="H37"/>
  <c r="E21"/>
  <c r="H21"/>
  <c r="E29"/>
  <c r="E8"/>
  <c r="E10"/>
  <c r="E11"/>
  <c r="A1"/>
  <c r="H8"/>
  <c r="H9"/>
  <c r="H12"/>
  <c r="H17"/>
  <c r="H18"/>
  <c r="H19"/>
  <c r="H20"/>
  <c r="H24"/>
  <c r="H25"/>
  <c r="H29"/>
  <c r="H30"/>
  <c r="H31"/>
  <c r="H35"/>
  <c r="H36"/>
  <c r="H44"/>
  <c r="H45"/>
  <c r="H51"/>
  <c r="H52"/>
  <c r="H53"/>
  <c r="H54"/>
  <c r="H55"/>
  <c r="E56"/>
  <c r="H56"/>
  <c r="F56"/>
  <c r="G56"/>
  <c r="H57"/>
  <c r="H58"/>
  <c r="E59"/>
  <c r="H59"/>
  <c r="F59"/>
  <c r="G59"/>
  <c r="H60"/>
  <c r="H61"/>
  <c r="E63"/>
  <c r="H63"/>
  <c r="F63"/>
  <c r="G63"/>
  <c r="A65"/>
  <c r="F67"/>
  <c r="F68"/>
  <c r="F69"/>
  <c r="A3"/>
  <c r="A67" s="1"/>
  <c r="F56" i="11"/>
  <c r="F59"/>
  <c r="F63"/>
  <c r="E61"/>
  <c r="E57"/>
  <c r="E59"/>
  <c r="E44"/>
  <c r="E19"/>
  <c r="E52"/>
  <c r="E56"/>
  <c r="H56"/>
  <c r="E8"/>
  <c r="E11"/>
  <c r="E13"/>
  <c r="E21"/>
  <c r="E26"/>
  <c r="E27"/>
  <c r="E37"/>
  <c r="E38"/>
  <c r="E43"/>
  <c r="G56"/>
  <c r="G59"/>
  <c r="G63"/>
  <c r="H61"/>
  <c r="H60"/>
  <c r="H58"/>
  <c r="H57"/>
  <c r="H55"/>
  <c r="H54"/>
  <c r="H53"/>
  <c r="H52"/>
  <c r="H51"/>
  <c r="F21"/>
  <c r="F27"/>
  <c r="F37"/>
  <c r="F38"/>
  <c r="F11"/>
  <c r="F13"/>
  <c r="F40"/>
  <c r="F47"/>
  <c r="G11"/>
  <c r="G13"/>
  <c r="G40"/>
  <c r="G47"/>
  <c r="G21"/>
  <c r="G27"/>
  <c r="G37"/>
  <c r="G38"/>
  <c r="H45"/>
  <c r="H44"/>
  <c r="H43"/>
  <c r="H38"/>
  <c r="H37"/>
  <c r="H36"/>
  <c r="H35"/>
  <c r="H34"/>
  <c r="H31"/>
  <c r="H30"/>
  <c r="H29"/>
  <c r="H27"/>
  <c r="H26"/>
  <c r="H25"/>
  <c r="H24"/>
  <c r="H21"/>
  <c r="H20"/>
  <c r="H19"/>
  <c r="H18"/>
  <c r="H17"/>
  <c r="H12"/>
  <c r="H10"/>
  <c r="H9"/>
  <c r="H8"/>
  <c r="A1"/>
  <c r="A3"/>
  <c r="E17" i="38"/>
  <c r="E21"/>
  <c r="E37"/>
  <c r="H37"/>
  <c r="E8"/>
  <c r="E10"/>
  <c r="E11"/>
  <c r="E13"/>
  <c r="A1"/>
  <c r="H8"/>
  <c r="H9"/>
  <c r="H10"/>
  <c r="H12"/>
  <c r="H17"/>
  <c r="H18"/>
  <c r="H19"/>
  <c r="H20"/>
  <c r="H24"/>
  <c r="H25"/>
  <c r="H29"/>
  <c r="H30"/>
  <c r="H31"/>
  <c r="H34"/>
  <c r="H35"/>
  <c r="H36"/>
  <c r="H44"/>
  <c r="H45"/>
  <c r="H51"/>
  <c r="H52"/>
  <c r="H53"/>
  <c r="H54"/>
  <c r="H55"/>
  <c r="E56"/>
  <c r="F56"/>
  <c r="G56"/>
  <c r="H56"/>
  <c r="H57"/>
  <c r="H58"/>
  <c r="E59"/>
  <c r="F59"/>
  <c r="G59"/>
  <c r="H59"/>
  <c r="H60"/>
  <c r="H61"/>
  <c r="E63"/>
  <c r="F63"/>
  <c r="G63"/>
  <c r="H63"/>
  <c r="A65"/>
  <c r="F67"/>
  <c r="F68"/>
  <c r="F69"/>
  <c r="A3"/>
  <c r="A67" s="1"/>
  <c r="E35" i="74"/>
  <c r="F47"/>
  <c r="E8"/>
  <c r="E11"/>
  <c r="E19"/>
  <c r="E20"/>
  <c r="E21"/>
  <c r="E29"/>
  <c r="E34"/>
  <c r="E37"/>
  <c r="H37"/>
  <c r="E52"/>
  <c r="E56"/>
  <c r="E57"/>
  <c r="E59"/>
  <c r="H59"/>
  <c r="E61"/>
  <c r="H61"/>
  <c r="F56"/>
  <c r="F59"/>
  <c r="F63"/>
  <c r="G56"/>
  <c r="G59"/>
  <c r="G63"/>
  <c r="H60"/>
  <c r="H58"/>
  <c r="H55"/>
  <c r="H54"/>
  <c r="H53"/>
  <c r="H52"/>
  <c r="H51"/>
  <c r="H45"/>
  <c r="H44"/>
  <c r="H36"/>
  <c r="H35"/>
  <c r="H31"/>
  <c r="H30"/>
  <c r="H29"/>
  <c r="H25"/>
  <c r="H24"/>
  <c r="H20"/>
  <c r="H19"/>
  <c r="H18"/>
  <c r="H17"/>
  <c r="H12"/>
  <c r="H10"/>
  <c r="H9"/>
  <c r="A1"/>
  <c r="F69" i="34"/>
  <c r="F68"/>
  <c r="F67"/>
  <c r="A3"/>
  <c r="A67" s="1"/>
  <c r="A65"/>
  <c r="E52"/>
  <c r="E56"/>
  <c r="H56"/>
  <c r="E57"/>
  <c r="E59"/>
  <c r="E61"/>
  <c r="E63"/>
  <c r="F56"/>
  <c r="F59"/>
  <c r="F63"/>
  <c r="G56"/>
  <c r="G59"/>
  <c r="G63"/>
  <c r="H61"/>
  <c r="H60"/>
  <c r="H59"/>
  <c r="H58"/>
  <c r="H57"/>
  <c r="H55"/>
  <c r="H54"/>
  <c r="H53"/>
  <c r="H52"/>
  <c r="H51"/>
  <c r="E8"/>
  <c r="E11"/>
  <c r="E13"/>
  <c r="E17"/>
  <c r="E21"/>
  <c r="E19"/>
  <c r="E20"/>
  <c r="E24"/>
  <c r="E29"/>
  <c r="E30"/>
  <c r="H30"/>
  <c r="E31"/>
  <c r="E34"/>
  <c r="E37"/>
  <c r="H37"/>
  <c r="F47"/>
  <c r="H45"/>
  <c r="H44"/>
  <c r="H36"/>
  <c r="H35"/>
  <c r="H31"/>
  <c r="H29"/>
  <c r="H25"/>
  <c r="H24"/>
  <c r="H20"/>
  <c r="H19"/>
  <c r="H18"/>
  <c r="H12"/>
  <c r="H11"/>
  <c r="H10"/>
  <c r="H9"/>
  <c r="H8"/>
  <c r="A1"/>
  <c r="E17" i="68"/>
  <c r="E24"/>
  <c r="E31"/>
  <c r="E30"/>
  <c r="E29"/>
  <c r="E34"/>
  <c r="E37"/>
  <c r="E21"/>
  <c r="E8"/>
  <c r="E11"/>
  <c r="E13"/>
  <c r="E12"/>
  <c r="F69"/>
  <c r="A65"/>
  <c r="E56"/>
  <c r="E59"/>
  <c r="E63"/>
  <c r="F56"/>
  <c r="F59"/>
  <c r="F63"/>
  <c r="G56"/>
  <c r="G59"/>
  <c r="G63"/>
  <c r="A1"/>
  <c r="A3"/>
  <c r="A67" s="1"/>
  <c r="E17" i="72"/>
  <c r="F47"/>
  <c r="E34"/>
  <c r="E37"/>
  <c r="E21"/>
  <c r="E8"/>
  <c r="E11"/>
  <c r="E12"/>
  <c r="E13"/>
  <c r="F69"/>
  <c r="A65"/>
  <c r="E56"/>
  <c r="E59"/>
  <c r="E63"/>
  <c r="F56"/>
  <c r="F59"/>
  <c r="F63"/>
  <c r="G56"/>
  <c r="G59"/>
  <c r="G63"/>
  <c r="A1"/>
  <c r="A3"/>
  <c r="A67" s="1"/>
  <c r="E34" i="70"/>
  <c r="E37"/>
  <c r="E21"/>
  <c r="E8"/>
  <c r="E11"/>
  <c r="E13"/>
  <c r="E12"/>
  <c r="F69"/>
  <c r="F68"/>
  <c r="F67"/>
  <c r="A65"/>
  <c r="E56"/>
  <c r="E59"/>
  <c r="E63"/>
  <c r="F56"/>
  <c r="F59"/>
  <c r="F63"/>
  <c r="G56"/>
  <c r="G59"/>
  <c r="G63"/>
  <c r="A1"/>
  <c r="A3"/>
  <c r="A67" s="1"/>
  <c r="F47" i="69"/>
  <c r="E34"/>
  <c r="E37"/>
  <c r="E21"/>
  <c r="E8"/>
  <c r="E11"/>
  <c r="E12"/>
  <c r="E13"/>
  <c r="F69"/>
  <c r="F67"/>
  <c r="A65"/>
  <c r="E56"/>
  <c r="E59"/>
  <c r="E63"/>
  <c r="F56"/>
  <c r="F59"/>
  <c r="F63"/>
  <c r="G56"/>
  <c r="G59"/>
  <c r="G63"/>
  <c r="A1"/>
  <c r="A3"/>
  <c r="A67" s="1"/>
  <c r="E61" i="73"/>
  <c r="E17"/>
  <c r="E21"/>
  <c r="E52"/>
  <c r="E56"/>
  <c r="E63"/>
  <c r="E57"/>
  <c r="E59"/>
  <c r="H59"/>
  <c r="F56"/>
  <c r="F59"/>
  <c r="F63"/>
  <c r="G56"/>
  <c r="G59"/>
  <c r="G63"/>
  <c r="H61"/>
  <c r="H60"/>
  <c r="H58"/>
  <c r="H57"/>
  <c r="H56"/>
  <c r="H55"/>
  <c r="H54"/>
  <c r="H53"/>
  <c r="H52"/>
  <c r="H51"/>
  <c r="E8"/>
  <c r="E11"/>
  <c r="E19"/>
  <c r="E20"/>
  <c r="H20"/>
  <c r="E29"/>
  <c r="H29"/>
  <c r="E34"/>
  <c r="E37"/>
  <c r="H37"/>
  <c r="F47"/>
  <c r="H45"/>
  <c r="H44"/>
  <c r="H36"/>
  <c r="H35"/>
  <c r="H34"/>
  <c r="H31"/>
  <c r="H30"/>
  <c r="H25"/>
  <c r="H24"/>
  <c r="H19"/>
  <c r="H18"/>
  <c r="H17"/>
  <c r="H12"/>
  <c r="H10"/>
  <c r="H9"/>
  <c r="H8"/>
  <c r="A1"/>
  <c r="A1" i="58"/>
  <c r="E8"/>
  <c r="I8"/>
  <c r="I9"/>
  <c r="I10"/>
  <c r="E11"/>
  <c r="F11"/>
  <c r="F13"/>
  <c r="F40"/>
  <c r="G11"/>
  <c r="I11"/>
  <c r="I12"/>
  <c r="E13"/>
  <c r="I13"/>
  <c r="G13"/>
  <c r="I17"/>
  <c r="I18"/>
  <c r="I19"/>
  <c r="I20"/>
  <c r="E21"/>
  <c r="I21"/>
  <c r="F21"/>
  <c r="G21"/>
  <c r="I24"/>
  <c r="I25"/>
  <c r="C111"/>
  <c r="G75"/>
  <c r="G76"/>
  <c r="G77"/>
  <c r="G78"/>
  <c r="G79"/>
  <c r="G80"/>
  <c r="G84"/>
  <c r="G85"/>
  <c r="G88"/>
  <c r="G86"/>
  <c r="G87"/>
  <c r="G91"/>
  <c r="G92"/>
  <c r="G94"/>
  <c r="G96"/>
  <c r="G97"/>
  <c r="G98"/>
  <c r="G101"/>
  <c r="G104"/>
  <c r="G102"/>
  <c r="G103"/>
  <c r="F27"/>
  <c r="I29"/>
  <c r="I30"/>
  <c r="I31"/>
  <c r="I34"/>
  <c r="I35"/>
  <c r="I36"/>
  <c r="E37"/>
  <c r="I37"/>
  <c r="F37"/>
  <c r="G37"/>
  <c r="F38"/>
  <c r="I44"/>
  <c r="I45"/>
  <c r="I47"/>
  <c r="I53"/>
  <c r="I54"/>
  <c r="I55"/>
  <c r="I56"/>
  <c r="I57"/>
  <c r="E58"/>
  <c r="I58"/>
  <c r="F58"/>
  <c r="G58"/>
  <c r="I59"/>
  <c r="I60"/>
  <c r="E61"/>
  <c r="I61"/>
  <c r="F61"/>
  <c r="G61"/>
  <c r="I62"/>
  <c r="I63"/>
  <c r="E65"/>
  <c r="I65"/>
  <c r="F65"/>
  <c r="G65"/>
  <c r="A67"/>
  <c r="G69"/>
  <c r="G70"/>
  <c r="G71"/>
  <c r="G43"/>
  <c r="A3"/>
  <c r="A69" s="1"/>
  <c r="F43"/>
  <c r="F49" s="1"/>
  <c r="E43"/>
  <c r="I43" s="1"/>
  <c r="F11" i="60"/>
  <c r="F13"/>
  <c r="F40"/>
  <c r="F21"/>
  <c r="F27"/>
  <c r="F37"/>
  <c r="F38"/>
  <c r="E10"/>
  <c r="H10"/>
  <c r="E8"/>
  <c r="E11"/>
  <c r="E12"/>
  <c r="E13"/>
  <c r="E17"/>
  <c r="E18"/>
  <c r="E21"/>
  <c r="E34"/>
  <c r="E37"/>
  <c r="H37"/>
  <c r="F66"/>
  <c r="G56"/>
  <c r="G59"/>
  <c r="G63"/>
  <c r="A1"/>
  <c r="H8"/>
  <c r="H9"/>
  <c r="H11"/>
  <c r="H12"/>
  <c r="H13"/>
  <c r="H17"/>
  <c r="H18"/>
  <c r="H19"/>
  <c r="H20"/>
  <c r="H24"/>
  <c r="H25"/>
  <c r="H29"/>
  <c r="H30"/>
  <c r="H31"/>
  <c r="H35"/>
  <c r="H36"/>
  <c r="H44"/>
  <c r="H45"/>
  <c r="H51"/>
  <c r="H52"/>
  <c r="H53"/>
  <c r="H54"/>
  <c r="H55"/>
  <c r="E56"/>
  <c r="F56"/>
  <c r="H56"/>
  <c r="H57"/>
  <c r="H58"/>
  <c r="E59"/>
  <c r="F59"/>
  <c r="H59"/>
  <c r="H60"/>
  <c r="H61"/>
  <c r="E63"/>
  <c r="A65"/>
  <c r="F67"/>
  <c r="F68"/>
  <c r="F69"/>
  <c r="A3"/>
  <c r="A67" s="1"/>
  <c r="G11" i="56"/>
  <c r="G13"/>
  <c r="G40"/>
  <c r="G21"/>
  <c r="G27"/>
  <c r="G37"/>
  <c r="G38"/>
  <c r="E10"/>
  <c r="E8"/>
  <c r="E11"/>
  <c r="E12"/>
  <c r="E17"/>
  <c r="E18"/>
  <c r="E21"/>
  <c r="E26"/>
  <c r="E27"/>
  <c r="E34"/>
  <c r="E37"/>
  <c r="H37"/>
  <c r="A1"/>
  <c r="H8"/>
  <c r="H9"/>
  <c r="H10"/>
  <c r="H12"/>
  <c r="H17"/>
  <c r="H18"/>
  <c r="H19"/>
  <c r="H20"/>
  <c r="H24"/>
  <c r="H25"/>
  <c r="H26"/>
  <c r="H27"/>
  <c r="H29"/>
  <c r="H30"/>
  <c r="H31"/>
  <c r="H34"/>
  <c r="H35"/>
  <c r="H36"/>
  <c r="H44"/>
  <c r="H45"/>
  <c r="H51"/>
  <c r="H52"/>
  <c r="H53"/>
  <c r="H54"/>
  <c r="H55"/>
  <c r="E56"/>
  <c r="G56"/>
  <c r="H56"/>
  <c r="H57"/>
  <c r="H58"/>
  <c r="E59"/>
  <c r="G59"/>
  <c r="H59"/>
  <c r="H60"/>
  <c r="H61"/>
  <c r="E63"/>
  <c r="G63"/>
  <c r="A3"/>
  <c r="D1" i="3"/>
  <c r="D5"/>
  <c r="D71"/>
  <c r="D75"/>
  <c r="N16" i="1"/>
  <c r="N18"/>
  <c r="N42"/>
  <c r="N43" s="1"/>
  <c r="N32"/>
  <c r="N26"/>
  <c r="N61"/>
  <c r="N64"/>
  <c r="N68"/>
  <c r="O72" i="4" s="1"/>
  <c r="A4" i="50"/>
  <c r="H63"/>
  <c r="H66"/>
  <c r="H70"/>
  <c r="H26"/>
  <c r="E52"/>
  <c r="G52"/>
  <c r="E67"/>
  <c r="E68"/>
  <c r="E14"/>
  <c r="E15"/>
  <c r="E17"/>
  <c r="E23"/>
  <c r="E22"/>
  <c r="E24"/>
  <c r="E25"/>
  <c r="E29"/>
  <c r="E30"/>
  <c r="E34"/>
  <c r="E35"/>
  <c r="E36"/>
  <c r="E39"/>
  <c r="E40"/>
  <c r="E42"/>
  <c r="E41"/>
  <c r="E31"/>
  <c r="E48"/>
  <c r="E49"/>
  <c r="E58"/>
  <c r="E59"/>
  <c r="E60"/>
  <c r="E61"/>
  <c r="E62"/>
  <c r="E63"/>
  <c r="E64"/>
  <c r="E66"/>
  <c r="E65"/>
  <c r="BD23" i="1"/>
  <c r="G23" i="50"/>
  <c r="BD30" i="1"/>
  <c r="G30" i="50"/>
  <c r="I30" s="1"/>
  <c r="BD58" i="1"/>
  <c r="G60" i="50" s="1"/>
  <c r="BD59" i="1"/>
  <c r="G61" i="50" s="1"/>
  <c r="BD60" i="1"/>
  <c r="G62" i="50" s="1"/>
  <c r="BD63" i="1"/>
  <c r="G65" i="50" s="1"/>
  <c r="BD62" i="1"/>
  <c r="G64" i="50" s="1"/>
  <c r="BD65" i="1"/>
  <c r="G67" i="50" s="1"/>
  <c r="BD35" i="1"/>
  <c r="G35" i="50"/>
  <c r="BD36" i="1"/>
  <c r="G36" i="50"/>
  <c r="BD40" i="1"/>
  <c r="G40" i="50"/>
  <c r="G14"/>
  <c r="F14"/>
  <c r="BD15" i="1"/>
  <c r="G15" i="50"/>
  <c r="F15" s="1"/>
  <c r="BD17" i="1"/>
  <c r="G17" i="50"/>
  <c r="I14"/>
  <c r="BD66" i="1"/>
  <c r="G68" i="50" s="1"/>
  <c r="BD56" i="1"/>
  <c r="G58" i="50" s="1"/>
  <c r="BD25" i="1"/>
  <c r="G25" i="50" s="1"/>
  <c r="BD31" i="1"/>
  <c r="G31" i="50" s="1"/>
  <c r="F31" s="1"/>
  <c r="BD29" i="1"/>
  <c r="G29" i="50" s="1"/>
  <c r="BD41" i="1"/>
  <c r="G41" i="50" s="1"/>
  <c r="BD34" i="1"/>
  <c r="G34" i="50"/>
  <c r="BD22" i="1"/>
  <c r="G22" i="50"/>
  <c r="F22" s="1"/>
  <c r="G49"/>
  <c r="I49" s="1"/>
  <c r="BD24" i="1"/>
  <c r="G24" i="50" s="1"/>
  <c r="E8" i="20"/>
  <c r="E56"/>
  <c r="E59"/>
  <c r="E63"/>
  <c r="F56"/>
  <c r="F59"/>
  <c r="F63"/>
  <c r="G56"/>
  <c r="G59"/>
  <c r="G63"/>
  <c r="H61"/>
  <c r="H60"/>
  <c r="H58"/>
  <c r="H57"/>
  <c r="H56"/>
  <c r="H55"/>
  <c r="H54"/>
  <c r="H53"/>
  <c r="H52"/>
  <c r="H51"/>
  <c r="E11"/>
  <c r="E13"/>
  <c r="E20"/>
  <c r="E21"/>
  <c r="E36"/>
  <c r="E37"/>
  <c r="H37"/>
  <c r="F47"/>
  <c r="H45"/>
  <c r="H44"/>
  <c r="H36"/>
  <c r="H35"/>
  <c r="H34"/>
  <c r="H31"/>
  <c r="H30"/>
  <c r="H29"/>
  <c r="H25"/>
  <c r="H24"/>
  <c r="H19"/>
  <c r="H18"/>
  <c r="H17"/>
  <c r="H12"/>
  <c r="H10"/>
  <c r="H9"/>
  <c r="H8"/>
  <c r="A1"/>
  <c r="A66"/>
  <c r="F68"/>
  <c r="F69"/>
  <c r="F70"/>
  <c r="A3"/>
  <c r="A68" s="1"/>
  <c r="F11" i="59"/>
  <c r="F13"/>
  <c r="F40"/>
  <c r="F47"/>
  <c r="F21"/>
  <c r="F27"/>
  <c r="F37"/>
  <c r="F38"/>
  <c r="E10"/>
  <c r="E8"/>
  <c r="E11"/>
  <c r="E12"/>
  <c r="E17"/>
  <c r="E18"/>
  <c r="E21"/>
  <c r="E34"/>
  <c r="E37"/>
  <c r="H37"/>
  <c r="A1"/>
  <c r="H8"/>
  <c r="H9"/>
  <c r="H10"/>
  <c r="H12"/>
  <c r="H17"/>
  <c r="H18"/>
  <c r="H19"/>
  <c r="H20"/>
  <c r="H21"/>
  <c r="H24"/>
  <c r="H25"/>
  <c r="H29"/>
  <c r="H30"/>
  <c r="H31"/>
  <c r="H34"/>
  <c r="H35"/>
  <c r="H36"/>
  <c r="H44"/>
  <c r="H45"/>
  <c r="H51"/>
  <c r="H52"/>
  <c r="H53"/>
  <c r="H54"/>
  <c r="H55"/>
  <c r="E56"/>
  <c r="F56"/>
  <c r="G56"/>
  <c r="H56"/>
  <c r="H57"/>
  <c r="H58"/>
  <c r="E59"/>
  <c r="F59"/>
  <c r="G59"/>
  <c r="H59"/>
  <c r="H60"/>
  <c r="H61"/>
  <c r="E63"/>
  <c r="F63"/>
  <c r="G63"/>
  <c r="H63"/>
  <c r="G47" i="18"/>
  <c r="E10"/>
  <c r="E8"/>
  <c r="E11"/>
  <c r="E12"/>
  <c r="H12"/>
  <c r="E17"/>
  <c r="E18"/>
  <c r="E21"/>
  <c r="E38"/>
  <c r="E26"/>
  <c r="E27"/>
  <c r="E34"/>
  <c r="E37"/>
  <c r="A1"/>
  <c r="H8"/>
  <c r="H9"/>
  <c r="H10"/>
  <c r="G11"/>
  <c r="G13"/>
  <c r="H17"/>
  <c r="H18"/>
  <c r="H19"/>
  <c r="H20"/>
  <c r="G21"/>
  <c r="G38"/>
  <c r="H24"/>
  <c r="H25"/>
  <c r="H26"/>
  <c r="G27"/>
  <c r="H27"/>
  <c r="H29"/>
  <c r="H30"/>
  <c r="H31"/>
  <c r="H34"/>
  <c r="H35"/>
  <c r="H36"/>
  <c r="G37"/>
  <c r="H37"/>
  <c r="H44"/>
  <c r="H45"/>
  <c r="H51"/>
  <c r="H52"/>
  <c r="H53"/>
  <c r="H54"/>
  <c r="H55"/>
  <c r="E56"/>
  <c r="F56"/>
  <c r="G56"/>
  <c r="H56"/>
  <c r="H57"/>
  <c r="H58"/>
  <c r="E59"/>
  <c r="F59"/>
  <c r="G59"/>
  <c r="H59"/>
  <c r="H60"/>
  <c r="H61"/>
  <c r="E63"/>
  <c r="F63"/>
  <c r="G63"/>
  <c r="H63"/>
  <c r="A3"/>
  <c r="F47" i="22"/>
  <c r="E34"/>
  <c r="E37"/>
  <c r="H37"/>
  <c r="E26"/>
  <c r="E27"/>
  <c r="E21"/>
  <c r="E8"/>
  <c r="E11"/>
  <c r="A1"/>
  <c r="H9"/>
  <c r="H10"/>
  <c r="H12"/>
  <c r="H17"/>
  <c r="H18"/>
  <c r="H19"/>
  <c r="H20"/>
  <c r="H24"/>
  <c r="H25"/>
  <c r="H26"/>
  <c r="H29"/>
  <c r="H30"/>
  <c r="H31"/>
  <c r="H35"/>
  <c r="H36"/>
  <c r="H44"/>
  <c r="H45"/>
  <c r="H51"/>
  <c r="H52"/>
  <c r="H53"/>
  <c r="H54"/>
  <c r="H55"/>
  <c r="E56"/>
  <c r="H56"/>
  <c r="F56"/>
  <c r="G56"/>
  <c r="H57"/>
  <c r="H58"/>
  <c r="E59"/>
  <c r="H59"/>
  <c r="F59"/>
  <c r="G59"/>
  <c r="H60"/>
  <c r="H61"/>
  <c r="E63"/>
  <c r="H63"/>
  <c r="F63"/>
  <c r="G63"/>
  <c r="A65"/>
  <c r="F67"/>
  <c r="F68"/>
  <c r="F69"/>
  <c r="A3"/>
  <c r="A67" s="1"/>
  <c r="I116" i="5"/>
  <c r="I118"/>
  <c r="I119"/>
  <c r="I120"/>
  <c r="I121"/>
  <c r="I122"/>
  <c r="I123"/>
  <c r="I124"/>
  <c r="I125"/>
  <c r="I130"/>
  <c r="I127"/>
  <c r="I128"/>
  <c r="F75"/>
  <c r="F83"/>
  <c r="F88"/>
  <c r="F103"/>
  <c r="F105"/>
  <c r="F112"/>
  <c r="F113"/>
  <c r="F93"/>
  <c r="F101"/>
  <c r="F110"/>
  <c r="G125"/>
  <c r="G130"/>
  <c r="G131"/>
  <c r="F125"/>
  <c r="F130"/>
  <c r="F131"/>
  <c r="E116"/>
  <c r="E118"/>
  <c r="E121"/>
  <c r="E125"/>
  <c r="E130"/>
  <c r="E119"/>
  <c r="E120"/>
  <c r="E122"/>
  <c r="E123"/>
  <c r="E124"/>
  <c r="E127"/>
  <c r="E128"/>
  <c r="G113"/>
  <c r="E71"/>
  <c r="E72"/>
  <c r="E75"/>
  <c r="E73"/>
  <c r="E74"/>
  <c r="E78"/>
  <c r="E83"/>
  <c r="E88"/>
  <c r="E79"/>
  <c r="E80"/>
  <c r="E81"/>
  <c r="E82"/>
  <c r="E85"/>
  <c r="E86"/>
  <c r="E87"/>
  <c r="E90"/>
  <c r="E93"/>
  <c r="E91"/>
  <c r="E92"/>
  <c r="E94"/>
  <c r="E95"/>
  <c r="E96"/>
  <c r="E98"/>
  <c r="E99"/>
  <c r="E100"/>
  <c r="E101"/>
  <c r="E107"/>
  <c r="E108"/>
  <c r="E109"/>
  <c r="E110"/>
  <c r="E67"/>
  <c r="J75"/>
  <c r="J83"/>
  <c r="J88"/>
  <c r="J103"/>
  <c r="J105"/>
  <c r="J112"/>
  <c r="J113"/>
  <c r="J86"/>
  <c r="J87"/>
  <c r="I87"/>
  <c r="I88"/>
  <c r="J92"/>
  <c r="J93"/>
  <c r="J101"/>
  <c r="J107"/>
  <c r="J110"/>
  <c r="I46"/>
  <c r="J121"/>
  <c r="J125"/>
  <c r="J130"/>
  <c r="J131"/>
  <c r="I71"/>
  <c r="I72"/>
  <c r="I73"/>
  <c r="I74"/>
  <c r="I75"/>
  <c r="I78"/>
  <c r="I79"/>
  <c r="I80"/>
  <c r="I81"/>
  <c r="I82"/>
  <c r="I83"/>
  <c r="I85"/>
  <c r="I86"/>
  <c r="I90"/>
  <c r="I91"/>
  <c r="I94"/>
  <c r="I95"/>
  <c r="I96"/>
  <c r="I98"/>
  <c r="I101"/>
  <c r="I99"/>
  <c r="I100"/>
  <c r="I107"/>
  <c r="I110"/>
  <c r="I108"/>
  <c r="I109"/>
  <c r="I67"/>
  <c r="I66"/>
  <c r="J8"/>
  <c r="J9"/>
  <c r="I9"/>
  <c r="J10"/>
  <c r="J11"/>
  <c r="J12"/>
  <c r="J13"/>
  <c r="J17"/>
  <c r="J18"/>
  <c r="J21"/>
  <c r="J19"/>
  <c r="J20"/>
  <c r="I20"/>
  <c r="J24"/>
  <c r="J27"/>
  <c r="J25"/>
  <c r="J26"/>
  <c r="I26"/>
  <c r="J29"/>
  <c r="I29"/>
  <c r="J30"/>
  <c r="J31"/>
  <c r="I31"/>
  <c r="J34"/>
  <c r="J35"/>
  <c r="I35"/>
  <c r="J36"/>
  <c r="J37"/>
  <c r="J43"/>
  <c r="J44"/>
  <c r="I44"/>
  <c r="J45"/>
  <c r="J51"/>
  <c r="J52"/>
  <c r="J53"/>
  <c r="J54"/>
  <c r="J55"/>
  <c r="J56"/>
  <c r="J57"/>
  <c r="J58"/>
  <c r="J59"/>
  <c r="J63"/>
  <c r="I63"/>
  <c r="I8"/>
  <c r="I11"/>
  <c r="I13"/>
  <c r="I10"/>
  <c r="I12"/>
  <c r="I17"/>
  <c r="I19"/>
  <c r="I25"/>
  <c r="I30"/>
  <c r="I34"/>
  <c r="I37"/>
  <c r="I36"/>
  <c r="I43"/>
  <c r="I45"/>
  <c r="I57"/>
  <c r="I51"/>
  <c r="I52"/>
  <c r="I53"/>
  <c r="I54"/>
  <c r="I55"/>
  <c r="I56"/>
  <c r="G11"/>
  <c r="G13"/>
  <c r="G40"/>
  <c r="G47"/>
  <c r="G64"/>
  <c r="G21"/>
  <c r="G27"/>
  <c r="G37"/>
  <c r="G38"/>
  <c r="G45"/>
  <c r="G56"/>
  <c r="G59"/>
  <c r="G63"/>
  <c r="E8"/>
  <c r="E11"/>
  <c r="E9"/>
  <c r="E10"/>
  <c r="E12"/>
  <c r="E17"/>
  <c r="E18"/>
  <c r="E19"/>
  <c r="E20"/>
  <c r="E21"/>
  <c r="E24"/>
  <c r="E25"/>
  <c r="E26"/>
  <c r="E27"/>
  <c r="E29"/>
  <c r="E30"/>
  <c r="E31"/>
  <c r="E34"/>
  <c r="E37"/>
  <c r="E35"/>
  <c r="E36"/>
  <c r="E43"/>
  <c r="E44"/>
  <c r="F45"/>
  <c r="E45"/>
  <c r="H45"/>
  <c r="F56"/>
  <c r="F59"/>
  <c r="F63"/>
  <c r="E63"/>
  <c r="H63"/>
  <c r="F11"/>
  <c r="F13"/>
  <c r="F21"/>
  <c r="F38"/>
  <c r="F27"/>
  <c r="F37"/>
  <c r="A1"/>
  <c r="H8"/>
  <c r="H9"/>
  <c r="H10"/>
  <c r="H12"/>
  <c r="H17"/>
  <c r="H18"/>
  <c r="H19"/>
  <c r="H20"/>
  <c r="H21"/>
  <c r="H24"/>
  <c r="H25"/>
  <c r="H26"/>
  <c r="H27"/>
  <c r="H29"/>
  <c r="H30"/>
  <c r="H31"/>
  <c r="H34"/>
  <c r="H35"/>
  <c r="H36"/>
  <c r="H43"/>
  <c r="H44"/>
  <c r="H46"/>
  <c r="E51"/>
  <c r="H51"/>
  <c r="E52"/>
  <c r="H52"/>
  <c r="E53"/>
  <c r="H53"/>
  <c r="E54"/>
  <c r="H54"/>
  <c r="E55"/>
  <c r="H55"/>
  <c r="E56"/>
  <c r="H56"/>
  <c r="E57"/>
  <c r="H57"/>
  <c r="E58"/>
  <c r="H58"/>
  <c r="E59"/>
  <c r="H59"/>
  <c r="H60"/>
  <c r="H61"/>
  <c r="A3"/>
  <c r="P25" i="51"/>
  <c r="E8" i="15"/>
  <c r="E52"/>
  <c r="E56"/>
  <c r="E58"/>
  <c r="E59"/>
  <c r="H59"/>
  <c r="E61"/>
  <c r="H61"/>
  <c r="F56"/>
  <c r="F59"/>
  <c r="F63"/>
  <c r="G56"/>
  <c r="G59"/>
  <c r="G63"/>
  <c r="H60"/>
  <c r="H58"/>
  <c r="H57"/>
  <c r="H55"/>
  <c r="H54"/>
  <c r="H53"/>
  <c r="H52"/>
  <c r="H51"/>
  <c r="E11"/>
  <c r="E13"/>
  <c r="E19"/>
  <c r="E21"/>
  <c r="E27"/>
  <c r="H27"/>
  <c r="E37"/>
  <c r="E44"/>
  <c r="F21"/>
  <c r="F38"/>
  <c r="F27"/>
  <c r="F37"/>
  <c r="F11"/>
  <c r="F13"/>
  <c r="F40"/>
  <c r="F47"/>
  <c r="G11"/>
  <c r="G13"/>
  <c r="G21"/>
  <c r="G38"/>
  <c r="G27"/>
  <c r="G37"/>
  <c r="H45"/>
  <c r="H44"/>
  <c r="H43"/>
  <c r="H37"/>
  <c r="H36"/>
  <c r="H35"/>
  <c r="H34"/>
  <c r="H31"/>
  <c r="H30"/>
  <c r="H29"/>
  <c r="H26"/>
  <c r="H25"/>
  <c r="H24"/>
  <c r="H20"/>
  <c r="H18"/>
  <c r="H17"/>
  <c r="H12"/>
  <c r="H11"/>
  <c r="H10"/>
  <c r="H9"/>
  <c r="H8"/>
  <c r="A1"/>
  <c r="A3"/>
  <c r="G11" i="30"/>
  <c r="G13"/>
  <c r="G40"/>
  <c r="G21"/>
  <c r="G38"/>
  <c r="G27"/>
  <c r="G37"/>
  <c r="E34"/>
  <c r="E37"/>
  <c r="H37"/>
  <c r="E21"/>
  <c r="E26"/>
  <c r="E27"/>
  <c r="H27"/>
  <c r="E8"/>
  <c r="E11"/>
  <c r="A1"/>
  <c r="H9"/>
  <c r="H10"/>
  <c r="H12"/>
  <c r="H17"/>
  <c r="H18"/>
  <c r="H19"/>
  <c r="H20"/>
  <c r="H24"/>
  <c r="H25"/>
  <c r="H26"/>
  <c r="H29"/>
  <c r="H30"/>
  <c r="H31"/>
  <c r="H35"/>
  <c r="H36"/>
  <c r="H44"/>
  <c r="H45"/>
  <c r="H51"/>
  <c r="H52"/>
  <c r="H53"/>
  <c r="H54"/>
  <c r="H55"/>
  <c r="E56"/>
  <c r="H56"/>
  <c r="F56"/>
  <c r="G56"/>
  <c r="H57"/>
  <c r="H58"/>
  <c r="E59"/>
  <c r="H59"/>
  <c r="F59"/>
  <c r="G59"/>
  <c r="H60"/>
  <c r="H61"/>
  <c r="E63"/>
  <c r="H63"/>
  <c r="F63"/>
  <c r="G63"/>
  <c r="A65"/>
  <c r="C109"/>
  <c r="A3"/>
  <c r="A67" s="1"/>
  <c r="AE7" i="4"/>
  <c r="AF7"/>
  <c r="AE8"/>
  <c r="AF8"/>
  <c r="AE9"/>
  <c r="AF9"/>
  <c r="AE19"/>
  <c r="AF19"/>
  <c r="AE20"/>
  <c r="AF20"/>
  <c r="AE21"/>
  <c r="AF21"/>
  <c r="AE27"/>
  <c r="AF27"/>
  <c r="AE28"/>
  <c r="AF28"/>
  <c r="AE33"/>
  <c r="AF33"/>
  <c r="AF37"/>
  <c r="AF38"/>
  <c r="AE45"/>
  <c r="AF45"/>
  <c r="AE47"/>
  <c r="AF47"/>
  <c r="AE48"/>
  <c r="AF48"/>
  <c r="AE54"/>
  <c r="AF54"/>
  <c r="AE56"/>
  <c r="AF56"/>
  <c r="AE57"/>
  <c r="AF57"/>
  <c r="AE58"/>
  <c r="AF58"/>
  <c r="AE71"/>
  <c r="AF71"/>
  <c r="O19"/>
  <c r="O20"/>
  <c r="O21"/>
  <c r="O27"/>
  <c r="O28"/>
  <c r="O33"/>
  <c r="O37"/>
  <c r="O38"/>
  <c r="O45"/>
  <c r="O47"/>
  <c r="O48"/>
  <c r="O54"/>
  <c r="O56"/>
  <c r="O57"/>
  <c r="O58"/>
  <c r="O71"/>
  <c r="AN7"/>
  <c r="AO7"/>
  <c r="AP7"/>
  <c r="AQ7"/>
  <c r="AR7"/>
  <c r="AN8"/>
  <c r="AO8"/>
  <c r="AP8"/>
  <c r="AQ8"/>
  <c r="AR8"/>
  <c r="AN9"/>
  <c r="AO9"/>
  <c r="AP9"/>
  <c r="AQ9"/>
  <c r="AR9"/>
  <c r="AQ13"/>
  <c r="AQ14"/>
  <c r="AQ15"/>
  <c r="AQ17"/>
  <c r="AN19"/>
  <c r="AO19"/>
  <c r="AP19"/>
  <c r="AQ19"/>
  <c r="AR19"/>
  <c r="AN20"/>
  <c r="AO20"/>
  <c r="AP20"/>
  <c r="AQ20"/>
  <c r="AR20"/>
  <c r="AN21"/>
  <c r="AO21"/>
  <c r="AP21"/>
  <c r="AQ21"/>
  <c r="AQ22"/>
  <c r="AQ23"/>
  <c r="AQ24"/>
  <c r="AQ25"/>
  <c r="AN27"/>
  <c r="AO27"/>
  <c r="AP27"/>
  <c r="AQ27"/>
  <c r="AR27"/>
  <c r="AN28"/>
  <c r="AO28"/>
  <c r="AP28"/>
  <c r="AQ28"/>
  <c r="AQ29"/>
  <c r="AQ30"/>
  <c r="AN33"/>
  <c r="AO33"/>
  <c r="AP33"/>
  <c r="AQ33"/>
  <c r="AR33"/>
  <c r="AQ34"/>
  <c r="AQ35"/>
  <c r="AQ36"/>
  <c r="AQ37"/>
  <c r="AR37"/>
  <c r="AQ38"/>
  <c r="AR38"/>
  <c r="AQ39"/>
  <c r="AQ40"/>
  <c r="AQ41"/>
  <c r="AN45"/>
  <c r="AO45"/>
  <c r="AP45"/>
  <c r="AQ45"/>
  <c r="AR45"/>
  <c r="AN47"/>
  <c r="AO47"/>
  <c r="AP47"/>
  <c r="AQ47"/>
  <c r="AR47"/>
  <c r="AN48"/>
  <c r="AO48"/>
  <c r="AP48"/>
  <c r="AQ48"/>
  <c r="AR48"/>
  <c r="AQ50"/>
  <c r="AN54"/>
  <c r="AO54"/>
  <c r="AP54"/>
  <c r="AQ54"/>
  <c r="AR54"/>
  <c r="AN56"/>
  <c r="AO56"/>
  <c r="AP56"/>
  <c r="AQ56"/>
  <c r="AR56"/>
  <c r="AN57"/>
  <c r="AO57"/>
  <c r="AP57"/>
  <c r="AQ57"/>
  <c r="AR57"/>
  <c r="AN58"/>
  <c r="AO58"/>
  <c r="AP58"/>
  <c r="AQ58"/>
  <c r="AR58"/>
  <c r="AQ59"/>
  <c r="AQ60"/>
  <c r="AQ61"/>
  <c r="AQ62"/>
  <c r="AQ63"/>
  <c r="AQ66"/>
  <c r="AQ67"/>
  <c r="AQ69"/>
  <c r="AQ70"/>
  <c r="AN71"/>
  <c r="AO71"/>
  <c r="AP71"/>
  <c r="AQ71"/>
  <c r="AM71"/>
  <c r="AL71"/>
  <c r="AK71"/>
  <c r="AJ71"/>
  <c r="AI71"/>
  <c r="AH71"/>
  <c r="AG71"/>
  <c r="AM58"/>
  <c r="AL58"/>
  <c r="AK58"/>
  <c r="AJ58"/>
  <c r="AI58"/>
  <c r="AH58"/>
  <c r="AG58"/>
  <c r="AM57"/>
  <c r="AL57"/>
  <c r="AK57"/>
  <c r="AJ57"/>
  <c r="AI57"/>
  <c r="AH57"/>
  <c r="AG57"/>
  <c r="AM56"/>
  <c r="AL56"/>
  <c r="AK56"/>
  <c r="AJ56"/>
  <c r="AI56"/>
  <c r="AH56"/>
  <c r="AG56"/>
  <c r="AM54"/>
  <c r="AL54"/>
  <c r="AK54"/>
  <c r="AJ54"/>
  <c r="AI54"/>
  <c r="AH54"/>
  <c r="AG54"/>
  <c r="AM48"/>
  <c r="AL48"/>
  <c r="AK48"/>
  <c r="AJ48"/>
  <c r="AI48"/>
  <c r="AH48"/>
  <c r="AG48"/>
  <c r="AM47"/>
  <c r="AL47"/>
  <c r="AK47"/>
  <c r="AJ47"/>
  <c r="AI47"/>
  <c r="AH47"/>
  <c r="AG47"/>
  <c r="AM45"/>
  <c r="AL45"/>
  <c r="AK45"/>
  <c r="AJ45"/>
  <c r="AI45"/>
  <c r="AH45"/>
  <c r="AG45"/>
  <c r="AM33"/>
  <c r="AL33"/>
  <c r="AK33"/>
  <c r="AJ33"/>
  <c r="AI33"/>
  <c r="AH33"/>
  <c r="AG33"/>
  <c r="AM28"/>
  <c r="AL28"/>
  <c r="AK28"/>
  <c r="AJ28"/>
  <c r="AI28"/>
  <c r="AH28"/>
  <c r="AG28"/>
  <c r="AM27"/>
  <c r="AL27"/>
  <c r="AK27"/>
  <c r="AJ27"/>
  <c r="AI27"/>
  <c r="AH27"/>
  <c r="AG27"/>
  <c r="AM21"/>
  <c r="AL21"/>
  <c r="AK21"/>
  <c r="AJ21"/>
  <c r="AI21"/>
  <c r="AH21"/>
  <c r="AG21"/>
  <c r="AM20"/>
  <c r="AL20"/>
  <c r="AK20"/>
  <c r="AJ20"/>
  <c r="AI20"/>
  <c r="AH20"/>
  <c r="AG20"/>
  <c r="AM19"/>
  <c r="AL19"/>
  <c r="AK19"/>
  <c r="AJ19"/>
  <c r="AI19"/>
  <c r="AH19"/>
  <c r="AG19"/>
  <c r="AM9"/>
  <c r="AL9"/>
  <c r="AK9"/>
  <c r="AJ9"/>
  <c r="AI9"/>
  <c r="AH9"/>
  <c r="AG9"/>
  <c r="AM8"/>
  <c r="AL8"/>
  <c r="AK8"/>
  <c r="AJ8"/>
  <c r="AI8"/>
  <c r="AH8"/>
  <c r="AG8"/>
  <c r="AM7"/>
  <c r="AL7"/>
  <c r="AK7"/>
  <c r="AJ7"/>
  <c r="AI7"/>
  <c r="AH7"/>
  <c r="AG7"/>
  <c r="W7"/>
  <c r="X7"/>
  <c r="Y7"/>
  <c r="Z7"/>
  <c r="AA7"/>
  <c r="AB7"/>
  <c r="AC7"/>
  <c r="AD7"/>
  <c r="W8"/>
  <c r="X8"/>
  <c r="Y8"/>
  <c r="Z8"/>
  <c r="AA8"/>
  <c r="AB8"/>
  <c r="AC8"/>
  <c r="AD8"/>
  <c r="W9"/>
  <c r="X9"/>
  <c r="Y9"/>
  <c r="Z9"/>
  <c r="AA9"/>
  <c r="AB9"/>
  <c r="AC9"/>
  <c r="AD9"/>
  <c r="W19"/>
  <c r="X19"/>
  <c r="Y19"/>
  <c r="Z19"/>
  <c r="AA19"/>
  <c r="AB19"/>
  <c r="AC19"/>
  <c r="AD19"/>
  <c r="W20"/>
  <c r="X20"/>
  <c r="Y20"/>
  <c r="Z20"/>
  <c r="AA20"/>
  <c r="AB20"/>
  <c r="AC20"/>
  <c r="AD20"/>
  <c r="W21"/>
  <c r="X21"/>
  <c r="Y21"/>
  <c r="Z21"/>
  <c r="AA21"/>
  <c r="AB21"/>
  <c r="AC21"/>
  <c r="AD21"/>
  <c r="W27"/>
  <c r="X27"/>
  <c r="Y27"/>
  <c r="Z27"/>
  <c r="AA27"/>
  <c r="AB27"/>
  <c r="AC27"/>
  <c r="AD27"/>
  <c r="W28"/>
  <c r="X28"/>
  <c r="Y28"/>
  <c r="Z28"/>
  <c r="AA28"/>
  <c r="AB28"/>
  <c r="AC28"/>
  <c r="AD28"/>
  <c r="W33"/>
  <c r="X33"/>
  <c r="Y33"/>
  <c r="Z33"/>
  <c r="AA33"/>
  <c r="AB33"/>
  <c r="AC33"/>
  <c r="AD33"/>
  <c r="W45"/>
  <c r="X45"/>
  <c r="Y45"/>
  <c r="Z45"/>
  <c r="AA45"/>
  <c r="AB45"/>
  <c r="AC45"/>
  <c r="AD45"/>
  <c r="W47"/>
  <c r="X47"/>
  <c r="Y47"/>
  <c r="Z47"/>
  <c r="AA47"/>
  <c r="AB47"/>
  <c r="AC47"/>
  <c r="AD47"/>
  <c r="W48"/>
  <c r="X48"/>
  <c r="Y48"/>
  <c r="Z48"/>
  <c r="AA48"/>
  <c r="AB48"/>
  <c r="AC48"/>
  <c r="AD48"/>
  <c r="W54"/>
  <c r="X54"/>
  <c r="Y54"/>
  <c r="Z54"/>
  <c r="AA54"/>
  <c r="AB54"/>
  <c r="AC54"/>
  <c r="AD54"/>
  <c r="W56"/>
  <c r="X56"/>
  <c r="Y56"/>
  <c r="Z56"/>
  <c r="AA56"/>
  <c r="AB56"/>
  <c r="AC56"/>
  <c r="AD56"/>
  <c r="W57"/>
  <c r="X57"/>
  <c r="Y57"/>
  <c r="Z57"/>
  <c r="AA57"/>
  <c r="AB57"/>
  <c r="AC57"/>
  <c r="AD57"/>
  <c r="W58"/>
  <c r="X58"/>
  <c r="Y58"/>
  <c r="Z58"/>
  <c r="AA58"/>
  <c r="AB58"/>
  <c r="AC58"/>
  <c r="AD58"/>
  <c r="W71"/>
  <c r="X71"/>
  <c r="Y71"/>
  <c r="Z71"/>
  <c r="AA71"/>
  <c r="AB71"/>
  <c r="AC71"/>
  <c r="AD71"/>
  <c r="P71"/>
  <c r="P58"/>
  <c r="P57"/>
  <c r="P56"/>
  <c r="P54"/>
  <c r="P48"/>
  <c r="P47"/>
  <c r="P45"/>
  <c r="P33"/>
  <c r="P28"/>
  <c r="P27"/>
  <c r="P21"/>
  <c r="P20"/>
  <c r="P19"/>
  <c r="P9"/>
  <c r="P8"/>
  <c r="P7"/>
  <c r="Q7"/>
  <c r="R7"/>
  <c r="S7"/>
  <c r="T7"/>
  <c r="U7"/>
  <c r="V7"/>
  <c r="AT7"/>
  <c r="Q8"/>
  <c r="R8"/>
  <c r="S8"/>
  <c r="T8"/>
  <c r="U8"/>
  <c r="V8"/>
  <c r="AT8"/>
  <c r="Q9"/>
  <c r="R9"/>
  <c r="S9"/>
  <c r="T9"/>
  <c r="U9"/>
  <c r="V9"/>
  <c r="AT9"/>
  <c r="AT13"/>
  <c r="AT14"/>
  <c r="AT15"/>
  <c r="AT16"/>
  <c r="AT17"/>
  <c r="AT18"/>
  <c r="Q19"/>
  <c r="R19"/>
  <c r="S19"/>
  <c r="T19"/>
  <c r="U19"/>
  <c r="V19"/>
  <c r="AT19"/>
  <c r="Q20"/>
  <c r="R20"/>
  <c r="S20"/>
  <c r="T20"/>
  <c r="U20"/>
  <c r="V20"/>
  <c r="AT20"/>
  <c r="Q21"/>
  <c r="R21"/>
  <c r="S21"/>
  <c r="T21"/>
  <c r="U21"/>
  <c r="V21"/>
  <c r="AT21"/>
  <c r="AT22"/>
  <c r="AT23"/>
  <c r="AT24"/>
  <c r="AT25"/>
  <c r="AT26"/>
  <c r="Q27"/>
  <c r="R27"/>
  <c r="S27"/>
  <c r="T27"/>
  <c r="U27"/>
  <c r="V27"/>
  <c r="AT27"/>
  <c r="Q28"/>
  <c r="R28"/>
  <c r="S28"/>
  <c r="T28"/>
  <c r="U28"/>
  <c r="V28"/>
  <c r="AT28"/>
  <c r="AT29"/>
  <c r="AT30"/>
  <c r="AT31"/>
  <c r="AT32"/>
  <c r="Q33"/>
  <c r="R33"/>
  <c r="S33"/>
  <c r="T33"/>
  <c r="U33"/>
  <c r="V33"/>
  <c r="AT33"/>
  <c r="AT34"/>
  <c r="AT35"/>
  <c r="AT36"/>
  <c r="AT37"/>
  <c r="AT38"/>
  <c r="AT39"/>
  <c r="AT40"/>
  <c r="AT41"/>
  <c r="AT42"/>
  <c r="Q45"/>
  <c r="R45"/>
  <c r="S45"/>
  <c r="T45"/>
  <c r="U45"/>
  <c r="V45"/>
  <c r="AT45"/>
  <c r="Q47"/>
  <c r="R47"/>
  <c r="S47"/>
  <c r="T47"/>
  <c r="U47"/>
  <c r="V47"/>
  <c r="AT47"/>
  <c r="Q48"/>
  <c r="R48"/>
  <c r="S48"/>
  <c r="T48"/>
  <c r="U48"/>
  <c r="V48"/>
  <c r="AT48"/>
  <c r="AT50"/>
  <c r="Q54"/>
  <c r="R54"/>
  <c r="S54"/>
  <c r="T54"/>
  <c r="U54"/>
  <c r="V54"/>
  <c r="AT54"/>
  <c r="Q56"/>
  <c r="R56"/>
  <c r="S56"/>
  <c r="T56"/>
  <c r="U56"/>
  <c r="V56"/>
  <c r="AT56"/>
  <c r="Q57"/>
  <c r="R57"/>
  <c r="S57"/>
  <c r="T57"/>
  <c r="U57"/>
  <c r="V57"/>
  <c r="AT57"/>
  <c r="Q58"/>
  <c r="R58"/>
  <c r="S58"/>
  <c r="T58"/>
  <c r="U58"/>
  <c r="V58"/>
  <c r="AT58"/>
  <c r="AT59"/>
  <c r="AT60"/>
  <c r="AT61"/>
  <c r="AT62"/>
  <c r="AT63"/>
  <c r="AT64"/>
  <c r="AT66"/>
  <c r="AT67"/>
  <c r="AT68"/>
  <c r="AT69"/>
  <c r="AT70"/>
  <c r="Q71"/>
  <c r="R71"/>
  <c r="S71"/>
  <c r="T71"/>
  <c r="U71"/>
  <c r="V71"/>
  <c r="AT71"/>
  <c r="AT72"/>
  <c r="O7"/>
  <c r="O8"/>
  <c r="O9"/>
  <c r="N19"/>
  <c r="N20"/>
  <c r="N21"/>
  <c r="N27"/>
  <c r="N28"/>
  <c r="N33"/>
  <c r="N45"/>
  <c r="N47"/>
  <c r="N48"/>
  <c r="N54"/>
  <c r="N56"/>
  <c r="N57"/>
  <c r="N58"/>
  <c r="N71"/>
  <c r="N7"/>
  <c r="N8"/>
  <c r="N9"/>
  <c r="M7"/>
  <c r="M8"/>
  <c r="M9"/>
  <c r="M19"/>
  <c r="M20"/>
  <c r="M21"/>
  <c r="M27"/>
  <c r="M28"/>
  <c r="M33"/>
  <c r="M45"/>
  <c r="M47"/>
  <c r="M48"/>
  <c r="M54"/>
  <c r="M56"/>
  <c r="M57"/>
  <c r="M58"/>
  <c r="M71"/>
  <c r="A1"/>
  <c r="E7"/>
  <c r="F7"/>
  <c r="G7"/>
  <c r="H7"/>
  <c r="I7"/>
  <c r="J7"/>
  <c r="K7"/>
  <c r="L7"/>
  <c r="E8"/>
  <c r="F8"/>
  <c r="G8"/>
  <c r="H8"/>
  <c r="I8"/>
  <c r="J8"/>
  <c r="K8"/>
  <c r="L8"/>
  <c r="E9"/>
  <c r="F9"/>
  <c r="G9"/>
  <c r="H9"/>
  <c r="I9"/>
  <c r="J9"/>
  <c r="K9"/>
  <c r="L9"/>
  <c r="E19"/>
  <c r="F19"/>
  <c r="G19"/>
  <c r="H19"/>
  <c r="I19"/>
  <c r="J19"/>
  <c r="K19"/>
  <c r="L19"/>
  <c r="E20"/>
  <c r="F20"/>
  <c r="G20"/>
  <c r="H20"/>
  <c r="I20"/>
  <c r="J20"/>
  <c r="K20"/>
  <c r="L20"/>
  <c r="E21"/>
  <c r="F21"/>
  <c r="G21"/>
  <c r="H21"/>
  <c r="I21"/>
  <c r="J21"/>
  <c r="K21"/>
  <c r="L21"/>
  <c r="E27"/>
  <c r="F27"/>
  <c r="G27"/>
  <c r="H27"/>
  <c r="I27"/>
  <c r="J27"/>
  <c r="K27"/>
  <c r="L27"/>
  <c r="E28"/>
  <c r="F28"/>
  <c r="G28"/>
  <c r="H28"/>
  <c r="I28"/>
  <c r="J28"/>
  <c r="K28"/>
  <c r="L28"/>
  <c r="E33"/>
  <c r="F33"/>
  <c r="G33"/>
  <c r="H33"/>
  <c r="I33"/>
  <c r="J33"/>
  <c r="K33"/>
  <c r="L33"/>
  <c r="E37"/>
  <c r="E38"/>
  <c r="E45"/>
  <c r="F45"/>
  <c r="G45"/>
  <c r="H45"/>
  <c r="I45"/>
  <c r="J45"/>
  <c r="K45"/>
  <c r="L45"/>
  <c r="E47"/>
  <c r="F47"/>
  <c r="G47"/>
  <c r="H47"/>
  <c r="I47"/>
  <c r="J47"/>
  <c r="K47"/>
  <c r="L47"/>
  <c r="E48"/>
  <c r="F48"/>
  <c r="G48"/>
  <c r="H48"/>
  <c r="I48"/>
  <c r="J48"/>
  <c r="K48"/>
  <c r="L48"/>
  <c r="E54"/>
  <c r="F54"/>
  <c r="G54"/>
  <c r="H54"/>
  <c r="I54"/>
  <c r="J54"/>
  <c r="K54"/>
  <c r="L54"/>
  <c r="E56"/>
  <c r="F56"/>
  <c r="G56"/>
  <c r="H56"/>
  <c r="I56"/>
  <c r="J56"/>
  <c r="K56"/>
  <c r="L56"/>
  <c r="E57"/>
  <c r="F57"/>
  <c r="G57"/>
  <c r="H57"/>
  <c r="I57"/>
  <c r="J57"/>
  <c r="K57"/>
  <c r="L57"/>
  <c r="E58"/>
  <c r="F58"/>
  <c r="G58"/>
  <c r="H58"/>
  <c r="I58"/>
  <c r="J58"/>
  <c r="K58"/>
  <c r="L58"/>
  <c r="E71"/>
  <c r="F71"/>
  <c r="G71"/>
  <c r="H71"/>
  <c r="I71"/>
  <c r="J71"/>
  <c r="K71"/>
  <c r="L71"/>
  <c r="AB13"/>
  <c r="AB14"/>
  <c r="AB15"/>
  <c r="AB16"/>
  <c r="AB17"/>
  <c r="AB18"/>
  <c r="AB23"/>
  <c r="AB24"/>
  <c r="AB25"/>
  <c r="AB29"/>
  <c r="AB30"/>
  <c r="AB31"/>
  <c r="AB32"/>
  <c r="AB34"/>
  <c r="AB35"/>
  <c r="AB36"/>
  <c r="AB37"/>
  <c r="AB38"/>
  <c r="AB39"/>
  <c r="AB40"/>
  <c r="AB41"/>
  <c r="AB42"/>
  <c r="AB50"/>
  <c r="AB59"/>
  <c r="AB60"/>
  <c r="AB61"/>
  <c r="AB62"/>
  <c r="AB63"/>
  <c r="AB64"/>
  <c r="AB66"/>
  <c r="AB67"/>
  <c r="AB68"/>
  <c r="AB69"/>
  <c r="AB70"/>
  <c r="AB72"/>
  <c r="AB55"/>
  <c r="AB49"/>
  <c r="AB46"/>
  <c r="AB44"/>
  <c r="AB26"/>
  <c r="AB22"/>
  <c r="AE13"/>
  <c r="AE14"/>
  <c r="AE15"/>
  <c r="AE16"/>
  <c r="AE17"/>
  <c r="AE22"/>
  <c r="AE23"/>
  <c r="AE25"/>
  <c r="AE29"/>
  <c r="AE30"/>
  <c r="AE34"/>
  <c r="AE35"/>
  <c r="AE36"/>
  <c r="AE37"/>
  <c r="AE38"/>
  <c r="AE39"/>
  <c r="AE40"/>
  <c r="AE41"/>
  <c r="AE42"/>
  <c r="AE59"/>
  <c r="AE61"/>
  <c r="AE62"/>
  <c r="AE63"/>
  <c r="AE66"/>
  <c r="AE69"/>
  <c r="AE70"/>
  <c r="AD13"/>
  <c r="AD14"/>
  <c r="AD15"/>
  <c r="AD16"/>
  <c r="AD17"/>
  <c r="AD18"/>
  <c r="AD29"/>
  <c r="AD30"/>
  <c r="AD31"/>
  <c r="AD32"/>
  <c r="AD34"/>
  <c r="AD35"/>
  <c r="AD36"/>
  <c r="AD37"/>
  <c r="AD38"/>
  <c r="AD39"/>
  <c r="AD40"/>
  <c r="AD41"/>
  <c r="AD42"/>
  <c r="AD50"/>
  <c r="AD59"/>
  <c r="AD62"/>
  <c r="AD63"/>
  <c r="AD67"/>
  <c r="AD69"/>
  <c r="AD70"/>
  <c r="AE26"/>
  <c r="AE24"/>
  <c r="AE64"/>
  <c r="AE60"/>
  <c r="AE72"/>
  <c r="AE68"/>
  <c r="AE67"/>
  <c r="AD55"/>
  <c r="AD49"/>
  <c r="AD46"/>
  <c r="AD44"/>
  <c r="AD26"/>
  <c r="AD25"/>
  <c r="AD24"/>
  <c r="AD23"/>
  <c r="AD22"/>
  <c r="AD64"/>
  <c r="AD61"/>
  <c r="AD60"/>
  <c r="AD72"/>
  <c r="AD68"/>
  <c r="AD66"/>
  <c r="AM72"/>
  <c r="AM70"/>
  <c r="AM69"/>
  <c r="AM68"/>
  <c r="AM67"/>
  <c r="AM66"/>
  <c r="AM64"/>
  <c r="AM63"/>
  <c r="AM62"/>
  <c r="AM61"/>
  <c r="AM60"/>
  <c r="AM59"/>
  <c r="AM50"/>
  <c r="AM41"/>
  <c r="AM40"/>
  <c r="AM38"/>
  <c r="AM37"/>
  <c r="AM36"/>
  <c r="AM35"/>
  <c r="AM34"/>
  <c r="AM30"/>
  <c r="AM29"/>
  <c r="AM26"/>
  <c r="AM25"/>
  <c r="AM24"/>
  <c r="AM23"/>
  <c r="AM22"/>
  <c r="AM18"/>
  <c r="AM17"/>
  <c r="AM16"/>
  <c r="AM15"/>
  <c r="AM14"/>
  <c r="AM13"/>
  <c r="AM39"/>
  <c r="AM42"/>
  <c r="AM55"/>
  <c r="AM49"/>
  <c r="AM46"/>
  <c r="AM44"/>
  <c r="AM32"/>
  <c r="AM31"/>
  <c r="AG49"/>
  <c r="AG55"/>
  <c r="AG14"/>
  <c r="AG15"/>
  <c r="AG17"/>
  <c r="AG22"/>
  <c r="AG23"/>
  <c r="AG24"/>
  <c r="AG25"/>
  <c r="AG26"/>
  <c r="AG29"/>
  <c r="AG30"/>
  <c r="AG35"/>
  <c r="AG36"/>
  <c r="AG37"/>
  <c r="AG38"/>
  <c r="AG40"/>
  <c r="AG41"/>
  <c r="AG50"/>
  <c r="AG59"/>
  <c r="AG60"/>
  <c r="AG61"/>
  <c r="AG62"/>
  <c r="AG63"/>
  <c r="AG64"/>
  <c r="AG66"/>
  <c r="AG67"/>
  <c r="AG68"/>
  <c r="AG69"/>
  <c r="AG70"/>
  <c r="AG72"/>
  <c r="AG13"/>
  <c r="AG16"/>
  <c r="AG18"/>
  <c r="AG31"/>
  <c r="AG32"/>
  <c r="AG34"/>
  <c r="AG46"/>
  <c r="AG44"/>
  <c r="AG39"/>
  <c r="AG42"/>
  <c r="AC14"/>
  <c r="AC25"/>
  <c r="AC29"/>
  <c r="AC30"/>
  <c r="AC35"/>
  <c r="AC36"/>
  <c r="AC37"/>
  <c r="AC38"/>
  <c r="AC40"/>
  <c r="AC41"/>
  <c r="AC50"/>
  <c r="AC59"/>
  <c r="AC60"/>
  <c r="AC61"/>
  <c r="AC62"/>
  <c r="AC63"/>
  <c r="AC66"/>
  <c r="AC67"/>
  <c r="AC69"/>
  <c r="AC70"/>
  <c r="AC15"/>
  <c r="AC17"/>
  <c r="AC23"/>
  <c r="AC13"/>
  <c r="AC24"/>
  <c r="AC34"/>
  <c r="AC39"/>
  <c r="AC42"/>
  <c r="AC16"/>
  <c r="AC68"/>
  <c r="AC64"/>
  <c r="A4"/>
  <c r="AE50"/>
  <c r="Z72"/>
  <c r="Z70"/>
  <c r="Z69"/>
  <c r="Z68"/>
  <c r="Z67"/>
  <c r="Z66"/>
  <c r="Z64"/>
  <c r="Z63"/>
  <c r="Z62"/>
  <c r="Z61"/>
  <c r="Z60"/>
  <c r="Z59"/>
  <c r="Z50"/>
  <c r="Z41"/>
  <c r="Z40"/>
  <c r="Z38"/>
  <c r="Z37"/>
  <c r="Z36"/>
  <c r="Z35"/>
  <c r="Z34"/>
  <c r="Z32"/>
  <c r="Z31"/>
  <c r="Z30"/>
  <c r="Z29"/>
  <c r="Z26"/>
  <c r="Z25"/>
  <c r="Z24"/>
  <c r="Z23"/>
  <c r="Z22"/>
  <c r="Z18"/>
  <c r="Z17"/>
  <c r="Z16"/>
  <c r="Z15"/>
  <c r="Z14"/>
  <c r="Z13"/>
  <c r="AA42"/>
  <c r="AA39"/>
  <c r="AA13"/>
  <c r="AA14"/>
  <c r="AA15"/>
  <c r="AA16"/>
  <c r="AA17"/>
  <c r="AA18"/>
  <c r="AA22"/>
  <c r="AA23"/>
  <c r="AA24"/>
  <c r="AA25"/>
  <c r="AA26"/>
  <c r="AA29"/>
  <c r="AA30"/>
  <c r="AA34"/>
  <c r="AA35"/>
  <c r="AA36"/>
  <c r="AA37"/>
  <c r="AA38"/>
  <c r="AA40"/>
  <c r="AA41"/>
  <c r="AA50"/>
  <c r="AA59"/>
  <c r="AA60"/>
  <c r="AA61"/>
  <c r="AA62"/>
  <c r="AA63"/>
  <c r="AA64"/>
  <c r="AA66"/>
  <c r="AA67"/>
  <c r="AA68"/>
  <c r="AA69"/>
  <c r="AA70"/>
  <c r="AA72"/>
  <c r="AA44"/>
  <c r="AA46"/>
  <c r="AA32"/>
  <c r="AA31"/>
  <c r="AA55"/>
  <c r="AA49"/>
  <c r="Z55"/>
  <c r="Z39"/>
  <c r="Z42"/>
  <c r="Z44"/>
  <c r="Z46"/>
  <c r="Z49"/>
  <c r="N13"/>
  <c r="N14"/>
  <c r="N15"/>
  <c r="N16"/>
  <c r="N17"/>
  <c r="N18"/>
  <c r="N22"/>
  <c r="N23"/>
  <c r="N25"/>
  <c r="N29"/>
  <c r="N30"/>
  <c r="N31"/>
  <c r="N32"/>
  <c r="N34"/>
  <c r="N35"/>
  <c r="N36"/>
  <c r="N37"/>
  <c r="N38"/>
  <c r="N39"/>
  <c r="N40"/>
  <c r="N41"/>
  <c r="N42"/>
  <c r="N49"/>
  <c r="N59"/>
  <c r="N61"/>
  <c r="N62"/>
  <c r="N63"/>
  <c r="N66"/>
  <c r="N69"/>
  <c r="N50"/>
  <c r="N46"/>
  <c r="N44"/>
  <c r="N26"/>
  <c r="N24"/>
  <c r="N55"/>
  <c r="N64"/>
  <c r="N60"/>
  <c r="N70"/>
  <c r="N72"/>
  <c r="N68"/>
  <c r="N67"/>
  <c r="Y13"/>
  <c r="Y14"/>
  <c r="Y16"/>
  <c r="Y15"/>
  <c r="Y17"/>
  <c r="Y22"/>
  <c r="Y23"/>
  <c r="Y24"/>
  <c r="Y25"/>
  <c r="Y29"/>
  <c r="Y30"/>
  <c r="Y34"/>
  <c r="Y35"/>
  <c r="Y36"/>
  <c r="Y37"/>
  <c r="Y38"/>
  <c r="Y39"/>
  <c r="Y40"/>
  <c r="Y42"/>
  <c r="Y41"/>
  <c r="Y50"/>
  <c r="Y59"/>
  <c r="Y60"/>
  <c r="Y61"/>
  <c r="Y62"/>
  <c r="Y64"/>
  <c r="Y63"/>
  <c r="Y66"/>
  <c r="Y68"/>
  <c r="Y67"/>
  <c r="Y69"/>
  <c r="Y72"/>
  <c r="Y70"/>
  <c r="AQ64"/>
  <c r="AQ68"/>
  <c r="AQ72"/>
  <c r="BD28" i="1"/>
  <c r="AR28" i="4"/>
  <c r="BD67" i="1"/>
  <c r="AR71" i="4"/>
  <c r="BD21" i="1"/>
  <c r="AR21" i="4"/>
  <c r="AC22"/>
  <c r="E69"/>
  <c r="E70"/>
  <c r="G49"/>
  <c r="G68"/>
  <c r="G67"/>
  <c r="G66"/>
  <c r="G64"/>
  <c r="G63"/>
  <c r="G62"/>
  <c r="G61"/>
  <c r="G60"/>
  <c r="G59"/>
  <c r="G50"/>
  <c r="G42"/>
  <c r="G41"/>
  <c r="G40"/>
  <c r="G39"/>
  <c r="G38" i="1"/>
  <c r="G38" i="4" s="1"/>
  <c r="G37" i="1"/>
  <c r="G37" i="4" s="1"/>
  <c r="G36"/>
  <c r="G35"/>
  <c r="G34"/>
  <c r="G32"/>
  <c r="G31"/>
  <c r="G30"/>
  <c r="G29"/>
  <c r="G26"/>
  <c r="G25"/>
  <c r="G24"/>
  <c r="G23"/>
  <c r="G22"/>
  <c r="G18"/>
  <c r="G17"/>
  <c r="G16"/>
  <c r="G15"/>
  <c r="G14"/>
  <c r="G13"/>
  <c r="H70"/>
  <c r="H69"/>
  <c r="H67"/>
  <c r="H63"/>
  <c r="H62"/>
  <c r="H61"/>
  <c r="H59"/>
  <c r="H50"/>
  <c r="H49"/>
  <c r="H42"/>
  <c r="H41"/>
  <c r="H40"/>
  <c r="H39"/>
  <c r="H38" i="1"/>
  <c r="H38" i="4" s="1"/>
  <c r="H37" i="1"/>
  <c r="H37" i="4" s="1"/>
  <c r="H36"/>
  <c r="H35"/>
  <c r="H34"/>
  <c r="H32"/>
  <c r="H31"/>
  <c r="H30"/>
  <c r="H29"/>
  <c r="H25"/>
  <c r="H23"/>
  <c r="H22"/>
  <c r="H18"/>
  <c r="H17"/>
  <c r="H16"/>
  <c r="H15"/>
  <c r="H14"/>
  <c r="H13"/>
  <c r="P13"/>
  <c r="P14"/>
  <c r="P15"/>
  <c r="P16"/>
  <c r="P17"/>
  <c r="P18"/>
  <c r="P23"/>
  <c r="P24"/>
  <c r="P25"/>
  <c r="P29"/>
  <c r="P30"/>
  <c r="P31"/>
  <c r="P32"/>
  <c r="P34"/>
  <c r="P35"/>
  <c r="P36"/>
  <c r="P37"/>
  <c r="P38"/>
  <c r="P39"/>
  <c r="P40"/>
  <c r="P41"/>
  <c r="P42"/>
  <c r="P50"/>
  <c r="P59"/>
  <c r="P60"/>
  <c r="P61"/>
  <c r="P62"/>
  <c r="P63"/>
  <c r="P64"/>
  <c r="P66"/>
  <c r="P67"/>
  <c r="P68"/>
  <c r="P69"/>
  <c r="P70"/>
  <c r="P72"/>
  <c r="Q70"/>
  <c r="Q69"/>
  <c r="Q68"/>
  <c r="Q67"/>
  <c r="Q66"/>
  <c r="Q64"/>
  <c r="Q63"/>
  <c r="Q62"/>
  <c r="Q61"/>
  <c r="Q60"/>
  <c r="Q59"/>
  <c r="Q50"/>
  <c r="Q41"/>
  <c r="Q40"/>
  <c r="O38" i="1"/>
  <c r="Q38" i="4" s="1"/>
  <c r="O37" i="1"/>
  <c r="Q37" i="4" s="1"/>
  <c r="Q36"/>
  <c r="Q35"/>
  <c r="Q34"/>
  <c r="Q30"/>
  <c r="Q29"/>
  <c r="Q26"/>
  <c r="Q25"/>
  <c r="Q24"/>
  <c r="Q23"/>
  <c r="Q22"/>
  <c r="Q15"/>
  <c r="Q14"/>
  <c r="T72"/>
  <c r="T70"/>
  <c r="T69"/>
  <c r="T68"/>
  <c r="T67"/>
  <c r="T66"/>
  <c r="T64"/>
  <c r="T63"/>
  <c r="T62"/>
  <c r="T61"/>
  <c r="T60"/>
  <c r="T59"/>
  <c r="T50"/>
  <c r="T41"/>
  <c r="T40"/>
  <c r="R38" i="1"/>
  <c r="T38" i="4"/>
  <c r="R37" i="1"/>
  <c r="T37" i="4"/>
  <c r="T36"/>
  <c r="T35"/>
  <c r="T34"/>
  <c r="T30"/>
  <c r="T29"/>
  <c r="T25"/>
  <c r="T24"/>
  <c r="T23"/>
  <c r="T22"/>
  <c r="T17"/>
  <c r="T16"/>
  <c r="T15"/>
  <c r="T14"/>
  <c r="T13"/>
  <c r="U72"/>
  <c r="U70"/>
  <c r="U69"/>
  <c r="U68"/>
  <c r="U67"/>
  <c r="U66"/>
  <c r="U64"/>
  <c r="U63"/>
  <c r="U62"/>
  <c r="U61"/>
  <c r="U60"/>
  <c r="U59"/>
  <c r="U50"/>
  <c r="U41"/>
  <c r="U40"/>
  <c r="S38" i="1"/>
  <c r="U38" i="4" s="1"/>
  <c r="S37" i="1"/>
  <c r="U37" i="4" s="1"/>
  <c r="U36"/>
  <c r="U35"/>
  <c r="U34"/>
  <c r="U30"/>
  <c r="U29"/>
  <c r="U26"/>
  <c r="U25"/>
  <c r="U24"/>
  <c r="U23"/>
  <c r="U22"/>
  <c r="U18"/>
  <c r="U17"/>
  <c r="U16"/>
  <c r="U15"/>
  <c r="U14"/>
  <c r="U13"/>
  <c r="X14"/>
  <c r="X15"/>
  <c r="X17"/>
  <c r="X24"/>
  <c r="X25"/>
  <c r="X29"/>
  <c r="X30"/>
  <c r="X35"/>
  <c r="X36"/>
  <c r="U37" i="1"/>
  <c r="X37" i="4"/>
  <c r="U38" i="1"/>
  <c r="X38" i="4"/>
  <c r="X40"/>
  <c r="X41"/>
  <c r="X59"/>
  <c r="X60"/>
  <c r="X61"/>
  <c r="X62"/>
  <c r="X63"/>
  <c r="X64"/>
  <c r="X66"/>
  <c r="X67"/>
  <c r="X68"/>
  <c r="X69"/>
  <c r="X70"/>
  <c r="X23"/>
  <c r="I70"/>
  <c r="I69"/>
  <c r="I68"/>
  <c r="I67"/>
  <c r="I66"/>
  <c r="I63"/>
  <c r="I62"/>
  <c r="I61"/>
  <c r="I59"/>
  <c r="I50"/>
  <c r="I49"/>
  <c r="I44"/>
  <c r="I42"/>
  <c r="I41"/>
  <c r="I40"/>
  <c r="I39"/>
  <c r="I38" i="1"/>
  <c r="I38" i="4"/>
  <c r="I37" i="1"/>
  <c r="I37" i="4"/>
  <c r="I36"/>
  <c r="I35"/>
  <c r="I34"/>
  <c r="I32"/>
  <c r="I31"/>
  <c r="I30"/>
  <c r="I29"/>
  <c r="I26"/>
  <c r="I25"/>
  <c r="I24"/>
  <c r="I23"/>
  <c r="I22"/>
  <c r="I17"/>
  <c r="I16"/>
  <c r="I15"/>
  <c r="I14"/>
  <c r="I13"/>
  <c r="R13"/>
  <c r="R14"/>
  <c r="R15"/>
  <c r="R16"/>
  <c r="R17"/>
  <c r="R18"/>
  <c r="R22"/>
  <c r="R23"/>
  <c r="R24"/>
  <c r="R29"/>
  <c r="R30"/>
  <c r="R34"/>
  <c r="R35"/>
  <c r="R36"/>
  <c r="P37" i="1"/>
  <c r="R37" i="4"/>
  <c r="P38" i="1"/>
  <c r="R38" i="4"/>
  <c r="R39"/>
  <c r="R40"/>
  <c r="R50"/>
  <c r="R59"/>
  <c r="R60"/>
  <c r="R61"/>
  <c r="R62"/>
  <c r="R63"/>
  <c r="R64"/>
  <c r="R66"/>
  <c r="R67"/>
  <c r="R68"/>
  <c r="R69"/>
  <c r="R70"/>
  <c r="R72"/>
  <c r="S13"/>
  <c r="S14"/>
  <c r="S15"/>
  <c r="S16"/>
  <c r="S17"/>
  <c r="S18"/>
  <c r="S22"/>
  <c r="S23"/>
  <c r="S24"/>
  <c r="S25"/>
  <c r="S26"/>
  <c r="S29"/>
  <c r="S30"/>
  <c r="S35"/>
  <c r="S36"/>
  <c r="Q37" i="1"/>
  <c r="S37" i="4"/>
  <c r="Q38" i="1"/>
  <c r="S38" i="4"/>
  <c r="S39"/>
  <c r="S40"/>
  <c r="S41"/>
  <c r="S42"/>
  <c r="S50"/>
  <c r="S59"/>
  <c r="S60"/>
  <c r="S61"/>
  <c r="S62"/>
  <c r="S63"/>
  <c r="S64"/>
  <c r="S66"/>
  <c r="S67"/>
  <c r="S68"/>
  <c r="S69"/>
  <c r="S70"/>
  <c r="V13"/>
  <c r="V14"/>
  <c r="V15"/>
  <c r="V16"/>
  <c r="V17"/>
  <c r="V22"/>
  <c r="V23"/>
  <c r="V24"/>
  <c r="V25"/>
  <c r="V29"/>
  <c r="V30"/>
  <c r="V31"/>
  <c r="V32"/>
  <c r="V34"/>
  <c r="V35"/>
  <c r="V36"/>
  <c r="T37" i="1"/>
  <c r="V37" i="4" s="1"/>
  <c r="T38" i="1"/>
  <c r="V38" i="4" s="1"/>
  <c r="V39"/>
  <c r="V40"/>
  <c r="V41"/>
  <c r="V42"/>
  <c r="V59"/>
  <c r="V60"/>
  <c r="V61"/>
  <c r="V62"/>
  <c r="V63"/>
  <c r="V64"/>
  <c r="V66"/>
  <c r="V67"/>
  <c r="V68"/>
  <c r="V69"/>
  <c r="V70"/>
  <c r="V72"/>
  <c r="W13"/>
  <c r="W14"/>
  <c r="W15"/>
  <c r="W16"/>
  <c r="W17"/>
  <c r="W22"/>
  <c r="W23"/>
  <c r="W24"/>
  <c r="W25"/>
  <c r="W29"/>
  <c r="W30"/>
  <c r="W34"/>
  <c r="W35"/>
  <c r="W36"/>
  <c r="AC37" i="1"/>
  <c r="W37" i="4"/>
  <c r="AC38" i="1"/>
  <c r="W38" i="4"/>
  <c r="W39"/>
  <c r="W40"/>
  <c r="W41"/>
  <c r="W42"/>
  <c r="W50"/>
  <c r="W59"/>
  <c r="W60"/>
  <c r="W61"/>
  <c r="W62"/>
  <c r="W63"/>
  <c r="W64"/>
  <c r="W66"/>
  <c r="W67"/>
  <c r="W68"/>
  <c r="W69"/>
  <c r="W70"/>
  <c r="H26"/>
  <c r="H24"/>
  <c r="J64"/>
  <c r="J60"/>
  <c r="J50"/>
  <c r="J49"/>
  <c r="J69"/>
  <c r="J67"/>
  <c r="J63"/>
  <c r="J62"/>
  <c r="J61"/>
  <c r="J59"/>
  <c r="J42"/>
  <c r="J41"/>
  <c r="J40"/>
  <c r="J39"/>
  <c r="J38" i="1"/>
  <c r="J38" i="4" s="1"/>
  <c r="J37" i="1"/>
  <c r="J37" i="4" s="1"/>
  <c r="J36"/>
  <c r="J35"/>
  <c r="J34"/>
  <c r="J32"/>
  <c r="J31"/>
  <c r="J30"/>
  <c r="J29"/>
  <c r="J25"/>
  <c r="J23"/>
  <c r="J22"/>
  <c r="J18"/>
  <c r="J17"/>
  <c r="J16"/>
  <c r="J15"/>
  <c r="J14"/>
  <c r="J13"/>
  <c r="U42"/>
  <c r="U39"/>
  <c r="P55"/>
  <c r="P49"/>
  <c r="P46"/>
  <c r="P44"/>
  <c r="P26"/>
  <c r="P22"/>
  <c r="Q17"/>
  <c r="V49"/>
  <c r="AH23"/>
  <c r="AH22"/>
  <c r="AH17"/>
  <c r="AH18"/>
  <c r="AH16"/>
  <c r="AH15"/>
  <c r="AH70"/>
  <c r="AH69"/>
  <c r="AH67"/>
  <c r="AH66"/>
  <c r="AH64"/>
  <c r="AH63"/>
  <c r="AH62"/>
  <c r="AH61"/>
  <c r="AH60"/>
  <c r="AH59"/>
  <c r="AH50"/>
  <c r="AH41"/>
  <c r="AH40"/>
  <c r="AH38" i="1"/>
  <c r="AH38" i="4"/>
  <c r="AH37" i="1"/>
  <c r="AH37" i="4"/>
  <c r="AH36"/>
  <c r="AH35"/>
  <c r="AH34"/>
  <c r="AH30"/>
  <c r="AH29"/>
  <c r="AH25"/>
  <c r="AH24"/>
  <c r="AH14"/>
  <c r="AH13"/>
  <c r="AH39"/>
  <c r="AH42"/>
  <c r="AK16"/>
  <c r="AK18"/>
  <c r="AK64"/>
  <c r="AK68"/>
  <c r="AK72"/>
  <c r="AK13"/>
  <c r="AK14"/>
  <c r="AK15"/>
  <c r="AK17"/>
  <c r="AK23"/>
  <c r="AK24"/>
  <c r="AK25"/>
  <c r="AK30"/>
  <c r="AK31"/>
  <c r="AK40"/>
  <c r="AK41"/>
  <c r="AK50"/>
  <c r="AK59"/>
  <c r="AK60"/>
  <c r="AK61"/>
  <c r="AK62"/>
  <c r="AK63"/>
  <c r="AK66"/>
  <c r="AK67"/>
  <c r="AK69"/>
  <c r="AK70"/>
  <c r="AK26"/>
  <c r="AK22"/>
  <c r="AK29"/>
  <c r="AK32"/>
  <c r="AK46"/>
  <c r="AK44"/>
  <c r="AJ38" i="1"/>
  <c r="AK38" i="4" s="1"/>
  <c r="AJ37" i="1"/>
  <c r="AK37" i="4" s="1"/>
  <c r="AK36"/>
  <c r="AK34"/>
  <c r="AK42"/>
  <c r="AK39"/>
  <c r="AK35"/>
  <c r="AL23"/>
  <c r="AL16"/>
  <c r="AL18"/>
  <c r="AL32"/>
  <c r="AL64"/>
  <c r="AL68"/>
  <c r="AL72"/>
  <c r="AL13"/>
  <c r="AL14"/>
  <c r="AL15"/>
  <c r="AL17"/>
  <c r="AL24"/>
  <c r="AL25"/>
  <c r="AL29"/>
  <c r="AL30"/>
  <c r="AL31"/>
  <c r="AL34"/>
  <c r="AL35"/>
  <c r="AL36"/>
  <c r="AK37" i="1"/>
  <c r="AL37" i="4" s="1"/>
  <c r="AK38" i="1"/>
  <c r="AL38" i="4" s="1"/>
  <c r="AL40"/>
  <c r="AL41"/>
  <c r="AL50"/>
  <c r="AL59"/>
  <c r="AL60"/>
  <c r="AL61"/>
  <c r="AL62"/>
  <c r="AL63"/>
  <c r="AL66"/>
  <c r="AL67"/>
  <c r="AL69"/>
  <c r="AL70"/>
  <c r="AL22"/>
  <c r="AL26"/>
  <c r="AL44"/>
  <c r="AL46"/>
  <c r="AL49"/>
  <c r="AL39"/>
  <c r="AL42"/>
  <c r="AN55"/>
  <c r="AN44"/>
  <c r="AN46"/>
  <c r="AN32"/>
  <c r="AN49"/>
  <c r="AN31"/>
  <c r="AN42"/>
  <c r="AN26"/>
  <c r="AN72"/>
  <c r="AN68"/>
  <c r="AN64"/>
  <c r="AN18"/>
  <c r="AN16"/>
  <c r="AN39"/>
  <c r="AN36"/>
  <c r="AN35"/>
  <c r="AN34"/>
  <c r="AN29"/>
  <c r="AN22"/>
  <c r="AN70"/>
  <c r="AN69"/>
  <c r="AN67"/>
  <c r="AN66"/>
  <c r="AN63"/>
  <c r="AN62"/>
  <c r="AN61"/>
  <c r="AN60"/>
  <c r="AN59"/>
  <c r="AN50"/>
  <c r="AN41"/>
  <c r="AN40"/>
  <c r="AN30"/>
  <c r="AN25"/>
  <c r="AN24"/>
  <c r="AN17"/>
  <c r="AN15"/>
  <c r="AN14"/>
  <c r="AN13"/>
  <c r="AN23"/>
  <c r="AN37"/>
  <c r="AN38"/>
  <c r="AO70"/>
  <c r="AO66"/>
  <c r="AO50"/>
  <c r="AO40"/>
  <c r="AO30"/>
  <c r="AO24"/>
  <c r="AO39"/>
  <c r="AO69"/>
  <c r="AO67"/>
  <c r="AO63"/>
  <c r="AO62"/>
  <c r="AO61"/>
  <c r="AO60"/>
  <c r="AO59"/>
  <c r="AO41"/>
  <c r="AM38" i="1"/>
  <c r="AO38" i="4"/>
  <c r="AM37" i="1"/>
  <c r="AO37" i="4"/>
  <c r="AO36"/>
  <c r="AO35"/>
  <c r="AO34"/>
  <c r="AO29"/>
  <c r="AO25"/>
  <c r="AO23"/>
  <c r="AO22"/>
  <c r="AO17"/>
  <c r="AO15"/>
  <c r="AO14"/>
  <c r="AO13"/>
  <c r="AO72"/>
  <c r="AO68"/>
  <c r="AO64"/>
  <c r="AP69"/>
  <c r="AP67"/>
  <c r="AP63"/>
  <c r="AP62"/>
  <c r="AP61"/>
  <c r="AP59"/>
  <c r="AP50"/>
  <c r="AP41"/>
  <c r="AP42"/>
  <c r="AP40"/>
  <c r="AP39"/>
  <c r="AN38" i="1"/>
  <c r="AP38" i="4" s="1"/>
  <c r="AN37" i="1"/>
  <c r="AP37" i="4" s="1"/>
  <c r="AP36"/>
  <c r="AP35"/>
  <c r="AP34"/>
  <c r="AP30"/>
  <c r="AP29"/>
  <c r="AP17"/>
  <c r="AP15"/>
  <c r="AP14"/>
  <c r="AP13"/>
  <c r="AP22"/>
  <c r="AP23"/>
  <c r="AP24"/>
  <c r="AP25"/>
  <c r="AP66"/>
  <c r="AP68"/>
  <c r="AP60"/>
  <c r="AP64"/>
  <c r="AP72"/>
  <c r="AP70"/>
  <c r="V50"/>
  <c r="K49"/>
  <c r="K26"/>
  <c r="K24"/>
  <c r="K39"/>
  <c r="K42"/>
  <c r="K13"/>
  <c r="K14"/>
  <c r="K15"/>
  <c r="K16"/>
  <c r="K17"/>
  <c r="K22"/>
  <c r="K23"/>
  <c r="K25"/>
  <c r="K29"/>
  <c r="K30"/>
  <c r="K31"/>
  <c r="K32"/>
  <c r="K34"/>
  <c r="K35"/>
  <c r="K36"/>
  <c r="K37" i="1"/>
  <c r="K37" i="4" s="1"/>
  <c r="K38" i="1"/>
  <c r="K38" i="4" s="1"/>
  <c r="K40"/>
  <c r="K41"/>
  <c r="K50"/>
  <c r="K59"/>
  <c r="K61"/>
  <c r="K63"/>
  <c r="K66"/>
  <c r="K67"/>
  <c r="K68"/>
  <c r="K69"/>
  <c r="K70"/>
  <c r="K60"/>
  <c r="L13"/>
  <c r="L14"/>
  <c r="L15"/>
  <c r="L16"/>
  <c r="L17"/>
  <c r="L22"/>
  <c r="L23"/>
  <c r="L24"/>
  <c r="L25"/>
  <c r="L26"/>
  <c r="L29"/>
  <c r="L30"/>
  <c r="L34"/>
  <c r="L36"/>
  <c r="L37" i="1"/>
  <c r="L37" i="4"/>
  <c r="L38" i="1"/>
  <c r="L38" i="4"/>
  <c r="L39"/>
  <c r="L40"/>
  <c r="L41"/>
  <c r="L42"/>
  <c r="L59"/>
  <c r="L61"/>
  <c r="L62"/>
  <c r="L63"/>
  <c r="L66"/>
  <c r="L69"/>
  <c r="L64"/>
  <c r="L60"/>
  <c r="L35"/>
  <c r="M13"/>
  <c r="M14"/>
  <c r="M15"/>
  <c r="M16"/>
  <c r="M17"/>
  <c r="M18"/>
  <c r="M22"/>
  <c r="M23"/>
  <c r="M24"/>
  <c r="M25"/>
  <c r="M26"/>
  <c r="M29"/>
  <c r="M30"/>
  <c r="M31"/>
  <c r="M32"/>
  <c r="M34"/>
  <c r="M35"/>
  <c r="M36"/>
  <c r="M37" i="1"/>
  <c r="M37" i="4" s="1"/>
  <c r="M38" i="1"/>
  <c r="M38" i="4" s="1"/>
  <c r="M39"/>
  <c r="M40"/>
  <c r="M41"/>
  <c r="M42"/>
  <c r="M49"/>
  <c r="M50"/>
  <c r="M59"/>
  <c r="M60"/>
  <c r="M61"/>
  <c r="M63"/>
  <c r="M66"/>
  <c r="M69"/>
  <c r="M64"/>
  <c r="M62"/>
  <c r="AI55"/>
  <c r="AI46"/>
  <c r="AI44"/>
  <c r="AI49"/>
  <c r="AI42"/>
  <c r="AI39"/>
  <c r="AI36"/>
  <c r="AI35"/>
  <c r="AI34"/>
  <c r="AI38"/>
  <c r="AI37"/>
  <c r="AI32"/>
  <c r="AI29"/>
  <c r="AI26"/>
  <c r="AI22"/>
  <c r="AI68"/>
  <c r="AI72"/>
  <c r="AI64"/>
  <c r="AI16"/>
  <c r="AI18"/>
  <c r="AI66"/>
  <c r="AI24"/>
  <c r="AI70"/>
  <c r="AI60"/>
  <c r="AI25"/>
  <c r="AI69"/>
  <c r="AI67"/>
  <c r="AI63"/>
  <c r="AI62"/>
  <c r="AI61"/>
  <c r="AI59"/>
  <c r="AI50"/>
  <c r="AI41"/>
  <c r="AI40"/>
  <c r="AI31"/>
  <c r="AI30"/>
  <c r="AI23"/>
  <c r="AI13"/>
  <c r="AI14"/>
  <c r="AI15"/>
  <c r="AI17"/>
  <c r="AJ42"/>
  <c r="AJ39"/>
  <c r="AJ49"/>
  <c r="AJ17"/>
  <c r="AJ15"/>
  <c r="AJ14"/>
  <c r="AJ13"/>
  <c r="AJ63"/>
  <c r="AJ62"/>
  <c r="AJ61"/>
  <c r="AJ59"/>
  <c r="AJ50"/>
  <c r="AJ41"/>
  <c r="AJ40"/>
  <c r="AA38" i="1"/>
  <c r="AJ38" i="4"/>
  <c r="AA37" i="1"/>
  <c r="AJ37" i="4"/>
  <c r="AJ36"/>
  <c r="AJ35"/>
  <c r="AJ34"/>
  <c r="AJ31"/>
  <c r="AJ30"/>
  <c r="AJ29"/>
  <c r="AJ23"/>
  <c r="AJ22"/>
  <c r="AJ69"/>
  <c r="AJ67"/>
  <c r="AJ24"/>
  <c r="AJ25"/>
  <c r="AJ60"/>
  <c r="AJ66"/>
  <c r="AJ70"/>
  <c r="AJ18"/>
  <c r="AJ16"/>
  <c r="AJ32"/>
  <c r="AJ26"/>
  <c r="AJ64"/>
  <c r="AJ68"/>
  <c r="AJ72"/>
  <c r="E13"/>
  <c r="E14"/>
  <c r="E15"/>
  <c r="E17"/>
  <c r="E23"/>
  <c r="E22"/>
  <c r="E25"/>
  <c r="E24"/>
  <c r="E29"/>
  <c r="E30"/>
  <c r="E34"/>
  <c r="E35"/>
  <c r="E36"/>
  <c r="E39"/>
  <c r="E40"/>
  <c r="E41"/>
  <c r="E42"/>
  <c r="E31"/>
  <c r="E49"/>
  <c r="E50"/>
  <c r="E59"/>
  <c r="E60"/>
  <c r="E62"/>
  <c r="E63"/>
  <c r="E61"/>
  <c r="E66"/>
  <c r="E67"/>
  <c r="E68"/>
  <c r="Q16"/>
  <c r="Q13"/>
  <c r="Q39"/>
  <c r="Q42"/>
  <c r="J24"/>
  <c r="J26"/>
  <c r="J66"/>
  <c r="J68"/>
  <c r="J72"/>
  <c r="J70"/>
  <c r="G69"/>
  <c r="G72"/>
  <c r="G70"/>
  <c r="H64"/>
  <c r="H60"/>
  <c r="H68"/>
  <c r="H66"/>
  <c r="I60"/>
  <c r="I64"/>
  <c r="I72"/>
  <c r="K64"/>
  <c r="K72"/>
  <c r="K62"/>
  <c r="T42"/>
  <c r="T39"/>
  <c r="L68"/>
  <c r="L67"/>
  <c r="L70"/>
  <c r="M68"/>
  <c r="M67"/>
  <c r="M72"/>
  <c r="M70"/>
  <c r="X13"/>
  <c r="X16"/>
  <c r="X26"/>
  <c r="X22"/>
  <c r="X31"/>
  <c r="X32"/>
  <c r="X34"/>
  <c r="X39"/>
  <c r="X42"/>
  <c r="X49"/>
  <c r="X50"/>
  <c r="AR22"/>
  <c r="AR17"/>
  <c r="AF17"/>
  <c r="AF40"/>
  <c r="AR40"/>
  <c r="AR30"/>
  <c r="AR23"/>
  <c r="AF15"/>
  <c r="AR15"/>
  <c r="AR67"/>
  <c r="AF67"/>
  <c r="AR62"/>
  <c r="AR66"/>
  <c r="AF69"/>
  <c r="AR69"/>
  <c r="AR61"/>
  <c r="AR63"/>
  <c r="AR59"/>
  <c r="AR36"/>
  <c r="AF36"/>
  <c r="AR35"/>
  <c r="AF35"/>
  <c r="AR29"/>
  <c r="AF14"/>
  <c r="AR14"/>
  <c r="O68"/>
  <c r="O67"/>
  <c r="O60"/>
  <c r="O64"/>
  <c r="O62"/>
  <c r="O66"/>
  <c r="O69"/>
  <c r="O61"/>
  <c r="O63"/>
  <c r="O59"/>
  <c r="O42"/>
  <c r="O41"/>
  <c r="O40"/>
  <c r="O39"/>
  <c r="O36"/>
  <c r="O35"/>
  <c r="O34"/>
  <c r="O18"/>
  <c r="O17"/>
  <c r="O16"/>
  <c r="O15"/>
  <c r="O14"/>
  <c r="O13"/>
  <c r="F69"/>
  <c r="F68"/>
  <c r="F67"/>
  <c r="F66"/>
  <c r="F64"/>
  <c r="F63"/>
  <c r="F62"/>
  <c r="F61"/>
  <c r="F60"/>
  <c r="F59"/>
  <c r="F50"/>
  <c r="F49"/>
  <c r="F42"/>
  <c r="F41"/>
  <c r="F40"/>
  <c r="F39"/>
  <c r="F38" i="1"/>
  <c r="F38" i="4"/>
  <c r="F37" i="1"/>
  <c r="F37" i="4"/>
  <c r="F36"/>
  <c r="F35"/>
  <c r="F34"/>
  <c r="F32"/>
  <c r="F31"/>
  <c r="F30"/>
  <c r="F29"/>
  <c r="F26"/>
  <c r="F25"/>
  <c r="F24"/>
  <c r="F23"/>
  <c r="F22"/>
  <c r="F18"/>
  <c r="F17"/>
  <c r="F16"/>
  <c r="F15"/>
  <c r="F14"/>
  <c r="F13"/>
  <c r="AR70"/>
  <c r="AF70"/>
  <c r="O70"/>
  <c r="F70"/>
  <c r="F72"/>
  <c r="S34"/>
  <c r="AT44"/>
  <c r="AT46"/>
  <c r="AT49"/>
  <c r="AT55"/>
  <c r="AT73" s="1"/>
  <c r="AH31"/>
  <c r="L31"/>
  <c r="L32"/>
  <c r="AF13"/>
  <c r="AF39"/>
  <c r="AR25"/>
  <c r="R25"/>
  <c r="AF41"/>
  <c r="AR41"/>
  <c r="R41"/>
  <c r="R42"/>
  <c r="AF34"/>
  <c r="AR34"/>
  <c r="L50"/>
  <c r="AR50"/>
  <c r="AR24"/>
  <c r="E8" i="21"/>
  <c r="H8"/>
  <c r="E56"/>
  <c r="E59"/>
  <c r="E63"/>
  <c r="F56"/>
  <c r="F59"/>
  <c r="F63"/>
  <c r="G56"/>
  <c r="G59"/>
  <c r="G63"/>
  <c r="H61"/>
  <c r="H60"/>
  <c r="H58"/>
  <c r="H57"/>
  <c r="H56"/>
  <c r="H55"/>
  <c r="H54"/>
  <c r="H53"/>
  <c r="H52"/>
  <c r="H51"/>
  <c r="E11"/>
  <c r="E13"/>
  <c r="E29"/>
  <c r="E21"/>
  <c r="E37"/>
  <c r="F47"/>
  <c r="H45"/>
  <c r="H44"/>
  <c r="H37"/>
  <c r="H36"/>
  <c r="H35"/>
  <c r="H34"/>
  <c r="H31"/>
  <c r="H30"/>
  <c r="H29"/>
  <c r="H25"/>
  <c r="H24"/>
  <c r="H21"/>
  <c r="H20"/>
  <c r="H19"/>
  <c r="H18"/>
  <c r="H17"/>
  <c r="H12"/>
  <c r="H11"/>
  <c r="H10"/>
  <c r="H9"/>
  <c r="A1"/>
  <c r="A65"/>
  <c r="F67"/>
  <c r="F68"/>
  <c r="F69"/>
  <c r="A3"/>
  <c r="A67" s="1"/>
  <c r="Y38" i="1"/>
  <c r="Y37"/>
  <c r="X38"/>
  <c r="X37"/>
  <c r="W38"/>
  <c r="W37"/>
  <c r="AL38"/>
  <c r="AL37"/>
  <c r="V38"/>
  <c r="V37"/>
  <c r="E26" i="28"/>
  <c r="E27" s="1"/>
  <c r="E8"/>
  <c r="E52"/>
  <c r="E56"/>
  <c r="E59"/>
  <c r="E61"/>
  <c r="F56"/>
  <c r="F59"/>
  <c r="F63"/>
  <c r="G56"/>
  <c r="G63"/>
  <c r="G59"/>
  <c r="H61"/>
  <c r="H60"/>
  <c r="H59"/>
  <c r="H58"/>
  <c r="H57"/>
  <c r="H55"/>
  <c r="H54"/>
  <c r="H53"/>
  <c r="H51"/>
  <c r="E11"/>
  <c r="E13"/>
  <c r="H13"/>
  <c r="E19"/>
  <c r="E21"/>
  <c r="E29"/>
  <c r="H29"/>
  <c r="E34"/>
  <c r="E37"/>
  <c r="H37"/>
  <c r="F47"/>
  <c r="H45"/>
  <c r="H36"/>
  <c r="H35"/>
  <c r="H34"/>
  <c r="H31"/>
  <c r="H30"/>
  <c r="H25"/>
  <c r="H24"/>
  <c r="H20"/>
  <c r="H19"/>
  <c r="H18"/>
  <c r="H17"/>
  <c r="H12"/>
  <c r="H11"/>
  <c r="H10"/>
  <c r="H9"/>
  <c r="H8"/>
  <c r="A1"/>
  <c r="G11" i="47"/>
  <c r="G13"/>
  <c r="G40"/>
  <c r="G21"/>
  <c r="G38"/>
  <c r="G27"/>
  <c r="G37"/>
  <c r="F11"/>
  <c r="F13"/>
  <c r="F40"/>
  <c r="F27"/>
  <c r="F37"/>
  <c r="F21"/>
  <c r="F38"/>
  <c r="E8"/>
  <c r="E11"/>
  <c r="E26"/>
  <c r="E27"/>
  <c r="E29"/>
  <c r="E34"/>
  <c r="E37"/>
  <c r="H37"/>
  <c r="E21"/>
  <c r="A1"/>
  <c r="H8"/>
  <c r="H9"/>
  <c r="H10"/>
  <c r="H12"/>
  <c r="H17"/>
  <c r="H18"/>
  <c r="H19"/>
  <c r="H20"/>
  <c r="H21"/>
  <c r="H24"/>
  <c r="H25"/>
  <c r="H26"/>
  <c r="H27"/>
  <c r="H29"/>
  <c r="H30"/>
  <c r="H31"/>
  <c r="H34"/>
  <c r="H35"/>
  <c r="H36"/>
  <c r="H44"/>
  <c r="H45"/>
  <c r="H51"/>
  <c r="E52"/>
  <c r="H52"/>
  <c r="H53"/>
  <c r="H54"/>
  <c r="H55"/>
  <c r="E56"/>
  <c r="H56"/>
  <c r="F56"/>
  <c r="G56"/>
  <c r="H57"/>
  <c r="H58"/>
  <c r="E59"/>
  <c r="H59"/>
  <c r="F59"/>
  <c r="G59"/>
  <c r="H60"/>
  <c r="H61"/>
  <c r="E63"/>
  <c r="H63"/>
  <c r="F63"/>
  <c r="G63"/>
  <c r="A3"/>
  <c r="G11" i="37"/>
  <c r="G13"/>
  <c r="G40"/>
  <c r="G21"/>
  <c r="G27"/>
  <c r="G37"/>
  <c r="G38"/>
  <c r="F47"/>
  <c r="E26"/>
  <c r="E27"/>
  <c r="E38"/>
  <c r="H38"/>
  <c r="E21"/>
  <c r="E37"/>
  <c r="E8"/>
  <c r="E11"/>
  <c r="A1"/>
  <c r="H9"/>
  <c r="H10"/>
  <c r="H12"/>
  <c r="H17"/>
  <c r="H18"/>
  <c r="H19"/>
  <c r="H20"/>
  <c r="H21"/>
  <c r="H24"/>
  <c r="H25"/>
  <c r="H26"/>
  <c r="H29"/>
  <c r="H30"/>
  <c r="H31"/>
  <c r="H34"/>
  <c r="H35"/>
  <c r="H36"/>
  <c r="H37"/>
  <c r="H44"/>
  <c r="H45"/>
  <c r="H51"/>
  <c r="H52"/>
  <c r="H53"/>
  <c r="H54"/>
  <c r="H55"/>
  <c r="E56"/>
  <c r="H56"/>
  <c r="F56"/>
  <c r="G56"/>
  <c r="H57"/>
  <c r="H58"/>
  <c r="E59"/>
  <c r="H59"/>
  <c r="F59"/>
  <c r="G59"/>
  <c r="H60"/>
  <c r="H61"/>
  <c r="E63"/>
  <c r="H63"/>
  <c r="F63"/>
  <c r="G63"/>
  <c r="A65"/>
  <c r="C109"/>
  <c r="A3"/>
  <c r="A67" s="1"/>
  <c r="P44" i="51"/>
  <c r="G47" i="20"/>
  <c r="E26"/>
  <c r="E27" s="1"/>
  <c r="E38" s="1"/>
  <c r="E43"/>
  <c r="H43" s="1"/>
  <c r="R32" i="4"/>
  <c r="R31"/>
  <c r="R49"/>
  <c r="F49" i="50"/>
  <c r="I52"/>
  <c r="F43" i="56"/>
  <c r="F47"/>
  <c r="AH32" i="1"/>
  <c r="AH32" i="4"/>
  <c r="F36" i="50"/>
  <c r="I36"/>
  <c r="AH68" i="4"/>
  <c r="H21" i="56"/>
  <c r="E38"/>
  <c r="H38"/>
  <c r="AH68" i="1"/>
  <c r="AH72" i="4"/>
  <c r="F40" i="95"/>
  <c r="Y20" i="51"/>
  <c r="R25"/>
  <c r="E76" i="89"/>
  <c r="F76" s="1"/>
  <c r="H11" i="47"/>
  <c r="E13"/>
  <c r="G43"/>
  <c r="G47"/>
  <c r="E13" i="30"/>
  <c r="H11"/>
  <c r="G43"/>
  <c r="G47"/>
  <c r="H13" i="15"/>
  <c r="H56"/>
  <c r="E63"/>
  <c r="H63"/>
  <c r="E13" i="22"/>
  <c r="H11"/>
  <c r="H21" i="20"/>
  <c r="F34" i="50"/>
  <c r="F40"/>
  <c r="I40"/>
  <c r="I23"/>
  <c r="F23"/>
  <c r="E13" i="56"/>
  <c r="H11"/>
  <c r="F43" i="60"/>
  <c r="F47"/>
  <c r="E13" i="73"/>
  <c r="H11"/>
  <c r="H21"/>
  <c r="H13" i="34"/>
  <c r="H21" i="74"/>
  <c r="E13"/>
  <c r="H11"/>
  <c r="E40" i="11"/>
  <c r="H13"/>
  <c r="E63"/>
  <c r="H63"/>
  <c r="H59"/>
  <c r="H13" i="27"/>
  <c r="E13" i="29"/>
  <c r="H11"/>
  <c r="E38"/>
  <c r="E38" i="6"/>
  <c r="H38"/>
  <c r="H27"/>
  <c r="E13"/>
  <c r="H11"/>
  <c r="H13" i="25"/>
  <c r="E13" i="13"/>
  <c r="H11"/>
  <c r="E40" i="10"/>
  <c r="H13"/>
  <c r="H13" i="9"/>
  <c r="E40"/>
  <c r="E38" i="8"/>
  <c r="H38"/>
  <c r="H27"/>
  <c r="H11"/>
  <c r="E13"/>
  <c r="H13" i="36"/>
  <c r="E40"/>
  <c r="F74" i="49"/>
  <c r="F76"/>
  <c r="E74"/>
  <c r="D76"/>
  <c r="N47"/>
  <c r="N49"/>
  <c r="M47"/>
  <c r="T54"/>
  <c r="T50"/>
  <c r="M18"/>
  <c r="M20"/>
  <c r="N18"/>
  <c r="L15"/>
  <c r="L20"/>
  <c r="U18"/>
  <c r="U20"/>
  <c r="V18"/>
  <c r="T15"/>
  <c r="T20"/>
  <c r="E38" i="24"/>
  <c r="H38"/>
  <c r="H27"/>
  <c r="E13"/>
  <c r="H11"/>
  <c r="E103" i="5"/>
  <c r="H63" i="73"/>
  <c r="F40" i="27"/>
  <c r="F47"/>
  <c r="G40"/>
  <c r="G47"/>
  <c r="G40" i="6"/>
  <c r="G47"/>
  <c r="F40"/>
  <c r="F47"/>
  <c r="H63" i="25"/>
  <c r="F40" i="18"/>
  <c r="E76" i="49"/>
  <c r="E13" i="37"/>
  <c r="H11"/>
  <c r="G43"/>
  <c r="E43"/>
  <c r="H43"/>
  <c r="F43" i="47"/>
  <c r="E43"/>
  <c r="H43"/>
  <c r="H21" i="28"/>
  <c r="E63"/>
  <c r="H63"/>
  <c r="H56"/>
  <c r="H13" i="21"/>
  <c r="E38" i="15"/>
  <c r="H38"/>
  <c r="H21"/>
  <c r="E38" i="5"/>
  <c r="H38"/>
  <c r="H37"/>
  <c r="E13"/>
  <c r="H11"/>
  <c r="H11" i="18"/>
  <c r="E13"/>
  <c r="E13" i="59"/>
  <c r="H11"/>
  <c r="H13" i="20"/>
  <c r="F17" i="50"/>
  <c r="I17"/>
  <c r="F35"/>
  <c r="I35"/>
  <c r="G43" i="56"/>
  <c r="G47"/>
  <c r="H21" i="60"/>
  <c r="H21" i="34"/>
  <c r="H56" i="74"/>
  <c r="E63"/>
  <c r="H63"/>
  <c r="H13" i="38"/>
  <c r="H21"/>
  <c r="E13" i="23"/>
  <c r="H11"/>
  <c r="E38" i="27"/>
  <c r="H38"/>
  <c r="H37"/>
  <c r="F43" i="36"/>
  <c r="F47"/>
  <c r="E13" i="19"/>
  <c r="H11"/>
  <c r="N74" i="49"/>
  <c r="N76"/>
  <c r="M74"/>
  <c r="L76"/>
  <c r="U74"/>
  <c r="T76"/>
  <c r="V74"/>
  <c r="D54"/>
  <c r="D50"/>
  <c r="E47"/>
  <c r="E49"/>
  <c r="F47"/>
  <c r="F49"/>
  <c r="V47"/>
  <c r="V49"/>
  <c r="U47"/>
  <c r="U49"/>
  <c r="E18"/>
  <c r="F18"/>
  <c r="D15"/>
  <c r="D20"/>
  <c r="E20"/>
  <c r="AA16" i="51"/>
  <c r="Z16"/>
  <c r="Y25"/>
  <c r="E38" i="47"/>
  <c r="H38"/>
  <c r="H63" i="21"/>
  <c r="E38" i="30"/>
  <c r="H38"/>
  <c r="G40" i="15"/>
  <c r="G47"/>
  <c r="F40" i="5"/>
  <c r="F47"/>
  <c r="F64"/>
  <c r="J38"/>
  <c r="J40"/>
  <c r="J47"/>
  <c r="J64"/>
  <c r="E105"/>
  <c r="E112"/>
  <c r="E38" i="22"/>
  <c r="H38" i="18"/>
  <c r="H63" i="20"/>
  <c r="G106" i="58"/>
  <c r="G108"/>
  <c r="G111"/>
  <c r="G26" s="1"/>
  <c r="H63" i="34"/>
  <c r="H63" i="24"/>
  <c r="H63" i="13"/>
  <c r="G106" i="10"/>
  <c r="G109"/>
  <c r="H63" i="36"/>
  <c r="F106" i="76"/>
  <c r="F109"/>
  <c r="G26" s="1"/>
  <c r="V76" i="49"/>
  <c r="M76"/>
  <c r="U76"/>
  <c r="L49"/>
  <c r="M49"/>
  <c r="N20"/>
  <c r="V20"/>
  <c r="F20"/>
  <c r="H13" i="85"/>
  <c r="F65" i="92"/>
  <c r="I65"/>
  <c r="G47" i="85"/>
  <c r="G44"/>
  <c r="H27" i="37"/>
  <c r="H8"/>
  <c r="H26" i="28"/>
  <c r="H52"/>
  <c r="H59" i="21"/>
  <c r="H34" i="30"/>
  <c r="H21"/>
  <c r="H8"/>
  <c r="H19" i="15"/>
  <c r="I58" i="5"/>
  <c r="I59"/>
  <c r="I24"/>
  <c r="I27"/>
  <c r="I18"/>
  <c r="I21"/>
  <c r="I92"/>
  <c r="I93"/>
  <c r="I103"/>
  <c r="I105"/>
  <c r="I112"/>
  <c r="H34" i="22"/>
  <c r="H21"/>
  <c r="H8"/>
  <c r="H21" i="18"/>
  <c r="H11" i="20"/>
  <c r="H20"/>
  <c r="H59"/>
  <c r="I22" i="50"/>
  <c r="I15"/>
  <c r="F30"/>
  <c r="F63" i="60"/>
  <c r="H63"/>
  <c r="H34"/>
  <c r="H17" i="34"/>
  <c r="H34"/>
  <c r="H8" i="74"/>
  <c r="H34"/>
  <c r="H57"/>
  <c r="H11" i="38"/>
  <c r="H11" i="11"/>
  <c r="H34" i="23"/>
  <c r="H10"/>
  <c r="H11" i="27"/>
  <c r="H8" i="29"/>
  <c r="F63" i="6"/>
  <c r="H63"/>
  <c r="H21"/>
  <c r="H8"/>
  <c r="H11" i="25"/>
  <c r="H59"/>
  <c r="H56" i="85"/>
  <c r="G106" i="9"/>
  <c r="G109"/>
  <c r="F104" i="87"/>
  <c r="F106"/>
  <c r="F109"/>
  <c r="G26" s="1"/>
  <c r="F106" i="80"/>
  <c r="F109"/>
  <c r="G26" s="1"/>
  <c r="F106" i="34"/>
  <c r="F109"/>
  <c r="G26"/>
  <c r="H57" i="85"/>
  <c r="E59"/>
  <c r="H52" i="86"/>
  <c r="E56"/>
  <c r="S12" i="91"/>
  <c r="R25"/>
  <c r="L13"/>
  <c r="E11"/>
  <c r="E56" i="10"/>
  <c r="E63" i="9"/>
  <c r="H63"/>
  <c r="E59"/>
  <c r="H59"/>
  <c r="H11"/>
  <c r="H26" i="8"/>
  <c r="H11" i="36"/>
  <c r="H26" i="19"/>
  <c r="E56" i="76"/>
  <c r="E21" i="77"/>
  <c r="E59" i="78"/>
  <c r="E21"/>
  <c r="E56" i="79"/>
  <c r="E13"/>
  <c r="E59" i="80"/>
  <c r="E21"/>
  <c r="E11" i="81"/>
  <c r="W25" i="51"/>
  <c r="E56" i="83"/>
  <c r="E21"/>
  <c r="E59" i="84"/>
  <c r="E21"/>
  <c r="E11"/>
  <c r="H59" i="86"/>
  <c r="F40" i="85"/>
  <c r="F47"/>
  <c r="E38"/>
  <c r="H38"/>
  <c r="F104" i="88"/>
  <c r="F106"/>
  <c r="F109"/>
  <c r="G26" s="1"/>
  <c r="F104" i="83"/>
  <c r="F106"/>
  <c r="F109"/>
  <c r="G26" s="1"/>
  <c r="F106" i="78"/>
  <c r="F109"/>
  <c r="G26"/>
  <c r="F104" i="77"/>
  <c r="F106"/>
  <c r="F109"/>
  <c r="G26"/>
  <c r="F104" i="70"/>
  <c r="F106"/>
  <c r="F109"/>
  <c r="G26"/>
  <c r="F104" i="72"/>
  <c r="F106"/>
  <c r="F109"/>
  <c r="G26"/>
  <c r="F104" i="68"/>
  <c r="F106"/>
  <c r="F109"/>
  <c r="G26" s="1"/>
  <c r="G27" s="1"/>
  <c r="F104" i="60"/>
  <c r="F106"/>
  <c r="F109"/>
  <c r="G26" s="1"/>
  <c r="G121" i="3"/>
  <c r="F126" i="48" s="1"/>
  <c r="G55" i="89"/>
  <c r="G119" i="3"/>
  <c r="F124" i="48"/>
  <c r="G53" i="89"/>
  <c r="G117" i="3"/>
  <c r="F122" i="48" s="1"/>
  <c r="G51" i="89"/>
  <c r="O31" i="2"/>
  <c r="O32"/>
  <c r="G27" i="28"/>
  <c r="G110" i="3"/>
  <c r="F115" i="48"/>
  <c r="G44" i="89"/>
  <c r="G87" i="3"/>
  <c r="F100" i="48" s="1"/>
  <c r="G17" i="89"/>
  <c r="G85" i="3"/>
  <c r="F98" i="48"/>
  <c r="G15" i="89"/>
  <c r="G84" i="3"/>
  <c r="F97" i="48" s="1"/>
  <c r="G14" i="89"/>
  <c r="G83" i="3"/>
  <c r="F96" i="48"/>
  <c r="G13" i="89"/>
  <c r="E23" i="93"/>
  <c r="E21"/>
  <c r="G27" i="19"/>
  <c r="G38" s="1"/>
  <c r="G40" s="1"/>
  <c r="P31" i="2"/>
  <c r="E13" i="86"/>
  <c r="E56" i="87"/>
  <c r="E13"/>
  <c r="E59" i="88"/>
  <c r="F40"/>
  <c r="E21"/>
  <c r="F104" i="69"/>
  <c r="F76"/>
  <c r="F78"/>
  <c r="F106"/>
  <c r="F109"/>
  <c r="G26" s="1"/>
  <c r="G104" i="25"/>
  <c r="G106"/>
  <c r="G109"/>
  <c r="G26" s="1"/>
  <c r="F104" i="79"/>
  <c r="F106"/>
  <c r="F109"/>
  <c r="G26" s="1"/>
  <c r="F104" i="59"/>
  <c r="F106"/>
  <c r="F109"/>
  <c r="G26" s="1"/>
  <c r="F104" i="23"/>
  <c r="F106"/>
  <c r="F109"/>
  <c r="G26"/>
  <c r="AG32" i="1"/>
  <c r="AG61"/>
  <c r="F106" i="74"/>
  <c r="F109"/>
  <c r="G26" s="1"/>
  <c r="F104"/>
  <c r="F104" i="95"/>
  <c r="F106"/>
  <c r="F109"/>
  <c r="G26"/>
  <c r="X31" i="2"/>
  <c r="X32"/>
  <c r="X43" s="1"/>
  <c r="X45" s="1"/>
  <c r="G27" i="29"/>
  <c r="G38"/>
  <c r="G40" s="1"/>
  <c r="S31" i="2"/>
  <c r="G27" i="22"/>
  <c r="G38" s="1"/>
  <c r="G40" s="1"/>
  <c r="G54" i="89"/>
  <c r="G120" i="3"/>
  <c r="F125" i="48" s="1"/>
  <c r="G52" i="89"/>
  <c r="G118" i="3"/>
  <c r="F123" i="48"/>
  <c r="G48" i="89"/>
  <c r="G112" i="3"/>
  <c r="F117" i="48" s="1"/>
  <c r="E61" i="2"/>
  <c r="G10" i="89"/>
  <c r="G19"/>
  <c r="AG42" i="1"/>
  <c r="BD39"/>
  <c r="F38" i="90"/>
  <c r="F40"/>
  <c r="F104" i="73"/>
  <c r="F76"/>
  <c r="F78"/>
  <c r="N31" i="2"/>
  <c r="AG16"/>
  <c r="F104" i="65"/>
  <c r="F106"/>
  <c r="F109"/>
  <c r="G26"/>
  <c r="F104" i="38"/>
  <c r="F106"/>
  <c r="F109"/>
  <c r="G26"/>
  <c r="F104" i="21"/>
  <c r="F106"/>
  <c r="F109"/>
  <c r="G26"/>
  <c r="G38" i="28"/>
  <c r="G40" s="1"/>
  <c r="G43" s="1"/>
  <c r="G40" i="36"/>
  <c r="O43" i="2"/>
  <c r="O45"/>
  <c r="R44" i="91"/>
  <c r="L36" s="1"/>
  <c r="E43" s="1"/>
  <c r="E71" i="2" s="1"/>
  <c r="F104" i="86"/>
  <c r="F106"/>
  <c r="F109"/>
  <c r="G26" s="1"/>
  <c r="G57" i="82"/>
  <c r="G59" i="3"/>
  <c r="F47" i="48"/>
  <c r="E48" i="82"/>
  <c r="F31"/>
  <c r="X43" i="1"/>
  <c r="F30" i="82"/>
  <c r="W43" i="1"/>
  <c r="W45" s="1"/>
  <c r="G58" i="82"/>
  <c r="G60" i="3"/>
  <c r="F48" i="48" s="1"/>
  <c r="G55" i="82"/>
  <c r="G57" i="3"/>
  <c r="F45" i="48" s="1"/>
  <c r="G48" i="82"/>
  <c r="G48" i="3"/>
  <c r="F36" i="48" s="1"/>
  <c r="G52" i="82"/>
  <c r="G54" i="3"/>
  <c r="F42" i="48" s="1"/>
  <c r="G53" i="82"/>
  <c r="G55" i="3"/>
  <c r="F43" i="48" s="1"/>
  <c r="G18" i="82"/>
  <c r="G18" i="3"/>
  <c r="F16" i="48" s="1"/>
  <c r="G14" i="82"/>
  <c r="G14" i="3"/>
  <c r="F12" i="48"/>
  <c r="H56" i="96"/>
  <c r="F104" i="97"/>
  <c r="F106"/>
  <c r="F109"/>
  <c r="G26" s="1"/>
  <c r="AV45" i="1"/>
  <c r="AV52" s="1"/>
  <c r="AM52"/>
  <c r="Y45"/>
  <c r="Y52" s="1"/>
  <c r="X45"/>
  <c r="Q45"/>
  <c r="U45"/>
  <c r="T45"/>
  <c r="H57" i="96"/>
  <c r="E59"/>
  <c r="H59"/>
  <c r="G60" i="82"/>
  <c r="G62" i="3"/>
  <c r="F50" i="48" s="1"/>
  <c r="E45" i="82"/>
  <c r="F25"/>
  <c r="R43" i="1"/>
  <c r="G51" i="82"/>
  <c r="G52" i="3"/>
  <c r="F40" i="48" s="1"/>
  <c r="G44" i="82"/>
  <c r="G44" i="3"/>
  <c r="F32" i="48"/>
  <c r="G15" i="82"/>
  <c r="G15" i="3"/>
  <c r="F13" i="48" s="1"/>
  <c r="E18" i="82"/>
  <c r="E56" i="95"/>
  <c r="E63" i="96"/>
  <c r="H63"/>
  <c r="F104"/>
  <c r="F106"/>
  <c r="F109"/>
  <c r="G26" s="1"/>
  <c r="F40" i="80"/>
  <c r="AU45" i="1"/>
  <c r="AT52"/>
  <c r="AS45"/>
  <c r="AS52"/>
  <c r="AP52"/>
  <c r="AO52"/>
  <c r="F51" i="3" s="1"/>
  <c r="F40" i="70"/>
  <c r="AK52" i="1"/>
  <c r="F40" i="68"/>
  <c r="AR43" i="1"/>
  <c r="AR45" s="1"/>
  <c r="AR52" s="1"/>
  <c r="F40" i="81"/>
  <c r="AI43" i="1"/>
  <c r="AI45" s="1"/>
  <c r="F40" i="76"/>
  <c r="Z43" i="1"/>
  <c r="Z45"/>
  <c r="F40" i="30"/>
  <c r="F40" i="29"/>
  <c r="F40" i="38"/>
  <c r="V43" i="1"/>
  <c r="V45" s="1"/>
  <c r="F40" i="19"/>
  <c r="AB45" i="1"/>
  <c r="AB52"/>
  <c r="R45"/>
  <c r="E68"/>
  <c r="E17" i="82"/>
  <c r="F16"/>
  <c r="K43" i="1"/>
  <c r="I45"/>
  <c r="E14" i="82"/>
  <c r="E13"/>
  <c r="E20"/>
  <c r="E42" s="1"/>
  <c r="E65" s="1"/>
  <c r="L13" i="51"/>
  <c r="E11"/>
  <c r="E71" i="1"/>
  <c r="F74" i="82"/>
  <c r="H13" i="98"/>
  <c r="F40"/>
  <c r="L43" i="1"/>
  <c r="L44" i="4" s="1"/>
  <c r="K45" i="1"/>
  <c r="H43"/>
  <c r="H45" s="1"/>
  <c r="E26"/>
  <c r="E32"/>
  <c r="E16"/>
  <c r="P43"/>
  <c r="AZ43"/>
  <c r="AZ45"/>
  <c r="AZ52" s="1"/>
  <c r="F62" i="3" s="1"/>
  <c r="AY43" i="1"/>
  <c r="AY45"/>
  <c r="AY52" s="1"/>
  <c r="F61" i="3" s="1"/>
  <c r="AX43" i="1"/>
  <c r="AX45"/>
  <c r="AX52" s="1"/>
  <c r="F60" i="3" s="1"/>
  <c r="AW43" i="1"/>
  <c r="AW45"/>
  <c r="AH26"/>
  <c r="AH43"/>
  <c r="G53" i="3"/>
  <c r="F41" i="48"/>
  <c r="E21" i="96"/>
  <c r="E59" i="97"/>
  <c r="E21"/>
  <c r="E43" i="1"/>
  <c r="F104" i="98"/>
  <c r="F106"/>
  <c r="F109"/>
  <c r="G26" s="1"/>
  <c r="A3"/>
  <c r="A67" s="1"/>
  <c r="F52" i="81"/>
  <c r="E59" i="98"/>
  <c r="E21"/>
  <c r="AH48" i="1"/>
  <c r="AH49" i="4"/>
  <c r="F43" i="95"/>
  <c r="AW48" i="1"/>
  <c r="F47" i="95"/>
  <c r="AW52" i="1"/>
  <c r="F59" i="3" s="1"/>
  <c r="G27" i="38"/>
  <c r="G38" s="1"/>
  <c r="G40" s="1"/>
  <c r="W31" i="2"/>
  <c r="E26" i="38"/>
  <c r="G27" i="95"/>
  <c r="G38"/>
  <c r="G40" s="1"/>
  <c r="E26"/>
  <c r="E26" i="72"/>
  <c r="E27"/>
  <c r="E38" s="1"/>
  <c r="E40" s="1"/>
  <c r="AK31" i="2"/>
  <c r="AK32"/>
  <c r="AK43" s="1"/>
  <c r="AK45" s="1"/>
  <c r="G27" i="72"/>
  <c r="G38"/>
  <c r="G40" s="1"/>
  <c r="U50" i="49"/>
  <c r="U52"/>
  <c r="U54"/>
  <c r="F50"/>
  <c r="F52"/>
  <c r="F54"/>
  <c r="M21"/>
  <c r="M23"/>
  <c r="M25"/>
  <c r="AH45" i="1"/>
  <c r="AH44" i="4"/>
  <c r="G27" i="21"/>
  <c r="G38" s="1"/>
  <c r="G40"/>
  <c r="R31" i="2"/>
  <c r="E26" i="21"/>
  <c r="G27" i="65"/>
  <c r="G38"/>
  <c r="G40" s="1"/>
  <c r="Z31" i="2"/>
  <c r="Z32" s="1"/>
  <c r="Z43"/>
  <c r="Z45" s="1"/>
  <c r="E26" i="65"/>
  <c r="E27" s="1"/>
  <c r="E38"/>
  <c r="E40" s="1"/>
  <c r="G27" i="23"/>
  <c r="G38" s="1"/>
  <c r="G40"/>
  <c r="T31" i="2"/>
  <c r="E26" i="23"/>
  <c r="G38" i="68"/>
  <c r="G40" s="1"/>
  <c r="AJ31" i="2"/>
  <c r="AJ32" s="1"/>
  <c r="AJ43" s="1"/>
  <c r="AJ45" s="1"/>
  <c r="E26" i="68"/>
  <c r="E27" s="1"/>
  <c r="E38" s="1"/>
  <c r="E40" s="1"/>
  <c r="E47" s="1"/>
  <c r="AL31" i="2"/>
  <c r="G27" i="70"/>
  <c r="G38"/>
  <c r="G40" s="1"/>
  <c r="E26"/>
  <c r="E27" s="1"/>
  <c r="E38"/>
  <c r="E40" s="1"/>
  <c r="AR31" i="2"/>
  <c r="AR32"/>
  <c r="AR43" s="1"/>
  <c r="AR45" s="1"/>
  <c r="G27" i="83"/>
  <c r="G38"/>
  <c r="G40" s="1"/>
  <c r="E26"/>
  <c r="U21" i="49"/>
  <c r="U23"/>
  <c r="U25"/>
  <c r="AI57" i="1"/>
  <c r="E52" i="81"/>
  <c r="F56"/>
  <c r="F63"/>
  <c r="H59" i="97"/>
  <c r="E63"/>
  <c r="H63"/>
  <c r="F10" i="82"/>
  <c r="F20" s="1"/>
  <c r="F42" s="1"/>
  <c r="E26" i="50"/>
  <c r="E26" i="4"/>
  <c r="K52" i="1"/>
  <c r="F43" i="98"/>
  <c r="F47"/>
  <c r="H52" i="1"/>
  <c r="G10" i="3"/>
  <c r="E70" i="50"/>
  <c r="F35" i="3"/>
  <c r="F43" i="19"/>
  <c r="F47"/>
  <c r="F43" i="29"/>
  <c r="F47"/>
  <c r="F43" i="76"/>
  <c r="F47"/>
  <c r="F43" i="81"/>
  <c r="F47"/>
  <c r="F54" i="3"/>
  <c r="F43" i="68"/>
  <c r="F47"/>
  <c r="F43" i="70"/>
  <c r="F47"/>
  <c r="F55" i="3"/>
  <c r="E26" i="96"/>
  <c r="G27"/>
  <c r="G38" s="1"/>
  <c r="T52" i="1"/>
  <c r="Q52"/>
  <c r="F32" i="3"/>
  <c r="F58"/>
  <c r="F74" i="2"/>
  <c r="G74"/>
  <c r="AY74"/>
  <c r="G43" i="36"/>
  <c r="L48" i="2"/>
  <c r="AG18"/>
  <c r="BA16"/>
  <c r="G16" i="92"/>
  <c r="G39" i="50"/>
  <c r="AR39" i="4"/>
  <c r="BD32" i="1"/>
  <c r="H59" i="88"/>
  <c r="E63"/>
  <c r="H63"/>
  <c r="H56" i="87"/>
  <c r="E63"/>
  <c r="H63"/>
  <c r="P32" i="2"/>
  <c r="Q31" i="4"/>
  <c r="AQ31" i="2"/>
  <c r="AQ32"/>
  <c r="AQ43" s="1"/>
  <c r="AQ45" s="1"/>
  <c r="G27" i="78"/>
  <c r="G38"/>
  <c r="G40" s="1"/>
  <c r="E26"/>
  <c r="H21" i="84"/>
  <c r="H21" i="83"/>
  <c r="H21" i="80"/>
  <c r="H13" i="79"/>
  <c r="H21" i="78"/>
  <c r="H21" i="77"/>
  <c r="E63" i="10"/>
  <c r="H63"/>
  <c r="H56"/>
  <c r="E63" i="86"/>
  <c r="H63"/>
  <c r="H56"/>
  <c r="H59" i="85"/>
  <c r="E63"/>
  <c r="H63"/>
  <c r="AO31" i="2"/>
  <c r="G27" i="34"/>
  <c r="G38"/>
  <c r="G40" s="1"/>
  <c r="E26"/>
  <c r="AS31" i="2"/>
  <c r="AS32"/>
  <c r="AS43" s="1"/>
  <c r="AS45" s="1"/>
  <c r="G27" i="80"/>
  <c r="G38"/>
  <c r="G40" s="1"/>
  <c r="E26"/>
  <c r="AV49" i="2"/>
  <c r="E44" i="85"/>
  <c r="H44"/>
  <c r="F21" i="49"/>
  <c r="F23"/>
  <c r="F25"/>
  <c r="N21"/>
  <c r="N23"/>
  <c r="N25"/>
  <c r="L54"/>
  <c r="L50"/>
  <c r="M77"/>
  <c r="M79"/>
  <c r="M81"/>
  <c r="D25"/>
  <c r="D21"/>
  <c r="V50"/>
  <c r="V52"/>
  <c r="V54"/>
  <c r="E50"/>
  <c r="E52"/>
  <c r="E54"/>
  <c r="T81"/>
  <c r="T77"/>
  <c r="L77"/>
  <c r="L81"/>
  <c r="N77"/>
  <c r="N79"/>
  <c r="N81"/>
  <c r="H13" i="19"/>
  <c r="E40"/>
  <c r="H13" i="23"/>
  <c r="H13" i="59"/>
  <c r="E40" i="5"/>
  <c r="H13"/>
  <c r="H13" i="37"/>
  <c r="E40"/>
  <c r="E77" i="49"/>
  <c r="E79"/>
  <c r="E81"/>
  <c r="D81"/>
  <c r="D77"/>
  <c r="F77"/>
  <c r="F79"/>
  <c r="F81"/>
  <c r="E47" i="10"/>
  <c r="H47"/>
  <c r="H40"/>
  <c r="E40" i="13"/>
  <c r="H13"/>
  <c r="E40" i="6"/>
  <c r="H13"/>
  <c r="H13" i="29"/>
  <c r="E40"/>
  <c r="E47" i="11"/>
  <c r="H47"/>
  <c r="H40"/>
  <c r="H13" i="74"/>
  <c r="H13" i="73"/>
  <c r="E40" i="56"/>
  <c r="H13"/>
  <c r="H13" i="22"/>
  <c r="E40"/>
  <c r="H13" i="30"/>
  <c r="E40"/>
  <c r="F106" i="73"/>
  <c r="F109"/>
  <c r="G26"/>
  <c r="I38" i="5"/>
  <c r="I40"/>
  <c r="I47"/>
  <c r="I64"/>
  <c r="H27" i="19"/>
  <c r="H38" i="22"/>
  <c r="E43" i="36"/>
  <c r="H43"/>
  <c r="F47" i="47"/>
  <c r="G47" i="37"/>
  <c r="H27" i="22"/>
  <c r="H38" i="29"/>
  <c r="E40" i="27"/>
  <c r="E26" i="98"/>
  <c r="G27"/>
  <c r="G38"/>
  <c r="G40" s="1"/>
  <c r="H21" i="97"/>
  <c r="H21" i="98"/>
  <c r="H59"/>
  <c r="E63"/>
  <c r="H63"/>
  <c r="E43" i="50"/>
  <c r="E44" i="4"/>
  <c r="H21" i="96"/>
  <c r="F44" i="82"/>
  <c r="BD26" i="1"/>
  <c r="AH26" i="4"/>
  <c r="E18" i="1"/>
  <c r="E16" i="50"/>
  <c r="E16" i="4"/>
  <c r="E32" i="50"/>
  <c r="E32" i="4"/>
  <c r="AZ74" i="1"/>
  <c r="AZ75" s="1"/>
  <c r="AZ81" s="1"/>
  <c r="AW74"/>
  <c r="AW75"/>
  <c r="AW81" s="1"/>
  <c r="AB74"/>
  <c r="AB75" s="1"/>
  <c r="AB81" s="1"/>
  <c r="AY74"/>
  <c r="AY75" s="1"/>
  <c r="AY81" s="1"/>
  <c r="AX74"/>
  <c r="AX75"/>
  <c r="AX81" s="1"/>
  <c r="AV74"/>
  <c r="AV75" s="1"/>
  <c r="AV81" s="1"/>
  <c r="AT74"/>
  <c r="AT75" s="1"/>
  <c r="AT81" s="1"/>
  <c r="AR74"/>
  <c r="AR75" s="1"/>
  <c r="AR81" s="1"/>
  <c r="T74"/>
  <c r="T75" s="1"/>
  <c r="T81" s="1"/>
  <c r="K74"/>
  <c r="K75" s="1"/>
  <c r="K81" s="1"/>
  <c r="AE74"/>
  <c r="AE75" s="1"/>
  <c r="AO74"/>
  <c r="AO75" s="1"/>
  <c r="AS74"/>
  <c r="AS75" s="1"/>
  <c r="AS81" s="1"/>
  <c r="AP74"/>
  <c r="AP75" s="1"/>
  <c r="AP81" s="1"/>
  <c r="AM74"/>
  <c r="AM75" s="1"/>
  <c r="AM81" s="1"/>
  <c r="AK74"/>
  <c r="AK75" s="1"/>
  <c r="AK81" s="1"/>
  <c r="Y74"/>
  <c r="Y75" s="1"/>
  <c r="Y81" s="1"/>
  <c r="J74"/>
  <c r="J75" s="1"/>
  <c r="J81" s="1"/>
  <c r="AD74"/>
  <c r="AD75" s="1"/>
  <c r="AF74"/>
  <c r="AF75" s="1"/>
  <c r="I52"/>
  <c r="R52"/>
  <c r="F43" i="38"/>
  <c r="F47"/>
  <c r="F43" i="30"/>
  <c r="F47"/>
  <c r="F47" i="3"/>
  <c r="AL55" i="4"/>
  <c r="F52" i="3"/>
  <c r="F56"/>
  <c r="F43" i="80"/>
  <c r="F47"/>
  <c r="E63" i="95"/>
  <c r="H63"/>
  <c r="H56"/>
  <c r="U52" i="1"/>
  <c r="F49" i="3"/>
  <c r="E26" i="97"/>
  <c r="G27"/>
  <c r="G38" s="1"/>
  <c r="G27" i="86"/>
  <c r="G38"/>
  <c r="G40" s="1"/>
  <c r="AW31" i="2"/>
  <c r="AW32" s="1"/>
  <c r="AW43" s="1"/>
  <c r="AW45" s="1"/>
  <c r="E26" i="86"/>
  <c r="G43" i="19"/>
  <c r="P48" i="2"/>
  <c r="O31" i="4"/>
  <c r="F43" i="90"/>
  <c r="F47"/>
  <c r="AG43" i="1"/>
  <c r="BD42"/>
  <c r="E68" i="2"/>
  <c r="E72" i="4" s="1"/>
  <c r="E63" i="92"/>
  <c r="E64" i="4"/>
  <c r="S32" i="2"/>
  <c r="T31" i="4"/>
  <c r="BG31" i="2"/>
  <c r="BG32" s="1"/>
  <c r="BG43" s="1"/>
  <c r="BG45" s="1"/>
  <c r="G27" i="74"/>
  <c r="G38" s="1"/>
  <c r="E26"/>
  <c r="G43" i="29"/>
  <c r="X48" i="2" s="1"/>
  <c r="X52" s="1"/>
  <c r="G27" i="59"/>
  <c r="G38" s="1"/>
  <c r="Y31" i="2"/>
  <c r="E26" i="59"/>
  <c r="AB31" i="2"/>
  <c r="G27" i="79"/>
  <c r="G38" s="1"/>
  <c r="E26"/>
  <c r="AA31" i="2"/>
  <c r="E26" i="25"/>
  <c r="G27"/>
  <c r="G38" s="1"/>
  <c r="G27" i="69"/>
  <c r="G38" s="1"/>
  <c r="G40" s="1"/>
  <c r="AM31" i="2"/>
  <c r="E26" i="69"/>
  <c r="E27" s="1"/>
  <c r="E38" s="1"/>
  <c r="E40" s="1"/>
  <c r="H21" i="88"/>
  <c r="F43"/>
  <c r="E43"/>
  <c r="H43"/>
  <c r="F47"/>
  <c r="H13" i="87"/>
  <c r="H13" i="86"/>
  <c r="E51" i="51"/>
  <c r="E72" i="2"/>
  <c r="E51" i="91"/>
  <c r="G27" i="60"/>
  <c r="G38" s="1"/>
  <c r="AH31" i="2"/>
  <c r="AH32"/>
  <c r="AH43" s="1"/>
  <c r="AH45" s="1"/>
  <c r="E26" i="60"/>
  <c r="AP31" i="2"/>
  <c r="G27" i="77"/>
  <c r="G38"/>
  <c r="G40" s="1"/>
  <c r="E26"/>
  <c r="AU31" i="2"/>
  <c r="AU32"/>
  <c r="AU43" s="1"/>
  <c r="AU45" s="1"/>
  <c r="AU52" s="1"/>
  <c r="G27" i="88"/>
  <c r="G38"/>
  <c r="G40" s="1"/>
  <c r="E26"/>
  <c r="H11" i="84"/>
  <c r="E13"/>
  <c r="H59"/>
  <c r="E63"/>
  <c r="H63"/>
  <c r="E63" i="83"/>
  <c r="H63"/>
  <c r="H56"/>
  <c r="E13" i="81"/>
  <c r="H11"/>
  <c r="H59" i="80"/>
  <c r="E63"/>
  <c r="H63"/>
  <c r="E63" i="79"/>
  <c r="H63"/>
  <c r="H56"/>
  <c r="H59" i="78"/>
  <c r="E63"/>
  <c r="H63"/>
  <c r="E63" i="76"/>
  <c r="H63"/>
  <c r="H56"/>
  <c r="V21" i="49"/>
  <c r="V23"/>
  <c r="V25"/>
  <c r="M50"/>
  <c r="M52"/>
  <c r="M54"/>
  <c r="U77"/>
  <c r="U79"/>
  <c r="U81"/>
  <c r="V77"/>
  <c r="V79"/>
  <c r="V81"/>
  <c r="G27" i="76"/>
  <c r="G38" s="1"/>
  <c r="E26"/>
  <c r="E26" i="58"/>
  <c r="G27"/>
  <c r="G38"/>
  <c r="G40" s="1"/>
  <c r="E21" i="49"/>
  <c r="E23"/>
  <c r="E25"/>
  <c r="E40" i="18"/>
  <c r="H13"/>
  <c r="F43"/>
  <c r="E43"/>
  <c r="H43"/>
  <c r="E40" i="24"/>
  <c r="H13"/>
  <c r="T25" i="49"/>
  <c r="T105"/>
  <c r="T21"/>
  <c r="L21"/>
  <c r="L25"/>
  <c r="L105"/>
  <c r="L107"/>
  <c r="N50"/>
  <c r="N52"/>
  <c r="N54"/>
  <c r="H40" i="36"/>
  <c r="E47"/>
  <c r="H13" i="8"/>
  <c r="E40"/>
  <c r="H40" i="9"/>
  <c r="E47"/>
  <c r="H47"/>
  <c r="E40" i="47"/>
  <c r="H13"/>
  <c r="P45" i="1"/>
  <c r="L45"/>
  <c r="BC74"/>
  <c r="BC75"/>
  <c r="BC81" s="1"/>
  <c r="G22" i="89"/>
  <c r="G42" s="1"/>
  <c r="G59" s="1"/>
  <c r="AZ74" i="2"/>
  <c r="AZ75"/>
  <c r="E40" i="85"/>
  <c r="H27" i="29"/>
  <c r="E40" i="15"/>
  <c r="E43" i="56"/>
  <c r="H43"/>
  <c r="AB12" i="49"/>
  <c r="Y12"/>
  <c r="C76" i="48"/>
  <c r="AH12" i="49"/>
  <c r="AE12"/>
  <c r="AA8"/>
  <c r="C80" i="48"/>
  <c r="AG8" i="49"/>
  <c r="Z8"/>
  <c r="AF8"/>
  <c r="AE8"/>
  <c r="AF10"/>
  <c r="Z10"/>
  <c r="AA10"/>
  <c r="C84" i="48"/>
  <c r="AG10" i="49"/>
  <c r="E47" i="85"/>
  <c r="H47"/>
  <c r="H40"/>
  <c r="H40" i="15"/>
  <c r="E47"/>
  <c r="H47"/>
  <c r="P52" i="1"/>
  <c r="H40" i="8"/>
  <c r="E47"/>
  <c r="H47"/>
  <c r="H26" i="76"/>
  <c r="E27"/>
  <c r="H13" i="81"/>
  <c r="E40"/>
  <c r="H26" i="77"/>
  <c r="E27"/>
  <c r="AP32" i="2"/>
  <c r="AP43"/>
  <c r="AP45" s="1"/>
  <c r="AR31" i="4"/>
  <c r="F51" i="91"/>
  <c r="G51"/>
  <c r="AP31" i="4"/>
  <c r="AM32" i="2"/>
  <c r="AA32"/>
  <c r="W31" i="4"/>
  <c r="E27" i="59"/>
  <c r="H26"/>
  <c r="S43" i="2"/>
  <c r="T32" i="4"/>
  <c r="G42" i="50"/>
  <c r="AR42" i="4"/>
  <c r="H26" i="86"/>
  <c r="E27"/>
  <c r="H26" i="97"/>
  <c r="E27"/>
  <c r="X48" i="1"/>
  <c r="X52"/>
  <c r="E43" i="30"/>
  <c r="H43"/>
  <c r="V48" i="1"/>
  <c r="V52"/>
  <c r="F25" i="3"/>
  <c r="F14"/>
  <c r="H26" i="98"/>
  <c r="E27"/>
  <c r="E47" i="27"/>
  <c r="H47"/>
  <c r="H40"/>
  <c r="H40" i="30"/>
  <c r="E47"/>
  <c r="H47"/>
  <c r="H40" i="22"/>
  <c r="H40" i="29"/>
  <c r="E47" i="37"/>
  <c r="H47"/>
  <c r="H40"/>
  <c r="H40" i="19"/>
  <c r="H26" i="80"/>
  <c r="E27"/>
  <c r="H26" i="78"/>
  <c r="E27"/>
  <c r="P43" i="2"/>
  <c r="Q32" i="4"/>
  <c r="G32" i="50"/>
  <c r="AR32" i="4"/>
  <c r="L49"/>
  <c r="N48" i="2"/>
  <c r="F8" i="48"/>
  <c r="F13" i="3"/>
  <c r="BA48" i="1"/>
  <c r="F16" i="3"/>
  <c r="H52" i="81"/>
  <c r="E56"/>
  <c r="AL32" i="2"/>
  <c r="AO31" i="4"/>
  <c r="H26" i="23"/>
  <c r="E27"/>
  <c r="G43"/>
  <c r="G47"/>
  <c r="H26" i="21"/>
  <c r="E27"/>
  <c r="G43"/>
  <c r="G47"/>
  <c r="O48" i="2"/>
  <c r="O52"/>
  <c r="E43" i="28"/>
  <c r="H43"/>
  <c r="AH52" i="1"/>
  <c r="AH46" i="4"/>
  <c r="H26" i="95"/>
  <c r="E27"/>
  <c r="E27" i="38"/>
  <c r="H26"/>
  <c r="G43"/>
  <c r="W48" i="2"/>
  <c r="Y49" i="4" s="1"/>
  <c r="G47" i="38"/>
  <c r="F47" i="18"/>
  <c r="G47" i="19"/>
  <c r="R74" i="1"/>
  <c r="R75"/>
  <c r="AY75" i="2"/>
  <c r="F75"/>
  <c r="L52" i="1"/>
  <c r="E47" i="47"/>
  <c r="H47"/>
  <c r="H40"/>
  <c r="T107" i="49"/>
  <c r="E47" i="24"/>
  <c r="H47"/>
  <c r="H40"/>
  <c r="E47" i="18"/>
  <c r="H47"/>
  <c r="H40"/>
  <c r="E27" i="58"/>
  <c r="I26"/>
  <c r="H13" i="84"/>
  <c r="H26" i="88"/>
  <c r="E27"/>
  <c r="E27" i="60"/>
  <c r="H26"/>
  <c r="E27" i="25"/>
  <c r="H26"/>
  <c r="H26" i="79"/>
  <c r="E27"/>
  <c r="AB32" i="2"/>
  <c r="AE31" i="4"/>
  <c r="Y32" i="2"/>
  <c r="AC31" i="4"/>
  <c r="E27" i="74"/>
  <c r="H26"/>
  <c r="G80" i="3"/>
  <c r="E70" i="92"/>
  <c r="F28" i="3"/>
  <c r="AU48" i="1"/>
  <c r="AU52"/>
  <c r="E45"/>
  <c r="E18" i="50"/>
  <c r="E18" i="4"/>
  <c r="G26" i="50"/>
  <c r="AR26" i="4"/>
  <c r="G27" i="73"/>
  <c r="G38" s="1"/>
  <c r="AN31" i="2"/>
  <c r="AN32"/>
  <c r="AN43" s="1"/>
  <c r="AN45" s="1"/>
  <c r="E26" i="73"/>
  <c r="E47" i="56"/>
  <c r="H47"/>
  <c r="H40"/>
  <c r="H40" i="6"/>
  <c r="E47"/>
  <c r="H47"/>
  <c r="E47" i="13"/>
  <c r="H47"/>
  <c r="H40"/>
  <c r="E47" i="5"/>
  <c r="H40"/>
  <c r="E27" i="34"/>
  <c r="H26"/>
  <c r="AO32" i="2"/>
  <c r="AQ31" i="4"/>
  <c r="F39" i="50"/>
  <c r="F24" i="3"/>
  <c r="F27"/>
  <c r="H26" i="96"/>
  <c r="E27"/>
  <c r="AL48" i="1"/>
  <c r="AJ48"/>
  <c r="AI48"/>
  <c r="AI52"/>
  <c r="F45" i="3" s="1"/>
  <c r="E43" i="81"/>
  <c r="H43"/>
  <c r="Z48" i="1"/>
  <c r="Z52" s="1"/>
  <c r="W48"/>
  <c r="W52" s="1"/>
  <c r="E43" i="29"/>
  <c r="H43" s="1"/>
  <c r="O48" i="1"/>
  <c r="E43" i="19"/>
  <c r="H43"/>
  <c r="AI61" i="1"/>
  <c r="BD57"/>
  <c r="H26" i="83"/>
  <c r="E27"/>
  <c r="G43" i="70"/>
  <c r="AL48" i="2"/>
  <c r="AO49" i="4" s="1"/>
  <c r="G43" i="68"/>
  <c r="AJ48" i="2" s="1"/>
  <c r="T32"/>
  <c r="U31" i="4"/>
  <c r="G43" i="65"/>
  <c r="G47"/>
  <c r="R32" i="2"/>
  <c r="S31" i="4"/>
  <c r="G43" i="72"/>
  <c r="G47"/>
  <c r="G43" i="95"/>
  <c r="G47" s="1"/>
  <c r="W32" i="2"/>
  <c r="Y31" i="4"/>
  <c r="AG31" i="2"/>
  <c r="I74" i="1"/>
  <c r="I75" s="1"/>
  <c r="I81" s="1"/>
  <c r="D105" i="49"/>
  <c r="G47" i="36"/>
  <c r="H47"/>
  <c r="G75" i="2"/>
  <c r="G47" i="28"/>
  <c r="AK14" i="49"/>
  <c r="D107"/>
  <c r="H27" i="83"/>
  <c r="E38"/>
  <c r="G59" i="50"/>
  <c r="AR60" i="4"/>
  <c r="H27" i="96"/>
  <c r="E38"/>
  <c r="E27" i="73"/>
  <c r="H26"/>
  <c r="F57" i="3"/>
  <c r="AU74" i="1"/>
  <c r="AU75"/>
  <c r="H27" i="79"/>
  <c r="E38"/>
  <c r="H27" i="88"/>
  <c r="E38"/>
  <c r="H27" i="38"/>
  <c r="E38"/>
  <c r="F44" i="3"/>
  <c r="AH55" i="4"/>
  <c r="AH74" i="1"/>
  <c r="AH75"/>
  <c r="F92" i="3"/>
  <c r="O74" i="2"/>
  <c r="O75" s="1"/>
  <c r="R48"/>
  <c r="S49" i="4" s="1"/>
  <c r="E43" i="21"/>
  <c r="H43" s="1"/>
  <c r="T48" i="2"/>
  <c r="U49" i="4" s="1"/>
  <c r="E43" i="23"/>
  <c r="H43" s="1"/>
  <c r="AO32" i="4"/>
  <c r="AL43" i="2"/>
  <c r="O49" i="4"/>
  <c r="H27" i="78"/>
  <c r="E38"/>
  <c r="H27" i="80"/>
  <c r="E38"/>
  <c r="H27" i="98"/>
  <c r="E38"/>
  <c r="F29" i="3"/>
  <c r="V74" i="1"/>
  <c r="V75"/>
  <c r="V81" s="1"/>
  <c r="F31" i="3"/>
  <c r="X74" i="1"/>
  <c r="X75" s="1"/>
  <c r="X81" s="1"/>
  <c r="AM43" i="2"/>
  <c r="AP32" i="4"/>
  <c r="H27" i="77"/>
  <c r="E38"/>
  <c r="H40" i="81"/>
  <c r="E47"/>
  <c r="H47"/>
  <c r="H27" i="76"/>
  <c r="E38"/>
  <c r="C79" i="48"/>
  <c r="Y8" i="49"/>
  <c r="C158" i="48"/>
  <c r="C154"/>
  <c r="G47" i="68"/>
  <c r="G47" i="70"/>
  <c r="E43" i="68"/>
  <c r="E43" i="70"/>
  <c r="E47" s="1"/>
  <c r="Y18" i="49"/>
  <c r="E47" i="19"/>
  <c r="H47"/>
  <c r="E47" i="29"/>
  <c r="AE10" i="49"/>
  <c r="AF31" i="4"/>
  <c r="W43" i="2"/>
  <c r="Y32" i="4"/>
  <c r="AK48" i="2"/>
  <c r="AK52"/>
  <c r="E43" i="72"/>
  <c r="E47"/>
  <c r="R43" i="2"/>
  <c r="S32" i="4"/>
  <c r="Z48" i="2"/>
  <c r="Z52"/>
  <c r="E43" i="65"/>
  <c r="E47"/>
  <c r="T43" i="2"/>
  <c r="U32" i="4"/>
  <c r="AI68" i="1"/>
  <c r="BD61"/>
  <c r="Q49" i="4"/>
  <c r="O52" i="1"/>
  <c r="AK49" i="4"/>
  <c r="AJ52" i="1"/>
  <c r="AQ32" i="4"/>
  <c r="AO43" i="2"/>
  <c r="H27" i="34"/>
  <c r="E38"/>
  <c r="H47" i="5"/>
  <c r="E64"/>
  <c r="E52" i="1"/>
  <c r="E45" i="50"/>
  <c r="F93" i="48"/>
  <c r="G90" i="3"/>
  <c r="H27" i="74"/>
  <c r="E38"/>
  <c r="Y43" i="2"/>
  <c r="AC32" i="4"/>
  <c r="AB43" i="2"/>
  <c r="AE32" i="4"/>
  <c r="H27" i="25"/>
  <c r="E38"/>
  <c r="H27" i="60"/>
  <c r="E38"/>
  <c r="E38" i="58"/>
  <c r="I27"/>
  <c r="F17" i="3"/>
  <c r="H27" i="95"/>
  <c r="E38"/>
  <c r="E38" i="21"/>
  <c r="H27"/>
  <c r="E38" i="23"/>
  <c r="H27"/>
  <c r="E63" i="81"/>
  <c r="H63"/>
  <c r="H56"/>
  <c r="Q44" i="4"/>
  <c r="P45" i="2"/>
  <c r="H27" i="97"/>
  <c r="E38"/>
  <c r="H27" i="86"/>
  <c r="E38"/>
  <c r="S45" i="2"/>
  <c r="T44" i="4"/>
  <c r="H27" i="59"/>
  <c r="E38"/>
  <c r="AA43" i="2"/>
  <c r="W32" i="4"/>
  <c r="F23" i="3"/>
  <c r="P74" i="1"/>
  <c r="P75"/>
  <c r="C162" i="48"/>
  <c r="Y10" i="49"/>
  <c r="C75" i="48"/>
  <c r="C83"/>
  <c r="R81" i="1"/>
  <c r="E43" i="38"/>
  <c r="H43"/>
  <c r="AE14" i="49"/>
  <c r="C161" i="48"/>
  <c r="C85"/>
  <c r="D84"/>
  <c r="E40" i="59"/>
  <c r="H38" i="23"/>
  <c r="E40"/>
  <c r="H38" i="21"/>
  <c r="E40"/>
  <c r="E40" i="58"/>
  <c r="I38"/>
  <c r="AE44" i="4"/>
  <c r="AB45" i="2"/>
  <c r="Y45"/>
  <c r="AC44" i="4"/>
  <c r="H38" i="34"/>
  <c r="E40"/>
  <c r="AQ44" i="4"/>
  <c r="G63" i="50"/>
  <c r="AR64" i="4"/>
  <c r="C81" i="48"/>
  <c r="D80" s="1"/>
  <c r="C157"/>
  <c r="I59" i="50"/>
  <c r="F59"/>
  <c r="P81" i="1"/>
  <c r="AU81"/>
  <c r="C153" i="48"/>
  <c r="W44" i="4"/>
  <c r="AA45" i="2"/>
  <c r="T46" i="4"/>
  <c r="H38" i="86"/>
  <c r="E40"/>
  <c r="E40" i="97"/>
  <c r="P52" i="2"/>
  <c r="Q46" i="4"/>
  <c r="H38" i="95"/>
  <c r="E40"/>
  <c r="E40" i="60"/>
  <c r="E40" i="25"/>
  <c r="E40" i="74"/>
  <c r="F10" i="3"/>
  <c r="E54" i="50"/>
  <c r="E71" s="1"/>
  <c r="E69" i="1"/>
  <c r="E74"/>
  <c r="F46" i="3"/>
  <c r="AK55" i="4"/>
  <c r="AJ74" i="1"/>
  <c r="AJ75" s="1"/>
  <c r="AJ81" s="1"/>
  <c r="F22" i="3"/>
  <c r="Q55" i="4"/>
  <c r="G45" i="82"/>
  <c r="G45" i="3"/>
  <c r="F33" i="48" s="1"/>
  <c r="AI74" i="1"/>
  <c r="AI75"/>
  <c r="AI81" s="1"/>
  <c r="T45" i="2"/>
  <c r="F103" i="3"/>
  <c r="S44" i="4"/>
  <c r="R45" i="2"/>
  <c r="F113" i="3"/>
  <c r="AK74" i="2"/>
  <c r="AK75"/>
  <c r="Y44" i="4"/>
  <c r="W45" i="2"/>
  <c r="Y14" i="49"/>
  <c r="C74" i="48"/>
  <c r="E40" i="76"/>
  <c r="H38" i="77"/>
  <c r="E40"/>
  <c r="H38" i="98"/>
  <c r="E40"/>
  <c r="H38" i="80"/>
  <c r="E40"/>
  <c r="H38" i="78"/>
  <c r="E40"/>
  <c r="AO44" i="4"/>
  <c r="H38" i="38"/>
  <c r="E40"/>
  <c r="E40" i="88"/>
  <c r="H38"/>
  <c r="E40" i="79"/>
  <c r="H27" i="73"/>
  <c r="E38"/>
  <c r="E40" i="96"/>
  <c r="H38" i="83"/>
  <c r="E40"/>
  <c r="AH81" i="1"/>
  <c r="E47" i="88"/>
  <c r="H40" i="95"/>
  <c r="AA52" i="2"/>
  <c r="W46" i="4"/>
  <c r="AC46"/>
  <c r="E49" i="58"/>
  <c r="C163" i="48"/>
  <c r="D162" s="1"/>
  <c r="D161"/>
  <c r="D163" s="1"/>
  <c r="E40" i="73"/>
  <c r="E47" i="38"/>
  <c r="H47"/>
  <c r="H40"/>
  <c r="C77" i="48"/>
  <c r="D74"/>
  <c r="C152"/>
  <c r="W52" i="2"/>
  <c r="Y46" i="4"/>
  <c r="R52" i="2"/>
  <c r="S46" i="4"/>
  <c r="T52" i="2"/>
  <c r="E75" i="1"/>
  <c r="E81"/>
  <c r="F93" i="3"/>
  <c r="P74" i="2"/>
  <c r="C159" i="48"/>
  <c r="D158" s="1"/>
  <c r="D157"/>
  <c r="AE46" i="4"/>
  <c r="H40" i="21"/>
  <c r="E47"/>
  <c r="H47" s="1"/>
  <c r="H40" i="23"/>
  <c r="E47"/>
  <c r="H47"/>
  <c r="D83" i="48"/>
  <c r="D85" s="1"/>
  <c r="E74"/>
  <c r="E81" s="1"/>
  <c r="P75" i="2"/>
  <c r="F97" i="3"/>
  <c r="T74" i="2"/>
  <c r="T75" s="1"/>
  <c r="F95" i="3"/>
  <c r="R74" i="2"/>
  <c r="R75" s="1"/>
  <c r="S55" i="4"/>
  <c r="F100" i="3"/>
  <c r="Y55" i="4"/>
  <c r="W74" i="2"/>
  <c r="W75"/>
  <c r="F104" i="3"/>
  <c r="C155" i="48"/>
  <c r="D152" s="1"/>
  <c r="D76"/>
  <c r="E76" s="1"/>
  <c r="D75"/>
  <c r="E75" s="1"/>
  <c r="E85" s="1"/>
  <c r="D77"/>
  <c r="E152" l="1"/>
  <c r="E159" s="1"/>
  <c r="E157" s="1"/>
  <c r="D159"/>
  <c r="E158"/>
  <c r="Z74" i="1"/>
  <c r="Z75" s="1"/>
  <c r="Z81" s="1"/>
  <c r="F33" i="3"/>
  <c r="H38" i="73"/>
  <c r="G40"/>
  <c r="G65" i="89"/>
  <c r="F74"/>
  <c r="G49" i="58"/>
  <c r="I40"/>
  <c r="H38" i="76"/>
  <c r="G40"/>
  <c r="G47" i="88"/>
  <c r="H40"/>
  <c r="F123" i="3"/>
  <c r="AU74" i="2"/>
  <c r="AU75" s="1"/>
  <c r="G43" i="69"/>
  <c r="G47"/>
  <c r="X74" i="2"/>
  <c r="X75" s="1"/>
  <c r="F101" i="3"/>
  <c r="H38" i="74"/>
  <c r="G40"/>
  <c r="G43" i="86"/>
  <c r="H40"/>
  <c r="G47"/>
  <c r="H38" i="97"/>
  <c r="G40"/>
  <c r="G43" i="80"/>
  <c r="G47" s="1"/>
  <c r="H40"/>
  <c r="H40" i="78"/>
  <c r="G43"/>
  <c r="G43" i="83"/>
  <c r="H40"/>
  <c r="G47"/>
  <c r="I49" i="58"/>
  <c r="H47" i="88"/>
  <c r="AJ52" i="2"/>
  <c r="E84" i="48"/>
  <c r="E83"/>
  <c r="F30" i="3"/>
  <c r="W74" i="1"/>
  <c r="W75" s="1"/>
  <c r="W81" s="1"/>
  <c r="G43" i="77"/>
  <c r="G47"/>
  <c r="H40"/>
  <c r="H38" i="60"/>
  <c r="G40"/>
  <c r="H38" i="25"/>
  <c r="G40"/>
  <c r="H38" i="79"/>
  <c r="G40"/>
  <c r="H38" i="59"/>
  <c r="G40"/>
  <c r="H40" i="98"/>
  <c r="G43"/>
  <c r="E43" s="1"/>
  <c r="G43" i="34"/>
  <c r="H40"/>
  <c r="G47"/>
  <c r="H38" i="96"/>
  <c r="G40"/>
  <c r="E80" i="48"/>
  <c r="G43" i="22"/>
  <c r="G47" s="1"/>
  <c r="H27" i="28"/>
  <c r="E38"/>
  <c r="F29" i="50"/>
  <c r="F32" s="1"/>
  <c r="I29"/>
  <c r="F25"/>
  <c r="I25"/>
  <c r="F68"/>
  <c r="I68"/>
  <c r="I67"/>
  <c r="F67"/>
  <c r="I65"/>
  <c r="F65"/>
  <c r="F61"/>
  <c r="I61"/>
  <c r="F36" i="92"/>
  <c r="I36"/>
  <c r="I40"/>
  <c r="F40"/>
  <c r="U45" i="2"/>
  <c r="V18" i="4"/>
  <c r="K45" i="2"/>
  <c r="K18" i="4"/>
  <c r="E45" i="2"/>
  <c r="E18" i="92"/>
  <c r="J44" i="4"/>
  <c r="J45" i="2"/>
  <c r="G55" i="91"/>
  <c r="F55"/>
  <c r="F53" s="1"/>
  <c r="F49" s="1"/>
  <c r="BA60" i="2"/>
  <c r="G62" i="92" s="1"/>
  <c r="AF63" i="4"/>
  <c r="BA58" i="2"/>
  <c r="G60" i="92" s="1"/>
  <c r="AF61" i="4"/>
  <c r="AF59"/>
  <c r="AG61" i="2"/>
  <c r="BA56"/>
  <c r="G58" i="92" s="1"/>
  <c r="E26" i="84"/>
  <c r="AT31" i="2"/>
  <c r="G27" i="84"/>
  <c r="G38" s="1"/>
  <c r="G40" s="1"/>
  <c r="AL18" i="2"/>
  <c r="AO16" i="4"/>
  <c r="E17" i="89"/>
  <c r="L45" i="2"/>
  <c r="L18" i="4"/>
  <c r="AP16"/>
  <c r="AM18" i="2"/>
  <c r="F51" i="89"/>
  <c r="AQ26" i="4"/>
  <c r="F48" i="89"/>
  <c r="AO26" i="4"/>
  <c r="F49" i="89"/>
  <c r="AP26" i="4"/>
  <c r="AG49" i="2"/>
  <c r="O50" i="4"/>
  <c r="AG25" i="2"/>
  <c r="O25" i="4"/>
  <c r="F33" i="89"/>
  <c r="W26" i="4"/>
  <c r="F31" i="89"/>
  <c r="AC26" i="4"/>
  <c r="F30" i="89"/>
  <c r="Y26" i="4"/>
  <c r="F28" i="89"/>
  <c r="V26" i="4"/>
  <c r="F26" i="89"/>
  <c r="T26" i="4"/>
  <c r="F24" i="89"/>
  <c r="Q43" i="2"/>
  <c r="R44" i="4" s="1"/>
  <c r="R26"/>
  <c r="O24"/>
  <c r="AG24" i="2"/>
  <c r="AG23"/>
  <c r="O23" i="4"/>
  <c r="D153" i="48"/>
  <c r="E153" s="1"/>
  <c r="E163" s="1"/>
  <c r="D154"/>
  <c r="E154" s="1"/>
  <c r="H38" i="19"/>
  <c r="AV43" i="2"/>
  <c r="AV45"/>
  <c r="AV52" s="1"/>
  <c r="E19" i="89"/>
  <c r="E42" s="1"/>
  <c r="E26" i="87"/>
  <c r="AX31" i="2"/>
  <c r="AX32" s="1"/>
  <c r="AX43" s="1"/>
  <c r="AX45" s="1"/>
  <c r="G27" i="87"/>
  <c r="G38" s="1"/>
  <c r="G40" s="1"/>
  <c r="E40" i="20"/>
  <c r="H38"/>
  <c r="I24" i="50"/>
  <c r="I26" s="1"/>
  <c r="F24"/>
  <c r="I41"/>
  <c r="F41"/>
  <c r="F58"/>
  <c r="I58"/>
  <c r="I64"/>
  <c r="I66" s="1"/>
  <c r="F64"/>
  <c r="F66" s="1"/>
  <c r="I62"/>
  <c r="F62"/>
  <c r="I60"/>
  <c r="F60"/>
  <c r="I35" i="92"/>
  <c r="F35"/>
  <c r="I41"/>
  <c r="F41"/>
  <c r="V45" i="2"/>
  <c r="X18" i="4"/>
  <c r="H45" i="2"/>
  <c r="H44" i="4"/>
  <c r="I68" i="92"/>
  <c r="F68"/>
  <c r="F67"/>
  <c r="I67"/>
  <c r="AG64" i="2"/>
  <c r="BA64" s="1"/>
  <c r="G66" i="92" s="1"/>
  <c r="AF66" i="4"/>
  <c r="BA62" i="2"/>
  <c r="G64" i="92" s="1"/>
  <c r="BA59" i="2"/>
  <c r="G61" i="92" s="1"/>
  <c r="AF62" i="4"/>
  <c r="AO18" i="2"/>
  <c r="AQ16" i="4"/>
  <c r="E14" i="89"/>
  <c r="I45" i="2"/>
  <c r="I18" i="4"/>
  <c r="O22"/>
  <c r="N26" i="2"/>
  <c r="AG22"/>
  <c r="AG30"/>
  <c r="O30" i="4"/>
  <c r="D79" i="48"/>
  <c r="E43" i="95"/>
  <c r="F42" i="50"/>
  <c r="G47" i="29"/>
  <c r="H47" s="1"/>
  <c r="N45" i="1"/>
  <c r="F42" i="92"/>
  <c r="AG16" i="1"/>
  <c r="BD13"/>
  <c r="G54" i="82"/>
  <c r="G56" i="3"/>
  <c r="F44" i="48" s="1"/>
  <c r="G11" i="3"/>
  <c r="AG42" i="2"/>
  <c r="AA68"/>
  <c r="Y68"/>
  <c r="AG64" i="1"/>
  <c r="AA43"/>
  <c r="Q68"/>
  <c r="O68"/>
  <c r="L68"/>
  <c r="H68"/>
  <c r="M43"/>
  <c r="G43"/>
  <c r="F43"/>
  <c r="S43"/>
  <c r="U44" i="4" s="1"/>
  <c r="BA45" i="1"/>
  <c r="BA52" s="1"/>
  <c r="AQ43"/>
  <c r="AQ45" s="1"/>
  <c r="AQ52" s="1"/>
  <c r="F48" i="82"/>
  <c r="AL43" i="1"/>
  <c r="N29" i="2"/>
  <c r="Z68"/>
  <c r="AN43" i="1"/>
  <c r="U68"/>
  <c r="F26" i="50"/>
  <c r="I63"/>
  <c r="I70" s="1"/>
  <c r="F65" i="82"/>
  <c r="F63" i="50"/>
  <c r="F70" s="1"/>
  <c r="F52"/>
  <c r="F43"/>
  <c r="F81" i="82"/>
  <c r="F84" s="1"/>
  <c r="G103" i="3" l="1"/>
  <c r="F111" i="48" s="1"/>
  <c r="Z74" i="2"/>
  <c r="Z75" s="1"/>
  <c r="AL45" i="1"/>
  <c r="AL52" s="1"/>
  <c r="BD43"/>
  <c r="H72" i="4"/>
  <c r="G13" i="82"/>
  <c r="G13" i="3"/>
  <c r="F11" i="48" s="1"/>
  <c r="H74" i="1"/>
  <c r="H75" s="1"/>
  <c r="H81" s="1"/>
  <c r="AA45"/>
  <c r="AJ44" i="4"/>
  <c r="BA42" i="2"/>
  <c r="G42" i="92" s="1"/>
  <c r="AF42" i="4"/>
  <c r="H52" i="2"/>
  <c r="H46" i="4"/>
  <c r="AN45" i="1"/>
  <c r="AP44" i="4"/>
  <c r="AG29" i="2"/>
  <c r="O29" i="4"/>
  <c r="N32" i="2"/>
  <c r="BA74" i="1"/>
  <c r="BA75" s="1"/>
  <c r="BA81" s="1"/>
  <c r="F63" i="3"/>
  <c r="F44" i="4"/>
  <c r="F45" i="1"/>
  <c r="M44" i="4"/>
  <c r="M45" i="1"/>
  <c r="G17" i="3"/>
  <c r="F15" i="48" s="1"/>
  <c r="L72" i="4"/>
  <c r="L74" i="1"/>
  <c r="L75" s="1"/>
  <c r="L81" s="1"/>
  <c r="G17" i="82"/>
  <c r="G20" s="1"/>
  <c r="G42" s="1"/>
  <c r="G65" s="1"/>
  <c r="F72" s="1"/>
  <c r="G24" i="3"/>
  <c r="F19" i="48" s="1"/>
  <c r="S72" i="4"/>
  <c r="Q74" i="1"/>
  <c r="Q75" s="1"/>
  <c r="Q81" s="1"/>
  <c r="BD64"/>
  <c r="AF68" i="4"/>
  <c r="AG68" i="1"/>
  <c r="G104" i="3"/>
  <c r="F112" i="48" s="1"/>
  <c r="W72" i="4"/>
  <c r="AA74" i="2"/>
  <c r="AA75" s="1"/>
  <c r="AG18" i="1"/>
  <c r="BD16"/>
  <c r="AF16" i="4"/>
  <c r="N52" i="1"/>
  <c r="D81" i="48"/>
  <c r="E79"/>
  <c r="BA30" i="2"/>
  <c r="G30" i="92" s="1"/>
  <c r="AF30" i="4"/>
  <c r="F21" i="89"/>
  <c r="F42" s="1"/>
  <c r="F59" s="1"/>
  <c r="F65" s="1"/>
  <c r="F67" s="1"/>
  <c r="G17" i="90" s="1"/>
  <c r="O26" i="4"/>
  <c r="AQ18"/>
  <c r="AO45" i="2"/>
  <c r="F61" i="92"/>
  <c r="I61"/>
  <c r="G43" i="87"/>
  <c r="G47"/>
  <c r="H26"/>
  <c r="E27"/>
  <c r="AF24" i="4"/>
  <c r="BA24" i="2"/>
  <c r="G24" i="92" s="1"/>
  <c r="BA25" i="2"/>
  <c r="G25" i="92" s="1"/>
  <c r="AF25" i="4"/>
  <c r="AF50"/>
  <c r="BA49" i="2"/>
  <c r="G49" i="92" s="1"/>
  <c r="L52" i="2"/>
  <c r="L46" i="4"/>
  <c r="G43" i="84"/>
  <c r="G47" s="1"/>
  <c r="E27"/>
  <c r="H26"/>
  <c r="AF64" i="4"/>
  <c r="AG68" i="2"/>
  <c r="J52"/>
  <c r="J46" i="4"/>
  <c r="H38" i="28"/>
  <c r="E40"/>
  <c r="G43" i="96"/>
  <c r="E43" s="1"/>
  <c r="H40"/>
  <c r="AO48" i="2"/>
  <c r="AQ49" i="4" s="1"/>
  <c r="E43" i="34"/>
  <c r="G43" i="59"/>
  <c r="G47" s="1"/>
  <c r="H40"/>
  <c r="H40" i="79"/>
  <c r="G43"/>
  <c r="G47" i="25"/>
  <c r="H40"/>
  <c r="G43" i="60"/>
  <c r="H40"/>
  <c r="G47"/>
  <c r="E43" i="77"/>
  <c r="AP48" i="2"/>
  <c r="AP52" s="1"/>
  <c r="AQ48"/>
  <c r="AQ52" s="1"/>
  <c r="E43" i="78"/>
  <c r="G43" i="97"/>
  <c r="E43" s="1"/>
  <c r="H40"/>
  <c r="AW48" i="2"/>
  <c r="AW52" s="1"/>
  <c r="AW74" s="1"/>
  <c r="AW75" s="1"/>
  <c r="E43" i="86"/>
  <c r="AM48" i="2"/>
  <c r="AP49" i="4" s="1"/>
  <c r="E43" i="69"/>
  <c r="E47" s="1"/>
  <c r="G67" i="89"/>
  <c r="G52" i="90" s="1"/>
  <c r="E74" i="89"/>
  <c r="S45" i="1"/>
  <c r="Q45" i="2"/>
  <c r="G47" i="78"/>
  <c r="G28" i="3"/>
  <c r="F23" i="48" s="1"/>
  <c r="X72" i="4"/>
  <c r="U74" i="1"/>
  <c r="U75" s="1"/>
  <c r="U81" s="1"/>
  <c r="F53" i="3"/>
  <c r="AQ74" i="1"/>
  <c r="AQ75" s="1"/>
  <c r="AQ81" s="1"/>
  <c r="G44" i="4"/>
  <c r="G45" i="1"/>
  <c r="G22" i="3"/>
  <c r="F17" i="48" s="1"/>
  <c r="Q72" i="4"/>
  <c r="O74" i="1"/>
  <c r="O75" s="1"/>
  <c r="O81" s="1"/>
  <c r="G102" i="3"/>
  <c r="AC72" i="4"/>
  <c r="F9" i="48"/>
  <c r="G20" i="3"/>
  <c r="G42" s="1"/>
  <c r="G65" s="1"/>
  <c r="T66"/>
  <c r="G13" i="50"/>
  <c r="F13" s="1"/>
  <c r="F16" s="1"/>
  <c r="F18" s="1"/>
  <c r="L24" i="51"/>
  <c r="E23" s="1"/>
  <c r="AR13" i="4"/>
  <c r="L24" i="91"/>
  <c r="E23" s="1"/>
  <c r="E47" i="95"/>
  <c r="H47" s="1"/>
  <c r="H43"/>
  <c r="AF22" i="4"/>
  <c r="AG26" i="2"/>
  <c r="I52"/>
  <c r="I46" i="4"/>
  <c r="F64" i="92"/>
  <c r="F66" s="1"/>
  <c r="I64"/>
  <c r="I66" s="1"/>
  <c r="V52" i="2"/>
  <c r="X46" i="4"/>
  <c r="E47" i="20"/>
  <c r="H47" s="1"/>
  <c r="H40"/>
  <c r="F124" i="3"/>
  <c r="AV74" i="2"/>
  <c r="AV75" s="1"/>
  <c r="E162" i="48"/>
  <c r="E161"/>
  <c r="BA23" i="2"/>
  <c r="G23" i="92" s="1"/>
  <c r="AF23" i="4"/>
  <c r="E49" i="89"/>
  <c r="AP18" i="4"/>
  <c r="AM45" i="2"/>
  <c r="AM52" s="1"/>
  <c r="AO18" i="4"/>
  <c r="AL45" i="2"/>
  <c r="AT32"/>
  <c r="AT43" s="1"/>
  <c r="AT45" s="1"/>
  <c r="BA31"/>
  <c r="G31" i="92" s="1"/>
  <c r="F58"/>
  <c r="I58"/>
  <c r="I60"/>
  <c r="F60"/>
  <c r="I62"/>
  <c r="F62"/>
  <c r="E45"/>
  <c r="E52" i="2"/>
  <c r="E46" i="4"/>
  <c r="K52" i="2"/>
  <c r="K46" i="4"/>
  <c r="U52" i="2"/>
  <c r="V46" i="4"/>
  <c r="S48" i="2"/>
  <c r="E43" i="22"/>
  <c r="H43" i="98"/>
  <c r="E47"/>
  <c r="AJ74" i="2"/>
  <c r="AJ75" s="1"/>
  <c r="F112" i="3"/>
  <c r="AR48" i="2"/>
  <c r="AR52" s="1"/>
  <c r="E43" i="83"/>
  <c r="AS48" i="2"/>
  <c r="AS52" s="1"/>
  <c r="E43" i="80"/>
  <c r="H40" i="74"/>
  <c r="G43"/>
  <c r="H40" i="76"/>
  <c r="G43"/>
  <c r="E43" s="1"/>
  <c r="F78" i="89"/>
  <c r="F89" s="1"/>
  <c r="F93" s="1"/>
  <c r="F80"/>
  <c r="G43" i="73"/>
  <c r="H40"/>
  <c r="E59" i="89"/>
  <c r="G47" i="98"/>
  <c r="D155" i="48"/>
  <c r="AN48" i="2" l="1"/>
  <c r="AN52" s="1"/>
  <c r="E43" i="73"/>
  <c r="H43" i="76"/>
  <c r="E47"/>
  <c r="H43" i="80"/>
  <c r="E47"/>
  <c r="H47" s="1"/>
  <c r="E47" i="22"/>
  <c r="H47" s="1"/>
  <c r="H43"/>
  <c r="F83" i="89"/>
  <c r="F86" s="1"/>
  <c r="E65"/>
  <c r="F95"/>
  <c r="G95" s="1"/>
  <c r="BG48" i="2"/>
  <c r="BG52" s="1"/>
  <c r="BG74" s="1"/>
  <c r="BG75" s="1"/>
  <c r="E43" i="74"/>
  <c r="F121" i="3"/>
  <c r="AS74" i="2"/>
  <c r="AS75" s="1"/>
  <c r="AR74"/>
  <c r="AR75" s="1"/>
  <c r="F120" i="3"/>
  <c r="T49" i="4"/>
  <c r="S52" i="2"/>
  <c r="F98" i="3"/>
  <c r="U74" i="2"/>
  <c r="U75" s="1"/>
  <c r="V55" i="4"/>
  <c r="F86" i="3"/>
  <c r="K74" i="2"/>
  <c r="K75" s="1"/>
  <c r="K55" i="4"/>
  <c r="F80" i="3"/>
  <c r="E54" i="92"/>
  <c r="E71" s="1"/>
  <c r="E55" i="4"/>
  <c r="E74" s="1"/>
  <c r="E69" i="2"/>
  <c r="E74"/>
  <c r="F31" i="92"/>
  <c r="AL52" i="2"/>
  <c r="AO46" i="4"/>
  <c r="F115" i="3"/>
  <c r="AM74" i="2"/>
  <c r="AM75" s="1"/>
  <c r="I23" i="92"/>
  <c r="F23"/>
  <c r="F99" i="3"/>
  <c r="V74" i="2"/>
  <c r="V75" s="1"/>
  <c r="X55" i="4"/>
  <c r="F84" i="3"/>
  <c r="I74" i="2"/>
  <c r="I75" s="1"/>
  <c r="I55" i="4"/>
  <c r="S52" i="1"/>
  <c r="U46" i="4"/>
  <c r="G56" i="90"/>
  <c r="G63" s="1"/>
  <c r="E52"/>
  <c r="AI57" i="2"/>
  <c r="H43" i="78"/>
  <c r="E47"/>
  <c r="H47" s="1"/>
  <c r="F118" i="3"/>
  <c r="AP74" i="2"/>
  <c r="AP75" s="1"/>
  <c r="AH48"/>
  <c r="AH52" s="1"/>
  <c r="E43" i="60"/>
  <c r="E47" i="28"/>
  <c r="H47" s="1"/>
  <c r="H40"/>
  <c r="E38" i="84"/>
  <c r="H27"/>
  <c r="L55" i="4"/>
  <c r="F87" i="3"/>
  <c r="L74" i="2"/>
  <c r="L75" s="1"/>
  <c r="I25" i="92"/>
  <c r="F25"/>
  <c r="AX48" i="2"/>
  <c r="AX52" s="1"/>
  <c r="E43" i="87"/>
  <c r="H43" s="1"/>
  <c r="AI22" i="2"/>
  <c r="G21" i="90"/>
  <c r="G38" s="1"/>
  <c r="E17"/>
  <c r="F30" i="92"/>
  <c r="I30"/>
  <c r="N69" i="1"/>
  <c r="K20" i="3" s="1"/>
  <c r="AR16" i="4"/>
  <c r="G16" i="50"/>
  <c r="AJ46" i="4"/>
  <c r="AA52" i="1"/>
  <c r="F48" i="3"/>
  <c r="AL74" i="1"/>
  <c r="AL75" s="1"/>
  <c r="AL81" s="1"/>
  <c r="G47" i="76"/>
  <c r="H47" i="98"/>
  <c r="AT52" i="2"/>
  <c r="G47" i="73"/>
  <c r="G47" i="74"/>
  <c r="F53" i="48"/>
  <c r="G47" i="97"/>
  <c r="G47" i="96"/>
  <c r="H43" i="83"/>
  <c r="E47"/>
  <c r="H47" s="1"/>
  <c r="AF26" i="4"/>
  <c r="F110" i="48"/>
  <c r="G108" i="3"/>
  <c r="G52" i="1"/>
  <c r="G46" i="4"/>
  <c r="Q52" i="2"/>
  <c r="R46" i="4"/>
  <c r="E78" i="89"/>
  <c r="E89" s="1"/>
  <c r="E93" s="1"/>
  <c r="E95" s="1"/>
  <c r="E80"/>
  <c r="H43" i="86"/>
  <c r="E47"/>
  <c r="H47" s="1"/>
  <c r="H43" i="97"/>
  <c r="E47"/>
  <c r="H47" s="1"/>
  <c r="F119" i="3"/>
  <c r="AQ74" i="2"/>
  <c r="AQ75" s="1"/>
  <c r="E47" i="77"/>
  <c r="H47" s="1"/>
  <c r="H43"/>
  <c r="AB48" i="2"/>
  <c r="E43" i="79"/>
  <c r="Y48" i="2"/>
  <c r="E43" i="59"/>
  <c r="H43" i="34"/>
  <c r="E47"/>
  <c r="H47" s="1"/>
  <c r="H43" i="96"/>
  <c r="E47"/>
  <c r="J55" i="4"/>
  <c r="F85" i="3"/>
  <c r="J74" i="2"/>
  <c r="J75" s="1"/>
  <c r="AT48"/>
  <c r="E43" i="84"/>
  <c r="H43" s="1"/>
  <c r="I49" i="92"/>
  <c r="F49"/>
  <c r="F24"/>
  <c r="I24"/>
  <c r="H27" i="87"/>
  <c r="E38"/>
  <c r="AO52" i="2"/>
  <c r="AQ46" i="4"/>
  <c r="BD18" i="1"/>
  <c r="AF18" i="4"/>
  <c r="AG45" i="1"/>
  <c r="AF72" i="4"/>
  <c r="BD68" i="1"/>
  <c r="G66" i="50"/>
  <c r="AR68" i="4"/>
  <c r="F76" i="82"/>
  <c r="F87" s="1"/>
  <c r="F91" s="1"/>
  <c r="F95" s="1"/>
  <c r="F78"/>
  <c r="M52" i="1"/>
  <c r="M46" i="4"/>
  <c r="F46"/>
  <c r="F52" i="1"/>
  <c r="N43" i="2"/>
  <c r="O32" i="4"/>
  <c r="BA29" i="2"/>
  <c r="G29" i="92" s="1"/>
  <c r="AF29" i="4"/>
  <c r="AG32" i="2"/>
  <c r="AN52" i="1"/>
  <c r="AP46" i="4"/>
  <c r="F83" i="3"/>
  <c r="H74" i="2"/>
  <c r="H75" s="1"/>
  <c r="H55" i="4"/>
  <c r="G43" i="50"/>
  <c r="AR44" i="4"/>
  <c r="G47" i="79"/>
  <c r="F29" i="92" l="1"/>
  <c r="F32" s="1"/>
  <c r="I29"/>
  <c r="N45" i="2"/>
  <c r="O44" i="4"/>
  <c r="F18" i="3"/>
  <c r="M55" i="4"/>
  <c r="M74" i="1"/>
  <c r="M75" s="1"/>
  <c r="M81" s="1"/>
  <c r="AC49" i="4"/>
  <c r="Y52" i="2"/>
  <c r="AE49" i="4"/>
  <c r="AB52" i="2"/>
  <c r="F94" i="3"/>
  <c r="Q74" i="2"/>
  <c r="Q75" s="1"/>
  <c r="R55" i="4"/>
  <c r="G74" i="1"/>
  <c r="G75" s="1"/>
  <c r="G81" s="1"/>
  <c r="F12" i="3"/>
  <c r="G55" i="4"/>
  <c r="F50" i="3"/>
  <c r="AN74" i="1"/>
  <c r="AN75" s="1"/>
  <c r="AN81" s="1"/>
  <c r="AP55" i="4"/>
  <c r="F11" i="3"/>
  <c r="F55" i="4"/>
  <c r="F74" i="1"/>
  <c r="F75" s="1"/>
  <c r="F81" s="1"/>
  <c r="L12" i="51"/>
  <c r="G70" i="50"/>
  <c r="AU72" i="4"/>
  <c r="L12" i="91"/>
  <c r="AR72" i="4"/>
  <c r="BD45" i="1"/>
  <c r="G18" i="50"/>
  <c r="AR18" i="4"/>
  <c r="F117" i="3"/>
  <c r="AO74" i="2"/>
  <c r="AO75" s="1"/>
  <c r="AQ55" i="4"/>
  <c r="H43" i="59"/>
  <c r="E47"/>
  <c r="H47" s="1"/>
  <c r="E47" i="79"/>
  <c r="H47" s="1"/>
  <c r="H43"/>
  <c r="AA74" i="1"/>
  <c r="AA75" s="1"/>
  <c r="AA81" s="1"/>
  <c r="F34" i="3"/>
  <c r="AJ55" i="4"/>
  <c r="E21" i="90"/>
  <c r="H17"/>
  <c r="AI26" i="2"/>
  <c r="BA22"/>
  <c r="G22" i="92" s="1"/>
  <c r="AX74" i="2"/>
  <c r="AX75" s="1"/>
  <c r="F125" i="3"/>
  <c r="H43" i="60"/>
  <c r="E47"/>
  <c r="H47" s="1"/>
  <c r="BA57" i="2"/>
  <c r="G59" i="92" s="1"/>
  <c r="AI61" i="2"/>
  <c r="F26" i="3"/>
  <c r="U55" i="4"/>
  <c r="S74" i="1"/>
  <c r="S75" s="1"/>
  <c r="S81" s="1"/>
  <c r="AL74" i="2"/>
  <c r="AL75" s="1"/>
  <c r="AO55" i="4"/>
  <c r="F114" i="3"/>
  <c r="F96"/>
  <c r="S74" i="2"/>
  <c r="S75" s="1"/>
  <c r="T55" i="4"/>
  <c r="F116" i="3"/>
  <c r="AN74" i="2"/>
  <c r="AN75" s="1"/>
  <c r="H47" i="96"/>
  <c r="AG48" i="2"/>
  <c r="AF32" i="4"/>
  <c r="BA32" i="2"/>
  <c r="G32" i="92" s="1"/>
  <c r="AG43" i="2"/>
  <c r="H38" i="87"/>
  <c r="E40"/>
  <c r="F57" i="48"/>
  <c r="F61" s="1"/>
  <c r="F64" s="1"/>
  <c r="F43" i="25" s="1"/>
  <c r="G53" i="48"/>
  <c r="AT74" i="2"/>
  <c r="AT75" s="1"/>
  <c r="F122" i="3"/>
  <c r="H38" i="84"/>
  <c r="E40"/>
  <c r="AH74" i="2"/>
  <c r="AH75" s="1"/>
  <c r="F110" i="3"/>
  <c r="E56" i="90"/>
  <c r="H52"/>
  <c r="E75" i="2"/>
  <c r="H43" i="74"/>
  <c r="E47"/>
  <c r="H47" s="1"/>
  <c r="E67" i="89"/>
  <c r="G12" i="90" s="1"/>
  <c r="E83" i="89"/>
  <c r="E86" s="1"/>
  <c r="H43" i="73"/>
  <c r="E47"/>
  <c r="H47" s="1"/>
  <c r="F90" i="3"/>
  <c r="G93" i="89"/>
  <c r="H47" i="76"/>
  <c r="H90" i="3" l="1"/>
  <c r="AG45" i="2"/>
  <c r="AF44" i="4"/>
  <c r="AI68" i="2"/>
  <c r="BA61"/>
  <c r="G63" i="92" s="1"/>
  <c r="E12" i="90"/>
  <c r="AI17" i="2"/>
  <c r="G13" i="90"/>
  <c r="G40" s="1"/>
  <c r="E63"/>
  <c r="H63" s="1"/>
  <c r="H56"/>
  <c r="AC48" i="1"/>
  <c r="F47" i="25"/>
  <c r="E43"/>
  <c r="I59" i="92"/>
  <c r="I63" s="1"/>
  <c r="I70" s="1"/>
  <c r="F59"/>
  <c r="F63" s="1"/>
  <c r="F70" s="1"/>
  <c r="AI43" i="2"/>
  <c r="BA43" s="1"/>
  <c r="G43" i="92" s="1"/>
  <c r="BA26" i="2"/>
  <c r="G26" i="92" s="1"/>
  <c r="H21" i="90"/>
  <c r="E38"/>
  <c r="H38" s="1"/>
  <c r="G45" i="50"/>
  <c r="F45" s="1"/>
  <c r="AR46" i="4"/>
  <c r="E9" i="91"/>
  <c r="L14"/>
  <c r="E13" s="1"/>
  <c r="F105" i="3"/>
  <c r="F108" s="1"/>
  <c r="AE55" i="4"/>
  <c r="AC55"/>
  <c r="F102" i="3"/>
  <c r="Y74" i="2"/>
  <c r="Y75" s="1"/>
  <c r="N52"/>
  <c r="O46" i="4"/>
  <c r="F20" i="3"/>
  <c r="H20" s="1"/>
  <c r="H40" i="84"/>
  <c r="E47"/>
  <c r="H47" s="1"/>
  <c r="H40" i="87"/>
  <c r="E47"/>
  <c r="H47" s="1"/>
  <c r="I22" i="92"/>
  <c r="I26" s="1"/>
  <c r="F22"/>
  <c r="F26" s="1"/>
  <c r="F43" s="1"/>
  <c r="E9" i="51"/>
  <c r="L14"/>
  <c r="E13" s="1"/>
  <c r="H108" i="3" l="1"/>
  <c r="T131"/>
  <c r="G43" i="90"/>
  <c r="N69" i="2"/>
  <c r="K90" i="3" s="1"/>
  <c r="O55" i="4"/>
  <c r="O74" s="1"/>
  <c r="H43" i="25"/>
  <c r="E47"/>
  <c r="H47" s="1"/>
  <c r="AC52" i="1"/>
  <c r="AG48"/>
  <c r="W49" i="4"/>
  <c r="BA17" i="2"/>
  <c r="G17" i="92" s="1"/>
  <c r="AI18" i="2"/>
  <c r="H12" i="90"/>
  <c r="E13"/>
  <c r="G111" i="3"/>
  <c r="BA68" i="2"/>
  <c r="AG52"/>
  <c r="AF46" i="4"/>
  <c r="AG69" i="2" l="1"/>
  <c r="K108" i="3" s="1"/>
  <c r="H13" i="90"/>
  <c r="E40"/>
  <c r="BA18" i="2"/>
  <c r="G18" i="92" s="1"/>
  <c r="AI45" i="2"/>
  <c r="F36" i="3"/>
  <c r="F42" s="1"/>
  <c r="AC74" i="1"/>
  <c r="AC75" s="1"/>
  <c r="AC81" s="1"/>
  <c r="W55" i="4"/>
  <c r="E43" i="90"/>
  <c r="H43" s="1"/>
  <c r="AI48" i="2"/>
  <c r="BA48" s="1"/>
  <c r="G48" i="92" s="1"/>
  <c r="L35" i="91"/>
  <c r="G70" i="92"/>
  <c r="L35" i="51"/>
  <c r="F116" i="48"/>
  <c r="F131" s="1"/>
  <c r="F135" s="1"/>
  <c r="F139" s="1"/>
  <c r="F142" s="1"/>
  <c r="G127" i="3"/>
  <c r="F17" i="92"/>
  <c r="F18" s="1"/>
  <c r="I17"/>
  <c r="AF49" i="4"/>
  <c r="BD48" i="1"/>
  <c r="AG52"/>
  <c r="G47" i="90"/>
  <c r="AF55" i="4" l="1"/>
  <c r="AF74" s="1"/>
  <c r="AG69" i="1"/>
  <c r="K42" i="3" s="1"/>
  <c r="BD52" i="1"/>
  <c r="E41" i="91"/>
  <c r="L37"/>
  <c r="AI52" i="2"/>
  <c r="BA45"/>
  <c r="G45" i="92" s="1"/>
  <c r="F45" s="1"/>
  <c r="H40" i="90"/>
  <c r="E47"/>
  <c r="H47" s="1"/>
  <c r="AR49" i="4"/>
  <c r="G48" i="50"/>
  <c r="F48" s="1"/>
  <c r="F54" s="1"/>
  <c r="E41" i="51"/>
  <c r="L37"/>
  <c r="F48" i="92"/>
  <c r="T67" i="3"/>
  <c r="F65"/>
  <c r="H42"/>
  <c r="F111" l="1"/>
  <c r="F127" s="1"/>
  <c r="AI74" i="2"/>
  <c r="BA52"/>
  <c r="T68" i="3"/>
  <c r="H65"/>
  <c r="E45" i="51"/>
  <c r="E45" i="91"/>
  <c r="BD74" i="1"/>
  <c r="BD75" s="1"/>
  <c r="BD81" s="1"/>
  <c r="BD83" s="1"/>
  <c r="E15" i="51"/>
  <c r="E17" s="1"/>
  <c r="E21" s="1"/>
  <c r="L16" i="91"/>
  <c r="L18" s="1"/>
  <c r="L22" s="1"/>
  <c r="L26" s="1"/>
  <c r="BD69" i="1"/>
  <c r="K64" i="3" s="1"/>
  <c r="L16" i="51"/>
  <c r="L18" s="1"/>
  <c r="L22" s="1"/>
  <c r="L26" s="1"/>
  <c r="AU55" i="4"/>
  <c r="E15" i="91"/>
  <c r="E17" s="1"/>
  <c r="E21" s="1"/>
  <c r="E25" s="1"/>
  <c r="G54" i="50"/>
  <c r="G71" s="1"/>
  <c r="AR55" i="4"/>
  <c r="AR74" s="1"/>
  <c r="F54" i="92"/>
  <c r="F45" i="91" l="1"/>
  <c r="F47" s="1"/>
  <c r="AI75" i="2"/>
  <c r="BA78" s="1"/>
  <c r="BA77"/>
  <c r="J9" i="52"/>
  <c r="E25" i="51"/>
  <c r="L39" i="91"/>
  <c r="L41" s="1"/>
  <c r="L45" s="1"/>
  <c r="L49" s="1"/>
  <c r="L39" i="51"/>
  <c r="L41" s="1"/>
  <c r="L45" s="1"/>
  <c r="L49" s="1"/>
  <c r="BA69" i="2"/>
  <c r="E47" i="91"/>
  <c r="E47" i="51"/>
  <c r="E49" s="1"/>
  <c r="E53" s="1"/>
  <c r="E57" s="1"/>
  <c r="G54" i="92"/>
  <c r="G71" s="1"/>
  <c r="BA74" i="2"/>
  <c r="BA75" s="1"/>
  <c r="H127" i="3"/>
  <c r="T132"/>
  <c r="J12" i="52" l="1"/>
  <c r="J14"/>
  <c r="J16"/>
  <c r="H31" i="50" s="1"/>
  <c r="J18" i="52"/>
  <c r="H13" i="50"/>
  <c r="G47" i="91"/>
  <c r="G45"/>
  <c r="E49"/>
  <c r="G49" l="1"/>
  <c r="G60" s="1"/>
  <c r="G64" s="1"/>
  <c r="G66" s="1"/>
  <c r="E53"/>
  <c r="I13" i="50"/>
  <c r="I16" s="1"/>
  <c r="I18" s="1"/>
  <c r="H16"/>
  <c r="H18" s="1"/>
  <c r="I31"/>
  <c r="I32" s="1"/>
  <c r="H32"/>
  <c r="H34"/>
  <c r="I34" s="1"/>
  <c r="J20" i="52"/>
  <c r="J22" s="1"/>
  <c r="J24" s="1"/>
  <c r="H48" i="50" s="1"/>
  <c r="I48" s="1"/>
  <c r="H39"/>
  <c r="J26" i="52"/>
  <c r="G53" i="91" l="1"/>
  <c r="G57" s="1"/>
  <c r="E57"/>
  <c r="J7" i="93"/>
  <c r="I39" i="50"/>
  <c r="I42" s="1"/>
  <c r="I43" s="1"/>
  <c r="I45" s="1"/>
  <c r="I54" s="1"/>
  <c r="I71" s="1"/>
  <c r="H42"/>
  <c r="H43"/>
  <c r="H45" s="1"/>
  <c r="H54" s="1"/>
  <c r="J11" i="93" l="1"/>
  <c r="H13" i="92"/>
  <c r="J15" i="93"/>
  <c r="H31" i="92" s="1"/>
  <c r="J13" i="93"/>
  <c r="H39" i="92" s="1"/>
  <c r="H32" l="1"/>
  <c r="I31"/>
  <c r="I32" s="1"/>
  <c r="H16"/>
  <c r="H18" s="1"/>
  <c r="I13"/>
  <c r="I16" s="1"/>
  <c r="I18" s="1"/>
  <c r="H42"/>
  <c r="I39"/>
  <c r="I42" s="1"/>
  <c r="H34"/>
  <c r="I34" s="1"/>
  <c r="J17" i="93"/>
  <c r="J19" s="1"/>
  <c r="J21" l="1"/>
  <c r="H48" i="92" s="1"/>
  <c r="I48" s="1"/>
  <c r="J23" i="93"/>
  <c r="I43" i="92"/>
  <c r="I45" s="1"/>
  <c r="I54" s="1"/>
  <c r="I71" s="1"/>
  <c r="H43"/>
  <c r="H45" s="1"/>
  <c r="H54" s="1"/>
</calcChain>
</file>

<file path=xl/comments1.xml><?xml version="1.0" encoding="utf-8"?>
<comments xmlns="http://schemas.openxmlformats.org/spreadsheetml/2006/main">
  <authors>
    <author>rzk7kq</author>
  </authors>
  <commentList>
    <comment ref="F86" authorId="0">
      <text>
        <r>
          <rPr>
            <b/>
            <sz val="8"/>
            <color indexed="81"/>
            <rFont val="Tahoma"/>
            <family val="2"/>
          </rPr>
          <t>rzk7kq:</t>
        </r>
        <r>
          <rPr>
            <sz val="8"/>
            <color indexed="81"/>
            <rFont val="Tahoma"/>
            <family val="2"/>
          </rPr>
          <t xml:space="preserve">
removed leased transportation vehicle amortization of $22, moved to General</t>
        </r>
      </text>
    </comment>
    <comment ref="F99" authorId="0">
      <text>
        <r>
          <rPr>
            <b/>
            <sz val="8"/>
            <color indexed="81"/>
            <rFont val="Tahoma"/>
            <family val="2"/>
          </rPr>
          <t>rzk7kq:</t>
        </r>
        <r>
          <rPr>
            <sz val="8"/>
            <color indexed="81"/>
            <rFont val="Tahoma"/>
            <family val="2"/>
          </rPr>
          <t xml:space="preserve">
removed leased transportation vehicle amortization from Transmission Depr. of $22, moved to General</t>
        </r>
      </text>
    </comment>
  </commentList>
</comments>
</file>

<file path=xl/comments2.xml><?xml version="1.0" encoding="utf-8"?>
<comments xmlns="http://schemas.openxmlformats.org/spreadsheetml/2006/main">
  <authors>
    <author>rzk7kq</author>
  </authors>
  <commentList>
    <comment ref="F55" authorId="0">
      <text>
        <r>
          <rPr>
            <b/>
            <sz val="8"/>
            <color indexed="81"/>
            <rFont val="Tahoma"/>
            <family val="2"/>
          </rPr>
          <t>rzk7kq:</t>
        </r>
        <r>
          <rPr>
            <sz val="8"/>
            <color indexed="81"/>
            <rFont val="Tahoma"/>
            <family val="2"/>
          </rPr>
          <t xml:space="preserve">
WA includes STD
Cap Structure at 12/31/2007 provided by Paul Kimball</t>
        </r>
      </text>
    </comment>
    <comment ref="B67" authorId="0">
      <text>
        <r>
          <rPr>
            <b/>
            <sz val="8"/>
            <color indexed="81"/>
            <rFont val="Tahoma"/>
            <family val="2"/>
          </rPr>
          <t xml:space="preserve">rzk7kq: </t>
        </r>
        <r>
          <rPr>
            <sz val="8"/>
            <color indexed="81"/>
            <rFont val="Tahoma"/>
            <family val="2"/>
          </rPr>
          <t xml:space="preserve">
AFUDC Equity - all 419100 accounts
AFUDC Debt - all 432000 accounts</t>
        </r>
      </text>
    </comment>
    <comment ref="F133" authorId="0">
      <text>
        <r>
          <rPr>
            <b/>
            <sz val="8"/>
            <color indexed="81"/>
            <rFont val="Tahoma"/>
            <family val="2"/>
          </rPr>
          <t>rzk7kq:</t>
        </r>
        <r>
          <rPr>
            <sz val="8"/>
            <color indexed="81"/>
            <rFont val="Tahoma"/>
            <family val="2"/>
          </rPr>
          <t xml:space="preserve">
ID excludes STD
Cap Structure at 12/31/2005 provided by Paul Kimball</t>
        </r>
      </text>
    </comment>
  </commentList>
</comments>
</file>

<file path=xl/comments3.xml><?xml version="1.0" encoding="utf-8"?>
<comments xmlns="http://schemas.openxmlformats.org/spreadsheetml/2006/main">
  <authors>
    <author>Corp Employee</author>
  </authors>
  <commentList>
    <comment ref="E10" authorId="0">
      <text>
        <r>
          <rPr>
            <b/>
            <sz val="8"/>
            <color indexed="81"/>
            <rFont val="Tahoma"/>
            <family val="2"/>
          </rPr>
          <t>Corp Employee:</t>
        </r>
        <r>
          <rPr>
            <sz val="8"/>
            <color indexed="81"/>
            <rFont val="Tahoma"/>
            <family val="2"/>
          </rPr>
          <t xml:space="preserve">
Sales for Resale Acct 447, Sales of Water &amp; Water Power Acct 453, workpaper for Account 454 and 456</t>
        </r>
      </text>
    </comment>
    <comment ref="G10" authorId="0">
      <text>
        <r>
          <rPr>
            <b/>
            <sz val="8"/>
            <color indexed="81"/>
            <rFont val="Tahoma"/>
            <family val="2"/>
          </rPr>
          <t>Corp Employee:</t>
        </r>
        <r>
          <rPr>
            <sz val="8"/>
            <color indexed="81"/>
            <rFont val="Tahoma"/>
            <family val="2"/>
          </rPr>
          <t xml:space="preserve">
Add PT Intangible from workpaper and Deduct PT Accum Depr and Amort from workpaper.</t>
        </r>
      </text>
    </comment>
    <comment ref="G11" authorId="0">
      <text>
        <r>
          <rPr>
            <b/>
            <sz val="8"/>
            <color indexed="81"/>
            <rFont val="Tahoma"/>
            <family val="2"/>
          </rPr>
          <t>Corp Employee:</t>
        </r>
        <r>
          <rPr>
            <sz val="8"/>
            <color indexed="81"/>
            <rFont val="Tahoma"/>
            <family val="2"/>
          </rPr>
          <t xml:space="preserve">
DFIT Functionalization workpaper
</t>
        </r>
      </text>
    </comment>
    <comment ref="G49" authorId="0">
      <text>
        <r>
          <rPr>
            <b/>
            <sz val="8"/>
            <color indexed="81"/>
            <rFont val="Tahoma"/>
            <family val="2"/>
          </rPr>
          <t>Corp Employee:</t>
        </r>
        <r>
          <rPr>
            <sz val="8"/>
            <color indexed="81"/>
            <rFont val="Tahoma"/>
            <family val="2"/>
          </rPr>
          <t xml:space="preserve">
PF6 Adj workpapers
</t>
        </r>
      </text>
    </comment>
    <comment ref="G50" authorId="0">
      <text>
        <r>
          <rPr>
            <b/>
            <sz val="8"/>
            <color indexed="81"/>
            <rFont val="Tahoma"/>
            <family val="2"/>
          </rPr>
          <t>Corp Employee:</t>
        </r>
        <r>
          <rPr>
            <sz val="8"/>
            <color indexed="81"/>
            <rFont val="Tahoma"/>
            <family val="2"/>
          </rPr>
          <t xml:space="preserve">
PF7 Adj workpapers
</t>
        </r>
      </text>
    </comment>
  </commentList>
</comments>
</file>

<file path=xl/comments4.xml><?xml version="1.0" encoding="utf-8"?>
<comments xmlns="http://schemas.openxmlformats.org/spreadsheetml/2006/main">
  <authors>
    <author>Corp Employee</author>
  </authors>
  <commentList>
    <comment ref="E10" authorId="0">
      <text>
        <r>
          <rPr>
            <b/>
            <sz val="8"/>
            <color indexed="81"/>
            <rFont val="Tahoma"/>
            <family val="2"/>
          </rPr>
          <t>Corp Employee:</t>
        </r>
        <r>
          <rPr>
            <sz val="8"/>
            <color indexed="81"/>
            <rFont val="Tahoma"/>
            <family val="2"/>
          </rPr>
          <t xml:space="preserve">
Sales for Resale Acct 447, Sales of Water &amp; Water Power Acct 453, workpaper for Account 454 and 456</t>
        </r>
      </text>
    </comment>
    <comment ref="G10" authorId="0">
      <text>
        <r>
          <rPr>
            <b/>
            <sz val="8"/>
            <color indexed="81"/>
            <rFont val="Tahoma"/>
            <family val="2"/>
          </rPr>
          <t>Corp Employee:</t>
        </r>
        <r>
          <rPr>
            <sz val="8"/>
            <color indexed="81"/>
            <rFont val="Tahoma"/>
            <family val="2"/>
          </rPr>
          <t xml:space="preserve">
Add PT Intangible from workpaper and Deduct PT Accum Depr and Amort from workpaper.</t>
        </r>
      </text>
    </comment>
    <comment ref="G11" authorId="0">
      <text>
        <r>
          <rPr>
            <b/>
            <sz val="8"/>
            <color indexed="81"/>
            <rFont val="Tahoma"/>
            <family val="2"/>
          </rPr>
          <t>Corp Employee:</t>
        </r>
        <r>
          <rPr>
            <sz val="8"/>
            <color indexed="81"/>
            <rFont val="Tahoma"/>
            <family val="2"/>
          </rPr>
          <t xml:space="preserve">
DFIT Functionalization workpaper
</t>
        </r>
      </text>
    </comment>
    <comment ref="G49" authorId="0">
      <text>
        <r>
          <rPr>
            <b/>
            <sz val="8"/>
            <color indexed="81"/>
            <rFont val="Tahoma"/>
            <family val="2"/>
          </rPr>
          <t>Corp Employee:</t>
        </r>
        <r>
          <rPr>
            <sz val="8"/>
            <color indexed="81"/>
            <rFont val="Tahoma"/>
            <family val="2"/>
          </rPr>
          <t xml:space="preserve">
PF6 Adj workpapers
</t>
        </r>
      </text>
    </comment>
    <comment ref="G50" authorId="0">
      <text>
        <r>
          <rPr>
            <b/>
            <sz val="8"/>
            <color indexed="81"/>
            <rFont val="Tahoma"/>
            <family val="2"/>
          </rPr>
          <t>Corp Employee:</t>
        </r>
        <r>
          <rPr>
            <sz val="8"/>
            <color indexed="81"/>
            <rFont val="Tahoma"/>
            <family val="2"/>
          </rPr>
          <t xml:space="preserve">
PF7 Adj workpapers
</t>
        </r>
      </text>
    </comment>
    <comment ref="J50" authorId="0">
      <text>
        <r>
          <rPr>
            <b/>
            <sz val="8"/>
            <color indexed="81"/>
            <rFont val="Tahoma"/>
            <family val="2"/>
          </rPr>
          <t>Corp Employee:</t>
        </r>
        <r>
          <rPr>
            <sz val="8"/>
            <color indexed="81"/>
            <rFont val="Tahoma"/>
            <family val="2"/>
          </rPr>
          <t xml:space="preserve">
PF8 Adj workpapers
</t>
        </r>
      </text>
    </comment>
  </commentList>
</comments>
</file>

<file path=xl/sharedStrings.xml><?xml version="1.0" encoding="utf-8"?>
<sst xmlns="http://schemas.openxmlformats.org/spreadsheetml/2006/main" count="6225" uniqueCount="707">
  <si>
    <t>ELECTRIC RESULTS OF OPERATION</t>
  </si>
  <si>
    <t>(000'S OF DOLLARS)</t>
  </si>
  <si>
    <t>Per</t>
  </si>
  <si>
    <t xml:space="preserve">Deferred </t>
  </si>
  <si>
    <t>Colstrip 3</t>
  </si>
  <si>
    <t>Colstrip</t>
  </si>
  <si>
    <t>Kettle</t>
  </si>
  <si>
    <t>Weatherizn</t>
  </si>
  <si>
    <t>Settlement</t>
  </si>
  <si>
    <t>Eliminate</t>
  </si>
  <si>
    <t>Injuries</t>
  </si>
  <si>
    <t>Restate</t>
  </si>
  <si>
    <t>Office Space</t>
  </si>
  <si>
    <t>Pro Forma</t>
  </si>
  <si>
    <t>Line</t>
  </si>
  <si>
    <t xml:space="preserve">Results </t>
  </si>
  <si>
    <t>FIT</t>
  </si>
  <si>
    <t>on Office</t>
  </si>
  <si>
    <t>AFUDC</t>
  </si>
  <si>
    <t>Common</t>
  </si>
  <si>
    <t>Falls</t>
  </si>
  <si>
    <t>and DSM</t>
  </si>
  <si>
    <t>Customer</t>
  </si>
  <si>
    <t>Exchange</t>
  </si>
  <si>
    <t>Subtotal</t>
  </si>
  <si>
    <t>Power</t>
  </si>
  <si>
    <t>B &amp; O</t>
  </si>
  <si>
    <t>Property</t>
  </si>
  <si>
    <t>Uncollect.</t>
  </si>
  <si>
    <t>Regulatory</t>
  </si>
  <si>
    <t xml:space="preserve">and </t>
  </si>
  <si>
    <t>Debt</t>
  </si>
  <si>
    <t>A/R</t>
  </si>
  <si>
    <t>Charges to</t>
  </si>
  <si>
    <t>Restated</t>
  </si>
  <si>
    <t>No.</t>
  </si>
  <si>
    <t>DESCRIPTION</t>
  </si>
  <si>
    <t>Report</t>
  </si>
  <si>
    <t>Rate Base</t>
  </si>
  <si>
    <t>Building</t>
  </si>
  <si>
    <t>Elimination</t>
  </si>
  <si>
    <t>Disallow.</t>
  </si>
  <si>
    <t>Investment</t>
  </si>
  <si>
    <t>Advances</t>
  </si>
  <si>
    <t>Actual</t>
  </si>
  <si>
    <t>Adjustment</t>
  </si>
  <si>
    <t>Supply</t>
  </si>
  <si>
    <t>Taxes</t>
  </si>
  <si>
    <t>Tax</t>
  </si>
  <si>
    <t>Expense</t>
  </si>
  <si>
    <t>Damages</t>
  </si>
  <si>
    <t xml:space="preserve">FIT </t>
  </si>
  <si>
    <t>Interest</t>
  </si>
  <si>
    <t>Revenues</t>
  </si>
  <si>
    <t>Expenses</t>
  </si>
  <si>
    <t>TOTAL</t>
  </si>
  <si>
    <t>blank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</si>
  <si>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</si>
  <si>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</si>
  <si>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</si>
  <si>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</si>
  <si>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</si>
  <si>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</si>
  <si>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</si>
  <si>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</si>
  <si>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</si>
  <si>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</si>
  <si>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</si>
  <si>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-</t>
  </si>
  <si>
    <t>l</t>
  </si>
  <si>
    <t>o</t>
  </si>
  <si>
    <t>p</t>
  </si>
  <si>
    <t>q</t>
  </si>
  <si>
    <t>r</t>
  </si>
  <si>
    <t>s</t>
  </si>
  <si>
    <t>t</t>
  </si>
  <si>
    <t>u</t>
  </si>
  <si>
    <t>w</t>
  </si>
  <si>
    <t>x</t>
  </si>
  <si>
    <t>y</t>
  </si>
  <si>
    <t>z</t>
  </si>
  <si>
    <t>PF1</t>
  </si>
  <si>
    <t>PF2</t>
  </si>
  <si>
    <t>PF3</t>
  </si>
  <si>
    <t>PF4</t>
  </si>
  <si>
    <t>REVENUES</t>
  </si>
  <si>
    <t>Total General Business</t>
  </si>
  <si>
    <t>Interdepartmental Sales</t>
  </si>
  <si>
    <t>Sales for Resale</t>
  </si>
  <si>
    <t>Total Sales of Electricity</t>
  </si>
  <si>
    <t>Other Revenue</t>
  </si>
  <si>
    <t>Total Electric Revenue</t>
  </si>
  <si>
    <t>EXPENSES</t>
  </si>
  <si>
    <t>Production and Transmission</t>
  </si>
  <si>
    <t>Operating Expenses</t>
  </si>
  <si>
    <t>Purchased Power</t>
  </si>
  <si>
    <t>Depreciation and Amortization</t>
  </si>
  <si>
    <t>Total Production &amp; Transmission</t>
  </si>
  <si>
    <t>Distribution</t>
  </si>
  <si>
    <t>Depreciation</t>
  </si>
  <si>
    <t>Total Distribution</t>
  </si>
  <si>
    <t>Customer Accounting</t>
  </si>
  <si>
    <t>Customer Service &amp; Information</t>
  </si>
  <si>
    <t>Sales Expenses</t>
  </si>
  <si>
    <t>Administrative &amp; General</t>
  </si>
  <si>
    <t>Total Admin. &amp; General</t>
  </si>
  <si>
    <t>Total Electric Expenses</t>
  </si>
  <si>
    <t>OPERATING INCOME BEFORE FIT</t>
  </si>
  <si>
    <t>FEDERAL INCOME TAX</t>
  </si>
  <si>
    <t>Current Accrual</t>
  </si>
  <si>
    <t>Deferred Income Taxes</t>
  </si>
  <si>
    <t>Amortized Investment Tax Credit</t>
  </si>
  <si>
    <t>SETTLEMENT EXCHANGE POWER</t>
  </si>
  <si>
    <t>NET OPERATING INCOME</t>
  </si>
  <si>
    <t>RATE BASE</t>
  </si>
  <si>
    <t>PLANT IN SERVICE</t>
  </si>
  <si>
    <t>Intangible</t>
  </si>
  <si>
    <t>Production</t>
  </si>
  <si>
    <t>Transmission</t>
  </si>
  <si>
    <t>General</t>
  </si>
  <si>
    <t>Total Plant in Service</t>
  </si>
  <si>
    <t>ACCUMULATED DEPRECIATION</t>
  </si>
  <si>
    <t>ACCUM. PROVISION FOR AMORTIZATION</t>
  </si>
  <si>
    <t>Total Accum. Depreciation &amp; Amort.</t>
  </si>
  <si>
    <t>GAIN ON SALE OF BUILDING</t>
  </si>
  <si>
    <t>DEFERRED TAXES</t>
  </si>
  <si>
    <t>TOTAL RATE BASE</t>
  </si>
  <si>
    <t>RATE OF RETURN</t>
  </si>
  <si>
    <t>Idaho</t>
  </si>
  <si>
    <t>PCA</t>
  </si>
  <si>
    <t xml:space="preserve"> </t>
  </si>
  <si>
    <t>Restatement Summary</t>
  </si>
  <si>
    <t>Washington Electric</t>
  </si>
  <si>
    <t>Column</t>
  </si>
  <si>
    <t>Description</t>
  </si>
  <si>
    <t xml:space="preserve">NOI   </t>
  </si>
  <si>
    <t>ROR</t>
  </si>
  <si>
    <t xml:space="preserve">     Actual </t>
  </si>
  <si>
    <t xml:space="preserve">     Restated Total</t>
  </si>
  <si>
    <t>Idaho Electric</t>
  </si>
  <si>
    <t>SYSTEM RESTATED RESULTS</t>
  </si>
  <si>
    <t>*</t>
  </si>
  <si>
    <t>ELECTRIC ADJUSTMENT SUMMARY</t>
  </si>
  <si>
    <t>PER RESULTS OF</t>
  </si>
  <si>
    <t>OPERATIONS REPORTS</t>
  </si>
  <si>
    <t>ELECTRIC</t>
  </si>
  <si>
    <t xml:space="preserve"> No.</t>
  </si>
  <si>
    <t>System</t>
  </si>
  <si>
    <t>Washington</t>
  </si>
  <si>
    <t>Check</t>
  </si>
  <si>
    <t>Sales For Resale</t>
  </si>
  <si>
    <t xml:space="preserve">   Total Sales of Electricity</t>
  </si>
  <si>
    <t xml:space="preserve">   Total Electric Revenue</t>
  </si>
  <si>
    <t xml:space="preserve">   Operating Expenses</t>
  </si>
  <si>
    <t xml:space="preserve">   Purchased Power</t>
  </si>
  <si>
    <t xml:space="preserve">   Depreciation and Amortization</t>
  </si>
  <si>
    <t xml:space="preserve">   Taxes</t>
  </si>
  <si>
    <t xml:space="preserve">      Total Production &amp; Transmission</t>
  </si>
  <si>
    <t xml:space="preserve">   Depreciation</t>
  </si>
  <si>
    <t xml:space="preserve">      Total Distribution</t>
  </si>
  <si>
    <t>Marketing</t>
  </si>
  <si>
    <t xml:space="preserve">      Total Admin. &amp; General</t>
  </si>
  <si>
    <t>Operating Income before FIT</t>
  </si>
  <si>
    <t>Federal Income Taxes</t>
  </si>
  <si>
    <t xml:space="preserve">   Current Accrual </t>
  </si>
  <si>
    <t xml:space="preserve">   Deferred Income Taxes</t>
  </si>
  <si>
    <t xml:space="preserve">   Amortized ITC</t>
  </si>
  <si>
    <t xml:space="preserve">   Intangible</t>
  </si>
  <si>
    <t xml:space="preserve">   Production</t>
  </si>
  <si>
    <t xml:space="preserve">   Transmission</t>
  </si>
  <si>
    <t xml:space="preserve">   Distribution</t>
  </si>
  <si>
    <t xml:space="preserve">   General</t>
  </si>
  <si>
    <t xml:space="preserve">      Total Plant in Service</t>
  </si>
  <si>
    <t xml:space="preserve">   Total Accum. Depreciation &amp; Amort.</t>
  </si>
  <si>
    <t>INPUTS</t>
  </si>
  <si>
    <t>NET PLANT</t>
  </si>
  <si>
    <t>ELECTRIC NOI</t>
  </si>
  <si>
    <t>Sales to Ultimate Cust excl Interdprt.</t>
  </si>
  <si>
    <t>Interdepartmental</t>
  </si>
  <si>
    <t>Other Revenues</t>
  </si>
  <si>
    <t>TOTAL REVENUES</t>
  </si>
  <si>
    <t>POWER PRODUCTION EXPENSES</t>
  </si>
  <si>
    <t>Steam Power</t>
  </si>
  <si>
    <t>Hydro Power</t>
  </si>
  <si>
    <t>Other Power Generation</t>
  </si>
  <si>
    <t>Total Other Power Supply Expense</t>
  </si>
  <si>
    <t xml:space="preserve">    Total Production</t>
  </si>
  <si>
    <t>TRANSMISSION EXPENSES</t>
  </si>
  <si>
    <t>Transmission O&amp;M</t>
  </si>
  <si>
    <t>Depreciation &amp; Amortization</t>
  </si>
  <si>
    <t>Other Taxes</t>
  </si>
  <si>
    <t xml:space="preserve">     Total Production &amp; Transmission </t>
  </si>
  <si>
    <t>DISTRIBUTION EXPENSES</t>
  </si>
  <si>
    <t>Distribution O&amp;M</t>
  </si>
  <si>
    <t xml:space="preserve">     Total Distribution</t>
  </si>
  <si>
    <t>CUSTOMER ACCOUNTS</t>
  </si>
  <si>
    <t>CUSTOMER SERVICE &amp; INFO</t>
  </si>
  <si>
    <t>SALES</t>
  </si>
  <si>
    <t>ADMIN &amp; GENERAL</t>
  </si>
  <si>
    <t>Operating Expense</t>
  </si>
  <si>
    <t xml:space="preserve">     Total Admin &amp; General</t>
  </si>
  <si>
    <t>TOTAL EXPENSES</t>
  </si>
  <si>
    <t>NOI BEFORE FIT</t>
  </si>
  <si>
    <t>FIT-Current</t>
  </si>
  <si>
    <t>DFIT</t>
  </si>
  <si>
    <t>Amort ITC</t>
  </si>
  <si>
    <t xml:space="preserve">     Total FIT</t>
  </si>
  <si>
    <t>ELECTRIC UTILITY PLANT</t>
  </si>
  <si>
    <t>INTANGIBLE PLANT</t>
  </si>
  <si>
    <t>PRODUCTION PLANT</t>
  </si>
  <si>
    <t xml:space="preserve">  Steam</t>
  </si>
  <si>
    <t xml:space="preserve">  Hydro</t>
  </si>
  <si>
    <t xml:space="preserve">  Other</t>
  </si>
  <si>
    <t xml:space="preserve">     Total Production</t>
  </si>
  <si>
    <t>TRANSMISSION PLANT</t>
  </si>
  <si>
    <t>DISTRIBUTION PLANT</t>
  </si>
  <si>
    <t>GENERAL PLANT</t>
  </si>
  <si>
    <t>GROSS PLANT</t>
  </si>
  <si>
    <t>ACCUMULATED AMORTIZATION</t>
  </si>
  <si>
    <t>NET UTILITY PLANT</t>
  </si>
  <si>
    <t>WASHINGTON</t>
  </si>
  <si>
    <t>DEFERRED FIT RATE BASE</t>
  </si>
  <si>
    <t xml:space="preserve">   Current Accrual (at 35%)</t>
  </si>
  <si>
    <t>DEFERRED GAIN</t>
  </si>
  <si>
    <t>ON OFFICE BUILDING</t>
  </si>
  <si>
    <t>CALCULATION OF IDAHO STATE INCOME TAX</t>
  </si>
  <si>
    <t>(000'S) OF DOLLARS</t>
  </si>
  <si>
    <t>Operating Income before  SIT</t>
  </si>
  <si>
    <t>Idaho State Income Tax</t>
  </si>
  <si>
    <t xml:space="preserve">      Adjusted Rate of </t>
  </si>
  <si>
    <t>COLSTRIP #3 AFUDC</t>
  </si>
  <si>
    <t>ELIMINATION REALLOCATION</t>
  </si>
  <si>
    <t>NO TAX EFFECT</t>
  </si>
  <si>
    <t xml:space="preserve">COLSTRIP #3 </t>
  </si>
  <si>
    <t>COMMON AFUDC ADJUSTMENT</t>
  </si>
  <si>
    <t>CUSTOMER</t>
  </si>
  <si>
    <t>ADVANCES</t>
  </si>
  <si>
    <t xml:space="preserve">   Deferred income Taxes</t>
  </si>
  <si>
    <t>SETTLEMENT</t>
  </si>
  <si>
    <t>EXCHANGE POWER</t>
  </si>
  <si>
    <t>NORMALIZATION</t>
  </si>
  <si>
    <t>POWER SUPPLY</t>
  </si>
  <si>
    <t>ADJUSTMENT</t>
  </si>
  <si>
    <t>ELIMINATE</t>
  </si>
  <si>
    <t>B &amp; O TAXES</t>
  </si>
  <si>
    <t>PROPERTY TAX</t>
  </si>
  <si>
    <t>UNCOLLECTIBLE</t>
  </si>
  <si>
    <t>EXPENSE</t>
  </si>
  <si>
    <t>REGULATORY EXPENSE</t>
  </si>
  <si>
    <t>INJURIES</t>
  </si>
  <si>
    <t>AND DAMAGES</t>
  </si>
  <si>
    <t>FEDERAL</t>
  </si>
  <si>
    <t>INCOME TAX</t>
  </si>
  <si>
    <t>RESTATE</t>
  </si>
  <si>
    <t>DEBT INTEREST</t>
  </si>
  <si>
    <t>A/R EXPENSES</t>
  </si>
  <si>
    <t>OFFICE SPACE CHARGES</t>
  </si>
  <si>
    <t>TO SUBSIDIARIES</t>
  </si>
  <si>
    <t>Twelve Month Period Ending</t>
  </si>
  <si>
    <t>Idaho State Income Tax Rate of</t>
  </si>
  <si>
    <t>Company Name</t>
  </si>
  <si>
    <t>AVISTA UTILITIES</t>
  </si>
  <si>
    <t>Deferred Gain</t>
  </si>
  <si>
    <t>ACCOUNTING ADJUSTMENT</t>
  </si>
  <si>
    <t>WA Power</t>
  </si>
  <si>
    <t>Cost Defer</t>
  </si>
  <si>
    <t>ELIMINATION OF IDAHO PCA</t>
  </si>
  <si>
    <t>&amp; WA POWER COST DEFERRALS</t>
  </si>
  <si>
    <t>RESTATE EXCISE</t>
  </si>
  <si>
    <t>aa</t>
  </si>
  <si>
    <t>Nez Perce</t>
  </si>
  <si>
    <t>NEZ PERCE SETTLEMENT</t>
  </si>
  <si>
    <t>WA-w/PF's</t>
  </si>
  <si>
    <t xml:space="preserve">Line </t>
  </si>
  <si>
    <t>(000's of</t>
  </si>
  <si>
    <t>Capital</t>
  </si>
  <si>
    <t>Weighted</t>
  </si>
  <si>
    <t>Dollars)</t>
  </si>
  <si>
    <t>Component</t>
  </si>
  <si>
    <t>Amount</t>
  </si>
  <si>
    <t>Structure</t>
  </si>
  <si>
    <t>Cost</t>
  </si>
  <si>
    <t>Pro Forma Rate Base excl Kettle Falls</t>
  </si>
  <si>
    <t>L/T Debt</t>
  </si>
  <si>
    <t>Proposed Rate of Return</t>
  </si>
  <si>
    <t>Net Operating Income Requirement</t>
  </si>
  <si>
    <t>S/T Debt</t>
  </si>
  <si>
    <t>Pref Trust</t>
  </si>
  <si>
    <t>Pref Stock</t>
  </si>
  <si>
    <t>Pro Forma Net Operating Income</t>
  </si>
  <si>
    <t>Net Operating Income Deficiency</t>
  </si>
  <si>
    <t>Total</t>
  </si>
  <si>
    <t>Conversion Factor</t>
  </si>
  <si>
    <t>Revenue Requirement</t>
  </si>
  <si>
    <t>Total General Business Revenues</t>
  </si>
  <si>
    <t>Percentage Revenue Increase</t>
  </si>
  <si>
    <t>PF5</t>
  </si>
  <si>
    <t>AUTHORIZED 1998 TEST YEAR</t>
  </si>
  <si>
    <t>RESULTS OF OPERATIONS</t>
  </si>
  <si>
    <t>PRO FORMA</t>
  </si>
  <si>
    <t>PF6</t>
  </si>
  <si>
    <t>PF7</t>
  </si>
  <si>
    <t>PF8</t>
  </si>
  <si>
    <t>PF9</t>
  </si>
  <si>
    <t>Description of Adjustment</t>
  </si>
  <si>
    <t>ID-w/PF's</t>
  </si>
  <si>
    <t>Tara</t>
  </si>
  <si>
    <t>Liz</t>
  </si>
  <si>
    <t>ProForma</t>
  </si>
  <si>
    <t>Theoretical</t>
  </si>
  <si>
    <t>m</t>
  </si>
  <si>
    <t>n</t>
  </si>
  <si>
    <t>v</t>
  </si>
  <si>
    <t>(000's)</t>
  </si>
  <si>
    <t>Adjustment Description</t>
  </si>
  <si>
    <t>Adjustments</t>
  </si>
  <si>
    <t>Restated Debt Interest</t>
  </si>
  <si>
    <t>Capitalized Interest</t>
  </si>
  <si>
    <t>Increase (Decrease) in Interest Expense</t>
  </si>
  <si>
    <t>FIT Rate</t>
  </si>
  <si>
    <t>Increase (Decrease) in FIT</t>
  </si>
  <si>
    <t>Equity AFUDC</t>
  </si>
  <si>
    <t>Borrowed AFUDC</t>
  </si>
  <si>
    <t xml:space="preserve">   Capitalized Interest</t>
  </si>
  <si>
    <t>Allocated</t>
  </si>
  <si>
    <t>Percentage</t>
  </si>
  <si>
    <t>Electric CWIP</t>
  </si>
  <si>
    <t>Gas CWIP</t>
  </si>
  <si>
    <t>WPNG CWIP</t>
  </si>
  <si>
    <t xml:space="preserve">   Total</t>
  </si>
  <si>
    <t>WA Electric CWIP</t>
  </si>
  <si>
    <t>ID Electric CWIP</t>
  </si>
  <si>
    <t>WA Gas CWIP</t>
  </si>
  <si>
    <t>ID Gas CWIP</t>
  </si>
  <si>
    <t>Washington - Electric</t>
  </si>
  <si>
    <t>Weighted Average Cost of Debt</t>
  </si>
  <si>
    <t>Idaho - Electric</t>
  </si>
  <si>
    <t>Jurisdictional Allocation</t>
  </si>
  <si>
    <t>Allocator</t>
  </si>
  <si>
    <t>Oregon</t>
  </si>
  <si>
    <t>California</t>
  </si>
  <si>
    <t xml:space="preserve">This calcualtion uses a calculation like that of AMA </t>
  </si>
  <si>
    <t>TOTAL ELECTRIC</t>
  </si>
  <si>
    <t>It adds the "first" and "last" together , divides by 2,</t>
  </si>
  <si>
    <t>then adds the result to the "middle" and divides by 2</t>
  </si>
  <si>
    <t>TOTAL GAS</t>
  </si>
  <si>
    <t>Direct Distribution</t>
  </si>
  <si>
    <t>TOTAL WPNG</t>
  </si>
  <si>
    <t>Allocated Distribution</t>
  </si>
  <si>
    <t>Check Figure</t>
  </si>
  <si>
    <t>Direct General</t>
  </si>
  <si>
    <t>To update this sheet for a new 12 month period:</t>
  </si>
  <si>
    <t>Allocated General</t>
  </si>
  <si>
    <t xml:space="preserve">Allocated Common </t>
  </si>
  <si>
    <t>Update the date in cell X2</t>
  </si>
  <si>
    <t>Subtotal Electric</t>
  </si>
  <si>
    <t>Percent</t>
  </si>
  <si>
    <t>Electric Overhead</t>
  </si>
  <si>
    <t>Allocation Factors - From Roo E-ALL-12A</t>
  </si>
  <si>
    <t>Production Transmission Ratio</t>
  </si>
  <si>
    <t>Jurisdictional Four Factor</t>
  </si>
  <si>
    <t>Net Electric Distribution Plant</t>
  </si>
  <si>
    <t>Direct Assignment</t>
  </si>
  <si>
    <t>GAS</t>
  </si>
  <si>
    <t>Underground Storage</t>
  </si>
  <si>
    <t>1C</t>
  </si>
  <si>
    <t>Allocated Common</t>
  </si>
  <si>
    <t>Subtotal Gas</t>
  </si>
  <si>
    <t>Gas Overhead</t>
  </si>
  <si>
    <t>Allocation Factors - From ROO G-ALL-12A</t>
  </si>
  <si>
    <t>System Contract Demand</t>
  </si>
  <si>
    <t>Actual Therms Purchased</t>
  </si>
  <si>
    <t>WPNG</t>
  </si>
  <si>
    <t>Subtotal WPNG</t>
  </si>
  <si>
    <t>WPNG Overhead</t>
  </si>
  <si>
    <t>Allocation Factors - From Roo W-ALL-12A</t>
  </si>
  <si>
    <t>Total Company</t>
  </si>
  <si>
    <t>WWP Electric</t>
  </si>
  <si>
    <t>WWP Gas</t>
  </si>
  <si>
    <t xml:space="preserve">COMMON </t>
  </si>
  <si>
    <t xml:space="preserve">     Total Common</t>
  </si>
  <si>
    <t>Allocation Factors</t>
  </si>
  <si>
    <t>Utility 7</t>
  </si>
  <si>
    <t>Utility 8</t>
  </si>
  <si>
    <t>Utility 9</t>
  </si>
  <si>
    <t>Hide the rows you don't need</t>
  </si>
  <si>
    <t>Unhide the rows to make sure you've captured all adjustments with Ratebase impact</t>
  </si>
  <si>
    <t>Comes from "DebtCalc"</t>
  </si>
  <si>
    <t>WASHINGTON PRO FORMA RESULTS</t>
  </si>
  <si>
    <t>WITH PRESENT RATES</t>
  </si>
  <si>
    <t>WITH PROPOSED RATES</t>
  </si>
  <si>
    <t>Actual Per</t>
  </si>
  <si>
    <t>Proposed</t>
  </si>
  <si>
    <t>Revenues &amp;</t>
  </si>
  <si>
    <t>Related Exp</t>
  </si>
  <si>
    <t>Washington - Electric System</t>
  </si>
  <si>
    <t>Revenue Conversion Factor</t>
  </si>
  <si>
    <t>Factor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</si>
  <si>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</si>
  <si>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</si>
  <si>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</si>
  <si>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</si>
  <si>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Franchise Fees</t>
  </si>
  <si>
    <t xml:space="preserve">    Total Expense</t>
  </si>
  <si>
    <t>Net Operating Income Before FIT</t>
  </si>
  <si>
    <t xml:space="preserve">  Federal Income Tax @ 35%</t>
  </si>
  <si>
    <t>REVENUE CONVERSION FACTOR</t>
  </si>
  <si>
    <t>Pro Forma Rate Base</t>
  </si>
  <si>
    <t>Rev and</t>
  </si>
  <si>
    <t>Calculation of General Revenue Requirement</t>
  </si>
  <si>
    <t xml:space="preserve">   less Miscellaneous Revenues</t>
  </si>
  <si>
    <t>WORKPAPERS</t>
  </si>
  <si>
    <t>In support of</t>
  </si>
  <si>
    <t>Normalization</t>
  </si>
  <si>
    <t>done</t>
  </si>
  <si>
    <t>not done</t>
  </si>
  <si>
    <t>Restated Rate Base</t>
  </si>
  <si>
    <t>Comes from "PFDebtCalc"</t>
  </si>
  <si>
    <t>NORMALIZED ADJUSTMENT</t>
  </si>
  <si>
    <t>Ron</t>
  </si>
  <si>
    <t>WA RATE INCREASE</t>
  </si>
  <si>
    <t xml:space="preserve">    Pro Forma Total</t>
  </si>
  <si>
    <t xml:space="preserve">ELECTRIC RESULTS OF OPERATION  </t>
  </si>
  <si>
    <t xml:space="preserve">AVISTA UTILITIES  </t>
  </si>
  <si>
    <t xml:space="preserve">WASHINGTON RESTATED RESULTS  </t>
  </si>
  <si>
    <t xml:space="preserve">ELECTRIC RESULTS OF OPERATION    </t>
  </si>
  <si>
    <t xml:space="preserve">(000'S OF DOLLARS)  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</si>
  <si>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</si>
  <si>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</si>
  <si>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</si>
  <si>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</si>
  <si>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</si>
  <si>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</si>
  <si>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</si>
  <si>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</si>
  <si>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Production and Transmission  </t>
  </si>
  <si>
    <t xml:space="preserve">Operating Expenses  </t>
  </si>
  <si>
    <t xml:space="preserve">Purchased Power  </t>
  </si>
  <si>
    <t xml:space="preserve">Depreciation and Amortization  </t>
  </si>
  <si>
    <t xml:space="preserve">Taxes  </t>
  </si>
  <si>
    <t xml:space="preserve">Total Production &amp; Transmission  </t>
  </si>
  <si>
    <t xml:space="preserve">Distribution  </t>
  </si>
  <si>
    <t xml:space="preserve">Depreciation  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</si>
  <si>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</si>
  <si>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</si>
  <si>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</si>
  <si>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</si>
  <si>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</si>
  <si>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 xml:space="preserve">Total Admin. &amp; General  </t>
  </si>
  <si>
    <t xml:space="preserve">Total Electric Expenses  </t>
  </si>
  <si>
    <t xml:space="preserve">OPERATING INCOME BEFORE FIT  </t>
  </si>
  <si>
    <t xml:space="preserve">FEDERAL INCOME TAX  </t>
  </si>
  <si>
    <t xml:space="preserve">Current Accrual  </t>
  </si>
  <si>
    <t xml:space="preserve">Deferred Income Taxes  </t>
  </si>
  <si>
    <t xml:space="preserve">NET OPERATING INCOME  </t>
  </si>
  <si>
    <t xml:space="preserve">RATE BASE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</si>
  <si>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</si>
  <si>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</si>
  <si>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</si>
  <si>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</si>
  <si>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</si>
  <si>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</si>
  <si>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 xml:space="preserve">ACCUMULATED DEPRECIATION  </t>
  </si>
  <si>
    <t xml:space="preserve">ACCUM. PROVISION FOR AMORTIZATION  </t>
  </si>
  <si>
    <t xml:space="preserve">Total Accum. Depreciation &amp; Amort.  </t>
  </si>
  <si>
    <t xml:space="preserve">GAIN ON SALE OF BUILDING  </t>
  </si>
  <si>
    <t xml:space="preserve">DEFERRED TAXES  </t>
  </si>
  <si>
    <t xml:space="preserve">TOTAL RATE BASE  </t>
  </si>
  <si>
    <t xml:space="preserve">RATE OF RETURN  </t>
  </si>
  <si>
    <t xml:space="preserve">AVISTA UTILITIES    </t>
  </si>
  <si>
    <t xml:space="preserve">IDAHO RESTATED RESULTS  </t>
  </si>
  <si>
    <t>KETTLE FALLS DISALLOWANCE</t>
  </si>
  <si>
    <t>Restate Debt Interest - Proforma</t>
  </si>
  <si>
    <t>Copy columns Q:W over A:G</t>
  </si>
  <si>
    <t>Then input into Q:W and  I:O</t>
  </si>
  <si>
    <t>PF</t>
  </si>
  <si>
    <t>just check to make sure things foot!</t>
  </si>
  <si>
    <t>Theresa</t>
  </si>
  <si>
    <t>Ending Balance CWIP December 31, 2005</t>
  </si>
  <si>
    <t>Production/Transmission</t>
  </si>
  <si>
    <t>Common All - CDAA</t>
  </si>
  <si>
    <t>Common Gas - GDAA</t>
  </si>
  <si>
    <t>Common WWP - CDAN</t>
  </si>
  <si>
    <t>CD WA / CD ID</t>
  </si>
  <si>
    <t>Common Washington - CDWA</t>
  </si>
  <si>
    <t>Common Idaho - CDID</t>
  </si>
  <si>
    <t>Revenue</t>
  </si>
  <si>
    <t>REVENUE</t>
  </si>
  <si>
    <t>LABOR EXECUTIVE</t>
  </si>
  <si>
    <t>LABOR NON-EXECUTIVE</t>
  </si>
  <si>
    <t>Labor</t>
  </si>
  <si>
    <t>Exec</t>
  </si>
  <si>
    <t>Rev/Exp</t>
  </si>
  <si>
    <t>Capital Add</t>
  </si>
  <si>
    <t>PF13</t>
  </si>
  <si>
    <t>PF14</t>
  </si>
  <si>
    <t>Net</t>
  </si>
  <si>
    <t>Gains/losses</t>
  </si>
  <si>
    <t>PFT</t>
  </si>
  <si>
    <t>`</t>
  </si>
  <si>
    <t>Jeanne</t>
  </si>
  <si>
    <t>Adjusted for 58A excise tax exemption</t>
  </si>
  <si>
    <t>**use AMA for DFIT</t>
  </si>
  <si>
    <t>TRANSMISSION REV/EXP</t>
  </si>
  <si>
    <t>NET GAINS &amp; LOSSES</t>
  </si>
  <si>
    <t>Scott</t>
  </si>
  <si>
    <t>Completed</t>
  </si>
  <si>
    <t>Not Yet Updated</t>
  </si>
  <si>
    <t>WEATHERIZATION &amp; DEMAND</t>
  </si>
  <si>
    <t>SIDE MANAGEMENT INVESTMENT</t>
  </si>
  <si>
    <t>TAXES</t>
  </si>
  <si>
    <t>Excise</t>
  </si>
  <si>
    <t>PF12</t>
  </si>
  <si>
    <t>Open</t>
  </si>
  <si>
    <t>updated for 2006</t>
  </si>
  <si>
    <t>Ending Balance CWIP June 30, 2006</t>
  </si>
  <si>
    <t>Ending Balance CWIP December 31, 2006</t>
  </si>
  <si>
    <t>Average CWIP for the Twelve Months Ended 12/31/06</t>
  </si>
  <si>
    <t>Ending CWIP at 12/31/06</t>
  </si>
  <si>
    <t>Adj</t>
  </si>
  <si>
    <t xml:space="preserve">Production </t>
  </si>
  <si>
    <t>Factor Adj</t>
  </si>
  <si>
    <t>Production Factor</t>
  </si>
  <si>
    <t>Proposed Production and Transmission Revenue Requirement</t>
  </si>
  <si>
    <t>Debt Cost</t>
  </si>
  <si>
    <t>Tax Effect</t>
  </si>
  <si>
    <t>(Rate Base x Debt Cost x -35%)</t>
  </si>
  <si>
    <t>Net Expense</t>
  </si>
  <si>
    <t>(Expense - Revenue)</t>
  </si>
  <si>
    <t>(Net Expense x -.35%)</t>
  </si>
  <si>
    <t>Total Prod/Trans</t>
  </si>
  <si>
    <t>Prod/Trans Rev Requirement per kWh</t>
  </si>
  <si>
    <t>Revenue Credit on Load Change</t>
  </si>
  <si>
    <t>Conversion Factor (Excl. Rev. Rel. Exp.)</t>
  </si>
  <si>
    <t>1 - Tax Rate</t>
  </si>
  <si>
    <t>Prod/Trans</t>
  </si>
  <si>
    <t>Calculation of Proposed Retail Revenue Credit Rate</t>
  </si>
  <si>
    <t>Revised Allowed Rate of Return</t>
  </si>
  <si>
    <t>NOI Requirement</t>
  </si>
  <si>
    <t>WA wtd debt</t>
  </si>
  <si>
    <t>ID wtd debt</t>
  </si>
  <si>
    <t>ID excludes STD</t>
  </si>
  <si>
    <t xml:space="preserve">Pro Forma </t>
  </si>
  <si>
    <t>Exhibit No.___(EMA-2)</t>
  </si>
  <si>
    <t>Witness:  Elizabeth M. Andrews</t>
  </si>
  <si>
    <t>Not Necessary - this calcuation should not be removed from above to determine adj. - LMA</t>
  </si>
  <si>
    <t>Below</t>
  </si>
  <si>
    <t xml:space="preserve"> Interest Per Results (E-FIT-12A)</t>
  </si>
  <si>
    <t>Prod Property</t>
  </si>
  <si>
    <t>PRODUCTION PROPERTY</t>
  </si>
  <si>
    <t>Production Property Adjustment Calculation</t>
  </si>
  <si>
    <t>Production Property Adjustment</t>
  </si>
  <si>
    <t xml:space="preserve">(Breakdown </t>
  </si>
  <si>
    <t>b/w LTD &amp; STD)</t>
  </si>
  <si>
    <t>Total Debt</t>
  </si>
  <si>
    <t>TWELVE MONTHS ENDED DECEMBER 31, 2007</t>
  </si>
  <si>
    <t>True-up</t>
  </si>
  <si>
    <t>DEPRECIATION TRUE-UP</t>
  </si>
  <si>
    <t>2007</t>
  </si>
  <si>
    <t>2008</t>
  </si>
  <si>
    <t>2009</t>
  </si>
  <si>
    <t>PF10</t>
  </si>
  <si>
    <t>PF11</t>
  </si>
  <si>
    <t>PF15</t>
  </si>
  <si>
    <t>PF16</t>
  </si>
  <si>
    <t>PF17</t>
  </si>
  <si>
    <t>CAPITAL ADDITIONS 2008</t>
  </si>
  <si>
    <t>CAPITAL ADDITIONS 2009</t>
  </si>
  <si>
    <t>Restating</t>
  </si>
  <si>
    <t>Relicensing</t>
  </si>
  <si>
    <t>Spokane Rvr</t>
  </si>
  <si>
    <t>CDA Tribe</t>
  </si>
  <si>
    <t xml:space="preserve">Montana </t>
  </si>
  <si>
    <t>Lease</t>
  </si>
  <si>
    <t>Incentives</t>
  </si>
  <si>
    <t>SPOKANE RIVER RELICENSING</t>
  </si>
  <si>
    <t>CDA TRIBE SETTLEMENT</t>
  </si>
  <si>
    <t>MONTANA LEASE</t>
  </si>
  <si>
    <t>INCENTIVES</t>
  </si>
  <si>
    <t>Pat</t>
  </si>
  <si>
    <t>Clark</t>
  </si>
  <si>
    <t>Fork</t>
  </si>
  <si>
    <t>PM&amp;E</t>
  </si>
  <si>
    <t xml:space="preserve">MISCELLANEOUS </t>
  </si>
  <si>
    <t>RESTATING ADJUSTMENTS</t>
  </si>
  <si>
    <t>CLARK FORK</t>
  </si>
  <si>
    <t>PM&amp;E ADJUSTMENT</t>
  </si>
  <si>
    <t>ID AMR</t>
  </si>
  <si>
    <t>ID</t>
  </si>
  <si>
    <t>AMR</t>
  </si>
  <si>
    <t>update amort / eliminate balcg acct</t>
  </si>
  <si>
    <t>(=x-22) ???</t>
  </si>
  <si>
    <t>(=x+22) ???</t>
  </si>
  <si>
    <t>updated for 2007 LMA</t>
  </si>
  <si>
    <t>Restated Rev. Req.</t>
  </si>
  <si>
    <t>PF Rev. Req.</t>
  </si>
  <si>
    <t>WA</t>
  </si>
  <si>
    <t>Subsidiaries</t>
  </si>
  <si>
    <t>New method weather normalization</t>
  </si>
  <si>
    <t>COLSTRIP MERCURY EMISSIONS O&amp;M</t>
  </si>
  <si>
    <t>Emiss. O&amp;M</t>
  </si>
  <si>
    <t>Colstrip Mercury</t>
  </si>
  <si>
    <t>Non-Exec</t>
  </si>
  <si>
    <t>completed last</t>
  </si>
  <si>
    <t>2007 Production/Transmission Costs</t>
  </si>
  <si>
    <t xml:space="preserve">Asset </t>
  </si>
  <si>
    <t>Management</t>
  </si>
  <si>
    <t>Dave/Jeanne/Tara</t>
  </si>
  <si>
    <t>Misc</t>
  </si>
  <si>
    <t>ASSET MANAGEMENT</t>
  </si>
  <si>
    <t>(Including Production Tax Credit)</t>
  </si>
  <si>
    <t>(2009 adjustment not used</t>
  </si>
  <si>
    <t>Pro forma 12/31/2008</t>
  </si>
  <si>
    <t>update LMA 2/19/08</t>
  </si>
  <si>
    <t>2007 ID Normalized Retail Load</t>
  </si>
  <si>
    <t xml:space="preserve">2009 ID Retail Load in Power Supply </t>
  </si>
  <si>
    <t>Excludes Potlatch Generation Load passed through PCA @ 100%</t>
  </si>
  <si>
    <t>Factor if Potlatch Generation Load had been included in both 2009 and 2007 volumes</t>
  </si>
  <si>
    <t>CS2 LEVELIZATION</t>
  </si>
  <si>
    <t>CS2</t>
  </si>
  <si>
    <t>Levelized Adj</t>
  </si>
  <si>
    <t>Revenue:</t>
  </si>
  <si>
    <t xml:space="preserve">  Uncollectibles  (1)</t>
  </si>
  <si>
    <t xml:space="preserve">  Commission Fees  (2)</t>
  </si>
  <si>
    <t xml:space="preserve">  Idaho Income Tax (3)</t>
  </si>
  <si>
    <t xml:space="preserve">  Federal Income Tax @</t>
  </si>
  <si>
    <r>
      <t xml:space="preserve">CALCULATION OF CONVERSION FACTOR:  </t>
    </r>
    <r>
      <rPr>
        <b/>
        <sz val="10"/>
        <color indexed="10"/>
        <rFont val="Times New Roman"/>
        <family val="1"/>
      </rPr>
      <t>IDAHO ELECTRIC</t>
    </r>
  </si>
  <si>
    <t>IDAHO - Electric System</t>
  </si>
  <si>
    <t>IDAHO PRO FORMA RESULTS</t>
  </si>
  <si>
    <t>IDAHO</t>
  </si>
  <si>
    <t>hard coded in property tax adj. - formula picks up SIT adj from below</t>
  </si>
  <si>
    <t>(i.e. 2007 prop tax adj is -$3  plus SIT tax of $3 net to $0)</t>
  </si>
  <si>
    <t xml:space="preserve">hard coded property tax -$3, net from above = $0 </t>
  </si>
  <si>
    <t>(Don't need this page for ID</t>
  </si>
  <si>
    <t>Rate Mitigation Adj.</t>
  </si>
  <si>
    <t>Adj.</t>
  </si>
  <si>
    <t>Increased Net Income</t>
  </si>
  <si>
    <t>1-Tax 35%</t>
  </si>
  <si>
    <t>ID Reduced Expense</t>
  </si>
  <si>
    <t>System Reduced Expense</t>
  </si>
  <si>
    <t>ID P/T Ratio</t>
  </si>
  <si>
    <t>NOT LINKED</t>
  </si>
  <si>
    <t>Below is the calculation of the ID Rev. Req.</t>
  </si>
  <si>
    <t>in the (Aurora Model) Power Supply Adj.</t>
  </si>
  <si>
    <t>Prior to the Rate Mitigation Adj. included</t>
  </si>
  <si>
    <t>ID KF</t>
  </si>
  <si>
    <t>ID BP</t>
  </si>
  <si>
    <t>WA  KF</t>
  </si>
  <si>
    <t>DFIT exp</t>
  </si>
  <si>
    <t>X</t>
  </si>
  <si>
    <t>Plant Write Off</t>
  </si>
  <si>
    <t>Accum Dep</t>
  </si>
  <si>
    <t>Accum DFIT</t>
  </si>
  <si>
    <t>no</t>
  </si>
  <si>
    <t>OK</t>
  </si>
  <si>
    <t>Kettle Falls &amp;</t>
  </si>
  <si>
    <t>Boulder Park</t>
  </si>
  <si>
    <t>TWELVE MONTHS ENDED SEPTEMBER 30, 2008</t>
  </si>
  <si>
    <r>
      <t>updated rate base to AMA 2010 (</t>
    </r>
    <r>
      <rPr>
        <sz val="10"/>
        <color indexed="10"/>
        <rFont val="Times New Roman"/>
        <family val="1"/>
      </rPr>
      <t>**</t>
    </r>
    <r>
      <rPr>
        <sz val="10"/>
        <rFont val="Times New Roman"/>
        <family val="1"/>
      </rPr>
      <t>)</t>
    </r>
  </si>
  <si>
    <t>Docket No. UE-09__</t>
  </si>
  <si>
    <t>Z</t>
  </si>
  <si>
    <t>2010</t>
  </si>
  <si>
    <t xml:space="preserve">Karen </t>
  </si>
  <si>
    <t>Not Done</t>
  </si>
  <si>
    <t>Done</t>
  </si>
  <si>
    <t>PF18</t>
  </si>
  <si>
    <t>PF19</t>
  </si>
  <si>
    <t>O&amp;M Plant</t>
  </si>
  <si>
    <t xml:space="preserve">Employee </t>
  </si>
  <si>
    <t>Benefits</t>
  </si>
  <si>
    <t>Insurance</t>
  </si>
  <si>
    <t>Clark Fork</t>
  </si>
  <si>
    <t>CLARK FORK PM&amp;Es</t>
  </si>
  <si>
    <t>INSURANCE</t>
  </si>
  <si>
    <t>EMPLOYEE BENEFITS</t>
  </si>
  <si>
    <t>(Pension/Med Insur)</t>
  </si>
  <si>
    <t>O&amp;M GENERATION PLANT EXPENSE</t>
  </si>
  <si>
    <t>Information</t>
  </si>
  <si>
    <t>Services</t>
  </si>
  <si>
    <t>PF20</t>
  </si>
  <si>
    <t>INFORMATION SERVICES</t>
  </si>
  <si>
    <t>updated 12/19/08 LMA</t>
  </si>
  <si>
    <t>CHECK</t>
  </si>
  <si>
    <t>For the Twelve Months Ended September 30, 2008</t>
  </si>
  <si>
    <t>Pro forma 12/31/2009</t>
  </si>
  <si>
    <t>updated tm 1/5/09</t>
  </si>
  <si>
    <t>NOXON GENERATION 2010</t>
  </si>
  <si>
    <t>Noxon Gen</t>
  </si>
  <si>
    <t>AVERAGE PRODUCTION AND TRANSMISSION COST</t>
  </si>
  <si>
    <t>WASHINGTON ELECTRIC</t>
  </si>
  <si>
    <t>($000's)</t>
  </si>
  <si>
    <t>Prod/Trans Rev Requirement per kWh (Retail Revenue Credit Rate)</t>
  </si>
  <si>
    <t>12ME Sept 2008 WA Normalized Retail Load MWh</t>
  </si>
  <si>
    <t>REVISED FOR SETTLEMENT</t>
  </si>
  <si>
    <t>Revenue Requirement-FILED</t>
  </si>
  <si>
    <t>NOI Requirement-FILED</t>
  </si>
  <si>
    <t>Direct Rate of Return requested-FILED</t>
  </si>
  <si>
    <t>Difference fron Direct Filing versus Settlement Agreement</t>
  </si>
  <si>
    <t>Revenue Requirement-Settlement Revised</t>
  </si>
  <si>
    <t>FILED</t>
  </si>
  <si>
    <t>DIFF</t>
  </si>
  <si>
    <t>Change</t>
  </si>
  <si>
    <t>per settlement Attachment A</t>
  </si>
  <si>
    <t>difference flowed through restate debt</t>
  </si>
  <si>
    <t>(RD-Not reflected in settlement document - flow through)</t>
  </si>
  <si>
    <t>(NOTE_ Slightly different than Settlement Document Attachment A - restate debt flow through not reflected by $340k reducing rev. req.)</t>
  </si>
  <si>
    <t>Same as original-Flow through of production property  not reflected here-see rebuttal filing)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</si>
</sst>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#,###_);\(#,###\)"/>
    <numFmt numFmtId="167" formatCode="_(&quot;$&quot;#,###_);_(&quot;$&quot;\ \(#,###\);_(* _);_(@_)"/>
    <numFmt numFmtId="168" formatCode="#,##0;\(#,##0\)"/>
    <numFmt numFmtId="169" formatCode="0.000000"/>
    <numFmt numFmtId="170" formatCode="#,##0\ ;\(#,##0\)"/>
    <numFmt numFmtId="171" formatCode="0.000%"/>
    <numFmt numFmtId="172" formatCode="_(* #,##0_);_(* \(#,##0\);_(* &quot;-&quot;??_);_(@_)"/>
    <numFmt numFmtId="173" formatCode="&quot;x &quot;0.00"/>
    <numFmt numFmtId="174" formatCode="&quot;x &quot;0.000"/>
    <numFmt numFmtId="175" formatCode="_(&quot;$&quot;* #,##0.00000_);_(&quot;$&quot;* \(#,##0.00000\);_(&quot;$&quot;* &quot;-&quot;??_);_(@_)"/>
    <numFmt numFmtId="176" formatCode="#,##0.000000"/>
    <numFmt numFmtId="177" formatCode="_(&quot;$&quot;* #,##0_);_(&quot;$&quot;* \(#,##0\);_(&quot;$&quot;* &quot;-&quot;??_);_(@_)"/>
    <numFmt numFmtId="180" formatCode="0.00000"/>
  </numFmts>
  <fonts count="92">
    <font>
      <sz val="10"/>
      <name val="Arial"/>
    </font>
    <font>
      <sz val="10"/>
      <name val="Arial"/>
      <family val="2"/>
    </font>
    <font>
      <sz val="10"/>
      <name val="Geneva"/>
    </font>
    <font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u/>
      <sz val="9"/>
      <name val="Times New Roman"/>
      <family val="1"/>
    </font>
    <font>
      <sz val="10"/>
      <name val="Courier"/>
      <family val="3"/>
    </font>
    <font>
      <sz val="9"/>
      <name val="Calisto MT"/>
      <family val="1"/>
    </font>
    <font>
      <sz val="9"/>
      <color indexed="17"/>
      <name val="Times New Roman"/>
      <family val="1"/>
    </font>
    <font>
      <sz val="9"/>
      <color indexed="14"/>
      <name val="Times New Roman"/>
      <family val="1"/>
    </font>
    <font>
      <u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9"/>
      <color indexed="8"/>
      <name val="Times New Roman"/>
      <family val="1"/>
    </font>
    <font>
      <sz val="9"/>
      <name val="Courier New"/>
      <family val="3"/>
    </font>
    <font>
      <sz val="9"/>
      <color indexed="10"/>
      <name val="Times New Roman"/>
      <family val="1"/>
    </font>
    <font>
      <sz val="10"/>
      <color indexed="20"/>
      <name val="Arial"/>
      <family val="2"/>
    </font>
    <font>
      <b/>
      <sz val="9"/>
      <color indexed="20"/>
      <name val="Times New Roman"/>
      <family val="1"/>
    </font>
    <font>
      <sz val="9"/>
      <color indexed="20"/>
      <name val="Times New Roman"/>
      <family val="1"/>
    </font>
    <font>
      <sz val="10"/>
      <name val="Calisto MT"/>
      <family val="1"/>
    </font>
    <font>
      <sz val="10"/>
      <color indexed="20"/>
      <name val="Calisto MT"/>
      <family val="1"/>
    </font>
    <font>
      <sz val="9"/>
      <color indexed="12"/>
      <name val="Times New Roman"/>
      <family val="1"/>
    </font>
    <font>
      <u/>
      <sz val="10"/>
      <color indexed="62"/>
      <name val="Times New Roman"/>
      <family val="1"/>
    </font>
    <font>
      <sz val="10"/>
      <color indexed="62"/>
      <name val="Times New Roman"/>
      <family val="1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57"/>
      <name val="Times New Roman"/>
      <family val="1"/>
    </font>
    <font>
      <b/>
      <sz val="10"/>
      <color indexed="57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name val="Courier New"/>
      <family val="3"/>
    </font>
    <font>
      <sz val="9"/>
      <name val="Courier New"/>
      <family val="3"/>
    </font>
    <font>
      <sz val="8"/>
      <name val="Courier New"/>
      <family val="3"/>
    </font>
    <font>
      <sz val="10"/>
      <color indexed="21"/>
      <name val="Times New Roman"/>
      <family val="1"/>
    </font>
    <font>
      <sz val="10"/>
      <color indexed="10"/>
      <name val="Times New Roman"/>
      <family val="1"/>
    </font>
    <font>
      <sz val="9"/>
      <color indexed="56"/>
      <name val="Courier New"/>
      <family val="3"/>
    </font>
    <font>
      <sz val="10"/>
      <color indexed="56"/>
      <name val="Times New Roman"/>
      <family val="1"/>
    </font>
    <font>
      <b/>
      <u/>
      <sz val="10"/>
      <name val="Times New Roman"/>
      <family val="1"/>
    </font>
    <font>
      <i/>
      <sz val="10"/>
      <color indexed="12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  <font>
      <sz val="8"/>
      <color indexed="16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20"/>
      <name val="Times New Roman"/>
      <family val="1"/>
    </font>
    <font>
      <b/>
      <u/>
      <sz val="10"/>
      <color indexed="12"/>
      <name val="Times New Roman"/>
      <family val="1"/>
    </font>
    <font>
      <i/>
      <sz val="10"/>
      <color indexed="20"/>
      <name val="Times New Roman"/>
      <family val="1"/>
    </font>
    <font>
      <sz val="9"/>
      <color indexed="57"/>
      <name val="Times New Roman"/>
      <family val="1"/>
    </font>
    <font>
      <i/>
      <sz val="9"/>
      <color indexed="57"/>
      <name val="Times New Roman"/>
      <family val="1"/>
    </font>
    <font>
      <i/>
      <sz val="10"/>
      <color indexed="14"/>
      <name val="Times New Roman"/>
      <family val="1"/>
    </font>
    <font>
      <b/>
      <i/>
      <sz val="10"/>
      <name val="Times New Roman"/>
      <family val="1"/>
    </font>
    <font>
      <sz val="10"/>
      <color indexed="48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b/>
      <i/>
      <sz val="8"/>
      <name val="Times New Roman"/>
      <family val="1"/>
    </font>
    <font>
      <b/>
      <i/>
      <u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sz val="9"/>
      <color indexed="56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0"/>
      <name val="Courier New"/>
      <family val="3"/>
    </font>
    <font>
      <sz val="9"/>
      <color indexed="12"/>
      <name val="Calisto MT"/>
      <family val="1"/>
    </font>
    <font>
      <b/>
      <sz val="9"/>
      <color indexed="10"/>
      <name val="Courier New"/>
      <family val="3"/>
    </font>
    <font>
      <u/>
      <sz val="10"/>
      <color indexed="10"/>
      <name val="Times New Roman"/>
      <family val="1"/>
    </font>
    <font>
      <u/>
      <sz val="10"/>
      <color indexed="12"/>
      <name val="Times New Roman"/>
      <family val="1"/>
    </font>
    <font>
      <sz val="9"/>
      <color indexed="56"/>
      <name val="Times New Roman"/>
      <family val="1"/>
    </font>
    <font>
      <sz val="10"/>
      <color indexed="12"/>
      <name val="Calisto MT"/>
      <family val="1"/>
    </font>
    <font>
      <b/>
      <sz val="9"/>
      <color indexed="12"/>
      <name val="Courier New"/>
      <family val="3"/>
    </font>
    <font>
      <b/>
      <sz val="9"/>
      <name val="Courier New"/>
      <family val="3"/>
    </font>
    <font>
      <b/>
      <sz val="9"/>
      <color indexed="56"/>
      <name val="Courier New"/>
      <family val="3"/>
    </font>
    <font>
      <b/>
      <u/>
      <sz val="9"/>
      <color indexed="10"/>
      <name val="Times New Roman"/>
      <family val="1"/>
    </font>
    <font>
      <sz val="9"/>
      <color indexed="18"/>
      <name val="Times New Roman"/>
      <family val="1"/>
    </font>
    <font>
      <b/>
      <sz val="9"/>
      <color indexed="18"/>
      <name val="Times New Roman"/>
      <family val="1"/>
    </font>
    <font>
      <b/>
      <sz val="20"/>
      <color indexed="10"/>
      <name val="Times New Roman"/>
      <family val="1"/>
    </font>
    <font>
      <sz val="8"/>
      <name val="Arial"/>
      <family val="2"/>
    </font>
    <font>
      <b/>
      <sz val="9"/>
      <color indexed="12"/>
      <name val="Courier New"/>
      <family val="3"/>
    </font>
    <font>
      <sz val="9"/>
      <color indexed="12"/>
      <name val="Courier New"/>
      <family val="3"/>
    </font>
    <font>
      <sz val="12"/>
      <name val="Times New Roman"/>
      <family val="1"/>
    </font>
    <font>
      <b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</cellStyleXfs>
  <cellXfs count="1391">
    <xf numFmtId="0" fontId="0" fillId="0" borderId="0" xfId="0"/>
    <xf numFmtId="0" fontId="3" fillId="0" borderId="0" xfId="26" applyNumberFormat="1" applyFont="1" applyAlignment="1">
      <alignment horizontal="left"/>
    </xf>
    <xf numFmtId="0" fontId="3" fillId="0" borderId="0" xfId="26" applyFont="1"/>
    <xf numFmtId="0" fontId="3" fillId="0" borderId="0" xfId="26" applyNumberFormat="1" applyFont="1" applyAlignment="1">
      <alignment horizontal="center"/>
    </xf>
    <xf numFmtId="3" fontId="3" fillId="0" borderId="0" xfId="26" applyNumberFormat="1" applyFont="1"/>
    <xf numFmtId="3" fontId="4" fillId="0" borderId="0" xfId="26" applyNumberFormat="1" applyFont="1"/>
    <xf numFmtId="3" fontId="5" fillId="0" borderId="0" xfId="26" applyNumberFormat="1" applyFont="1" applyBorder="1" applyAlignment="1">
      <alignment horizontal="center"/>
    </xf>
    <xf numFmtId="0" fontId="5" fillId="0" borderId="0" xfId="26" applyNumberFormat="1" applyFont="1" applyAlignment="1">
      <alignment horizontal="center"/>
    </xf>
    <xf numFmtId="0" fontId="5" fillId="0" borderId="0" xfId="26" applyFont="1" applyAlignment="1">
      <alignment horizontal="center"/>
    </xf>
    <xf numFmtId="3" fontId="5" fillId="0" borderId="0" xfId="26" applyNumberFormat="1" applyFont="1" applyAlignment="1">
      <alignment horizontal="center"/>
    </xf>
    <xf numFmtId="3" fontId="6" fillId="0" borderId="0" xfId="26" applyNumberFormat="1" applyFont="1" applyAlignment="1">
      <alignment horizontal="center"/>
    </xf>
    <xf numFmtId="3" fontId="5" fillId="0" borderId="0" xfId="26" applyNumberFormat="1" applyFont="1" applyFill="1" applyBorder="1" applyAlignment="1">
      <alignment horizontal="center"/>
    </xf>
    <xf numFmtId="0" fontId="5" fillId="0" borderId="1" xfId="26" applyNumberFormat="1" applyFont="1" applyBorder="1" applyAlignment="1">
      <alignment horizontal="center"/>
    </xf>
    <xf numFmtId="0" fontId="5" fillId="0" borderId="2" xfId="26" applyFont="1" applyBorder="1" applyAlignment="1">
      <alignment horizontal="center"/>
    </xf>
    <xf numFmtId="0" fontId="5" fillId="0" borderId="3" xfId="26" applyFont="1" applyBorder="1" applyAlignment="1">
      <alignment horizontal="center"/>
    </xf>
    <xf numFmtId="0" fontId="5" fillId="0" borderId="4" xfId="26" applyFont="1" applyBorder="1" applyAlignment="1">
      <alignment horizontal="center"/>
    </xf>
    <xf numFmtId="3" fontId="5" fillId="0" borderId="1" xfId="26" applyNumberFormat="1" applyFont="1" applyBorder="1" applyAlignment="1">
      <alignment horizontal="center"/>
    </xf>
    <xf numFmtId="0" fontId="5" fillId="0" borderId="5" xfId="26" applyNumberFormat="1" applyFont="1" applyBorder="1" applyAlignment="1">
      <alignment horizontal="center"/>
    </xf>
    <xf numFmtId="0" fontId="5" fillId="0" borderId="6" xfId="26" applyFont="1" applyBorder="1" applyAlignment="1">
      <alignment horizontal="center"/>
    </xf>
    <xf numFmtId="0" fontId="5" fillId="0" borderId="0" xfId="26" applyFont="1" applyBorder="1" applyAlignment="1">
      <alignment horizontal="center"/>
    </xf>
    <xf numFmtId="0" fontId="5" fillId="0" borderId="7" xfId="26" applyFont="1" applyBorder="1" applyAlignment="1">
      <alignment horizontal="center"/>
    </xf>
    <xf numFmtId="3" fontId="5" fillId="0" borderId="5" xfId="26" applyNumberFormat="1" applyFont="1" applyBorder="1" applyAlignment="1">
      <alignment horizontal="center"/>
    </xf>
    <xf numFmtId="0" fontId="5" fillId="0" borderId="8" xfId="26" applyNumberFormat="1" applyFont="1" applyBorder="1" applyAlignment="1">
      <alignment horizontal="center"/>
    </xf>
    <xf numFmtId="0" fontId="5" fillId="0" borderId="9" xfId="26" applyFont="1" applyBorder="1" applyAlignment="1">
      <alignment horizontal="center"/>
    </xf>
    <xf numFmtId="0" fontId="5" fillId="0" borderId="10" xfId="26" applyFont="1" applyBorder="1" applyAlignment="1">
      <alignment horizontal="center"/>
    </xf>
    <xf numFmtId="0" fontId="5" fillId="0" borderId="11" xfId="26" applyFont="1" applyBorder="1" applyAlignment="1">
      <alignment horizontal="center"/>
    </xf>
    <xf numFmtId="3" fontId="5" fillId="0" borderId="8" xfId="26" applyNumberFormat="1" applyFont="1" applyBorder="1" applyAlignment="1">
      <alignment horizontal="center"/>
    </xf>
    <xf numFmtId="0" fontId="7" fillId="0" borderId="0" xfId="26" applyNumberFormat="1" applyFont="1" applyAlignment="1">
      <alignment horizontal="center"/>
    </xf>
    <xf numFmtId="0" fontId="7" fillId="0" borderId="0" xfId="26" applyFont="1" applyAlignment="1">
      <alignment horizontal="center"/>
    </xf>
    <xf numFmtId="3" fontId="7" fillId="0" borderId="0" xfId="26" applyNumberFormat="1" applyFont="1" applyAlignment="1">
      <alignment horizontal="center"/>
    </xf>
    <xf numFmtId="3" fontId="4" fillId="0" borderId="0" xfId="26" applyNumberFormat="1" applyFont="1" applyAlignment="1">
      <alignment horizontal="center"/>
    </xf>
    <xf numFmtId="3" fontId="3" fillId="0" borderId="0" xfId="26" applyNumberFormat="1" applyFont="1" applyAlignment="1">
      <alignment horizontal="center"/>
    </xf>
    <xf numFmtId="37" fontId="3" fillId="0" borderId="0" xfId="26" applyNumberFormat="1" applyFont="1" applyAlignment="1">
      <alignment horizontal="center"/>
    </xf>
    <xf numFmtId="5" fontId="3" fillId="0" borderId="0" xfId="26" applyNumberFormat="1" applyFont="1"/>
    <xf numFmtId="37" fontId="3" fillId="0" borderId="0" xfId="26" applyNumberFormat="1" applyFont="1"/>
    <xf numFmtId="37" fontId="3" fillId="0" borderId="0" xfId="26" applyNumberFormat="1" applyFont="1" applyBorder="1" applyAlignment="1">
      <alignment horizontal="center"/>
    </xf>
    <xf numFmtId="10" fontId="4" fillId="0" borderId="0" xfId="30" applyNumberFormat="1" applyFont="1"/>
    <xf numFmtId="10" fontId="3" fillId="0" borderId="0" xfId="30" applyNumberFormat="1" applyFont="1"/>
    <xf numFmtId="0" fontId="3" fillId="0" borderId="0" xfId="15" applyFont="1"/>
    <xf numFmtId="0" fontId="5" fillId="0" borderId="0" xfId="15" applyFont="1" applyAlignment="1">
      <alignment horizontal="center"/>
    </xf>
    <xf numFmtId="5" fontId="3" fillId="0" borderId="0" xfId="15" applyNumberFormat="1" applyFont="1"/>
    <xf numFmtId="37" fontId="3" fillId="0" borderId="0" xfId="15" applyNumberFormat="1" applyFont="1"/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3" fillId="0" borderId="0" xfId="0" applyNumberFormat="1" applyFont="1"/>
    <xf numFmtId="3" fontId="5" fillId="0" borderId="10" xfId="0" applyNumberFormat="1" applyFont="1" applyBorder="1" applyAlignment="1">
      <alignment horizontal="centerContinuous"/>
    </xf>
    <xf numFmtId="3" fontId="3" fillId="0" borderId="10" xfId="0" applyNumberFormat="1" applyFont="1" applyBorder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/>
    <xf numFmtId="5" fontId="3" fillId="0" borderId="0" xfId="0" applyNumberFormat="1" applyFont="1" applyProtection="1">
      <protection locked="0"/>
    </xf>
    <xf numFmtId="37" fontId="3" fillId="0" borderId="0" xfId="0" applyNumberFormat="1" applyFont="1" applyProtection="1">
      <protection locked="0"/>
    </xf>
    <xf numFmtId="37" fontId="3" fillId="0" borderId="3" xfId="0" applyNumberFormat="1" applyFont="1" applyBorder="1"/>
    <xf numFmtId="37" fontId="3" fillId="0" borderId="0" xfId="0" applyNumberFormat="1" applyFont="1" applyBorder="1"/>
    <xf numFmtId="37" fontId="3" fillId="0" borderId="0" xfId="0" applyNumberFormat="1" applyFont="1"/>
    <xf numFmtId="37" fontId="3" fillId="0" borderId="10" xfId="0" applyNumberFormat="1" applyFont="1" applyBorder="1" applyProtection="1">
      <protection locked="0"/>
    </xf>
    <xf numFmtId="37" fontId="3" fillId="0" borderId="12" xfId="0" applyNumberFormat="1" applyFont="1" applyBorder="1"/>
    <xf numFmtId="37" fontId="3" fillId="0" borderId="10" xfId="0" applyNumberFormat="1" applyFont="1" applyBorder="1"/>
    <xf numFmtId="165" fontId="3" fillId="0" borderId="0" xfId="0" applyNumberFormat="1" applyFont="1"/>
    <xf numFmtId="5" fontId="3" fillId="0" borderId="13" xfId="0" applyNumberFormat="1" applyFont="1" applyBorder="1"/>
    <xf numFmtId="3" fontId="3" fillId="0" borderId="0" xfId="0" applyNumberFormat="1" applyFont="1" applyBorder="1" applyAlignment="1"/>
    <xf numFmtId="0" fontId="5" fillId="0" borderId="0" xfId="0" applyFont="1" applyBorder="1" applyAlignment="1"/>
    <xf numFmtId="0" fontId="3" fillId="0" borderId="0" xfId="0" applyFont="1" applyBorder="1" applyAlignment="1"/>
    <xf numFmtId="3" fontId="3" fillId="0" borderId="0" xfId="0" applyNumberFormat="1" applyFont="1" applyAlignment="1"/>
    <xf numFmtId="3" fontId="3" fillId="0" borderId="10" xfId="0" applyNumberFormat="1" applyFont="1" applyBorder="1" applyAlignment="1"/>
    <xf numFmtId="0" fontId="3" fillId="0" borderId="0" xfId="0" applyFont="1"/>
    <xf numFmtId="3" fontId="3" fillId="0" borderId="12" xfId="0" applyNumberFormat="1" applyFont="1" applyBorder="1" applyAlignment="1"/>
    <xf numFmtId="0" fontId="3" fillId="0" borderId="0" xfId="0" applyFont="1" applyAlignment="1"/>
    <xf numFmtId="3" fontId="3" fillId="0" borderId="14" xfId="0" applyNumberFormat="1" applyFont="1" applyBorder="1" applyAlignment="1"/>
    <xf numFmtId="3" fontId="3" fillId="0" borderId="0" xfId="0" applyNumberFormat="1" applyFont="1" applyBorder="1" applyAlignment="1">
      <alignment horizontal="center"/>
    </xf>
    <xf numFmtId="166" fontId="3" fillId="0" borderId="0" xfId="26" applyNumberFormat="1" applyFont="1"/>
    <xf numFmtId="166" fontId="3" fillId="0" borderId="10" xfId="26" applyNumberFormat="1" applyFont="1" applyBorder="1"/>
    <xf numFmtId="167" fontId="3" fillId="0" borderId="0" xfId="16" applyNumberFormat="1" applyFont="1" applyFill="1" applyBorder="1"/>
    <xf numFmtId="167" fontId="3" fillId="0" borderId="13" xfId="26" applyNumberFormat="1" applyFont="1" applyBorder="1"/>
    <xf numFmtId="167" fontId="3" fillId="0" borderId="0" xfId="26" applyNumberFormat="1" applyFont="1"/>
    <xf numFmtId="3" fontId="3" fillId="0" borderId="0" xfId="8" applyNumberFormat="1" applyFont="1" applyAlignment="1">
      <alignment horizontal="centerContinuous"/>
    </xf>
    <xf numFmtId="0" fontId="3" fillId="0" borderId="0" xfId="8" applyFont="1" applyAlignment="1">
      <alignment horizontal="centerContinuous"/>
    </xf>
    <xf numFmtId="3" fontId="3" fillId="0" borderId="0" xfId="8" applyNumberFormat="1" applyFont="1"/>
    <xf numFmtId="3" fontId="3" fillId="0" borderId="0" xfId="8" applyNumberFormat="1" applyFont="1" applyAlignment="1">
      <alignment horizontal="center"/>
    </xf>
    <xf numFmtId="3" fontId="5" fillId="0" borderId="10" xfId="8" applyNumberFormat="1" applyFont="1" applyBorder="1" applyAlignment="1">
      <alignment horizontal="centerContinuous"/>
    </xf>
    <xf numFmtId="3" fontId="5" fillId="0" borderId="10" xfId="8" applyNumberFormat="1" applyFont="1" applyBorder="1" applyAlignment="1">
      <alignment horizontal="center"/>
    </xf>
    <xf numFmtId="3" fontId="3" fillId="0" borderId="10" xfId="8" applyNumberFormat="1" applyFont="1" applyBorder="1" applyAlignment="1">
      <alignment horizontal="centerContinuous"/>
    </xf>
    <xf numFmtId="3" fontId="3" fillId="0" borderId="10" xfId="8" applyNumberFormat="1" applyFont="1" applyBorder="1" applyAlignment="1">
      <alignment horizontal="center"/>
    </xf>
    <xf numFmtId="0" fontId="3" fillId="0" borderId="0" xfId="8" applyFont="1"/>
    <xf numFmtId="3" fontId="8" fillId="0" borderId="0" xfId="8" applyNumberFormat="1" applyFont="1" applyAlignment="1">
      <alignment horizontal="center"/>
    </xf>
    <xf numFmtId="3" fontId="3" fillId="0" borderId="0" xfId="8" applyNumberFormat="1" applyFont="1" applyAlignment="1">
      <alignment horizontal="left"/>
    </xf>
    <xf numFmtId="1" fontId="3" fillId="0" borderId="0" xfId="8" applyNumberFormat="1" applyFont="1" applyAlignment="1">
      <alignment horizontal="center"/>
    </xf>
    <xf numFmtId="164" fontId="3" fillId="0" borderId="0" xfId="8" applyNumberFormat="1" applyFont="1" applyAlignment="1">
      <alignment horizontal="left"/>
    </xf>
    <xf numFmtId="164" fontId="3" fillId="0" borderId="0" xfId="8" applyNumberFormat="1" applyFont="1"/>
    <xf numFmtId="5" fontId="3" fillId="0" borderId="0" xfId="8" applyNumberFormat="1" applyFont="1" applyProtection="1">
      <protection locked="0"/>
    </xf>
    <xf numFmtId="37" fontId="3" fillId="0" borderId="0" xfId="8" applyNumberFormat="1" applyFont="1" applyProtection="1">
      <protection locked="0"/>
    </xf>
    <xf numFmtId="37" fontId="3" fillId="0" borderId="3" xfId="8" applyNumberFormat="1" applyFont="1" applyBorder="1"/>
    <xf numFmtId="37" fontId="3" fillId="0" borderId="0" xfId="8" applyNumberFormat="1" applyFont="1"/>
    <xf numFmtId="37" fontId="3" fillId="0" borderId="12" xfId="8" applyNumberFormat="1" applyFont="1" applyBorder="1"/>
    <xf numFmtId="37" fontId="3" fillId="0" borderId="10" xfId="8" applyNumberFormat="1" applyFont="1" applyBorder="1"/>
    <xf numFmtId="165" fontId="3" fillId="0" borderId="0" xfId="8" applyNumberFormat="1" applyFont="1"/>
    <xf numFmtId="37" fontId="3" fillId="0" borderId="10" xfId="8" applyNumberFormat="1" applyFont="1" applyBorder="1" applyProtection="1">
      <protection locked="0"/>
    </xf>
    <xf numFmtId="5" fontId="3" fillId="0" borderId="13" xfId="8" applyNumberFormat="1" applyFont="1" applyBorder="1"/>
    <xf numFmtId="168" fontId="3" fillId="0" borderId="0" xfId="8" applyNumberFormat="1" applyFont="1"/>
    <xf numFmtId="170" fontId="5" fillId="0" borderId="0" xfId="8" applyNumberFormat="1" applyFont="1" applyAlignment="1">
      <alignment horizontal="center"/>
    </xf>
    <xf numFmtId="170" fontId="3" fillId="0" borderId="0" xfId="8" applyNumberFormat="1" applyFont="1"/>
    <xf numFmtId="170" fontId="3" fillId="0" borderId="0" xfId="8" applyNumberFormat="1" applyFont="1" applyAlignment="1">
      <alignment horizontal="center"/>
    </xf>
    <xf numFmtId="168" fontId="3" fillId="0" borderId="10" xfId="8" applyNumberFormat="1" applyFont="1" applyBorder="1"/>
    <xf numFmtId="0" fontId="3" fillId="0" borderId="10" xfId="8" applyFont="1" applyBorder="1"/>
    <xf numFmtId="170" fontId="3" fillId="0" borderId="10" xfId="8" applyNumberFormat="1" applyFont="1" applyBorder="1" applyAlignment="1">
      <alignment horizontal="center"/>
    </xf>
    <xf numFmtId="0" fontId="3" fillId="0" borderId="10" xfId="8" applyFont="1" applyBorder="1" applyAlignment="1">
      <alignment horizontal="right"/>
    </xf>
    <xf numFmtId="5" fontId="3" fillId="0" borderId="0" xfId="8" applyNumberFormat="1" applyFont="1"/>
    <xf numFmtId="0" fontId="3" fillId="0" borderId="0" xfId="8" applyFont="1" applyAlignment="1">
      <alignment horizontal="right"/>
    </xf>
    <xf numFmtId="3" fontId="3" fillId="0" borderId="0" xfId="6" applyNumberFormat="1" applyFont="1" applyAlignment="1">
      <alignment horizontal="centerContinuous"/>
    </xf>
    <xf numFmtId="0" fontId="3" fillId="0" borderId="0" xfId="6" applyFont="1" applyAlignment="1">
      <alignment horizontal="centerContinuous"/>
    </xf>
    <xf numFmtId="3" fontId="3" fillId="0" borderId="0" xfId="6" applyNumberFormat="1" applyFont="1"/>
    <xf numFmtId="3" fontId="3" fillId="0" borderId="0" xfId="6" applyNumberFormat="1" applyFont="1" applyAlignment="1">
      <alignment horizontal="center"/>
    </xf>
    <xf numFmtId="3" fontId="5" fillId="0" borderId="10" xfId="6" applyNumberFormat="1" applyFont="1" applyBorder="1" applyAlignment="1">
      <alignment horizontal="centerContinuous"/>
    </xf>
    <xf numFmtId="3" fontId="5" fillId="0" borderId="10" xfId="6" applyNumberFormat="1" applyFont="1" applyBorder="1" applyAlignment="1">
      <alignment horizontal="center"/>
    </xf>
    <xf numFmtId="3" fontId="3" fillId="0" borderId="10" xfId="6" applyNumberFormat="1" applyFont="1" applyBorder="1" applyAlignment="1">
      <alignment horizontal="centerContinuous"/>
    </xf>
    <xf numFmtId="3" fontId="3" fillId="0" borderId="10" xfId="6" applyNumberFormat="1" applyFont="1" applyBorder="1" applyAlignment="1">
      <alignment horizontal="center"/>
    </xf>
    <xf numFmtId="3" fontId="8" fillId="0" borderId="0" xfId="6" applyNumberFormat="1" applyFont="1" applyAlignment="1">
      <alignment horizontal="center"/>
    </xf>
    <xf numFmtId="3" fontId="3" fillId="0" borderId="0" xfId="6" applyNumberFormat="1" applyFont="1" applyAlignment="1">
      <alignment horizontal="left"/>
    </xf>
    <xf numFmtId="1" fontId="3" fillId="0" borderId="0" xfId="6" applyNumberFormat="1" applyFont="1" applyAlignment="1">
      <alignment horizontal="center"/>
    </xf>
    <xf numFmtId="164" fontId="3" fillId="0" borderId="0" xfId="6" applyNumberFormat="1" applyFont="1" applyAlignment="1">
      <alignment horizontal="left"/>
    </xf>
    <xf numFmtId="164" fontId="3" fillId="0" borderId="0" xfId="6" applyNumberFormat="1" applyFont="1"/>
    <xf numFmtId="5" fontId="3" fillId="0" borderId="0" xfId="6" applyNumberFormat="1" applyFont="1" applyProtection="1">
      <protection locked="0"/>
    </xf>
    <xf numFmtId="37" fontId="3" fillId="0" borderId="0" xfId="6" applyNumberFormat="1" applyFont="1" applyProtection="1">
      <protection locked="0"/>
    </xf>
    <xf numFmtId="37" fontId="3" fillId="0" borderId="3" xfId="6" applyNumberFormat="1" applyFont="1" applyBorder="1"/>
    <xf numFmtId="37" fontId="3" fillId="0" borderId="0" xfId="6" applyNumberFormat="1" applyFont="1"/>
    <xf numFmtId="37" fontId="3" fillId="0" borderId="12" xfId="6" applyNumberFormat="1" applyFont="1" applyBorder="1"/>
    <xf numFmtId="37" fontId="3" fillId="0" borderId="10" xfId="6" applyNumberFormat="1" applyFont="1" applyBorder="1"/>
    <xf numFmtId="165" fontId="3" fillId="0" borderId="0" xfId="6" applyNumberFormat="1" applyFont="1"/>
    <xf numFmtId="37" fontId="3" fillId="0" borderId="10" xfId="6" applyNumberFormat="1" applyFont="1" applyBorder="1" applyProtection="1">
      <protection locked="0"/>
    </xf>
    <xf numFmtId="5" fontId="3" fillId="0" borderId="13" xfId="6" applyNumberFormat="1" applyFont="1" applyBorder="1"/>
    <xf numFmtId="0" fontId="3" fillId="0" borderId="0" xfId="6" applyFont="1"/>
    <xf numFmtId="168" fontId="3" fillId="0" borderId="0" xfId="6" applyNumberFormat="1" applyFont="1"/>
    <xf numFmtId="168" fontId="3" fillId="0" borderId="10" xfId="6" applyNumberFormat="1" applyFont="1" applyBorder="1"/>
    <xf numFmtId="168" fontId="3" fillId="0" borderId="0" xfId="6" applyNumberFormat="1" applyFont="1" applyBorder="1"/>
    <xf numFmtId="0" fontId="3" fillId="0" borderId="10" xfId="6" applyFont="1" applyBorder="1" applyAlignment="1">
      <alignment horizontal="right"/>
    </xf>
    <xf numFmtId="0" fontId="3" fillId="0" borderId="10" xfId="6" applyFont="1" applyBorder="1"/>
    <xf numFmtId="0" fontId="3" fillId="0" borderId="0" xfId="6" applyFont="1" applyAlignment="1">
      <alignment horizontal="right"/>
    </xf>
    <xf numFmtId="169" fontId="10" fillId="0" borderId="0" xfId="7" applyNumberFormat="1" applyFont="1"/>
    <xf numFmtId="3" fontId="3" fillId="0" borderId="0" xfId="18" applyNumberFormat="1" applyFont="1" applyAlignment="1">
      <alignment horizontal="centerContinuous"/>
    </xf>
    <xf numFmtId="0" fontId="3" fillId="0" borderId="0" xfId="18" applyFont="1" applyAlignment="1">
      <alignment horizontal="centerContinuous"/>
    </xf>
    <xf numFmtId="3" fontId="3" fillId="0" borderId="0" xfId="18" applyNumberFormat="1" applyFont="1"/>
    <xf numFmtId="3" fontId="5" fillId="0" borderId="10" xfId="18" applyNumberFormat="1" applyFont="1" applyBorder="1" applyAlignment="1">
      <alignment horizontal="centerContinuous"/>
    </xf>
    <xf numFmtId="3" fontId="3" fillId="0" borderId="10" xfId="18" applyNumberFormat="1" applyFont="1" applyBorder="1" applyAlignment="1">
      <alignment horizontal="centerContinuous"/>
    </xf>
    <xf numFmtId="3" fontId="3" fillId="0" borderId="0" xfId="18" applyNumberFormat="1" applyFont="1" applyAlignment="1">
      <alignment horizontal="center"/>
    </xf>
    <xf numFmtId="3" fontId="3" fillId="0" borderId="10" xfId="18" applyNumberFormat="1" applyFont="1" applyBorder="1" applyAlignment="1">
      <alignment horizontal="center"/>
    </xf>
    <xf numFmtId="3" fontId="3" fillId="0" borderId="0" xfId="18" applyNumberFormat="1" applyFont="1" applyAlignment="1">
      <alignment horizontal="left"/>
    </xf>
    <xf numFmtId="1" fontId="3" fillId="0" borderId="0" xfId="18" applyNumberFormat="1" applyFont="1" applyAlignment="1">
      <alignment horizontal="center"/>
    </xf>
    <xf numFmtId="164" fontId="3" fillId="0" borderId="0" xfId="18" applyNumberFormat="1" applyFont="1" applyAlignment="1">
      <alignment horizontal="left"/>
    </xf>
    <xf numFmtId="164" fontId="3" fillId="0" borderId="0" xfId="18" applyNumberFormat="1" applyFont="1"/>
    <xf numFmtId="5" fontId="3" fillId="0" borderId="0" xfId="18" applyNumberFormat="1" applyFont="1" applyProtection="1">
      <protection locked="0"/>
    </xf>
    <xf numFmtId="37" fontId="3" fillId="0" borderId="0" xfId="18" applyNumberFormat="1" applyFont="1" applyProtection="1">
      <protection locked="0"/>
    </xf>
    <xf numFmtId="37" fontId="3" fillId="0" borderId="3" xfId="18" applyNumberFormat="1" applyFont="1" applyBorder="1"/>
    <xf numFmtId="37" fontId="3" fillId="0" borderId="0" xfId="18" applyNumberFormat="1" applyFont="1"/>
    <xf numFmtId="37" fontId="3" fillId="0" borderId="12" xfId="18" applyNumberFormat="1" applyFont="1" applyBorder="1"/>
    <xf numFmtId="37" fontId="3" fillId="0" borderId="10" xfId="18" applyNumberFormat="1" applyFont="1" applyBorder="1"/>
    <xf numFmtId="37" fontId="3" fillId="0" borderId="10" xfId="18" applyNumberFormat="1" applyFont="1" applyBorder="1" applyProtection="1">
      <protection locked="0"/>
    </xf>
    <xf numFmtId="5" fontId="3" fillId="0" borderId="13" xfId="18" applyNumberFormat="1" applyFont="1" applyBorder="1"/>
    <xf numFmtId="0" fontId="3" fillId="0" borderId="0" xfId="18" applyFont="1"/>
    <xf numFmtId="37" fontId="11" fillId="0" borderId="0" xfId="8" applyNumberFormat="1" applyFont="1" applyProtection="1">
      <protection locked="0"/>
    </xf>
    <xf numFmtId="3" fontId="3" fillId="0" borderId="0" xfId="24" applyNumberFormat="1" applyFont="1" applyAlignment="1">
      <alignment horizontal="centerContinuous"/>
    </xf>
    <xf numFmtId="0" fontId="3" fillId="0" borderId="0" xfId="24" applyFont="1" applyAlignment="1">
      <alignment horizontal="centerContinuous"/>
    </xf>
    <xf numFmtId="3" fontId="3" fillId="0" borderId="0" xfId="24" applyNumberFormat="1" applyFont="1"/>
    <xf numFmtId="3" fontId="5" fillId="0" borderId="10" xfId="24" applyNumberFormat="1" applyFont="1" applyBorder="1" applyAlignment="1">
      <alignment horizontal="centerContinuous"/>
    </xf>
    <xf numFmtId="3" fontId="3" fillId="0" borderId="10" xfId="24" applyNumberFormat="1" applyFont="1" applyBorder="1" applyAlignment="1">
      <alignment horizontal="centerContinuous"/>
    </xf>
    <xf numFmtId="3" fontId="3" fillId="0" borderId="0" xfId="24" applyNumberFormat="1" applyFont="1" applyAlignment="1">
      <alignment horizontal="center"/>
    </xf>
    <xf numFmtId="3" fontId="3" fillId="0" borderId="10" xfId="24" applyNumberFormat="1" applyFont="1" applyBorder="1" applyAlignment="1">
      <alignment horizontal="center"/>
    </xf>
    <xf numFmtId="3" fontId="3" fillId="0" borderId="0" xfId="24" applyNumberFormat="1" applyFont="1" applyAlignment="1">
      <alignment horizontal="left"/>
    </xf>
    <xf numFmtId="1" fontId="3" fillId="0" borderId="0" xfId="24" applyNumberFormat="1" applyFont="1" applyAlignment="1">
      <alignment horizontal="center"/>
    </xf>
    <xf numFmtId="164" fontId="3" fillId="0" borderId="0" xfId="24" applyNumberFormat="1" applyFont="1" applyAlignment="1">
      <alignment horizontal="left"/>
    </xf>
    <xf numFmtId="164" fontId="3" fillId="0" borderId="0" xfId="24" applyNumberFormat="1" applyFont="1"/>
    <xf numFmtId="5" fontId="3" fillId="0" borderId="0" xfId="24" applyNumberFormat="1" applyFont="1" applyProtection="1">
      <protection locked="0"/>
    </xf>
    <xf numFmtId="37" fontId="3" fillId="0" borderId="0" xfId="24" applyNumberFormat="1" applyFont="1" applyProtection="1">
      <protection locked="0"/>
    </xf>
    <xf numFmtId="37" fontId="3" fillId="0" borderId="3" xfId="24" applyNumberFormat="1" applyFont="1" applyBorder="1"/>
    <xf numFmtId="37" fontId="3" fillId="0" borderId="0" xfId="24" applyNumberFormat="1" applyFont="1"/>
    <xf numFmtId="37" fontId="12" fillId="0" borderId="0" xfId="24" applyNumberFormat="1" applyFont="1" applyProtection="1">
      <protection locked="0"/>
    </xf>
    <xf numFmtId="37" fontId="3" fillId="0" borderId="12" xfId="24" applyNumberFormat="1" applyFont="1" applyBorder="1"/>
    <xf numFmtId="37" fontId="3" fillId="0" borderId="10" xfId="24" applyNumberFormat="1" applyFont="1" applyBorder="1"/>
    <xf numFmtId="37" fontId="3" fillId="0" borderId="10" xfId="24" applyNumberFormat="1" applyFont="1" applyBorder="1" applyProtection="1">
      <protection locked="0"/>
    </xf>
    <xf numFmtId="5" fontId="3" fillId="0" borderId="13" xfId="24" applyNumberFormat="1" applyFont="1" applyBorder="1"/>
    <xf numFmtId="3" fontId="4" fillId="0" borderId="0" xfId="4" applyNumberFormat="1" applyFont="1" applyAlignment="1">
      <alignment horizontal="centerContinuous"/>
    </xf>
    <xf numFmtId="0" fontId="4" fillId="0" borderId="0" xfId="4" applyFont="1" applyAlignment="1">
      <alignment horizontal="centerContinuous"/>
    </xf>
    <xf numFmtId="3" fontId="4" fillId="0" borderId="0" xfId="4" applyNumberFormat="1" applyFont="1"/>
    <xf numFmtId="3" fontId="4" fillId="0" borderId="0" xfId="4" applyNumberFormat="1" applyFont="1" applyAlignment="1">
      <alignment horizontal="center"/>
    </xf>
    <xf numFmtId="3" fontId="6" fillId="0" borderId="10" xfId="4" applyNumberFormat="1" applyFont="1" applyBorder="1" applyAlignment="1">
      <alignment horizontal="centerContinuous"/>
    </xf>
    <xf numFmtId="3" fontId="6" fillId="0" borderId="10" xfId="4" applyNumberFormat="1" applyFont="1" applyBorder="1" applyAlignment="1">
      <alignment horizontal="center"/>
    </xf>
    <xf numFmtId="3" fontId="4" fillId="0" borderId="10" xfId="4" applyNumberFormat="1" applyFont="1" applyBorder="1" applyAlignment="1">
      <alignment horizontal="centerContinuous"/>
    </xf>
    <xf numFmtId="3" fontId="4" fillId="0" borderId="10" xfId="4" applyNumberFormat="1" applyFont="1" applyBorder="1" applyAlignment="1">
      <alignment horizontal="center"/>
    </xf>
    <xf numFmtId="3" fontId="13" fillId="0" borderId="0" xfId="4" applyNumberFormat="1" applyFont="1" applyAlignment="1">
      <alignment horizontal="center"/>
    </xf>
    <xf numFmtId="3" fontId="4" fillId="0" borderId="0" xfId="4" applyNumberFormat="1" applyFont="1" applyAlignment="1">
      <alignment horizontal="left"/>
    </xf>
    <xf numFmtId="1" fontId="4" fillId="0" borderId="0" xfId="4" applyNumberFormat="1" applyFont="1" applyAlignment="1">
      <alignment horizontal="center"/>
    </xf>
    <xf numFmtId="164" fontId="4" fillId="0" borderId="0" xfId="4" applyNumberFormat="1" applyFont="1" applyAlignment="1">
      <alignment horizontal="left"/>
    </xf>
    <xf numFmtId="164" fontId="4" fillId="0" borderId="0" xfId="4" applyNumberFormat="1" applyFont="1"/>
    <xf numFmtId="5" fontId="4" fillId="0" borderId="0" xfId="4" applyNumberFormat="1" applyFont="1" applyProtection="1">
      <protection locked="0"/>
    </xf>
    <xf numFmtId="37" fontId="4" fillId="0" borderId="0" xfId="4" applyNumberFormat="1" applyFont="1" applyProtection="1">
      <protection locked="0"/>
    </xf>
    <xf numFmtId="37" fontId="4" fillId="0" borderId="3" xfId="4" applyNumberFormat="1" applyFont="1" applyBorder="1"/>
    <xf numFmtId="37" fontId="4" fillId="0" borderId="0" xfId="4" applyNumberFormat="1" applyFont="1"/>
    <xf numFmtId="37" fontId="4" fillId="0" borderId="12" xfId="4" applyNumberFormat="1" applyFont="1" applyBorder="1"/>
    <xf numFmtId="37" fontId="4" fillId="0" borderId="10" xfId="4" applyNumberFormat="1" applyFont="1" applyBorder="1"/>
    <xf numFmtId="165" fontId="4" fillId="0" borderId="0" xfId="4" applyNumberFormat="1" applyFont="1"/>
    <xf numFmtId="37" fontId="4" fillId="0" borderId="10" xfId="4" applyNumberFormat="1" applyFont="1" applyBorder="1" applyProtection="1">
      <protection locked="0"/>
    </xf>
    <xf numFmtId="5" fontId="4" fillId="0" borderId="13" xfId="4" applyNumberFormat="1" applyFont="1" applyBorder="1"/>
    <xf numFmtId="3" fontId="4" fillId="0" borderId="0" xfId="4" applyNumberFormat="1" applyFont="1" applyBorder="1" applyAlignment="1">
      <alignment horizontal="center"/>
    </xf>
    <xf numFmtId="3" fontId="4" fillId="0" borderId="0" xfId="4" applyNumberFormat="1" applyFont="1" applyBorder="1"/>
    <xf numFmtId="0" fontId="4" fillId="0" borderId="0" xfId="4" applyFont="1" applyBorder="1"/>
    <xf numFmtId="168" fontId="4" fillId="0" borderId="0" xfId="4" applyNumberFormat="1" applyFont="1" applyBorder="1"/>
    <xf numFmtId="170" fontId="4" fillId="0" borderId="0" xfId="4" applyNumberFormat="1" applyFont="1" applyBorder="1"/>
    <xf numFmtId="3" fontId="3" fillId="0" borderId="0" xfId="23" applyNumberFormat="1" applyFont="1" applyAlignment="1">
      <alignment horizontal="centerContinuous"/>
    </xf>
    <xf numFmtId="0" fontId="3" fillId="0" borderId="0" xfId="23" applyFont="1" applyAlignment="1">
      <alignment horizontal="centerContinuous"/>
    </xf>
    <xf numFmtId="3" fontId="3" fillId="0" borderId="0" xfId="23" applyNumberFormat="1" applyFont="1"/>
    <xf numFmtId="3" fontId="5" fillId="0" borderId="10" xfId="23" applyNumberFormat="1" applyFont="1" applyBorder="1" applyAlignment="1">
      <alignment horizontal="centerContinuous"/>
    </xf>
    <xf numFmtId="3" fontId="3" fillId="0" borderId="10" xfId="23" applyNumberFormat="1" applyFont="1" applyBorder="1" applyAlignment="1">
      <alignment horizontal="centerContinuous"/>
    </xf>
    <xf numFmtId="3" fontId="3" fillId="0" borderId="0" xfId="23" applyNumberFormat="1" applyFont="1" applyAlignment="1">
      <alignment horizontal="center"/>
    </xf>
    <xf numFmtId="3" fontId="3" fillId="0" borderId="10" xfId="23" applyNumberFormat="1" applyFont="1" applyBorder="1" applyAlignment="1">
      <alignment horizontal="center"/>
    </xf>
    <xf numFmtId="3" fontId="8" fillId="0" borderId="0" xfId="23" applyNumberFormat="1" applyFont="1" applyAlignment="1">
      <alignment horizontal="center"/>
    </xf>
    <xf numFmtId="3" fontId="3" fillId="0" borderId="0" xfId="23" applyNumberFormat="1" applyFont="1" applyAlignment="1">
      <alignment horizontal="left"/>
    </xf>
    <xf numFmtId="1" fontId="3" fillId="0" borderId="0" xfId="23" applyNumberFormat="1" applyFont="1" applyAlignment="1">
      <alignment horizontal="center"/>
    </xf>
    <xf numFmtId="164" fontId="3" fillId="0" borderId="0" xfId="23" applyNumberFormat="1" applyFont="1" applyAlignment="1">
      <alignment horizontal="left"/>
    </xf>
    <xf numFmtId="164" fontId="3" fillId="0" borderId="0" xfId="23" applyNumberFormat="1" applyFont="1"/>
    <xf numFmtId="5" fontId="3" fillId="0" borderId="0" xfId="23" applyNumberFormat="1" applyFont="1" applyProtection="1">
      <protection locked="0"/>
    </xf>
    <xf numFmtId="37" fontId="3" fillId="0" borderId="0" xfId="23" applyNumberFormat="1" applyFont="1" applyProtection="1">
      <protection locked="0"/>
    </xf>
    <xf numFmtId="37" fontId="3" fillId="0" borderId="3" xfId="23" applyNumberFormat="1" applyFont="1" applyBorder="1"/>
    <xf numFmtId="37" fontId="3" fillId="0" borderId="0" xfId="23" applyNumberFormat="1" applyFont="1"/>
    <xf numFmtId="37" fontId="3" fillId="0" borderId="12" xfId="23" applyNumberFormat="1" applyFont="1" applyBorder="1"/>
    <xf numFmtId="37" fontId="3" fillId="0" borderId="10" xfId="23" applyNumberFormat="1" applyFont="1" applyBorder="1"/>
    <xf numFmtId="165" fontId="3" fillId="0" borderId="0" xfId="23" applyNumberFormat="1" applyFont="1"/>
    <xf numFmtId="37" fontId="3" fillId="0" borderId="10" xfId="23" applyNumberFormat="1" applyFont="1" applyBorder="1" applyProtection="1">
      <protection locked="0"/>
    </xf>
    <xf numFmtId="5" fontId="3" fillId="0" borderId="13" xfId="23" applyNumberFormat="1" applyFont="1" applyBorder="1"/>
    <xf numFmtId="0" fontId="3" fillId="0" borderId="0" xfId="23" applyFont="1"/>
    <xf numFmtId="168" fontId="3" fillId="0" borderId="0" xfId="23" applyNumberFormat="1" applyFont="1"/>
    <xf numFmtId="168" fontId="3" fillId="0" borderId="0" xfId="23" applyNumberFormat="1" applyFont="1" applyBorder="1"/>
    <xf numFmtId="0" fontId="3" fillId="0" borderId="10" xfId="23" applyFont="1" applyBorder="1" applyAlignment="1">
      <alignment horizontal="right"/>
    </xf>
    <xf numFmtId="0" fontId="3" fillId="0" borderId="10" xfId="23" applyFont="1" applyBorder="1"/>
    <xf numFmtId="0" fontId="3" fillId="0" borderId="0" xfId="23" applyFont="1" applyAlignment="1">
      <alignment horizontal="right"/>
    </xf>
    <xf numFmtId="169" fontId="3" fillId="0" borderId="0" xfId="23" applyNumberFormat="1" applyFont="1"/>
    <xf numFmtId="5" fontId="3" fillId="0" borderId="13" xfId="26" applyNumberFormat="1" applyFont="1" applyBorder="1"/>
    <xf numFmtId="37" fontId="3" fillId="0" borderId="10" xfId="26" applyNumberFormat="1" applyFont="1" applyBorder="1"/>
    <xf numFmtId="0" fontId="18" fillId="0" borderId="0" xfId="9" applyFont="1"/>
    <xf numFmtId="0" fontId="18" fillId="0" borderId="0" xfId="9" applyFont="1" applyAlignment="1">
      <alignment horizontal="right"/>
    </xf>
    <xf numFmtId="0" fontId="20" fillId="0" borderId="0" xfId="0" applyFont="1"/>
    <xf numFmtId="3" fontId="21" fillId="0" borderId="15" xfId="0" applyNumberFormat="1" applyFont="1" applyBorder="1" applyAlignment="1">
      <alignment horizontal="centerContinuous"/>
    </xf>
    <xf numFmtId="3" fontId="22" fillId="0" borderId="12" xfId="0" applyNumberFormat="1" applyFont="1" applyBorder="1" applyAlignment="1">
      <alignment horizontal="centerContinuous"/>
    </xf>
    <xf numFmtId="3" fontId="22" fillId="0" borderId="16" xfId="0" applyNumberFormat="1" applyFont="1" applyBorder="1" applyAlignment="1">
      <alignment horizontal="centerContinuous"/>
    </xf>
    <xf numFmtId="3" fontId="17" fillId="0" borderId="14" xfId="0" applyNumberFormat="1" applyFont="1" applyBorder="1" applyAlignment="1"/>
    <xf numFmtId="0" fontId="4" fillId="0" borderId="0" xfId="26" applyNumberFormat="1" applyFont="1" applyAlignment="1">
      <alignment horizontal="center"/>
    </xf>
    <xf numFmtId="0" fontId="4" fillId="0" borderId="0" xfId="26" applyFont="1" applyAlignment="1">
      <alignment horizontal="center"/>
    </xf>
    <xf numFmtId="0" fontId="4" fillId="0" borderId="0" xfId="15" applyFont="1" applyAlignment="1">
      <alignment horizontal="center"/>
    </xf>
    <xf numFmtId="3" fontId="19" fillId="0" borderId="0" xfId="26" applyNumberFormat="1" applyFont="1" applyAlignment="1">
      <alignment horizontal="center"/>
    </xf>
    <xf numFmtId="0" fontId="10" fillId="0" borderId="0" xfId="0" applyFont="1"/>
    <xf numFmtId="0" fontId="23" fillId="0" borderId="0" xfId="0" applyFont="1"/>
    <xf numFmtId="0" fontId="24" fillId="0" borderId="0" xfId="0" applyFont="1"/>
    <xf numFmtId="3" fontId="3" fillId="0" borderId="0" xfId="12" applyNumberFormat="1" applyFont="1" applyAlignment="1">
      <alignment horizontal="centerContinuous"/>
    </xf>
    <xf numFmtId="0" fontId="3" fillId="0" borderId="0" xfId="12" applyFont="1" applyAlignment="1">
      <alignment horizontal="centerContinuous"/>
    </xf>
    <xf numFmtId="3" fontId="3" fillId="0" borderId="0" xfId="12" applyNumberFormat="1" applyFont="1"/>
    <xf numFmtId="3" fontId="5" fillId="0" borderId="10" xfId="12" applyNumberFormat="1" applyFont="1" applyBorder="1" applyAlignment="1">
      <alignment horizontal="centerContinuous"/>
    </xf>
    <xf numFmtId="3" fontId="3" fillId="0" borderId="10" xfId="12" applyNumberFormat="1" applyFont="1" applyBorder="1" applyAlignment="1">
      <alignment horizontal="centerContinuous"/>
    </xf>
    <xf numFmtId="3" fontId="3" fillId="0" borderId="0" xfId="12" applyNumberFormat="1" applyFont="1" applyAlignment="1">
      <alignment horizontal="center"/>
    </xf>
    <xf numFmtId="3" fontId="3" fillId="0" borderId="10" xfId="12" applyNumberFormat="1" applyFont="1" applyBorder="1" applyAlignment="1">
      <alignment horizontal="center"/>
    </xf>
    <xf numFmtId="3" fontId="8" fillId="0" borderId="0" xfId="12" applyNumberFormat="1" applyFont="1" applyAlignment="1">
      <alignment horizontal="center"/>
    </xf>
    <xf numFmtId="3" fontId="3" fillId="0" borderId="0" xfId="12" applyNumberFormat="1" applyFont="1" applyAlignment="1">
      <alignment horizontal="left"/>
    </xf>
    <xf numFmtId="1" fontId="3" fillId="0" borderId="0" xfId="12" applyNumberFormat="1" applyFont="1" applyAlignment="1">
      <alignment horizontal="center"/>
    </xf>
    <xf numFmtId="164" fontId="3" fillId="0" borderId="0" xfId="12" applyNumberFormat="1" applyFont="1" applyAlignment="1">
      <alignment horizontal="left"/>
    </xf>
    <xf numFmtId="164" fontId="3" fillId="0" borderId="0" xfId="12" applyNumberFormat="1" applyFont="1"/>
    <xf numFmtId="5" fontId="3" fillId="0" borderId="0" xfId="12" applyNumberFormat="1" applyFont="1" applyProtection="1">
      <protection locked="0"/>
    </xf>
    <xf numFmtId="37" fontId="3" fillId="0" borderId="0" xfId="12" applyNumberFormat="1" applyFont="1" applyProtection="1">
      <protection locked="0"/>
    </xf>
    <xf numFmtId="37" fontId="3" fillId="0" borderId="3" xfId="12" applyNumberFormat="1" applyFont="1" applyBorder="1"/>
    <xf numFmtId="37" fontId="3" fillId="0" borderId="0" xfId="12" applyNumberFormat="1" applyFont="1"/>
    <xf numFmtId="37" fontId="3" fillId="0" borderId="12" xfId="12" applyNumberFormat="1" applyFont="1" applyBorder="1"/>
    <xf numFmtId="37" fontId="3" fillId="0" borderId="10" xfId="12" applyNumberFormat="1" applyFont="1" applyBorder="1"/>
    <xf numFmtId="37" fontId="3" fillId="0" borderId="10" xfId="12" applyNumberFormat="1" applyFont="1" applyBorder="1" applyProtection="1">
      <protection locked="0"/>
    </xf>
    <xf numFmtId="5" fontId="3" fillId="0" borderId="0" xfId="12" applyNumberFormat="1" applyFont="1"/>
    <xf numFmtId="5" fontId="3" fillId="0" borderId="13" xfId="12" applyNumberFormat="1" applyFont="1" applyBorder="1"/>
    <xf numFmtId="3" fontId="3" fillId="0" borderId="0" xfId="12" applyNumberFormat="1" applyFont="1" applyBorder="1" applyAlignment="1">
      <alignment horizontal="center"/>
    </xf>
    <xf numFmtId="3" fontId="3" fillId="0" borderId="0" xfId="12" applyNumberFormat="1" applyFont="1" applyBorder="1"/>
    <xf numFmtId="0" fontId="3" fillId="0" borderId="0" xfId="12" applyFont="1" applyBorder="1" applyAlignment="1">
      <alignment horizontal="centerContinuous"/>
    </xf>
    <xf numFmtId="0" fontId="3" fillId="0" borderId="0" xfId="12" applyFont="1" applyBorder="1"/>
    <xf numFmtId="168" fontId="3" fillId="0" borderId="0" xfId="12" applyNumberFormat="1" applyFont="1" applyBorder="1"/>
    <xf numFmtId="170" fontId="3" fillId="0" borderId="0" xfId="12" applyNumberFormat="1" applyFont="1" applyBorder="1"/>
    <xf numFmtId="168" fontId="3" fillId="0" borderId="0" xfId="12" applyNumberFormat="1" applyFont="1"/>
    <xf numFmtId="170" fontId="3" fillId="0" borderId="0" xfId="12" applyNumberFormat="1" applyFont="1" applyBorder="1" applyAlignment="1">
      <alignment horizontal="center"/>
    </xf>
    <xf numFmtId="0" fontId="3" fillId="0" borderId="0" xfId="12" applyFont="1" applyBorder="1" applyAlignment="1">
      <alignment horizontal="right"/>
    </xf>
    <xf numFmtId="3" fontId="3" fillId="0" borderId="0" xfId="12" applyNumberFormat="1" applyFont="1" applyBorder="1" applyAlignment="1">
      <alignment horizontal="left"/>
    </xf>
    <xf numFmtId="0" fontId="3" fillId="0" borderId="0" xfId="12" applyFont="1"/>
    <xf numFmtId="164" fontId="3" fillId="0" borderId="0" xfId="12" applyNumberFormat="1" applyFont="1" applyBorder="1" applyAlignment="1">
      <alignment horizontal="left"/>
    </xf>
    <xf numFmtId="5" fontId="3" fillId="0" borderId="0" xfId="12" applyNumberFormat="1" applyFont="1" applyBorder="1"/>
    <xf numFmtId="37" fontId="3" fillId="0" borderId="0" xfId="12" applyNumberFormat="1" applyFont="1" applyBorder="1"/>
    <xf numFmtId="169" fontId="3" fillId="0" borderId="0" xfId="12" applyNumberFormat="1" applyFont="1" applyBorder="1"/>
    <xf numFmtId="3" fontId="3" fillId="0" borderId="0" xfId="7" applyNumberFormat="1" applyFont="1" applyAlignment="1">
      <alignment horizontal="centerContinuous"/>
    </xf>
    <xf numFmtId="0" fontId="3" fillId="0" borderId="0" xfId="7" applyFont="1" applyAlignment="1">
      <alignment horizontal="centerContinuous"/>
    </xf>
    <xf numFmtId="3" fontId="3" fillId="0" borderId="0" xfId="7" applyNumberFormat="1" applyFont="1"/>
    <xf numFmtId="3" fontId="3" fillId="0" borderId="0" xfId="7" applyNumberFormat="1" applyFont="1" applyAlignment="1">
      <alignment horizontal="center"/>
    </xf>
    <xf numFmtId="3" fontId="5" fillId="0" borderId="10" xfId="7" applyNumberFormat="1" applyFont="1" applyBorder="1" applyAlignment="1">
      <alignment horizontal="centerContinuous"/>
    </xf>
    <xf numFmtId="3" fontId="5" fillId="0" borderId="10" xfId="7" applyNumberFormat="1" applyFont="1" applyBorder="1" applyAlignment="1">
      <alignment horizontal="center"/>
    </xf>
    <xf numFmtId="3" fontId="3" fillId="0" borderId="10" xfId="7" applyNumberFormat="1" applyFont="1" applyBorder="1" applyAlignment="1">
      <alignment horizontal="centerContinuous"/>
    </xf>
    <xf numFmtId="3" fontId="3" fillId="0" borderId="10" xfId="7" applyNumberFormat="1" applyFont="1" applyBorder="1" applyAlignment="1">
      <alignment horizontal="center"/>
    </xf>
    <xf numFmtId="3" fontId="8" fillId="0" borderId="0" xfId="7" applyNumberFormat="1" applyFont="1" applyAlignment="1">
      <alignment horizontal="center"/>
    </xf>
    <xf numFmtId="3" fontId="3" fillId="0" borderId="0" xfId="7" applyNumberFormat="1" applyFont="1" applyAlignment="1">
      <alignment horizontal="left"/>
    </xf>
    <xf numFmtId="1" fontId="3" fillId="0" borderId="0" xfId="7" applyNumberFormat="1" applyFont="1" applyAlignment="1">
      <alignment horizontal="center"/>
    </xf>
    <xf numFmtId="164" fontId="3" fillId="0" borderId="0" xfId="7" applyNumberFormat="1" applyFont="1" applyAlignment="1">
      <alignment horizontal="left"/>
    </xf>
    <xf numFmtId="164" fontId="3" fillId="0" borderId="0" xfId="7" applyNumberFormat="1" applyFont="1"/>
    <xf numFmtId="5" fontId="3" fillId="0" borderId="0" xfId="7" applyNumberFormat="1" applyFont="1" applyProtection="1">
      <protection locked="0"/>
    </xf>
    <xf numFmtId="37" fontId="3" fillId="0" borderId="0" xfId="7" applyNumberFormat="1" applyFont="1" applyProtection="1">
      <protection locked="0"/>
    </xf>
    <xf numFmtId="37" fontId="3" fillId="0" borderId="3" xfId="7" applyNumberFormat="1" applyFont="1" applyBorder="1"/>
    <xf numFmtId="37" fontId="3" fillId="0" borderId="0" xfId="7" applyNumberFormat="1" applyFont="1"/>
    <xf numFmtId="37" fontId="3" fillId="0" borderId="12" xfId="7" applyNumberFormat="1" applyFont="1" applyBorder="1"/>
    <xf numFmtId="37" fontId="3" fillId="0" borderId="10" xfId="7" applyNumberFormat="1" applyFont="1" applyBorder="1"/>
    <xf numFmtId="165" fontId="3" fillId="0" borderId="0" xfId="7" applyNumberFormat="1" applyFont="1"/>
    <xf numFmtId="37" fontId="3" fillId="0" borderId="10" xfId="7" applyNumberFormat="1" applyFont="1" applyBorder="1" applyProtection="1">
      <protection locked="0"/>
    </xf>
    <xf numFmtId="5" fontId="3" fillId="0" borderId="13" xfId="7" applyNumberFormat="1" applyFont="1" applyBorder="1"/>
    <xf numFmtId="3" fontId="3" fillId="0" borderId="0" xfId="7" applyNumberFormat="1" applyFont="1" applyBorder="1"/>
    <xf numFmtId="0" fontId="3" fillId="0" borderId="0" xfId="7" applyFont="1"/>
    <xf numFmtId="168" fontId="3" fillId="0" borderId="0" xfId="7" applyNumberFormat="1" applyFont="1"/>
    <xf numFmtId="170" fontId="5" fillId="0" borderId="0" xfId="7" applyNumberFormat="1" applyFont="1" applyAlignment="1">
      <alignment horizontal="center"/>
    </xf>
    <xf numFmtId="170" fontId="3" fillId="0" borderId="0" xfId="7" applyNumberFormat="1" applyFont="1"/>
    <xf numFmtId="170" fontId="3" fillId="0" borderId="0" xfId="7" applyNumberFormat="1" applyFont="1" applyAlignment="1">
      <alignment horizontal="center"/>
    </xf>
    <xf numFmtId="168" fontId="3" fillId="0" borderId="10" xfId="7" applyNumberFormat="1" applyFont="1" applyBorder="1"/>
    <xf numFmtId="0" fontId="3" fillId="0" borderId="10" xfId="7" applyFont="1" applyBorder="1"/>
    <xf numFmtId="170" fontId="3" fillId="0" borderId="10" xfId="7" applyNumberFormat="1" applyFont="1" applyBorder="1" applyAlignment="1">
      <alignment horizontal="center"/>
    </xf>
    <xf numFmtId="168" fontId="3" fillId="0" borderId="0" xfId="7" applyNumberFormat="1" applyFont="1" applyBorder="1"/>
    <xf numFmtId="0" fontId="3" fillId="0" borderId="10" xfId="7" applyFont="1" applyBorder="1" applyAlignment="1">
      <alignment horizontal="right"/>
    </xf>
    <xf numFmtId="5" fontId="3" fillId="0" borderId="0" xfId="7" applyNumberFormat="1" applyFont="1"/>
    <xf numFmtId="0" fontId="3" fillId="0" borderId="0" xfId="7" applyFont="1" applyAlignment="1">
      <alignment horizontal="right"/>
    </xf>
    <xf numFmtId="169" fontId="3" fillId="0" borderId="0" xfId="7" applyNumberFormat="1" applyFont="1"/>
    <xf numFmtId="3" fontId="3" fillId="0" borderId="0" xfId="9" applyNumberFormat="1" applyFont="1" applyAlignment="1">
      <alignment horizontal="centerContinuous"/>
    </xf>
    <xf numFmtId="0" fontId="3" fillId="0" borderId="0" xfId="9" applyFont="1" applyAlignment="1">
      <alignment horizontal="centerContinuous"/>
    </xf>
    <xf numFmtId="3" fontId="3" fillId="0" borderId="0" xfId="9" applyNumberFormat="1" applyFont="1"/>
    <xf numFmtId="3" fontId="3" fillId="0" borderId="0" xfId="9" applyNumberFormat="1" applyFont="1" applyAlignment="1">
      <alignment horizontal="center"/>
    </xf>
    <xf numFmtId="3" fontId="5" fillId="0" borderId="10" xfId="9" applyNumberFormat="1" applyFont="1" applyBorder="1" applyAlignment="1">
      <alignment horizontal="centerContinuous"/>
    </xf>
    <xf numFmtId="3" fontId="5" fillId="0" borderId="10" xfId="9" applyNumberFormat="1" applyFont="1" applyBorder="1" applyAlignment="1">
      <alignment horizontal="center"/>
    </xf>
    <xf numFmtId="3" fontId="3" fillId="0" borderId="10" xfId="9" applyNumberFormat="1" applyFont="1" applyBorder="1" applyAlignment="1">
      <alignment horizontal="centerContinuous"/>
    </xf>
    <xf numFmtId="3" fontId="3" fillId="0" borderId="10" xfId="9" applyNumberFormat="1" applyFont="1" applyBorder="1" applyAlignment="1">
      <alignment horizontal="center"/>
    </xf>
    <xf numFmtId="3" fontId="8" fillId="0" borderId="0" xfId="9" applyNumberFormat="1" applyFont="1" applyAlignment="1">
      <alignment horizontal="center"/>
    </xf>
    <xf numFmtId="3" fontId="3" fillId="0" borderId="0" xfId="9" applyNumberFormat="1" applyFont="1" applyAlignment="1">
      <alignment horizontal="left"/>
    </xf>
    <xf numFmtId="1" fontId="3" fillId="0" borderId="0" xfId="9" applyNumberFormat="1" applyFont="1" applyAlignment="1">
      <alignment horizontal="center"/>
    </xf>
    <xf numFmtId="164" fontId="3" fillId="0" borderId="0" xfId="9" applyNumberFormat="1" applyFont="1" applyAlignment="1">
      <alignment horizontal="left"/>
    </xf>
    <xf numFmtId="164" fontId="3" fillId="0" borderId="0" xfId="9" applyNumberFormat="1" applyFont="1"/>
    <xf numFmtId="5" fontId="3" fillId="0" borderId="0" xfId="9" applyNumberFormat="1" applyFont="1" applyProtection="1">
      <protection locked="0"/>
    </xf>
    <xf numFmtId="37" fontId="3" fillId="0" borderId="0" xfId="9" applyNumberFormat="1" applyFont="1" applyProtection="1">
      <protection locked="0"/>
    </xf>
    <xf numFmtId="37" fontId="3" fillId="0" borderId="3" xfId="9" applyNumberFormat="1" applyFont="1" applyBorder="1"/>
    <xf numFmtId="37" fontId="3" fillId="0" borderId="0" xfId="9" applyNumberFormat="1" applyFont="1"/>
    <xf numFmtId="37" fontId="12" fillId="0" borderId="0" xfId="9" applyNumberFormat="1" applyFont="1" applyProtection="1">
      <protection locked="0"/>
    </xf>
    <xf numFmtId="37" fontId="3" fillId="0" borderId="12" xfId="9" applyNumberFormat="1" applyFont="1" applyBorder="1"/>
    <xf numFmtId="37" fontId="3" fillId="0" borderId="10" xfId="9" applyNumberFormat="1" applyFont="1" applyBorder="1"/>
    <xf numFmtId="165" fontId="3" fillId="0" borderId="0" xfId="9" applyNumberFormat="1" applyFont="1"/>
    <xf numFmtId="37" fontId="3" fillId="0" borderId="10" xfId="9" applyNumberFormat="1" applyFont="1" applyBorder="1" applyProtection="1">
      <protection locked="0"/>
    </xf>
    <xf numFmtId="5" fontId="3" fillId="0" borderId="13" xfId="9" applyNumberFormat="1" applyFont="1" applyBorder="1"/>
    <xf numFmtId="0" fontId="3" fillId="0" borderId="0" xfId="9" applyFont="1"/>
    <xf numFmtId="168" fontId="3" fillId="0" borderId="0" xfId="9" applyNumberFormat="1" applyFont="1"/>
    <xf numFmtId="170" fontId="3" fillId="0" borderId="0" xfId="9" applyNumberFormat="1" applyFont="1"/>
    <xf numFmtId="170" fontId="3" fillId="0" borderId="0" xfId="9" applyNumberFormat="1" applyFont="1" applyAlignment="1">
      <alignment horizontal="center"/>
    </xf>
    <xf numFmtId="168" fontId="3" fillId="0" borderId="10" xfId="9" applyNumberFormat="1" applyFont="1" applyBorder="1"/>
    <xf numFmtId="170" fontId="3" fillId="0" borderId="10" xfId="9" applyNumberFormat="1" applyFont="1" applyBorder="1" applyAlignment="1">
      <alignment horizontal="center"/>
    </xf>
    <xf numFmtId="168" fontId="3" fillId="0" borderId="0" xfId="9" applyNumberFormat="1" applyFont="1" applyBorder="1"/>
    <xf numFmtId="0" fontId="3" fillId="0" borderId="3" xfId="9" applyFont="1" applyBorder="1"/>
    <xf numFmtId="0" fontId="3" fillId="0" borderId="10" xfId="9" applyFont="1" applyBorder="1" applyAlignment="1">
      <alignment horizontal="right"/>
    </xf>
    <xf numFmtId="0" fontId="3" fillId="0" borderId="10" xfId="9" applyFont="1" applyBorder="1"/>
    <xf numFmtId="5" fontId="3" fillId="0" borderId="0" xfId="9" applyNumberFormat="1" applyFont="1"/>
    <xf numFmtId="0" fontId="3" fillId="0" borderId="0" xfId="9" applyFont="1" applyAlignment="1">
      <alignment horizontal="right"/>
    </xf>
    <xf numFmtId="5" fontId="12" fillId="0" borderId="13" xfId="9" applyNumberFormat="1" applyFont="1" applyBorder="1"/>
    <xf numFmtId="3" fontId="3" fillId="0" borderId="0" xfId="13" applyNumberFormat="1" applyFont="1" applyAlignment="1">
      <alignment horizontal="centerContinuous"/>
    </xf>
    <xf numFmtId="0" fontId="3" fillId="0" borderId="0" xfId="13" applyFont="1" applyAlignment="1">
      <alignment horizontal="centerContinuous"/>
    </xf>
    <xf numFmtId="3" fontId="3" fillId="0" borderId="0" xfId="13" applyNumberFormat="1" applyFont="1"/>
    <xf numFmtId="3" fontId="5" fillId="0" borderId="10" xfId="13" applyNumberFormat="1" applyFont="1" applyBorder="1" applyAlignment="1">
      <alignment horizontal="centerContinuous"/>
    </xf>
    <xf numFmtId="3" fontId="3" fillId="0" borderId="10" xfId="13" applyNumberFormat="1" applyFont="1" applyBorder="1" applyAlignment="1">
      <alignment horizontal="centerContinuous"/>
    </xf>
    <xf numFmtId="3" fontId="3" fillId="0" borderId="0" xfId="13" applyNumberFormat="1" applyFont="1" applyAlignment="1">
      <alignment horizontal="center"/>
    </xf>
    <xf numFmtId="3" fontId="3" fillId="0" borderId="10" xfId="13" applyNumberFormat="1" applyFont="1" applyBorder="1" applyAlignment="1">
      <alignment horizontal="center"/>
    </xf>
    <xf numFmtId="3" fontId="3" fillId="0" borderId="0" xfId="13" applyNumberFormat="1" applyFont="1" applyAlignment="1">
      <alignment horizontal="left"/>
    </xf>
    <xf numFmtId="1" fontId="3" fillId="0" borderId="0" xfId="13" applyNumberFormat="1" applyFont="1" applyAlignment="1">
      <alignment horizontal="center"/>
    </xf>
    <xf numFmtId="164" fontId="3" fillId="0" borderId="0" xfId="13" applyNumberFormat="1" applyFont="1" applyAlignment="1">
      <alignment horizontal="left"/>
    </xf>
    <xf numFmtId="164" fontId="3" fillId="0" borderId="0" xfId="13" applyNumberFormat="1" applyFont="1"/>
    <xf numFmtId="5" fontId="3" fillId="0" borderId="0" xfId="13" applyNumberFormat="1" applyFont="1" applyProtection="1">
      <protection locked="0"/>
    </xf>
    <xf numFmtId="37" fontId="3" fillId="0" borderId="0" xfId="13" applyNumberFormat="1" applyFont="1" applyProtection="1">
      <protection locked="0"/>
    </xf>
    <xf numFmtId="37" fontId="3" fillId="0" borderId="3" xfId="13" applyNumberFormat="1" applyFont="1" applyBorder="1"/>
    <xf numFmtId="37" fontId="3" fillId="0" borderId="0" xfId="13" applyNumberFormat="1" applyFont="1"/>
    <xf numFmtId="37" fontId="3" fillId="0" borderId="12" xfId="13" applyNumberFormat="1" applyFont="1" applyBorder="1"/>
    <xf numFmtId="37" fontId="3" fillId="0" borderId="10" xfId="13" applyNumberFormat="1" applyFont="1" applyBorder="1"/>
    <xf numFmtId="165" fontId="3" fillId="0" borderId="0" xfId="13" applyNumberFormat="1" applyFont="1"/>
    <xf numFmtId="37" fontId="3" fillId="0" borderId="10" xfId="13" applyNumberFormat="1" applyFont="1" applyBorder="1" applyProtection="1">
      <protection locked="0"/>
    </xf>
    <xf numFmtId="5" fontId="3" fillId="0" borderId="13" xfId="13" applyNumberFormat="1" applyFont="1" applyBorder="1"/>
    <xf numFmtId="0" fontId="3" fillId="0" borderId="0" xfId="13" applyFont="1"/>
    <xf numFmtId="0" fontId="3" fillId="0" borderId="0" xfId="13" applyFont="1" applyBorder="1" applyAlignment="1">
      <alignment horizontal="right"/>
    </xf>
    <xf numFmtId="0" fontId="3" fillId="0" borderId="0" xfId="13" applyFont="1" applyBorder="1"/>
    <xf numFmtId="0" fontId="3" fillId="0" borderId="0" xfId="13" applyFont="1" applyAlignment="1">
      <alignment horizontal="right"/>
    </xf>
    <xf numFmtId="169" fontId="3" fillId="0" borderId="0" xfId="13" applyNumberFormat="1" applyFont="1"/>
    <xf numFmtId="3" fontId="3" fillId="0" borderId="0" xfId="28" applyNumberFormat="1" applyFont="1" applyAlignment="1">
      <alignment horizontal="centerContinuous"/>
    </xf>
    <xf numFmtId="0" fontId="3" fillId="0" borderId="0" xfId="28" applyFont="1" applyAlignment="1">
      <alignment horizontal="centerContinuous"/>
    </xf>
    <xf numFmtId="3" fontId="3" fillId="0" borderId="0" xfId="28" applyNumberFormat="1" applyFont="1"/>
    <xf numFmtId="3" fontId="5" fillId="0" borderId="10" xfId="28" applyNumberFormat="1" applyFont="1" applyBorder="1" applyAlignment="1">
      <alignment horizontal="centerContinuous"/>
    </xf>
    <xf numFmtId="3" fontId="3" fillId="0" borderId="10" xfId="28" applyNumberFormat="1" applyFont="1" applyBorder="1" applyAlignment="1">
      <alignment horizontal="centerContinuous"/>
    </xf>
    <xf numFmtId="3" fontId="3" fillId="0" borderId="0" xfId="28" applyNumberFormat="1" applyFont="1" applyAlignment="1">
      <alignment horizontal="center"/>
    </xf>
    <xf numFmtId="3" fontId="3" fillId="0" borderId="10" xfId="28" applyNumberFormat="1" applyFont="1" applyBorder="1" applyAlignment="1">
      <alignment horizontal="center"/>
    </xf>
    <xf numFmtId="3" fontId="3" fillId="0" borderId="0" xfId="28" applyNumberFormat="1" applyFont="1" applyAlignment="1">
      <alignment horizontal="left"/>
    </xf>
    <xf numFmtId="1" fontId="3" fillId="0" borderId="0" xfId="28" applyNumberFormat="1" applyFont="1" applyAlignment="1">
      <alignment horizontal="center"/>
    </xf>
    <xf numFmtId="164" fontId="3" fillId="0" borderId="0" xfId="28" applyNumberFormat="1" applyFont="1" applyAlignment="1">
      <alignment horizontal="left"/>
    </xf>
    <xf numFmtId="164" fontId="3" fillId="0" borderId="0" xfId="28" applyNumberFormat="1" applyFont="1"/>
    <xf numFmtId="5" fontId="3" fillId="0" borderId="0" xfId="28" applyNumberFormat="1" applyFont="1" applyProtection="1">
      <protection locked="0"/>
    </xf>
    <xf numFmtId="37" fontId="3" fillId="0" borderId="0" xfId="28" applyNumberFormat="1" applyFont="1" applyProtection="1">
      <protection locked="0"/>
    </xf>
    <xf numFmtId="37" fontId="3" fillId="0" borderId="3" xfId="28" applyNumberFormat="1" applyFont="1" applyBorder="1"/>
    <xf numFmtId="37" fontId="3" fillId="0" borderId="0" xfId="28" applyNumberFormat="1" applyFont="1"/>
    <xf numFmtId="37" fontId="3" fillId="0" borderId="12" xfId="28" applyNumberFormat="1" applyFont="1" applyBorder="1"/>
    <xf numFmtId="37" fontId="3" fillId="0" borderId="10" xfId="28" applyNumberFormat="1" applyFont="1" applyBorder="1"/>
    <xf numFmtId="37" fontId="3" fillId="0" borderId="10" xfId="28" applyNumberFormat="1" applyFont="1" applyBorder="1" applyProtection="1">
      <protection locked="0"/>
    </xf>
    <xf numFmtId="5" fontId="3" fillId="0" borderId="13" xfId="28" applyNumberFormat="1" applyFont="1" applyBorder="1"/>
    <xf numFmtId="0" fontId="3" fillId="0" borderId="0" xfId="28" applyFont="1" applyBorder="1" applyAlignment="1">
      <alignment horizontal="centerContinuous"/>
    </xf>
    <xf numFmtId="0" fontId="3" fillId="0" borderId="0" xfId="28" applyFont="1" applyBorder="1"/>
    <xf numFmtId="168" fontId="3" fillId="0" borderId="0" xfId="28" applyNumberFormat="1" applyFont="1" applyBorder="1"/>
    <xf numFmtId="170" fontId="3" fillId="0" borderId="0" xfId="28" applyNumberFormat="1" applyFont="1" applyBorder="1"/>
    <xf numFmtId="170" fontId="3" fillId="0" borderId="0" xfId="28" applyNumberFormat="1" applyFont="1" applyBorder="1" applyAlignment="1">
      <alignment horizontal="center"/>
    </xf>
    <xf numFmtId="3" fontId="3" fillId="0" borderId="0" xfId="28" applyNumberFormat="1" applyFont="1" applyBorder="1" applyAlignment="1">
      <alignment horizontal="center"/>
    </xf>
    <xf numFmtId="0" fontId="3" fillId="0" borderId="0" xfId="28" applyFont="1" applyBorder="1" applyAlignment="1">
      <alignment horizontal="right"/>
    </xf>
    <xf numFmtId="3" fontId="3" fillId="0" borderId="0" xfId="28" applyNumberFormat="1" applyFont="1" applyBorder="1" applyAlignment="1">
      <alignment horizontal="left"/>
    </xf>
    <xf numFmtId="164" fontId="3" fillId="0" borderId="0" xfId="28" applyNumberFormat="1" applyFont="1" applyBorder="1" applyAlignment="1">
      <alignment horizontal="left"/>
    </xf>
    <xf numFmtId="5" fontId="3" fillId="0" borderId="0" xfId="28" applyNumberFormat="1" applyFont="1" applyBorder="1"/>
    <xf numFmtId="37" fontId="3" fillId="0" borderId="0" xfId="28" applyNumberFormat="1" applyFont="1" applyBorder="1"/>
    <xf numFmtId="3" fontId="3" fillId="0" borderId="0" xfId="28" applyNumberFormat="1" applyFont="1" applyBorder="1"/>
    <xf numFmtId="169" fontId="3" fillId="0" borderId="0" xfId="28" applyNumberFormat="1" applyFont="1" applyBorder="1"/>
    <xf numFmtId="3" fontId="3" fillId="0" borderId="0" xfId="19" applyNumberFormat="1" applyFont="1" applyAlignment="1">
      <alignment horizontal="centerContinuous"/>
    </xf>
    <xf numFmtId="0" fontId="3" fillId="0" borderId="0" xfId="19" applyFont="1" applyAlignment="1">
      <alignment horizontal="centerContinuous"/>
    </xf>
    <xf numFmtId="3" fontId="3" fillId="0" borderId="0" xfId="19" applyNumberFormat="1" applyFont="1"/>
    <xf numFmtId="3" fontId="5" fillId="0" borderId="10" xfId="19" applyNumberFormat="1" applyFont="1" applyBorder="1" applyAlignment="1">
      <alignment horizontal="centerContinuous"/>
    </xf>
    <xf numFmtId="3" fontId="3" fillId="0" borderId="10" xfId="19" applyNumberFormat="1" applyFont="1" applyBorder="1" applyAlignment="1">
      <alignment horizontal="centerContinuous"/>
    </xf>
    <xf numFmtId="3" fontId="3" fillId="0" borderId="0" xfId="19" applyNumberFormat="1" applyFont="1" applyAlignment="1">
      <alignment horizontal="center"/>
    </xf>
    <xf numFmtId="3" fontId="3" fillId="0" borderId="10" xfId="19" applyNumberFormat="1" applyFont="1" applyBorder="1" applyAlignment="1">
      <alignment horizontal="center"/>
    </xf>
    <xf numFmtId="3" fontId="8" fillId="0" borderId="0" xfId="19" applyNumberFormat="1" applyFont="1" applyAlignment="1">
      <alignment horizontal="center"/>
    </xf>
    <xf numFmtId="3" fontId="3" fillId="0" borderId="0" xfId="19" applyNumberFormat="1" applyFont="1" applyAlignment="1">
      <alignment horizontal="left"/>
    </xf>
    <xf numFmtId="1" fontId="3" fillId="0" borderId="0" xfId="19" applyNumberFormat="1" applyFont="1" applyAlignment="1">
      <alignment horizontal="center"/>
    </xf>
    <xf numFmtId="164" fontId="3" fillId="0" borderId="0" xfId="19" applyNumberFormat="1" applyFont="1" applyAlignment="1">
      <alignment horizontal="left"/>
    </xf>
    <xf numFmtId="164" fontId="3" fillId="0" borderId="0" xfId="19" applyNumberFormat="1" applyFont="1"/>
    <xf numFmtId="5" fontId="3" fillId="0" borderId="0" xfId="19" applyNumberFormat="1" applyFont="1" applyProtection="1">
      <protection locked="0"/>
    </xf>
    <xf numFmtId="37" fontId="3" fillId="0" borderId="0" xfId="19" applyNumberFormat="1" applyFont="1" applyProtection="1">
      <protection locked="0"/>
    </xf>
    <xf numFmtId="37" fontId="3" fillId="0" borderId="3" xfId="19" applyNumberFormat="1" applyFont="1" applyBorder="1"/>
    <xf numFmtId="37" fontId="3" fillId="0" borderId="0" xfId="19" applyNumberFormat="1" applyFont="1"/>
    <xf numFmtId="37" fontId="3" fillId="0" borderId="12" xfId="19" applyNumberFormat="1" applyFont="1" applyBorder="1"/>
    <xf numFmtId="37" fontId="3" fillId="0" borderId="10" xfId="19" applyNumberFormat="1" applyFont="1" applyBorder="1"/>
    <xf numFmtId="165" fontId="3" fillId="0" borderId="0" xfId="19" applyNumberFormat="1" applyFont="1"/>
    <xf numFmtId="37" fontId="3" fillId="0" borderId="10" xfId="19" applyNumberFormat="1" applyFont="1" applyBorder="1" applyProtection="1">
      <protection locked="0"/>
    </xf>
    <xf numFmtId="5" fontId="3" fillId="0" borderId="13" xfId="19" applyNumberFormat="1" applyFont="1" applyBorder="1"/>
    <xf numFmtId="0" fontId="3" fillId="0" borderId="0" xfId="19" applyFont="1"/>
    <xf numFmtId="168" fontId="3" fillId="0" borderId="0" xfId="19" applyNumberFormat="1" applyFont="1"/>
    <xf numFmtId="170" fontId="3" fillId="0" borderId="0" xfId="19" applyNumberFormat="1" applyFont="1"/>
    <xf numFmtId="170" fontId="3" fillId="0" borderId="0" xfId="19" applyNumberFormat="1" applyFont="1" applyAlignment="1">
      <alignment horizontal="center"/>
    </xf>
    <xf numFmtId="168" fontId="3" fillId="0" borderId="10" xfId="19" applyNumberFormat="1" applyFont="1" applyBorder="1"/>
    <xf numFmtId="170" fontId="3" fillId="0" borderId="10" xfId="19" applyNumberFormat="1" applyFont="1" applyBorder="1" applyAlignment="1">
      <alignment horizontal="center"/>
    </xf>
    <xf numFmtId="168" fontId="3" fillId="0" borderId="0" xfId="19" applyNumberFormat="1" applyFont="1" applyBorder="1"/>
    <xf numFmtId="0" fontId="3" fillId="0" borderId="3" xfId="19" applyFont="1" applyBorder="1"/>
    <xf numFmtId="0" fontId="3" fillId="0" borderId="10" xfId="19" applyFont="1" applyBorder="1" applyAlignment="1">
      <alignment horizontal="right"/>
    </xf>
    <xf numFmtId="0" fontId="3" fillId="0" borderId="10" xfId="19" applyFont="1" applyBorder="1"/>
    <xf numFmtId="5" fontId="3" fillId="0" borderId="0" xfId="19" applyNumberFormat="1" applyFont="1"/>
    <xf numFmtId="0" fontId="3" fillId="0" borderId="0" xfId="19" applyFont="1" applyAlignment="1">
      <alignment horizontal="right"/>
    </xf>
    <xf numFmtId="169" fontId="3" fillId="0" borderId="0" xfId="19" applyNumberFormat="1" applyFont="1" applyFill="1"/>
    <xf numFmtId="3" fontId="3" fillId="0" borderId="0" xfId="5" applyNumberFormat="1" applyFont="1" applyAlignment="1">
      <alignment horizontal="centerContinuous"/>
    </xf>
    <xf numFmtId="0" fontId="3" fillId="0" borderId="0" xfId="5" applyFont="1" applyAlignment="1">
      <alignment horizontal="centerContinuous"/>
    </xf>
    <xf numFmtId="3" fontId="3" fillId="0" borderId="0" xfId="5" applyNumberFormat="1" applyFont="1"/>
    <xf numFmtId="3" fontId="3" fillId="0" borderId="0" xfId="5" applyNumberFormat="1" applyFont="1" applyAlignment="1">
      <alignment horizontal="center"/>
    </xf>
    <xf numFmtId="3" fontId="5" fillId="0" borderId="10" xfId="5" applyNumberFormat="1" applyFont="1" applyBorder="1" applyAlignment="1">
      <alignment horizontal="centerContinuous"/>
    </xf>
    <xf numFmtId="3" fontId="5" fillId="0" borderId="10" xfId="5" applyNumberFormat="1" applyFont="1" applyBorder="1" applyAlignment="1">
      <alignment horizontal="center"/>
    </xf>
    <xf numFmtId="3" fontId="3" fillId="0" borderId="10" xfId="5" applyNumberFormat="1" applyFont="1" applyBorder="1" applyAlignment="1">
      <alignment horizontal="centerContinuous"/>
    </xf>
    <xf numFmtId="3" fontId="3" fillId="0" borderId="10" xfId="5" applyNumberFormat="1" applyFont="1" applyBorder="1" applyAlignment="1">
      <alignment horizontal="center"/>
    </xf>
    <xf numFmtId="3" fontId="8" fillId="0" borderId="0" xfId="5" applyNumberFormat="1" applyFont="1" applyAlignment="1">
      <alignment horizontal="center"/>
    </xf>
    <xf numFmtId="3" fontId="3" fillId="0" borderId="0" xfId="5" applyNumberFormat="1" applyFont="1" applyAlignment="1">
      <alignment horizontal="left"/>
    </xf>
    <xf numFmtId="1" fontId="3" fillId="0" borderId="0" xfId="5" applyNumberFormat="1" applyFont="1" applyAlignment="1">
      <alignment horizontal="center"/>
    </xf>
    <xf numFmtId="164" fontId="3" fillId="0" borderId="0" xfId="5" applyNumberFormat="1" applyFont="1" applyAlignment="1">
      <alignment horizontal="left"/>
    </xf>
    <xf numFmtId="164" fontId="3" fillId="0" borderId="0" xfId="5" applyNumberFormat="1" applyFont="1"/>
    <xf numFmtId="5" fontId="3" fillId="0" borderId="0" xfId="5" applyNumberFormat="1" applyFont="1" applyProtection="1">
      <protection locked="0"/>
    </xf>
    <xf numFmtId="37" fontId="3" fillId="0" borderId="0" xfId="5" applyNumberFormat="1" applyFont="1" applyProtection="1">
      <protection locked="0"/>
    </xf>
    <xf numFmtId="37" fontId="3" fillId="0" borderId="3" xfId="5" applyNumberFormat="1" applyFont="1" applyBorder="1"/>
    <xf numFmtId="37" fontId="3" fillId="0" borderId="0" xfId="5" applyNumberFormat="1" applyFont="1"/>
    <xf numFmtId="37" fontId="12" fillId="0" borderId="0" xfId="5" applyNumberFormat="1" applyFont="1" applyProtection="1">
      <protection locked="0"/>
    </xf>
    <xf numFmtId="37" fontId="3" fillId="0" borderId="12" xfId="5" applyNumberFormat="1" applyFont="1" applyBorder="1"/>
    <xf numFmtId="37" fontId="3" fillId="0" borderId="10" xfId="5" applyNumberFormat="1" applyFont="1" applyBorder="1"/>
    <xf numFmtId="165" fontId="3" fillId="0" borderId="0" xfId="5" applyNumberFormat="1" applyFont="1"/>
    <xf numFmtId="37" fontId="3" fillId="0" borderId="10" xfId="5" applyNumberFormat="1" applyFont="1" applyBorder="1" applyProtection="1">
      <protection locked="0"/>
    </xf>
    <xf numFmtId="5" fontId="3" fillId="0" borderId="13" xfId="5" applyNumberFormat="1" applyFont="1" applyBorder="1"/>
    <xf numFmtId="0" fontId="3" fillId="0" borderId="0" xfId="5" applyFont="1"/>
    <xf numFmtId="168" fontId="3" fillId="0" borderId="0" xfId="5" applyNumberFormat="1" applyFont="1"/>
    <xf numFmtId="170" fontId="3" fillId="0" borderId="0" xfId="5" applyNumberFormat="1" applyFont="1"/>
    <xf numFmtId="170" fontId="3" fillId="0" borderId="0" xfId="5" applyNumberFormat="1" applyFont="1" applyAlignment="1">
      <alignment horizontal="center"/>
    </xf>
    <xf numFmtId="168" fontId="3" fillId="0" borderId="10" xfId="5" applyNumberFormat="1" applyFont="1" applyBorder="1"/>
    <xf numFmtId="170" fontId="3" fillId="0" borderId="10" xfId="5" applyNumberFormat="1" applyFont="1" applyBorder="1" applyAlignment="1">
      <alignment horizontal="center"/>
    </xf>
    <xf numFmtId="168" fontId="3" fillId="0" borderId="0" xfId="5" applyNumberFormat="1" applyFont="1" applyBorder="1"/>
    <xf numFmtId="0" fontId="3" fillId="0" borderId="3" xfId="5" applyFont="1" applyBorder="1"/>
    <xf numFmtId="0" fontId="3" fillId="0" borderId="10" xfId="5" applyFont="1" applyBorder="1" applyAlignment="1">
      <alignment horizontal="right"/>
    </xf>
    <xf numFmtId="0" fontId="3" fillId="0" borderId="10" xfId="5" applyFont="1" applyBorder="1"/>
    <xf numFmtId="5" fontId="3" fillId="0" borderId="0" xfId="5" applyNumberFormat="1" applyFont="1"/>
    <xf numFmtId="37" fontId="12" fillId="0" borderId="0" xfId="5" applyNumberFormat="1" applyFont="1"/>
    <xf numFmtId="0" fontId="3" fillId="0" borderId="0" xfId="5" applyFont="1" applyAlignment="1">
      <alignment horizontal="right"/>
    </xf>
    <xf numFmtId="169" fontId="3" fillId="0" borderId="0" xfId="5" applyNumberFormat="1" applyFont="1"/>
    <xf numFmtId="3" fontId="3" fillId="0" borderId="0" xfId="20" applyNumberFormat="1" applyFont="1" applyAlignment="1">
      <alignment horizontal="centerContinuous"/>
    </xf>
    <xf numFmtId="0" fontId="3" fillId="0" borderId="0" xfId="20" applyFont="1" applyAlignment="1">
      <alignment horizontal="centerContinuous"/>
    </xf>
    <xf numFmtId="3" fontId="3" fillId="0" borderId="0" xfId="20" applyNumberFormat="1" applyFont="1"/>
    <xf numFmtId="3" fontId="5" fillId="0" borderId="10" xfId="20" applyNumberFormat="1" applyFont="1" applyBorder="1" applyAlignment="1">
      <alignment horizontal="centerContinuous"/>
    </xf>
    <xf numFmtId="3" fontId="3" fillId="0" borderId="10" xfId="20" applyNumberFormat="1" applyFont="1" applyBorder="1" applyAlignment="1">
      <alignment horizontal="centerContinuous"/>
    </xf>
    <xf numFmtId="3" fontId="3" fillId="0" borderId="0" xfId="20" applyNumberFormat="1" applyFont="1" applyAlignment="1">
      <alignment horizontal="center"/>
    </xf>
    <xf numFmtId="3" fontId="3" fillId="0" borderId="10" xfId="20" applyNumberFormat="1" applyFont="1" applyBorder="1" applyAlignment="1">
      <alignment horizontal="center"/>
    </xf>
    <xf numFmtId="3" fontId="3" fillId="0" borderId="0" xfId="20" applyNumberFormat="1" applyFont="1" applyAlignment="1">
      <alignment horizontal="left"/>
    </xf>
    <xf numFmtId="1" fontId="3" fillId="0" borderId="0" xfId="20" applyNumberFormat="1" applyFont="1" applyAlignment="1">
      <alignment horizontal="center"/>
    </xf>
    <xf numFmtId="164" fontId="3" fillId="0" borderId="0" xfId="20" applyNumberFormat="1" applyFont="1" applyAlignment="1">
      <alignment horizontal="left"/>
    </xf>
    <xf numFmtId="164" fontId="3" fillId="0" borderId="0" xfId="20" applyNumberFormat="1" applyFont="1"/>
    <xf numFmtId="5" fontId="3" fillId="0" borderId="0" xfId="20" applyNumberFormat="1" applyFont="1" applyProtection="1">
      <protection locked="0"/>
    </xf>
    <xf numFmtId="37" fontId="3" fillId="0" borderId="0" xfId="20" applyNumberFormat="1" applyFont="1" applyProtection="1">
      <protection locked="0"/>
    </xf>
    <xf numFmtId="37" fontId="3" fillId="0" borderId="3" xfId="20" applyNumberFormat="1" applyFont="1" applyBorder="1"/>
    <xf numFmtId="37" fontId="3" fillId="0" borderId="0" xfId="20" applyNumberFormat="1" applyFont="1"/>
    <xf numFmtId="37" fontId="12" fillId="0" borderId="0" xfId="20" applyNumberFormat="1" applyFont="1" applyProtection="1">
      <protection locked="0"/>
    </xf>
    <xf numFmtId="37" fontId="3" fillId="0" borderId="12" xfId="20" applyNumberFormat="1" applyFont="1" applyBorder="1"/>
    <xf numFmtId="37" fontId="3" fillId="0" borderId="10" xfId="20" applyNumberFormat="1" applyFont="1" applyBorder="1"/>
    <xf numFmtId="37" fontId="3" fillId="0" borderId="10" xfId="20" applyNumberFormat="1" applyFont="1" applyBorder="1" applyProtection="1">
      <protection locked="0"/>
    </xf>
    <xf numFmtId="5" fontId="3" fillId="0" borderId="0" xfId="20" applyNumberFormat="1" applyFont="1"/>
    <xf numFmtId="5" fontId="3" fillId="0" borderId="13" xfId="20" applyNumberFormat="1" applyFont="1" applyBorder="1"/>
    <xf numFmtId="0" fontId="3" fillId="0" borderId="0" xfId="20" applyFont="1"/>
    <xf numFmtId="168" fontId="3" fillId="0" borderId="0" xfId="20" applyNumberFormat="1" applyFont="1"/>
    <xf numFmtId="170" fontId="3" fillId="0" borderId="0" xfId="20" applyNumberFormat="1" applyFont="1"/>
    <xf numFmtId="170" fontId="3" fillId="0" borderId="0" xfId="20" applyNumberFormat="1" applyFont="1" applyAlignment="1">
      <alignment horizontal="center"/>
    </xf>
    <xf numFmtId="168" fontId="3" fillId="0" borderId="10" xfId="20" applyNumberFormat="1" applyFont="1" applyBorder="1"/>
    <xf numFmtId="170" fontId="3" fillId="0" borderId="10" xfId="20" applyNumberFormat="1" applyFont="1" applyBorder="1" applyAlignment="1">
      <alignment horizontal="center"/>
    </xf>
    <xf numFmtId="0" fontId="3" fillId="0" borderId="10" xfId="20" applyFont="1" applyBorder="1"/>
    <xf numFmtId="0" fontId="3" fillId="0" borderId="10" xfId="20" applyFont="1" applyBorder="1" applyAlignment="1">
      <alignment horizontal="right"/>
    </xf>
    <xf numFmtId="37" fontId="12" fillId="0" borderId="0" xfId="20" applyNumberFormat="1" applyFont="1"/>
    <xf numFmtId="0" fontId="3" fillId="0" borderId="0" xfId="20" applyFont="1" applyAlignment="1">
      <alignment horizontal="right"/>
    </xf>
    <xf numFmtId="169" fontId="3" fillId="0" borderId="0" xfId="20" applyNumberFormat="1" applyFont="1" applyBorder="1"/>
    <xf numFmtId="3" fontId="3" fillId="0" borderId="0" xfId="21" applyNumberFormat="1" applyFont="1" applyAlignment="1">
      <alignment horizontal="centerContinuous"/>
    </xf>
    <xf numFmtId="0" fontId="3" fillId="0" borderId="0" xfId="21" applyFont="1" applyAlignment="1">
      <alignment horizontal="centerContinuous"/>
    </xf>
    <xf numFmtId="3" fontId="3" fillId="0" borderId="0" xfId="21" applyNumberFormat="1" applyFont="1"/>
    <xf numFmtId="3" fontId="3" fillId="0" borderId="0" xfId="21" applyNumberFormat="1" applyFont="1" applyAlignment="1">
      <alignment horizontal="center"/>
    </xf>
    <xf numFmtId="3" fontId="5" fillId="0" borderId="10" xfId="21" applyNumberFormat="1" applyFont="1" applyBorder="1" applyAlignment="1">
      <alignment horizontal="centerContinuous"/>
    </xf>
    <xf numFmtId="3" fontId="5" fillId="0" borderId="10" xfId="21" applyNumberFormat="1" applyFont="1" applyBorder="1" applyAlignment="1">
      <alignment horizontal="center"/>
    </xf>
    <xf numFmtId="3" fontId="3" fillId="0" borderId="10" xfId="21" applyNumberFormat="1" applyFont="1" applyBorder="1" applyAlignment="1">
      <alignment horizontal="centerContinuous"/>
    </xf>
    <xf numFmtId="3" fontId="3" fillId="0" borderId="10" xfId="21" applyNumberFormat="1" applyFont="1" applyBorder="1" applyAlignment="1">
      <alignment horizontal="center"/>
    </xf>
    <xf numFmtId="3" fontId="8" fillId="0" borderId="0" xfId="21" applyNumberFormat="1" applyFont="1" applyAlignment="1">
      <alignment horizontal="center"/>
    </xf>
    <xf numFmtId="3" fontId="3" fillId="0" borderId="0" xfId="21" applyNumberFormat="1" applyFont="1" applyAlignment="1">
      <alignment horizontal="left"/>
    </xf>
    <xf numFmtId="1" fontId="3" fillId="0" borderId="0" xfId="21" applyNumberFormat="1" applyFont="1" applyAlignment="1">
      <alignment horizontal="center"/>
    </xf>
    <xf numFmtId="164" fontId="3" fillId="0" borderId="0" xfId="21" applyNumberFormat="1" applyFont="1" applyAlignment="1">
      <alignment horizontal="left"/>
    </xf>
    <xf numFmtId="164" fontId="3" fillId="0" borderId="0" xfId="21" applyNumberFormat="1" applyFont="1"/>
    <xf numFmtId="5" fontId="3" fillId="0" borderId="0" xfId="21" applyNumberFormat="1" applyFont="1" applyProtection="1">
      <protection locked="0"/>
    </xf>
    <xf numFmtId="37" fontId="3" fillId="0" borderId="0" xfId="21" applyNumberFormat="1" applyFont="1" applyProtection="1">
      <protection locked="0"/>
    </xf>
    <xf numFmtId="37" fontId="3" fillId="0" borderId="3" xfId="21" applyNumberFormat="1" applyFont="1" applyBorder="1"/>
    <xf numFmtId="37" fontId="3" fillId="0" borderId="0" xfId="21" applyNumberFormat="1" applyFont="1"/>
    <xf numFmtId="37" fontId="3" fillId="0" borderId="12" xfId="21" applyNumberFormat="1" applyFont="1" applyBorder="1"/>
    <xf numFmtId="37" fontId="3" fillId="0" borderId="10" xfId="21" applyNumberFormat="1" applyFont="1" applyBorder="1"/>
    <xf numFmtId="165" fontId="3" fillId="0" borderId="0" xfId="21" applyNumberFormat="1" applyFont="1"/>
    <xf numFmtId="37" fontId="3" fillId="0" borderId="10" xfId="21" applyNumberFormat="1" applyFont="1" applyBorder="1" applyProtection="1">
      <protection locked="0"/>
    </xf>
    <xf numFmtId="5" fontId="3" fillId="0" borderId="13" xfId="21" applyNumberFormat="1" applyFont="1" applyBorder="1"/>
    <xf numFmtId="0" fontId="3" fillId="0" borderId="0" xfId="21" applyFont="1"/>
    <xf numFmtId="168" fontId="3" fillId="0" borderId="0" xfId="21" applyNumberFormat="1" applyFont="1"/>
    <xf numFmtId="170" fontId="3" fillId="0" borderId="0" xfId="21" applyNumberFormat="1" applyFont="1"/>
    <xf numFmtId="170" fontId="3" fillId="0" borderId="0" xfId="21" applyNumberFormat="1" applyFont="1" applyAlignment="1">
      <alignment horizontal="center"/>
    </xf>
    <xf numFmtId="168" fontId="3" fillId="0" borderId="10" xfId="21" applyNumberFormat="1" applyFont="1" applyBorder="1"/>
    <xf numFmtId="170" fontId="3" fillId="0" borderId="10" xfId="21" applyNumberFormat="1" applyFont="1" applyBorder="1" applyAlignment="1">
      <alignment horizontal="center"/>
    </xf>
    <xf numFmtId="168" fontId="3" fillId="0" borderId="0" xfId="21" applyNumberFormat="1" applyFont="1" applyBorder="1"/>
    <xf numFmtId="0" fontId="3" fillId="0" borderId="3" xfId="21" applyFont="1" applyBorder="1"/>
    <xf numFmtId="0" fontId="3" fillId="0" borderId="10" xfId="21" applyFont="1" applyBorder="1" applyAlignment="1">
      <alignment horizontal="right"/>
    </xf>
    <xf numFmtId="0" fontId="3" fillId="0" borderId="10" xfId="21" applyFont="1" applyBorder="1"/>
    <xf numFmtId="5" fontId="3" fillId="0" borderId="0" xfId="21" applyNumberFormat="1" applyFont="1"/>
    <xf numFmtId="0" fontId="3" fillId="0" borderId="0" xfId="21" applyFont="1" applyAlignment="1">
      <alignment horizontal="right"/>
    </xf>
    <xf numFmtId="5" fontId="12" fillId="0" borderId="13" xfId="21" applyNumberFormat="1" applyFont="1" applyBorder="1"/>
    <xf numFmtId="3" fontId="3" fillId="0" borderId="0" xfId="17" applyNumberFormat="1" applyFont="1" applyAlignment="1">
      <alignment horizontal="centerContinuous"/>
    </xf>
    <xf numFmtId="0" fontId="3" fillId="0" borderId="0" xfId="17" applyFont="1" applyAlignment="1">
      <alignment horizontal="centerContinuous"/>
    </xf>
    <xf numFmtId="3" fontId="3" fillId="0" borderId="0" xfId="17" applyNumberFormat="1" applyFont="1"/>
    <xf numFmtId="0" fontId="14" fillId="0" borderId="0" xfId="17" applyFont="1"/>
    <xf numFmtId="170" fontId="3" fillId="0" borderId="0" xfId="17" applyNumberFormat="1" applyFont="1" applyAlignment="1">
      <alignment horizontal="center"/>
    </xf>
    <xf numFmtId="3" fontId="5" fillId="0" borderId="10" xfId="17" applyNumberFormat="1" applyFont="1" applyBorder="1" applyAlignment="1">
      <alignment horizontal="centerContinuous"/>
    </xf>
    <xf numFmtId="3" fontId="5" fillId="0" borderId="10" xfId="17" applyNumberFormat="1" applyFont="1" applyBorder="1" applyAlignment="1">
      <alignment horizontal="center"/>
    </xf>
    <xf numFmtId="3" fontId="3" fillId="0" borderId="10" xfId="17" applyNumberFormat="1" applyFont="1" applyBorder="1" applyAlignment="1">
      <alignment horizontal="centerContinuous"/>
    </xf>
    <xf numFmtId="3" fontId="3" fillId="0" borderId="0" xfId="17" applyNumberFormat="1" applyFont="1" applyAlignment="1">
      <alignment horizontal="center"/>
    </xf>
    <xf numFmtId="3" fontId="3" fillId="0" borderId="10" xfId="17" applyNumberFormat="1" applyFont="1" applyBorder="1" applyAlignment="1">
      <alignment horizontal="center"/>
    </xf>
    <xf numFmtId="3" fontId="8" fillId="0" borderId="0" xfId="17" applyNumberFormat="1" applyFont="1" applyAlignment="1">
      <alignment horizontal="center"/>
    </xf>
    <xf numFmtId="3" fontId="3" fillId="0" borderId="0" xfId="17" applyNumberFormat="1" applyFont="1" applyAlignment="1">
      <alignment horizontal="left"/>
    </xf>
    <xf numFmtId="1" fontId="3" fillId="0" borderId="0" xfId="17" applyNumberFormat="1" applyFont="1" applyAlignment="1">
      <alignment horizontal="center"/>
    </xf>
    <xf numFmtId="164" fontId="3" fillId="0" borderId="0" xfId="17" applyNumberFormat="1" applyFont="1" applyAlignment="1">
      <alignment horizontal="left"/>
    </xf>
    <xf numFmtId="164" fontId="3" fillId="0" borderId="0" xfId="17" applyNumberFormat="1" applyFont="1"/>
    <xf numFmtId="5" fontId="3" fillId="0" borderId="0" xfId="17" applyNumberFormat="1" applyFont="1" applyProtection="1">
      <protection locked="0"/>
    </xf>
    <xf numFmtId="37" fontId="3" fillId="0" borderId="0" xfId="17" applyNumberFormat="1" applyFont="1" applyProtection="1">
      <protection locked="0"/>
    </xf>
    <xf numFmtId="37" fontId="3" fillId="0" borderId="3" xfId="17" applyNumberFormat="1" applyFont="1" applyBorder="1"/>
    <xf numFmtId="37" fontId="3" fillId="0" borderId="0" xfId="17" applyNumberFormat="1" applyFont="1"/>
    <xf numFmtId="37" fontId="12" fillId="0" borderId="0" xfId="17" applyNumberFormat="1" applyFont="1" applyProtection="1">
      <protection locked="0"/>
    </xf>
    <xf numFmtId="37" fontId="3" fillId="0" borderId="12" xfId="17" applyNumberFormat="1" applyFont="1" applyBorder="1"/>
    <xf numFmtId="37" fontId="3" fillId="0" borderId="10" xfId="17" applyNumberFormat="1" applyFont="1" applyBorder="1"/>
    <xf numFmtId="165" fontId="3" fillId="0" borderId="0" xfId="17" applyNumberFormat="1" applyFont="1"/>
    <xf numFmtId="37" fontId="3" fillId="0" borderId="10" xfId="17" applyNumberFormat="1" applyFont="1" applyBorder="1" applyProtection="1">
      <protection locked="0"/>
    </xf>
    <xf numFmtId="5" fontId="3" fillId="0" borderId="13" xfId="17" applyNumberFormat="1" applyFont="1" applyBorder="1"/>
    <xf numFmtId="0" fontId="3" fillId="0" borderId="0" xfId="17" applyFont="1"/>
    <xf numFmtId="168" fontId="3" fillId="0" borderId="0" xfId="17" applyNumberFormat="1" applyFont="1"/>
    <xf numFmtId="170" fontId="3" fillId="0" borderId="0" xfId="17" applyNumberFormat="1" applyFont="1"/>
    <xf numFmtId="168" fontId="3" fillId="0" borderId="10" xfId="17" applyNumberFormat="1" applyFont="1" applyBorder="1"/>
    <xf numFmtId="170" fontId="3" fillId="0" borderId="10" xfId="17" applyNumberFormat="1" applyFont="1" applyBorder="1" applyAlignment="1">
      <alignment horizontal="center"/>
    </xf>
    <xf numFmtId="168" fontId="3" fillId="0" borderId="0" xfId="17" applyNumberFormat="1" applyFont="1" applyBorder="1"/>
    <xf numFmtId="0" fontId="3" fillId="0" borderId="3" xfId="17" applyFont="1" applyBorder="1"/>
    <xf numFmtId="0" fontId="3" fillId="0" borderId="10" xfId="17" applyFont="1" applyBorder="1" applyAlignment="1">
      <alignment horizontal="right"/>
    </xf>
    <xf numFmtId="0" fontId="3" fillId="0" borderId="10" xfId="17" applyFont="1" applyBorder="1"/>
    <xf numFmtId="5" fontId="3" fillId="0" borderId="0" xfId="17" applyNumberFormat="1" applyFont="1"/>
    <xf numFmtId="0" fontId="3" fillId="0" borderId="0" xfId="17" applyFont="1" applyAlignment="1">
      <alignment horizontal="right"/>
    </xf>
    <xf numFmtId="169" fontId="3" fillId="0" borderId="0" xfId="17" applyNumberFormat="1" applyFont="1"/>
    <xf numFmtId="5" fontId="12" fillId="0" borderId="13" xfId="17" applyNumberFormat="1" applyFont="1" applyBorder="1"/>
    <xf numFmtId="3" fontId="3" fillId="0" borderId="0" xfId="14" applyNumberFormat="1" applyFont="1" applyAlignment="1">
      <alignment horizontal="centerContinuous"/>
    </xf>
    <xf numFmtId="0" fontId="3" fillId="0" borderId="0" xfId="14" applyFont="1" applyAlignment="1">
      <alignment horizontal="centerContinuous"/>
    </xf>
    <xf numFmtId="3" fontId="3" fillId="0" borderId="0" xfId="14" applyNumberFormat="1" applyFont="1"/>
    <xf numFmtId="3" fontId="5" fillId="0" borderId="10" xfId="14" applyNumberFormat="1" applyFont="1" applyBorder="1" applyAlignment="1">
      <alignment horizontal="centerContinuous"/>
    </xf>
    <xf numFmtId="3" fontId="3" fillId="0" borderId="10" xfId="14" applyNumberFormat="1" applyFont="1" applyBorder="1" applyAlignment="1">
      <alignment horizontal="centerContinuous"/>
    </xf>
    <xf numFmtId="3" fontId="3" fillId="0" borderId="0" xfId="14" applyNumberFormat="1" applyFont="1" applyAlignment="1">
      <alignment horizontal="center"/>
    </xf>
    <xf numFmtId="3" fontId="3" fillId="0" borderId="0" xfId="14" applyNumberFormat="1" applyFont="1" applyBorder="1"/>
    <xf numFmtId="3" fontId="3" fillId="0" borderId="10" xfId="14" applyNumberFormat="1" applyFont="1" applyBorder="1" applyAlignment="1">
      <alignment horizontal="center"/>
    </xf>
    <xf numFmtId="3" fontId="3" fillId="0" borderId="0" xfId="14" applyNumberFormat="1" applyFont="1" applyBorder="1" applyAlignment="1">
      <alignment horizontal="center"/>
    </xf>
    <xf numFmtId="3" fontId="3" fillId="0" borderId="0" xfId="14" applyNumberFormat="1" applyFont="1" applyAlignment="1">
      <alignment horizontal="left"/>
    </xf>
    <xf numFmtId="1" fontId="3" fillId="0" borderId="0" xfId="14" applyNumberFormat="1" applyFont="1" applyAlignment="1">
      <alignment horizontal="center"/>
    </xf>
    <xf numFmtId="164" fontId="3" fillId="0" borderId="0" xfId="14" applyNumberFormat="1" applyFont="1" applyAlignment="1">
      <alignment horizontal="left"/>
    </xf>
    <xf numFmtId="164" fontId="3" fillId="0" borderId="0" xfId="14" applyNumberFormat="1" applyFont="1"/>
    <xf numFmtId="5" fontId="3" fillId="0" borderId="0" xfId="14" applyNumberFormat="1" applyFont="1" applyProtection="1">
      <protection locked="0"/>
    </xf>
    <xf numFmtId="37" fontId="3" fillId="0" borderId="0" xfId="14" applyNumberFormat="1" applyFont="1" applyProtection="1">
      <protection locked="0"/>
    </xf>
    <xf numFmtId="37" fontId="3" fillId="0" borderId="3" xfId="14" applyNumberFormat="1" applyFont="1" applyBorder="1"/>
    <xf numFmtId="37" fontId="3" fillId="0" borderId="0" xfId="14" applyNumberFormat="1" applyFont="1" applyBorder="1"/>
    <xf numFmtId="37" fontId="3" fillId="0" borderId="0" xfId="14" applyNumberFormat="1" applyFont="1"/>
    <xf numFmtId="37" fontId="3" fillId="0" borderId="12" xfId="14" applyNumberFormat="1" applyFont="1" applyBorder="1"/>
    <xf numFmtId="37" fontId="3" fillId="0" borderId="10" xfId="14" applyNumberFormat="1" applyFont="1" applyBorder="1"/>
    <xf numFmtId="37" fontId="3" fillId="0" borderId="10" xfId="14" applyNumberFormat="1" applyFont="1" applyBorder="1" applyProtection="1">
      <protection locked="0"/>
    </xf>
    <xf numFmtId="5" fontId="3" fillId="0" borderId="0" xfId="14" applyNumberFormat="1" applyFont="1" applyBorder="1"/>
    <xf numFmtId="5" fontId="3" fillId="0" borderId="13" xfId="14" applyNumberFormat="1" applyFont="1" applyBorder="1"/>
    <xf numFmtId="0" fontId="3" fillId="0" borderId="0" xfId="14" applyFont="1" applyBorder="1" applyAlignment="1">
      <alignment horizontal="centerContinuous"/>
    </xf>
    <xf numFmtId="0" fontId="3" fillId="0" borderId="0" xfId="14" applyFont="1" applyBorder="1"/>
    <xf numFmtId="168" fontId="3" fillId="0" borderId="0" xfId="14" applyNumberFormat="1" applyFont="1" applyBorder="1"/>
    <xf numFmtId="170" fontId="3" fillId="0" borderId="0" xfId="14" applyNumberFormat="1" applyFont="1" applyBorder="1"/>
    <xf numFmtId="170" fontId="3" fillId="0" borderId="0" xfId="14" applyNumberFormat="1" applyFont="1" applyBorder="1" applyAlignment="1">
      <alignment horizontal="center"/>
    </xf>
    <xf numFmtId="0" fontId="3" fillId="0" borderId="0" xfId="14" applyFont="1" applyBorder="1" applyAlignment="1">
      <alignment horizontal="right"/>
    </xf>
    <xf numFmtId="3" fontId="3" fillId="0" borderId="0" xfId="14" applyNumberFormat="1" applyFont="1" applyBorder="1" applyAlignment="1">
      <alignment horizontal="left"/>
    </xf>
    <xf numFmtId="164" fontId="3" fillId="0" borderId="0" xfId="14" applyNumberFormat="1" applyFont="1" applyBorder="1" applyAlignment="1">
      <alignment horizontal="left"/>
    </xf>
    <xf numFmtId="169" fontId="3" fillId="0" borderId="0" xfId="14" applyNumberFormat="1" applyFont="1" applyBorder="1"/>
    <xf numFmtId="3" fontId="3" fillId="0" borderId="0" xfId="10" applyNumberFormat="1" applyFont="1" applyAlignment="1">
      <alignment horizontal="centerContinuous"/>
    </xf>
    <xf numFmtId="0" fontId="3" fillId="0" borderId="0" xfId="10" applyFont="1" applyAlignment="1">
      <alignment horizontal="centerContinuous"/>
    </xf>
    <xf numFmtId="3" fontId="3" fillId="0" borderId="0" xfId="10" applyNumberFormat="1" applyFont="1"/>
    <xf numFmtId="3" fontId="5" fillId="0" borderId="10" xfId="10" applyNumberFormat="1" applyFont="1" applyBorder="1" applyAlignment="1">
      <alignment horizontal="centerContinuous"/>
    </xf>
    <xf numFmtId="3" fontId="3" fillId="0" borderId="10" xfId="10" applyNumberFormat="1" applyFont="1" applyBorder="1" applyAlignment="1">
      <alignment horizontal="centerContinuous"/>
    </xf>
    <xf numFmtId="3" fontId="3" fillId="0" borderId="0" xfId="10" applyNumberFormat="1" applyFont="1" applyBorder="1" applyAlignment="1">
      <alignment horizontal="centerContinuous"/>
    </xf>
    <xf numFmtId="3" fontId="3" fillId="0" borderId="0" xfId="10" applyNumberFormat="1" applyFont="1" applyAlignment="1">
      <alignment horizontal="center"/>
    </xf>
    <xf numFmtId="3" fontId="3" fillId="0" borderId="0" xfId="10" applyNumberFormat="1" applyFont="1" applyBorder="1"/>
    <xf numFmtId="3" fontId="3" fillId="0" borderId="10" xfId="10" applyNumberFormat="1" applyFont="1" applyBorder="1" applyAlignment="1">
      <alignment horizontal="center"/>
    </xf>
    <xf numFmtId="3" fontId="3" fillId="0" borderId="0" xfId="10" applyNumberFormat="1" applyFont="1" applyBorder="1" applyAlignment="1">
      <alignment horizontal="center"/>
    </xf>
    <xf numFmtId="3" fontId="8" fillId="0" borderId="0" xfId="10" applyNumberFormat="1" applyFont="1" applyAlignment="1">
      <alignment horizontal="center"/>
    </xf>
    <xf numFmtId="3" fontId="3" fillId="0" borderId="0" xfId="10" applyNumberFormat="1" applyFont="1" applyAlignment="1">
      <alignment horizontal="left"/>
    </xf>
    <xf numFmtId="1" fontId="3" fillId="0" borderId="0" xfId="10" applyNumberFormat="1" applyFont="1" applyAlignment="1">
      <alignment horizontal="center"/>
    </xf>
    <xf numFmtId="164" fontId="3" fillId="0" borderId="0" xfId="10" applyNumberFormat="1" applyFont="1" applyAlignment="1">
      <alignment horizontal="left"/>
    </xf>
    <xf numFmtId="164" fontId="3" fillId="0" borderId="0" xfId="10" applyNumberFormat="1" applyFont="1"/>
    <xf numFmtId="5" fontId="3" fillId="0" borderId="0" xfId="10" applyNumberFormat="1" applyFont="1" applyProtection="1">
      <protection locked="0"/>
    </xf>
    <xf numFmtId="5" fontId="3" fillId="0" borderId="0" xfId="10" applyNumberFormat="1" applyFont="1" applyBorder="1" applyProtection="1">
      <protection locked="0"/>
    </xf>
    <xf numFmtId="37" fontId="3" fillId="0" borderId="0" xfId="10" applyNumberFormat="1" applyFont="1" applyProtection="1">
      <protection locked="0"/>
    </xf>
    <xf numFmtId="37" fontId="3" fillId="0" borderId="0" xfId="10" applyNumberFormat="1" applyFont="1" applyBorder="1" applyProtection="1">
      <protection locked="0"/>
    </xf>
    <xf numFmtId="37" fontId="3" fillId="0" borderId="3" xfId="10" applyNumberFormat="1" applyFont="1" applyBorder="1"/>
    <xf numFmtId="37" fontId="3" fillId="0" borderId="0" xfId="10" applyNumberFormat="1" applyFont="1" applyBorder="1"/>
    <xf numFmtId="37" fontId="3" fillId="0" borderId="0" xfId="10" applyNumberFormat="1" applyFont="1"/>
    <xf numFmtId="37" fontId="3" fillId="0" borderId="12" xfId="10" applyNumberFormat="1" applyFont="1" applyBorder="1"/>
    <xf numFmtId="37" fontId="3" fillId="0" borderId="10" xfId="10" applyNumberFormat="1" applyFont="1" applyBorder="1"/>
    <xf numFmtId="37" fontId="3" fillId="0" borderId="10" xfId="10" applyNumberFormat="1" applyFont="1" applyBorder="1" applyProtection="1">
      <protection locked="0"/>
    </xf>
    <xf numFmtId="5" fontId="3" fillId="0" borderId="0" xfId="10" applyNumberFormat="1" applyFont="1"/>
    <xf numFmtId="5" fontId="3" fillId="0" borderId="0" xfId="10" applyNumberFormat="1" applyFont="1" applyBorder="1"/>
    <xf numFmtId="5" fontId="3" fillId="0" borderId="13" xfId="10" applyNumberFormat="1" applyFont="1" applyBorder="1"/>
    <xf numFmtId="0" fontId="3" fillId="0" borderId="0" xfId="10" applyFont="1" applyAlignment="1">
      <alignment horizontal="left"/>
    </xf>
    <xf numFmtId="168" fontId="3" fillId="0" borderId="0" xfId="10" applyNumberFormat="1" applyFont="1" applyAlignment="1">
      <alignment horizontal="left"/>
    </xf>
    <xf numFmtId="170" fontId="3" fillId="0" borderId="0" xfId="10" applyNumberFormat="1" applyFont="1" applyAlignment="1">
      <alignment horizontal="left"/>
    </xf>
    <xf numFmtId="0" fontId="3" fillId="0" borderId="0" xfId="10" applyFont="1"/>
    <xf numFmtId="168" fontId="3" fillId="0" borderId="0" xfId="10" applyNumberFormat="1" applyFont="1"/>
    <xf numFmtId="170" fontId="3" fillId="0" borderId="0" xfId="10" applyNumberFormat="1" applyFont="1"/>
    <xf numFmtId="170" fontId="3" fillId="0" borderId="0" xfId="10" applyNumberFormat="1" applyFont="1" applyAlignment="1">
      <alignment horizontal="center"/>
    </xf>
    <xf numFmtId="168" fontId="3" fillId="0" borderId="10" xfId="10" applyNumberFormat="1" applyFont="1" applyBorder="1"/>
    <xf numFmtId="0" fontId="3" fillId="0" borderId="10" xfId="10" applyFont="1" applyBorder="1"/>
    <xf numFmtId="170" fontId="3" fillId="0" borderId="10" xfId="10" applyNumberFormat="1" applyFont="1" applyBorder="1" applyAlignment="1">
      <alignment horizontal="center"/>
    </xf>
    <xf numFmtId="168" fontId="3" fillId="0" borderId="0" xfId="10" applyNumberFormat="1" applyFont="1" applyBorder="1"/>
    <xf numFmtId="0" fontId="3" fillId="0" borderId="10" xfId="10" applyFont="1" applyBorder="1" applyAlignment="1">
      <alignment horizontal="right"/>
    </xf>
    <xf numFmtId="0" fontId="3" fillId="0" borderId="0" xfId="10" applyFont="1" applyAlignment="1">
      <alignment horizontal="right"/>
    </xf>
    <xf numFmtId="169" fontId="3" fillId="0" borderId="0" xfId="10" applyNumberFormat="1" applyFont="1"/>
    <xf numFmtId="0" fontId="14" fillId="0" borderId="0" xfId="0" applyFont="1"/>
    <xf numFmtId="3" fontId="5" fillId="0" borderId="10" xfId="0" applyNumberFormat="1" applyFont="1" applyBorder="1" applyAlignment="1">
      <alignment horizontal="center"/>
    </xf>
    <xf numFmtId="168" fontId="3" fillId="0" borderId="0" xfId="0" applyNumberFormat="1" applyFont="1"/>
    <xf numFmtId="170" fontId="3" fillId="0" borderId="0" xfId="0" applyNumberFormat="1" applyFont="1"/>
    <xf numFmtId="5" fontId="3" fillId="0" borderId="0" xfId="0" applyNumberFormat="1" applyFont="1"/>
    <xf numFmtId="0" fontId="15" fillId="0" borderId="0" xfId="0" applyFont="1" applyAlignment="1">
      <alignment horizontal="center"/>
    </xf>
    <xf numFmtId="0" fontId="14" fillId="0" borderId="0" xfId="0" applyFont="1" applyBorder="1"/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10" xfId="0" applyFont="1" applyBorder="1"/>
    <xf numFmtId="0" fontId="14" fillId="0" borderId="10" xfId="0" applyFont="1" applyBorder="1" applyAlignment="1">
      <alignment horizontal="center"/>
    </xf>
    <xf numFmtId="3" fontId="27" fillId="0" borderId="0" xfId="0" applyNumberFormat="1" applyFont="1" applyAlignment="1">
      <alignment horizontal="center"/>
    </xf>
    <xf numFmtId="0" fontId="27" fillId="0" borderId="0" xfId="0" applyFont="1"/>
    <xf numFmtId="5" fontId="14" fillId="0" borderId="0" xfId="0" applyNumberFormat="1" applyFont="1" applyBorder="1"/>
    <xf numFmtId="37" fontId="14" fillId="0" borderId="0" xfId="0" applyNumberFormat="1" applyFont="1" applyBorder="1"/>
    <xf numFmtId="3" fontId="14" fillId="0" borderId="0" xfId="0" applyNumberFormat="1" applyFont="1"/>
    <xf numFmtId="5" fontId="14" fillId="0" borderId="0" xfId="0" applyNumberFormat="1" applyFont="1"/>
    <xf numFmtId="37" fontId="14" fillId="0" borderId="3" xfId="0" applyNumberFormat="1" applyFont="1" applyBorder="1"/>
    <xf numFmtId="37" fontId="14" fillId="0" borderId="0" xfId="0" applyNumberFormat="1" applyFont="1"/>
    <xf numFmtId="10" fontId="14" fillId="0" borderId="0" xfId="0" applyNumberFormat="1" applyFont="1" applyBorder="1"/>
    <xf numFmtId="0" fontId="14" fillId="0" borderId="0" xfId="0" applyFont="1" applyFill="1" applyAlignment="1">
      <alignment horizontal="center"/>
    </xf>
    <xf numFmtId="3" fontId="14" fillId="0" borderId="0" xfId="0" applyNumberFormat="1" applyFont="1" applyBorder="1"/>
    <xf numFmtId="6" fontId="14" fillId="0" borderId="13" xfId="3" applyNumberFormat="1" applyFont="1" applyBorder="1"/>
    <xf numFmtId="10" fontId="15" fillId="0" borderId="0" xfId="0" applyNumberFormat="1" applyFont="1" applyBorder="1"/>
    <xf numFmtId="0" fontId="16" fillId="0" borderId="0" xfId="0" applyFont="1" applyAlignment="1">
      <alignment horizontal="center"/>
    </xf>
    <xf numFmtId="0" fontId="4" fillId="0" borderId="0" xfId="0" applyFont="1"/>
    <xf numFmtId="0" fontId="30" fillId="0" borderId="0" xfId="0" applyFont="1"/>
    <xf numFmtId="0" fontId="31" fillId="0" borderId="0" xfId="0" applyFont="1" applyAlignment="1">
      <alignment horizontal="center"/>
    </xf>
    <xf numFmtId="0" fontId="30" fillId="0" borderId="0" xfId="0" applyFont="1" applyBorder="1"/>
    <xf numFmtId="0" fontId="30" fillId="0" borderId="0" xfId="0" applyFont="1" applyBorder="1" applyAlignment="1">
      <alignment horizontal="center"/>
    </xf>
    <xf numFmtId="5" fontId="30" fillId="0" borderId="0" xfId="0" applyNumberFormat="1" applyFont="1" applyBorder="1"/>
    <xf numFmtId="37" fontId="30" fillId="0" borderId="0" xfId="0" applyNumberFormat="1" applyFont="1" applyBorder="1"/>
    <xf numFmtId="3" fontId="25" fillId="0" borderId="0" xfId="26" applyNumberFormat="1" applyFont="1"/>
    <xf numFmtId="3" fontId="25" fillId="0" borderId="0" xfId="26" applyNumberFormat="1" applyFont="1" applyAlignment="1">
      <alignment horizontal="center"/>
    </xf>
    <xf numFmtId="3" fontId="32" fillId="0" borderId="1" xfId="26" applyNumberFormat="1" applyFont="1" applyBorder="1" applyAlignment="1">
      <alignment horizontal="center"/>
    </xf>
    <xf numFmtId="3" fontId="32" fillId="0" borderId="5" xfId="26" applyNumberFormat="1" applyFont="1" applyBorder="1" applyAlignment="1">
      <alignment horizontal="center"/>
    </xf>
    <xf numFmtId="3" fontId="32" fillId="0" borderId="8" xfId="26" applyNumberFormat="1" applyFont="1" applyBorder="1" applyAlignment="1">
      <alignment horizontal="center"/>
    </xf>
    <xf numFmtId="166" fontId="25" fillId="0" borderId="0" xfId="26" applyNumberFormat="1" applyFont="1"/>
    <xf numFmtId="166" fontId="25" fillId="0" borderId="10" xfId="26" applyNumberFormat="1" applyFont="1" applyBorder="1"/>
    <xf numFmtId="37" fontId="25" fillId="0" borderId="0" xfId="26" applyNumberFormat="1" applyFont="1"/>
    <xf numFmtId="37" fontId="25" fillId="0" borderId="10" xfId="26" applyNumberFormat="1" applyFont="1" applyBorder="1"/>
    <xf numFmtId="5" fontId="25" fillId="0" borderId="13" xfId="26" applyNumberFormat="1" applyFont="1" applyBorder="1"/>
    <xf numFmtId="167" fontId="25" fillId="0" borderId="0" xfId="26" applyNumberFormat="1" applyFont="1"/>
    <xf numFmtId="3" fontId="33" fillId="0" borderId="0" xfId="0" applyNumberFormat="1" applyFont="1"/>
    <xf numFmtId="0" fontId="33" fillId="0" borderId="0" xfId="0" applyFont="1"/>
    <xf numFmtId="5" fontId="33" fillId="0" borderId="0" xfId="0" applyNumberFormat="1" applyFont="1"/>
    <xf numFmtId="37" fontId="33" fillId="0" borderId="0" xfId="0" applyNumberFormat="1" applyFont="1"/>
    <xf numFmtId="3" fontId="32" fillId="0" borderId="0" xfId="26" applyNumberFormat="1" applyFont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3" fillId="0" borderId="0" xfId="26" applyNumberFormat="1" applyFont="1" applyFill="1"/>
    <xf numFmtId="3" fontId="5" fillId="0" borderId="1" xfId="26" applyNumberFormat="1" applyFont="1" applyFill="1" applyBorder="1" applyAlignment="1">
      <alignment horizontal="center"/>
    </xf>
    <xf numFmtId="0" fontId="34" fillId="0" borderId="0" xfId="0" applyFont="1" applyAlignment="1">
      <alignment horizontal="centerContinuous"/>
    </xf>
    <xf numFmtId="0" fontId="35" fillId="0" borderId="0" xfId="0" applyFont="1"/>
    <xf numFmtId="0" fontId="34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5" fontId="35" fillId="0" borderId="0" xfId="0" applyNumberFormat="1" applyFont="1"/>
    <xf numFmtId="171" fontId="35" fillId="0" borderId="0" xfId="30" applyNumberFormat="1" applyFont="1"/>
    <xf numFmtId="171" fontId="35" fillId="0" borderId="10" xfId="30" applyNumberFormat="1" applyFont="1" applyBorder="1"/>
    <xf numFmtId="5" fontId="35" fillId="0" borderId="10" xfId="0" applyNumberFormat="1" applyFont="1" applyBorder="1"/>
    <xf numFmtId="171" fontId="35" fillId="0" borderId="0" xfId="30" applyNumberFormat="1" applyFont="1" applyBorder="1"/>
    <xf numFmtId="5" fontId="35" fillId="0" borderId="17" xfId="0" applyNumberFormat="1" applyFont="1" applyBorder="1"/>
    <xf numFmtId="171" fontId="36" fillId="0" borderId="0" xfId="30" applyNumberFormat="1" applyFont="1" applyBorder="1"/>
    <xf numFmtId="5" fontId="35" fillId="0" borderId="0" xfId="0" applyNumberFormat="1" applyFont="1" applyBorder="1"/>
    <xf numFmtId="10" fontId="35" fillId="0" borderId="18" xfId="30" applyNumberFormat="1" applyFont="1" applyBorder="1"/>
    <xf numFmtId="3" fontId="19" fillId="0" borderId="0" xfId="26" applyNumberFormat="1" applyFont="1" applyFill="1" applyBorder="1" applyAlignment="1">
      <alignment horizontal="center"/>
    </xf>
    <xf numFmtId="0" fontId="35" fillId="0" borderId="0" xfId="0" applyFont="1" applyBorder="1"/>
    <xf numFmtId="0" fontId="36" fillId="0" borderId="0" xfId="0" applyFont="1" applyBorder="1"/>
    <xf numFmtId="37" fontId="36" fillId="0" borderId="0" xfId="26" applyNumberFormat="1" applyFont="1" applyBorder="1"/>
    <xf numFmtId="3" fontId="3" fillId="0" borderId="0" xfId="0" applyNumberFormat="1" applyFont="1" applyFill="1"/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30" fillId="0" borderId="0" xfId="0" applyFont="1" applyAlignment="1">
      <alignment horizontal="left"/>
    </xf>
    <xf numFmtId="10" fontId="14" fillId="0" borderId="0" xfId="0" applyNumberFormat="1" applyFont="1" applyAlignment="1">
      <alignment horizontal="left"/>
    </xf>
    <xf numFmtId="10" fontId="14" fillId="0" borderId="0" xfId="0" applyNumberFormat="1" applyFont="1" applyBorder="1" applyAlignment="1">
      <alignment horizontal="left"/>
    </xf>
    <xf numFmtId="9" fontId="14" fillId="0" borderId="0" xfId="0" applyNumberFormat="1" applyFont="1" applyAlignment="1">
      <alignment horizontal="left"/>
    </xf>
    <xf numFmtId="0" fontId="14" fillId="0" borderId="0" xfId="0" applyFont="1" applyBorder="1" applyAlignment="1">
      <alignment horizontal="left"/>
    </xf>
    <xf numFmtId="10" fontId="15" fillId="0" borderId="13" xfId="0" applyNumberFormat="1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3" fontId="33" fillId="0" borderId="0" xfId="0" applyNumberFormat="1" applyFont="1" applyAlignment="1">
      <alignment horizontal="center"/>
    </xf>
    <xf numFmtId="3" fontId="37" fillId="0" borderId="0" xfId="0" applyNumberFormat="1" applyFont="1" applyAlignment="1">
      <alignment horizontal="center"/>
    </xf>
    <xf numFmtId="37" fontId="5" fillId="0" borderId="0" xfId="26" applyNumberFormat="1" applyFont="1"/>
    <xf numFmtId="10" fontId="35" fillId="0" borderId="0" xfId="30" applyNumberFormat="1" applyFont="1"/>
    <xf numFmtId="10" fontId="35" fillId="0" borderId="10" xfId="30" applyNumberFormat="1" applyFont="1" applyBorder="1"/>
    <xf numFmtId="3" fontId="14" fillId="0" borderId="0" xfId="22" applyNumberFormat="1" applyFont="1" applyAlignment="1">
      <alignment horizontal="centerContinuous"/>
    </xf>
    <xf numFmtId="0" fontId="14" fillId="0" borderId="0" xfId="22" applyFont="1" applyAlignment="1">
      <alignment horizontal="centerContinuous"/>
    </xf>
    <xf numFmtId="3" fontId="14" fillId="0" borderId="0" xfId="22" applyNumberFormat="1" applyFont="1"/>
    <xf numFmtId="3" fontId="14" fillId="0" borderId="0" xfId="22" applyNumberFormat="1" applyFont="1" applyBorder="1" applyAlignment="1">
      <alignment horizontal="centerContinuous"/>
    </xf>
    <xf numFmtId="0" fontId="14" fillId="0" borderId="0" xfId="22" applyFont="1" applyBorder="1" applyAlignment="1">
      <alignment horizontal="centerContinuous"/>
    </xf>
    <xf numFmtId="0" fontId="14" fillId="0" borderId="0" xfId="22" applyFont="1"/>
    <xf numFmtId="3" fontId="14" fillId="0" borderId="0" xfId="22" applyNumberFormat="1" applyFont="1" applyAlignment="1">
      <alignment horizontal="center"/>
    </xf>
    <xf numFmtId="0" fontId="14" fillId="0" borderId="0" xfId="22" applyFont="1" applyAlignment="1">
      <alignment horizontal="center"/>
    </xf>
    <xf numFmtId="3" fontId="14" fillId="0" borderId="10" xfId="22" applyNumberFormat="1" applyFont="1" applyBorder="1"/>
    <xf numFmtId="3" fontId="14" fillId="0" borderId="10" xfId="22" applyNumberFormat="1" applyFont="1" applyBorder="1" applyAlignment="1">
      <alignment horizontal="center"/>
    </xf>
    <xf numFmtId="164" fontId="14" fillId="0" borderId="0" xfId="22" applyNumberFormat="1" applyFont="1"/>
    <xf numFmtId="164" fontId="14" fillId="0" borderId="3" xfId="22" applyNumberFormat="1" applyFont="1" applyBorder="1"/>
    <xf numFmtId="10" fontId="14" fillId="0" borderId="0" xfId="22" applyNumberFormat="1" applyFont="1"/>
    <xf numFmtId="173" fontId="14" fillId="0" borderId="0" xfId="22" applyNumberFormat="1" applyFont="1"/>
    <xf numFmtId="174" fontId="14" fillId="0" borderId="10" xfId="22" applyNumberFormat="1" applyFont="1" applyBorder="1"/>
    <xf numFmtId="0" fontId="14" fillId="0" borderId="19" xfId="22" applyFont="1" applyBorder="1"/>
    <xf numFmtId="164" fontId="14" fillId="0" borderId="0" xfId="22" applyNumberFormat="1" applyFont="1" applyAlignment="1">
      <alignment horizontal="center"/>
    </xf>
    <xf numFmtId="3" fontId="14" fillId="0" borderId="0" xfId="22" applyNumberFormat="1" applyFont="1" applyBorder="1"/>
    <xf numFmtId="10" fontId="14" fillId="0" borderId="3" xfId="22" applyNumberFormat="1" applyFont="1" applyBorder="1"/>
    <xf numFmtId="171" fontId="14" fillId="0" borderId="0" xfId="30" applyNumberFormat="1" applyFont="1"/>
    <xf numFmtId="171" fontId="14" fillId="0" borderId="0" xfId="22" applyNumberFormat="1" applyFont="1"/>
    <xf numFmtId="171" fontId="14" fillId="0" borderId="3" xfId="22" applyNumberFormat="1" applyFont="1" applyBorder="1"/>
    <xf numFmtId="10" fontId="14" fillId="0" borderId="0" xfId="22" applyNumberFormat="1" applyFont="1" applyBorder="1"/>
    <xf numFmtId="3" fontId="15" fillId="0" borderId="0" xfId="22" applyNumberFormat="1" applyFont="1" applyBorder="1" applyAlignment="1">
      <alignment horizontal="centerContinuous"/>
    </xf>
    <xf numFmtId="3" fontId="41" fillId="0" borderId="0" xfId="22" applyNumberFormat="1" applyFont="1" applyBorder="1" applyAlignment="1">
      <alignment horizontal="centerContinuous"/>
    </xf>
    <xf numFmtId="3" fontId="38" fillId="0" borderId="0" xfId="22" applyNumberFormat="1" applyFont="1"/>
    <xf numFmtId="0" fontId="28" fillId="0" borderId="0" xfId="22" applyFont="1"/>
    <xf numFmtId="3" fontId="15" fillId="0" borderId="0" xfId="22" applyNumberFormat="1" applyFont="1" applyAlignment="1">
      <alignment horizontal="centerContinuous"/>
    </xf>
    <xf numFmtId="10" fontId="28" fillId="0" borderId="0" xfId="22" applyNumberFormat="1" applyFont="1"/>
    <xf numFmtId="164" fontId="14" fillId="0" borderId="19" xfId="22" applyNumberFormat="1" applyFont="1" applyBorder="1"/>
    <xf numFmtId="0" fontId="43" fillId="0" borderId="0" xfId="22" applyFont="1" applyAlignment="1">
      <alignment horizontal="centerContinuous"/>
    </xf>
    <xf numFmtId="0" fontId="43" fillId="0" borderId="0" xfId="22" applyFont="1"/>
    <xf numFmtId="0" fontId="43" fillId="0" borderId="0" xfId="22" applyFont="1" applyBorder="1" applyAlignment="1">
      <alignment horizontal="centerContinuous"/>
    </xf>
    <xf numFmtId="0" fontId="43" fillId="0" borderId="0" xfId="22" applyFont="1" applyBorder="1"/>
    <xf numFmtId="0" fontId="44" fillId="0" borderId="0" xfId="22" applyFont="1" applyAlignment="1">
      <alignment horizontal="centerContinuous"/>
    </xf>
    <xf numFmtId="0" fontId="44" fillId="0" borderId="0" xfId="22" applyFont="1" applyBorder="1" applyAlignment="1">
      <alignment horizontal="centerContinuous"/>
    </xf>
    <xf numFmtId="0" fontId="45" fillId="0" borderId="0" xfId="22" applyFont="1"/>
    <xf numFmtId="0" fontId="45" fillId="0" borderId="0" xfId="22" applyFont="1" applyAlignment="1">
      <alignment horizontal="center"/>
    </xf>
    <xf numFmtId="0" fontId="45" fillId="0" borderId="0" xfId="22" applyFont="1" applyBorder="1"/>
    <xf numFmtId="0" fontId="45" fillId="0" borderId="0" xfId="22" applyFont="1" applyAlignment="1">
      <alignment horizontal="right"/>
    </xf>
    <xf numFmtId="0" fontId="45" fillId="0" borderId="0" xfId="22" applyFont="1" applyBorder="1" applyAlignment="1">
      <alignment horizontal="center"/>
    </xf>
    <xf numFmtId="0" fontId="46" fillId="0" borderId="0" xfId="22" applyFont="1"/>
    <xf numFmtId="0" fontId="45" fillId="0" borderId="3" xfId="22" applyFont="1" applyBorder="1" applyAlignment="1">
      <alignment horizontal="center"/>
    </xf>
    <xf numFmtId="0" fontId="45" fillId="0" borderId="3" xfId="22" applyFont="1" applyBorder="1"/>
    <xf numFmtId="0" fontId="45" fillId="0" borderId="3" xfId="22" applyFont="1" applyBorder="1" applyAlignment="1">
      <alignment horizontal="right"/>
    </xf>
    <xf numFmtId="0" fontId="45" fillId="0" borderId="2" xfId="22" applyFont="1" applyBorder="1"/>
    <xf numFmtId="0" fontId="45" fillId="0" borderId="4" xfId="22" applyFont="1" applyBorder="1"/>
    <xf numFmtId="3" fontId="47" fillId="0" borderId="0" xfId="22" applyNumberFormat="1" applyFont="1"/>
    <xf numFmtId="3" fontId="45" fillId="0" borderId="0" xfId="22" applyNumberFormat="1" applyFont="1"/>
    <xf numFmtId="3" fontId="45" fillId="0" borderId="6" xfId="22" applyNumberFormat="1" applyFont="1" applyBorder="1"/>
    <xf numFmtId="3" fontId="45" fillId="0" borderId="0" xfId="22" applyNumberFormat="1" applyFont="1" applyBorder="1"/>
    <xf numFmtId="3" fontId="45" fillId="0" borderId="7" xfId="22" applyNumberFormat="1" applyFont="1" applyBorder="1"/>
    <xf numFmtId="3" fontId="45" fillId="0" borderId="9" xfId="22" applyNumberFormat="1" applyFont="1" applyBorder="1"/>
    <xf numFmtId="0" fontId="45" fillId="0" borderId="10" xfId="22" applyFont="1" applyBorder="1"/>
    <xf numFmtId="0" fontId="45" fillId="0" borderId="11" xfId="22" applyFont="1" applyBorder="1"/>
    <xf numFmtId="0" fontId="48" fillId="0" borderId="0" xfId="22" applyFont="1" applyBorder="1"/>
    <xf numFmtId="3" fontId="49" fillId="0" borderId="0" xfId="22" applyNumberFormat="1" applyFont="1"/>
    <xf numFmtId="171" fontId="45" fillId="0" borderId="0" xfId="22" applyNumberFormat="1" applyFont="1"/>
    <xf numFmtId="3" fontId="50" fillId="0" borderId="0" xfId="22" applyNumberFormat="1" applyFont="1"/>
    <xf numFmtId="0" fontId="45" fillId="0" borderId="0" xfId="22" applyFont="1" applyAlignment="1">
      <alignment horizontal="left"/>
    </xf>
    <xf numFmtId="171" fontId="47" fillId="0" borderId="0" xfId="22" applyNumberFormat="1" applyFont="1" applyFill="1" applyBorder="1"/>
    <xf numFmtId="3" fontId="47" fillId="0" borderId="0" xfId="2" applyNumberFormat="1" applyFont="1" applyBorder="1"/>
    <xf numFmtId="171" fontId="47" fillId="0" borderId="0" xfId="22" applyNumberFormat="1" applyFont="1"/>
    <xf numFmtId="3" fontId="45" fillId="0" borderId="3" xfId="22" applyNumberFormat="1" applyFont="1" applyBorder="1"/>
    <xf numFmtId="3" fontId="14" fillId="0" borderId="0" xfId="22" applyNumberFormat="1" applyFont="1" applyAlignment="1">
      <alignment horizontal="left"/>
    </xf>
    <xf numFmtId="3" fontId="29" fillId="0" borderId="0" xfId="22" applyNumberFormat="1" applyFont="1" applyBorder="1" applyAlignment="1">
      <alignment horizontal="centerContinuous"/>
    </xf>
    <xf numFmtId="3" fontId="51" fillId="0" borderId="0" xfId="22" applyNumberFormat="1" applyFont="1" applyBorder="1" applyAlignment="1">
      <alignment horizontal="centerContinuous"/>
    </xf>
    <xf numFmtId="164" fontId="14" fillId="0" borderId="0" xfId="22" applyNumberFormat="1" applyFont="1" applyFill="1"/>
    <xf numFmtId="10" fontId="14" fillId="0" borderId="0" xfId="22" applyNumberFormat="1" applyFont="1" applyFill="1"/>
    <xf numFmtId="3" fontId="14" fillId="0" borderId="0" xfId="22" applyNumberFormat="1" applyFont="1" applyFill="1" applyBorder="1"/>
    <xf numFmtId="164" fontId="14" fillId="0" borderId="3" xfId="22" applyNumberFormat="1" applyFont="1" applyFill="1" applyBorder="1"/>
    <xf numFmtId="10" fontId="14" fillId="0" borderId="3" xfId="22" applyNumberFormat="1" applyFont="1" applyFill="1" applyBorder="1"/>
    <xf numFmtId="3" fontId="14" fillId="0" borderId="0" xfId="22" applyNumberFormat="1" applyFont="1" applyFill="1"/>
    <xf numFmtId="171" fontId="14" fillId="0" borderId="0" xfId="30" applyNumberFormat="1" applyFont="1" applyFill="1"/>
    <xf numFmtId="171" fontId="14" fillId="0" borderId="0" xfId="22" applyNumberFormat="1" applyFont="1" applyFill="1"/>
    <xf numFmtId="171" fontId="14" fillId="0" borderId="3" xfId="22" applyNumberFormat="1" applyFont="1" applyFill="1" applyBorder="1"/>
    <xf numFmtId="3" fontId="52" fillId="0" borderId="0" xfId="22" applyNumberFormat="1" applyFont="1"/>
    <xf numFmtId="37" fontId="3" fillId="0" borderId="0" xfId="26" applyNumberFormat="1" applyFont="1" applyBorder="1"/>
    <xf numFmtId="172" fontId="35" fillId="0" borderId="0" xfId="1" applyNumberFormat="1" applyFont="1" applyBorder="1"/>
    <xf numFmtId="5" fontId="39" fillId="0" borderId="0" xfId="0" applyNumberFormat="1" applyFont="1" applyBorder="1"/>
    <xf numFmtId="37" fontId="53" fillId="0" borderId="0" xfId="10" applyNumberFormat="1" applyFont="1" applyProtection="1">
      <protection locked="0"/>
    </xf>
    <xf numFmtId="3" fontId="54" fillId="0" borderId="0" xfId="10" applyNumberFormat="1" applyFont="1"/>
    <xf numFmtId="0" fontId="55" fillId="0" borderId="0" xfId="0" applyFont="1" applyBorder="1"/>
    <xf numFmtId="0" fontId="28" fillId="0" borderId="0" xfId="0" applyFont="1"/>
    <xf numFmtId="164" fontId="11" fillId="0" borderId="0" xfId="19" applyNumberFormat="1" applyFont="1"/>
    <xf numFmtId="37" fontId="11" fillId="0" borderId="0" xfId="19" applyNumberFormat="1" applyFont="1" applyProtection="1">
      <protection locked="0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171" fontId="3" fillId="0" borderId="0" xfId="30" applyNumberFormat="1" applyFont="1" applyBorder="1"/>
    <xf numFmtId="5" fontId="3" fillId="0" borderId="0" xfId="0" applyNumberFormat="1" applyFont="1" applyBorder="1"/>
    <xf numFmtId="5" fontId="3" fillId="0" borderId="10" xfId="0" applyNumberFormat="1" applyFont="1" applyBorder="1"/>
    <xf numFmtId="5" fontId="3" fillId="0" borderId="17" xfId="0" applyNumberFormat="1" applyFont="1" applyBorder="1"/>
    <xf numFmtId="10" fontId="3" fillId="0" borderId="18" xfId="30" applyNumberFormat="1" applyFont="1" applyBorder="1"/>
    <xf numFmtId="10" fontId="3" fillId="0" borderId="0" xfId="30" applyNumberFormat="1" applyFont="1" applyBorder="1"/>
    <xf numFmtId="169" fontId="15" fillId="0" borderId="0" xfId="0" applyNumberFormat="1" applyFont="1"/>
    <xf numFmtId="169" fontId="14" fillId="0" borderId="0" xfId="0" applyNumberFormat="1" applyFont="1"/>
    <xf numFmtId="10" fontId="57" fillId="0" borderId="0" xfId="0" applyNumberFormat="1" applyFont="1"/>
    <xf numFmtId="0" fontId="15" fillId="0" borderId="0" xfId="0" applyFont="1" applyAlignment="1">
      <alignment horizontal="centerContinuous"/>
    </xf>
    <xf numFmtId="172" fontId="14" fillId="0" borderId="0" xfId="1" applyNumberFormat="1" applyFont="1"/>
    <xf numFmtId="172" fontId="15" fillId="0" borderId="0" xfId="1" applyNumberFormat="1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/>
    <xf numFmtId="5" fontId="14" fillId="0" borderId="0" xfId="1" applyNumberFormat="1" applyFont="1"/>
    <xf numFmtId="172" fontId="14" fillId="0" borderId="12" xfId="1" applyNumberFormat="1" applyFont="1" applyBorder="1"/>
    <xf numFmtId="172" fontId="14" fillId="0" borderId="0" xfId="1" applyNumberFormat="1" applyFont="1" applyBorder="1"/>
    <xf numFmtId="172" fontId="14" fillId="0" borderId="10" xfId="1" applyNumberFormat="1" applyFont="1" applyBorder="1"/>
    <xf numFmtId="3" fontId="5" fillId="0" borderId="15" xfId="0" applyNumberFormat="1" applyFont="1" applyBorder="1" applyAlignment="1">
      <alignment horizontal="centerContinuous"/>
    </xf>
    <xf numFmtId="3" fontId="5" fillId="0" borderId="12" xfId="0" applyNumberFormat="1" applyFont="1" applyBorder="1" applyAlignment="1">
      <alignment horizontal="centerContinuous"/>
    </xf>
    <xf numFmtId="3" fontId="5" fillId="0" borderId="16" xfId="0" applyNumberFormat="1" applyFont="1" applyBorder="1" applyAlignment="1">
      <alignment horizontal="centerContinuous"/>
    </xf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3" fontId="19" fillId="0" borderId="0" xfId="0" applyNumberFormat="1" applyFont="1" applyBorder="1" applyAlignment="1"/>
    <xf numFmtId="0" fontId="60" fillId="0" borderId="0" xfId="0" applyFont="1"/>
    <xf numFmtId="0" fontId="60" fillId="0" borderId="0" xfId="0" applyFont="1" applyBorder="1"/>
    <xf numFmtId="37" fontId="60" fillId="0" borderId="0" xfId="0" applyNumberFormat="1" applyFont="1" applyBorder="1"/>
    <xf numFmtId="0" fontId="61" fillId="0" borderId="0" xfId="0" applyFont="1" applyAlignment="1">
      <alignment horizontal="center"/>
    </xf>
    <xf numFmtId="37" fontId="14" fillId="0" borderId="0" xfId="22" applyNumberFormat="1" applyFont="1"/>
    <xf numFmtId="37" fontId="33" fillId="0" borderId="0" xfId="0" applyNumberFormat="1" applyFont="1" applyBorder="1"/>
    <xf numFmtId="0" fontId="42" fillId="0" borderId="0" xfId="0" applyFont="1" applyAlignment="1">
      <alignment horizontal="left"/>
    </xf>
    <xf numFmtId="3" fontId="3" fillId="0" borderId="0" xfId="26" quotePrefix="1" applyNumberFormat="1" applyFont="1" applyAlignment="1">
      <alignment horizontal="center"/>
    </xf>
    <xf numFmtId="0" fontId="56" fillId="0" borderId="0" xfId="0" applyFont="1" applyAlignment="1">
      <alignment horizontal="centerContinuous"/>
    </xf>
    <xf numFmtId="0" fontId="56" fillId="0" borderId="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169" fontId="28" fillId="0" borderId="0" xfId="0" applyNumberFormat="1" applyFont="1"/>
    <xf numFmtId="169" fontId="28" fillId="0" borderId="0" xfId="30" applyNumberFormat="1" applyFont="1"/>
    <xf numFmtId="169" fontId="28" fillId="0" borderId="0" xfId="0" applyNumberFormat="1" applyFont="1" applyBorder="1"/>
    <xf numFmtId="169" fontId="28" fillId="0" borderId="12" xfId="0" applyNumberFormat="1" applyFont="1" applyBorder="1"/>
    <xf numFmtId="169" fontId="28" fillId="0" borderId="10" xfId="0" applyNumberFormat="1" applyFont="1" applyBorder="1"/>
    <xf numFmtId="0" fontId="62" fillId="0" borderId="0" xfId="22" applyFont="1" applyAlignment="1">
      <alignment horizontal="centerContinuous"/>
    </xf>
    <xf numFmtId="0" fontId="63" fillId="0" borderId="0" xfId="22" applyFont="1" applyAlignment="1">
      <alignment horizontal="centerContinuous"/>
    </xf>
    <xf numFmtId="0" fontId="64" fillId="0" borderId="0" xfId="22" applyFont="1"/>
    <xf numFmtId="0" fontId="64" fillId="0" borderId="0" xfId="22" applyFont="1" applyAlignment="1">
      <alignment horizontal="right"/>
    </xf>
    <xf numFmtId="0" fontId="64" fillId="0" borderId="3" xfId="22" applyFont="1" applyBorder="1"/>
    <xf numFmtId="3" fontId="64" fillId="0" borderId="0" xfId="22" applyNumberFormat="1" applyFont="1"/>
    <xf numFmtId="0" fontId="64" fillId="0" borderId="19" xfId="22" applyFont="1" applyBorder="1"/>
    <xf numFmtId="37" fontId="3" fillId="0" borderId="0" xfId="25" applyNumberFormat="1" applyFont="1"/>
    <xf numFmtId="3" fontId="33" fillId="0" borderId="0" xfId="22" applyNumberFormat="1" applyFont="1"/>
    <xf numFmtId="164" fontId="33" fillId="0" borderId="0" xfId="22" applyNumberFormat="1" applyFont="1"/>
    <xf numFmtId="0" fontId="65" fillId="0" borderId="0" xfId="22" applyFont="1" applyAlignment="1">
      <alignment horizontal="centerContinuous"/>
    </xf>
    <xf numFmtId="0" fontId="66" fillId="0" borderId="0" xfId="22" applyFont="1" applyAlignment="1">
      <alignment horizontal="centerContinuous"/>
    </xf>
    <xf numFmtId="0" fontId="45" fillId="0" borderId="19" xfId="22" applyFont="1" applyBorder="1"/>
    <xf numFmtId="10" fontId="40" fillId="0" borderId="10" xfId="22" applyNumberFormat="1" applyFont="1" applyBorder="1"/>
    <xf numFmtId="6" fontId="14" fillId="0" borderId="0" xfId="3" applyNumberFormat="1" applyFont="1" applyBorder="1"/>
    <xf numFmtId="10" fontId="15" fillId="0" borderId="0" xfId="0" applyNumberFormat="1" applyFont="1" applyBorder="1" applyAlignment="1">
      <alignment horizontal="left"/>
    </xf>
    <xf numFmtId="0" fontId="0" fillId="0" borderId="10" xfId="0" applyBorder="1"/>
    <xf numFmtId="3" fontId="45" fillId="0" borderId="0" xfId="0" applyNumberFormat="1" applyFont="1" applyAlignment="1">
      <alignment horizontal="left"/>
    </xf>
    <xf numFmtId="3" fontId="3" fillId="0" borderId="3" xfId="8" applyNumberFormat="1" applyFont="1" applyBorder="1"/>
    <xf numFmtId="37" fontId="12" fillId="0" borderId="0" xfId="19" applyNumberFormat="1" applyFont="1" applyProtection="1">
      <protection locked="0"/>
    </xf>
    <xf numFmtId="37" fontId="19" fillId="0" borderId="0" xfId="5" applyNumberFormat="1" applyFont="1" applyProtection="1">
      <protection locked="0"/>
    </xf>
    <xf numFmtId="37" fontId="12" fillId="0" borderId="0" xfId="10" applyNumberFormat="1" applyFont="1" applyProtection="1">
      <protection locked="0"/>
    </xf>
    <xf numFmtId="3" fontId="32" fillId="0" borderId="0" xfId="27" applyNumberFormat="1" applyFont="1" applyAlignment="1">
      <alignment horizontal="center"/>
    </xf>
    <xf numFmtId="167" fontId="25" fillId="0" borderId="0" xfId="16" applyNumberFormat="1" applyFont="1" applyFill="1" applyBorder="1"/>
    <xf numFmtId="3" fontId="25" fillId="0" borderId="0" xfId="26" applyNumberFormat="1" applyFont="1" applyFill="1" applyBorder="1" applyAlignment="1">
      <alignment horizontal="center"/>
    </xf>
    <xf numFmtId="3" fontId="32" fillId="0" borderId="1" xfId="26" applyNumberFormat="1" applyFont="1" applyFill="1" applyBorder="1" applyAlignment="1">
      <alignment horizontal="center"/>
    </xf>
    <xf numFmtId="3" fontId="32" fillId="0" borderId="5" xfId="26" applyNumberFormat="1" applyFont="1" applyFill="1" applyBorder="1" applyAlignment="1">
      <alignment horizontal="center"/>
    </xf>
    <xf numFmtId="3" fontId="32" fillId="0" borderId="8" xfId="26" applyNumberFormat="1" applyFont="1" applyFill="1" applyBorder="1" applyAlignment="1">
      <alignment horizontal="center"/>
    </xf>
    <xf numFmtId="10" fontId="14" fillId="0" borderId="0" xfId="0" applyNumberFormat="1" applyFont="1" applyBorder="1" applyAlignment="1">
      <alignment horizontal="center"/>
    </xf>
    <xf numFmtId="10" fontId="15" fillId="0" borderId="0" xfId="0" applyNumberFormat="1" applyFont="1" applyBorder="1" applyAlignment="1">
      <alignment horizontal="center"/>
    </xf>
    <xf numFmtId="3" fontId="5" fillId="0" borderId="0" xfId="18" applyNumberFormat="1" applyFont="1" applyAlignment="1">
      <alignment horizontal="center"/>
    </xf>
    <xf numFmtId="37" fontId="14" fillId="0" borderId="0" xfId="22" applyNumberFormat="1" applyFont="1" applyAlignment="1">
      <alignment horizontal="right"/>
    </xf>
    <xf numFmtId="37" fontId="14" fillId="0" borderId="3" xfId="22" applyNumberFormat="1" applyFont="1" applyBorder="1"/>
    <xf numFmtId="6" fontId="16" fillId="0" borderId="13" xfId="3" applyNumberFormat="1" applyFont="1" applyBorder="1"/>
    <xf numFmtId="37" fontId="33" fillId="0" borderId="10" xfId="0" applyNumberFormat="1" applyFont="1" applyBorder="1"/>
    <xf numFmtId="3" fontId="5" fillId="0" borderId="0" xfId="26" applyNumberFormat="1" applyFont="1" applyFill="1" applyAlignment="1">
      <alignment horizontal="center"/>
    </xf>
    <xf numFmtId="3" fontId="5" fillId="0" borderId="5" xfId="26" applyNumberFormat="1" applyFont="1" applyFill="1" applyBorder="1" applyAlignment="1">
      <alignment horizontal="center"/>
    </xf>
    <xf numFmtId="3" fontId="5" fillId="0" borderId="8" xfId="26" applyNumberFormat="1" applyFont="1" applyFill="1" applyBorder="1" applyAlignment="1">
      <alignment horizontal="center"/>
    </xf>
    <xf numFmtId="3" fontId="3" fillId="0" borderId="0" xfId="26" applyNumberFormat="1" applyFont="1" applyFill="1" applyAlignment="1">
      <alignment horizontal="center"/>
    </xf>
    <xf numFmtId="167" fontId="3" fillId="0" borderId="0" xfId="26" applyNumberFormat="1" applyFont="1" applyFill="1"/>
    <xf numFmtId="166" fontId="3" fillId="0" borderId="0" xfId="26" applyNumberFormat="1" applyFont="1" applyFill="1"/>
    <xf numFmtId="166" fontId="3" fillId="0" borderId="10" xfId="26" applyNumberFormat="1" applyFont="1" applyFill="1" applyBorder="1"/>
    <xf numFmtId="37" fontId="3" fillId="0" borderId="0" xfId="26" applyNumberFormat="1" applyFont="1" applyFill="1"/>
    <xf numFmtId="37" fontId="3" fillId="0" borderId="10" xfId="26" applyNumberFormat="1" applyFont="1" applyFill="1" applyBorder="1"/>
    <xf numFmtId="5" fontId="3" fillId="0" borderId="13" xfId="26" applyNumberFormat="1" applyFont="1" applyFill="1" applyBorder="1"/>
    <xf numFmtId="10" fontId="3" fillId="0" borderId="0" xfId="30" applyNumberFormat="1" applyFont="1" applyFill="1"/>
    <xf numFmtId="3" fontId="5" fillId="0" borderId="0" xfId="26" applyNumberFormat="1" applyFont="1" applyFill="1"/>
    <xf numFmtId="3" fontId="67" fillId="0" borderId="0" xfId="26" applyNumberFormat="1" applyFont="1" applyFill="1"/>
    <xf numFmtId="3" fontId="3" fillId="0" borderId="0" xfId="26" applyNumberFormat="1" applyFont="1" applyFill="1" applyBorder="1" applyAlignment="1">
      <alignment horizontal="center"/>
    </xf>
    <xf numFmtId="3" fontId="3" fillId="0" borderId="0" xfId="26" applyNumberFormat="1" applyFont="1" applyFill="1" applyBorder="1"/>
    <xf numFmtId="0" fontId="70" fillId="0" borderId="0" xfId="22" applyFont="1"/>
    <xf numFmtId="0" fontId="71" fillId="0" borderId="0" xfId="22" applyFont="1"/>
    <xf numFmtId="0" fontId="3" fillId="0" borderId="0" xfId="12" applyFont="1" applyFill="1" applyBorder="1"/>
    <xf numFmtId="170" fontId="3" fillId="0" borderId="0" xfId="12" applyNumberFormat="1" applyFont="1" applyFill="1" applyBorder="1"/>
    <xf numFmtId="37" fontId="3" fillId="0" borderId="10" xfId="12" applyNumberFormat="1" applyFont="1" applyFill="1" applyBorder="1" applyProtection="1">
      <protection locked="0"/>
    </xf>
    <xf numFmtId="37" fontId="25" fillId="0" borderId="0" xfId="20" applyNumberFormat="1" applyFont="1" applyProtection="1">
      <protection locked="0"/>
    </xf>
    <xf numFmtId="37" fontId="12" fillId="0" borderId="10" xfId="20" applyNumberFormat="1" applyFont="1" applyBorder="1"/>
    <xf numFmtId="165" fontId="45" fillId="0" borderId="0" xfId="30" applyNumberFormat="1" applyFont="1"/>
    <xf numFmtId="172" fontId="47" fillId="0" borderId="0" xfId="1" applyNumberFormat="1" applyFont="1"/>
    <xf numFmtId="172" fontId="47" fillId="0" borderId="0" xfId="1" applyNumberFormat="1" applyFont="1" applyAlignment="1">
      <alignment horizontal="center"/>
    </xf>
    <xf numFmtId="171" fontId="64" fillId="0" borderId="0" xfId="30" applyNumberFormat="1" applyFont="1"/>
    <xf numFmtId="9" fontId="45" fillId="0" borderId="0" xfId="30" applyNumberFormat="1" applyFont="1"/>
    <xf numFmtId="10" fontId="64" fillId="0" borderId="0" xfId="30" applyNumberFormat="1" applyFont="1"/>
    <xf numFmtId="3" fontId="47" fillId="0" borderId="0" xfId="22" applyNumberFormat="1" applyFont="1" applyBorder="1"/>
    <xf numFmtId="6" fontId="14" fillId="0" borderId="0" xfId="0" applyNumberFormat="1" applyFont="1"/>
    <xf numFmtId="0" fontId="38" fillId="0" borderId="0" xfId="0" applyFont="1" applyBorder="1"/>
    <xf numFmtId="0" fontId="38" fillId="0" borderId="0" xfId="0" applyFont="1" applyBorder="1" applyAlignment="1">
      <alignment horizontal="left"/>
    </xf>
    <xf numFmtId="0" fontId="38" fillId="0" borderId="0" xfId="0" applyFont="1" applyAlignment="1">
      <alignment horizontal="center"/>
    </xf>
    <xf numFmtId="0" fontId="38" fillId="0" borderId="0" xfId="0" applyFont="1"/>
    <xf numFmtId="0" fontId="38" fillId="0" borderId="0" xfId="0" applyFont="1" applyAlignment="1">
      <alignment horizontal="left"/>
    </xf>
    <xf numFmtId="37" fontId="38" fillId="0" borderId="0" xfId="0" applyNumberFormat="1" applyFont="1" applyBorder="1"/>
    <xf numFmtId="0" fontId="71" fillId="0" borderId="0" xfId="0" applyFont="1" applyAlignment="1">
      <alignment horizontal="center"/>
    </xf>
    <xf numFmtId="3" fontId="19" fillId="0" borderId="0" xfId="26" applyNumberFormat="1" applyFont="1"/>
    <xf numFmtId="3" fontId="72" fillId="0" borderId="5" xfId="26" applyNumberFormat="1" applyFont="1" applyBorder="1" applyAlignment="1">
      <alignment horizontal="center"/>
    </xf>
    <xf numFmtId="3" fontId="72" fillId="0" borderId="8" xfId="26" applyNumberFormat="1" applyFont="1" applyBorder="1" applyAlignment="1">
      <alignment horizontal="center"/>
    </xf>
    <xf numFmtId="167" fontId="19" fillId="0" borderId="0" xfId="16" applyNumberFormat="1" applyFont="1" applyFill="1" applyBorder="1"/>
    <xf numFmtId="166" fontId="19" fillId="0" borderId="0" xfId="26" applyNumberFormat="1" applyFont="1"/>
    <xf numFmtId="166" fontId="19" fillId="0" borderId="10" xfId="26" applyNumberFormat="1" applyFont="1" applyBorder="1"/>
    <xf numFmtId="37" fontId="19" fillId="0" borderId="0" xfId="26" applyNumberFormat="1" applyFont="1"/>
    <xf numFmtId="37" fontId="19" fillId="0" borderId="10" xfId="26" applyNumberFormat="1" applyFont="1" applyBorder="1"/>
    <xf numFmtId="5" fontId="19" fillId="0" borderId="13" xfId="26" applyNumberFormat="1" applyFont="1" applyBorder="1"/>
    <xf numFmtId="167" fontId="19" fillId="0" borderId="0" xfId="26" applyNumberFormat="1" applyFont="1"/>
    <xf numFmtId="167" fontId="72" fillId="0" borderId="1" xfId="16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168" fontId="3" fillId="0" borderId="0" xfId="8" applyNumberFormat="1" applyFont="1" applyBorder="1"/>
    <xf numFmtId="0" fontId="33" fillId="0" borderId="0" xfId="0" applyFont="1" applyBorder="1"/>
    <xf numFmtId="0" fontId="29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0" fontId="38" fillId="0" borderId="0" xfId="0" applyNumberFormat="1" applyFont="1" applyAlignment="1">
      <alignment horizontal="center"/>
    </xf>
    <xf numFmtId="0" fontId="48" fillId="0" borderId="0" xfId="0" applyFont="1"/>
    <xf numFmtId="3" fontId="32" fillId="0" borderId="0" xfId="26" applyNumberFormat="1" applyFont="1"/>
    <xf numFmtId="3" fontId="3" fillId="0" borderId="0" xfId="29" applyNumberFormat="1" applyFont="1" applyAlignment="1">
      <alignment horizontal="center"/>
    </xf>
    <xf numFmtId="0" fontId="73" fillId="0" borderId="0" xfId="0" applyFont="1"/>
    <xf numFmtId="172" fontId="73" fillId="0" borderId="0" xfId="1" applyNumberFormat="1" applyFont="1" applyBorder="1"/>
    <xf numFmtId="10" fontId="73" fillId="0" borderId="0" xfId="30" applyNumberFormat="1" applyFont="1"/>
    <xf numFmtId="3" fontId="3" fillId="0" borderId="10" xfId="0" applyNumberFormat="1" applyFont="1" applyFill="1" applyBorder="1" applyAlignment="1"/>
    <xf numFmtId="0" fontId="65" fillId="0" borderId="0" xfId="22" applyFont="1" applyBorder="1" applyAlignment="1">
      <alignment horizontal="centerContinuous"/>
    </xf>
    <xf numFmtId="0" fontId="45" fillId="0" borderId="0" xfId="22" applyFont="1" applyBorder="1" applyAlignment="1">
      <alignment horizontal="right"/>
    </xf>
    <xf numFmtId="0" fontId="64" fillId="0" borderId="0" xfId="22" applyFont="1" applyBorder="1"/>
    <xf numFmtId="0" fontId="64" fillId="0" borderId="0" xfId="22" applyFont="1" applyBorder="1" applyAlignment="1">
      <alignment horizontal="right"/>
    </xf>
    <xf numFmtId="0" fontId="62" fillId="0" borderId="0" xfId="22" applyFont="1" applyBorder="1" applyAlignment="1">
      <alignment horizontal="centerContinuous"/>
    </xf>
    <xf numFmtId="3" fontId="64" fillId="0" borderId="0" xfId="22" applyNumberFormat="1" applyFont="1" applyBorder="1"/>
    <xf numFmtId="3" fontId="25" fillId="0" borderId="10" xfId="5" applyNumberFormat="1" applyFont="1" applyBorder="1" applyAlignment="1">
      <alignment horizontal="center"/>
    </xf>
    <xf numFmtId="170" fontId="5" fillId="0" borderId="10" xfId="19" applyNumberFormat="1" applyFont="1" applyBorder="1" applyAlignment="1">
      <alignment horizontal="center"/>
    </xf>
    <xf numFmtId="172" fontId="14" fillId="0" borderId="13" xfId="1" applyNumberFormat="1" applyFont="1" applyBorder="1"/>
    <xf numFmtId="3" fontId="70" fillId="0" borderId="0" xfId="22" applyNumberFormat="1" applyFont="1"/>
    <xf numFmtId="172" fontId="33" fillId="0" borderId="0" xfId="1" applyNumberFormat="1" applyFont="1"/>
    <xf numFmtId="172" fontId="33" fillId="0" borderId="0" xfId="1" applyNumberFormat="1" applyFont="1" applyBorder="1"/>
    <xf numFmtId="37" fontId="33" fillId="0" borderId="0" xfId="0" applyNumberFormat="1" applyFont="1" applyFill="1" applyBorder="1"/>
    <xf numFmtId="0" fontId="33" fillId="0" borderId="0" xfId="0" applyFont="1" applyBorder="1" applyAlignment="1">
      <alignment horizontal="left"/>
    </xf>
    <xf numFmtId="172" fontId="14" fillId="0" borderId="3" xfId="1" applyNumberFormat="1" applyFont="1" applyBorder="1"/>
    <xf numFmtId="10" fontId="38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9" fontId="14" fillId="0" borderId="0" xfId="0" applyNumberFormat="1" applyFont="1" applyBorder="1" applyAlignment="1">
      <alignment horizontal="left"/>
    </xf>
    <xf numFmtId="0" fontId="60" fillId="0" borderId="0" xfId="0" applyFont="1" applyBorder="1" applyAlignment="1">
      <alignment horizontal="center"/>
    </xf>
    <xf numFmtId="172" fontId="14" fillId="0" borderId="3" xfId="3" applyNumberFormat="1" applyFont="1" applyBorder="1"/>
    <xf numFmtId="9" fontId="14" fillId="0" borderId="0" xfId="0" applyNumberFormat="1" applyFont="1" applyBorder="1" applyAlignment="1">
      <alignment horizontal="center"/>
    </xf>
    <xf numFmtId="6" fontId="14" fillId="0" borderId="0" xfId="0" applyNumberFormat="1" applyFont="1" applyBorder="1"/>
    <xf numFmtId="0" fontId="14" fillId="0" borderId="0" xfId="0" applyFont="1" applyFill="1" applyBorder="1"/>
    <xf numFmtId="175" fontId="14" fillId="0" borderId="0" xfId="3" applyNumberFormat="1" applyFont="1"/>
    <xf numFmtId="172" fontId="14" fillId="0" borderId="0" xfId="0" applyNumberFormat="1" applyFont="1"/>
    <xf numFmtId="172" fontId="33" fillId="2" borderId="0" xfId="1" applyNumberFormat="1" applyFont="1" applyFill="1"/>
    <xf numFmtId="172" fontId="33" fillId="2" borderId="0" xfId="1" applyNumberFormat="1" applyFont="1" applyFill="1" applyBorder="1"/>
    <xf numFmtId="172" fontId="14" fillId="2" borderId="0" xfId="1" applyNumberFormat="1" applyFont="1" applyFill="1" applyBorder="1"/>
    <xf numFmtId="3" fontId="14" fillId="0" borderId="0" xfId="0" applyNumberFormat="1" applyFont="1" applyAlignment="1">
      <alignment horizontal="center"/>
    </xf>
    <xf numFmtId="176" fontId="3" fillId="0" borderId="0" xfId="26" applyNumberFormat="1" applyFont="1" applyFill="1"/>
    <xf numFmtId="10" fontId="72" fillId="3" borderId="0" xfId="30" applyNumberFormat="1" applyFont="1" applyFill="1"/>
    <xf numFmtId="37" fontId="5" fillId="3" borderId="0" xfId="26" applyNumberFormat="1" applyFont="1" applyFill="1"/>
    <xf numFmtId="10" fontId="3" fillId="0" borderId="10" xfId="30" applyNumberFormat="1" applyFont="1" applyBorder="1"/>
    <xf numFmtId="3" fontId="3" fillId="0" borderId="0" xfId="27" applyNumberFormat="1" applyFont="1" applyAlignment="1">
      <alignment horizontal="center"/>
    </xf>
    <xf numFmtId="167" fontId="5" fillId="0" borderId="1" xfId="16" applyNumberFormat="1" applyFont="1" applyFill="1" applyBorder="1" applyAlignment="1">
      <alignment horizontal="center"/>
    </xf>
    <xf numFmtId="169" fontId="74" fillId="0" borderId="0" xfId="11" applyNumberFormat="1" applyFont="1" applyFill="1" applyAlignment="1">
      <alignment horizontal="left"/>
    </xf>
    <xf numFmtId="37" fontId="33" fillId="0" borderId="10" xfId="22" applyNumberFormat="1" applyFont="1" applyBorder="1"/>
    <xf numFmtId="3" fontId="71" fillId="0" borderId="0" xfId="22" applyNumberFormat="1" applyFont="1"/>
    <xf numFmtId="3" fontId="71" fillId="0" borderId="0" xfId="22" applyNumberFormat="1" applyFont="1" applyAlignment="1">
      <alignment horizontal="center"/>
    </xf>
    <xf numFmtId="3" fontId="33" fillId="0" borderId="10" xfId="22" applyNumberFormat="1" applyFont="1" applyBorder="1"/>
    <xf numFmtId="0" fontId="59" fillId="0" borderId="0" xfId="0" applyFont="1" applyAlignment="1">
      <alignment horizontal="left"/>
    </xf>
    <xf numFmtId="169" fontId="35" fillId="0" borderId="0" xfId="0" applyNumberFormat="1" applyFont="1"/>
    <xf numFmtId="37" fontId="72" fillId="0" borderId="0" xfId="26" applyNumberFormat="1" applyFont="1" applyAlignment="1">
      <alignment horizontal="left"/>
    </xf>
    <xf numFmtId="0" fontId="75" fillId="0" borderId="0" xfId="0" applyFont="1" applyAlignment="1">
      <alignment horizontal="left"/>
    </xf>
    <xf numFmtId="3" fontId="72" fillId="0" borderId="0" xfId="26" applyNumberFormat="1" applyFont="1"/>
    <xf numFmtId="3" fontId="72" fillId="0" borderId="0" xfId="27" applyNumberFormat="1" applyFont="1" applyAlignment="1">
      <alignment horizontal="center"/>
    </xf>
    <xf numFmtId="3" fontId="72" fillId="0" borderId="1" xfId="26" applyNumberFormat="1" applyFont="1" applyFill="1" applyBorder="1" applyAlignment="1">
      <alignment horizontal="center"/>
    </xf>
    <xf numFmtId="3" fontId="72" fillId="0" borderId="5" xfId="26" applyNumberFormat="1" applyFont="1" applyFill="1" applyBorder="1" applyAlignment="1">
      <alignment horizontal="center"/>
    </xf>
    <xf numFmtId="3" fontId="19" fillId="0" borderId="0" xfId="26" applyNumberFormat="1" applyFont="1" applyFill="1" applyBorder="1"/>
    <xf numFmtId="0" fontId="15" fillId="0" borderId="0" xfId="0" applyFont="1" applyFill="1"/>
    <xf numFmtId="10" fontId="38" fillId="0" borderId="0" xfId="0" applyNumberFormat="1" applyFont="1" applyFill="1"/>
    <xf numFmtId="10" fontId="14" fillId="0" borderId="0" xfId="0" applyNumberFormat="1" applyFont="1"/>
    <xf numFmtId="3" fontId="72" fillId="0" borderId="1" xfId="26" applyNumberFormat="1" applyFont="1" applyBorder="1" applyAlignment="1">
      <alignment horizontal="center"/>
    </xf>
    <xf numFmtId="3" fontId="19" fillId="0" borderId="0" xfId="26" applyNumberFormat="1" applyFont="1" applyFill="1"/>
    <xf numFmtId="3" fontId="72" fillId="0" borderId="0" xfId="26" applyNumberFormat="1" applyFont="1" applyAlignment="1">
      <alignment horizontal="center"/>
    </xf>
    <xf numFmtId="3" fontId="25" fillId="0" borderId="0" xfId="26" applyNumberFormat="1" applyFont="1" applyFill="1"/>
    <xf numFmtId="3" fontId="72" fillId="0" borderId="8" xfId="26" quotePrefix="1" applyNumberFormat="1" applyFont="1" applyBorder="1" applyAlignment="1">
      <alignment horizontal="center"/>
    </xf>
    <xf numFmtId="10" fontId="35" fillId="4" borderId="0" xfId="30" applyNumberFormat="1" applyFont="1" applyFill="1"/>
    <xf numFmtId="10" fontId="73" fillId="4" borderId="0" xfId="30" applyNumberFormat="1" applyFont="1" applyFill="1"/>
    <xf numFmtId="167" fontId="19" fillId="0" borderId="10" xfId="16" applyNumberFormat="1" applyFont="1" applyFill="1" applyBorder="1"/>
    <xf numFmtId="37" fontId="14" fillId="0" borderId="10" xfId="0" applyNumberFormat="1" applyFont="1" applyBorder="1"/>
    <xf numFmtId="0" fontId="38" fillId="0" borderId="0" xfId="0" applyFont="1" applyAlignment="1">
      <alignment horizontal="right"/>
    </xf>
    <xf numFmtId="3" fontId="15" fillId="0" borderId="0" xfId="22" applyNumberFormat="1" applyFont="1"/>
    <xf numFmtId="10" fontId="38" fillId="0" borderId="0" xfId="0" applyNumberFormat="1" applyFont="1" applyBorder="1"/>
    <xf numFmtId="177" fontId="38" fillId="0" borderId="0" xfId="3" applyNumberFormat="1" applyFont="1" applyBorder="1"/>
    <xf numFmtId="10" fontId="38" fillId="0" borderId="0" xfId="30" applyNumberFormat="1" applyFont="1" applyBorder="1"/>
    <xf numFmtId="0" fontId="38" fillId="0" borderId="0" xfId="0" applyFont="1" applyBorder="1" applyAlignment="1">
      <alignment horizontal="right"/>
    </xf>
    <xf numFmtId="0" fontId="76" fillId="0" borderId="0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3" fontId="25" fillId="0" borderId="0" xfId="27" applyNumberFormat="1" applyFont="1" applyAlignment="1">
      <alignment horizontal="center"/>
    </xf>
    <xf numFmtId="3" fontId="32" fillId="0" borderId="0" xfId="26" applyNumberFormat="1" applyFont="1" applyFill="1" applyBorder="1" applyAlignment="1">
      <alignment horizontal="center"/>
    </xf>
    <xf numFmtId="167" fontId="32" fillId="0" borderId="1" xfId="16" applyNumberFormat="1" applyFont="1" applyFill="1" applyBorder="1" applyAlignment="1">
      <alignment horizontal="center"/>
    </xf>
    <xf numFmtId="0" fontId="14" fillId="4" borderId="0" xfId="0" applyFont="1" applyFill="1" applyAlignment="1">
      <alignment horizontal="center"/>
    </xf>
    <xf numFmtId="169" fontId="3" fillId="5" borderId="0" xfId="21" applyNumberFormat="1" applyFont="1" applyFill="1"/>
    <xf numFmtId="37" fontId="12" fillId="0" borderId="0" xfId="21" applyNumberFormat="1" applyFont="1" applyProtection="1">
      <protection locked="0"/>
    </xf>
    <xf numFmtId="3" fontId="25" fillId="0" borderId="0" xfId="26" applyNumberFormat="1" applyFont="1" applyFill="1" applyBorder="1"/>
    <xf numFmtId="3" fontId="78" fillId="0" borderId="0" xfId="26" applyNumberFormat="1" applyFont="1"/>
    <xf numFmtId="3" fontId="78" fillId="0" borderId="0" xfId="26" applyNumberFormat="1" applyFont="1" applyAlignment="1">
      <alignment horizontal="center"/>
    </xf>
    <xf numFmtId="3" fontId="67" fillId="0" borderId="1" xfId="26" applyNumberFormat="1" applyFont="1" applyFill="1" applyBorder="1" applyAlignment="1">
      <alignment horizontal="center"/>
    </xf>
    <xf numFmtId="167" fontId="78" fillId="0" borderId="0" xfId="16" applyNumberFormat="1" applyFont="1" applyFill="1" applyBorder="1"/>
    <xf numFmtId="166" fontId="78" fillId="0" borderId="0" xfId="26" applyNumberFormat="1" applyFont="1"/>
    <xf numFmtId="166" fontId="78" fillId="0" borderId="10" xfId="26" applyNumberFormat="1" applyFont="1" applyBorder="1"/>
    <xf numFmtId="37" fontId="78" fillId="0" borderId="0" xfId="26" applyNumberFormat="1" applyFont="1"/>
    <xf numFmtId="37" fontId="78" fillId="0" borderId="10" xfId="26" applyNumberFormat="1" applyFont="1" applyBorder="1"/>
    <xf numFmtId="5" fontId="78" fillId="0" borderId="13" xfId="26" applyNumberFormat="1" applyFont="1" applyBorder="1"/>
    <xf numFmtId="167" fontId="78" fillId="0" borderId="0" xfId="26" applyNumberFormat="1" applyFont="1"/>
    <xf numFmtId="3" fontId="78" fillId="0" borderId="0" xfId="26" applyNumberFormat="1" applyFont="1" applyFill="1"/>
    <xf numFmtId="3" fontId="67" fillId="0" borderId="0" xfId="26" applyNumberFormat="1" applyFont="1" applyFill="1" applyBorder="1" applyAlignment="1">
      <alignment horizontal="center"/>
    </xf>
    <xf numFmtId="3" fontId="67" fillId="0" borderId="5" xfId="26" applyNumberFormat="1" applyFont="1" applyBorder="1" applyAlignment="1">
      <alignment horizontal="center"/>
    </xf>
    <xf numFmtId="3" fontId="67" fillId="0" borderId="8" xfId="26" applyNumberFormat="1" applyFont="1" applyBorder="1" applyAlignment="1">
      <alignment horizontal="center"/>
    </xf>
    <xf numFmtId="0" fontId="14" fillId="0" borderId="0" xfId="0" applyFont="1" applyFill="1"/>
    <xf numFmtId="3" fontId="67" fillId="0" borderId="0" xfId="26" applyNumberFormat="1" applyFont="1" applyAlignment="1">
      <alignment horizontal="center"/>
    </xf>
    <xf numFmtId="167" fontId="67" fillId="0" borderId="1" xfId="16" applyNumberFormat="1" applyFont="1" applyFill="1" applyBorder="1" applyAlignment="1">
      <alignment horizontal="center"/>
    </xf>
    <xf numFmtId="3" fontId="3" fillId="0" borderId="3" xfId="5" applyNumberFormat="1" applyFont="1" applyBorder="1"/>
    <xf numFmtId="172" fontId="33" fillId="0" borderId="0" xfId="1" applyNumberFormat="1" applyFont="1" applyFill="1" applyBorder="1"/>
    <xf numFmtId="3" fontId="72" fillId="0" borderId="1" xfId="27" applyNumberFormat="1" applyFont="1" applyBorder="1" applyAlignment="1">
      <alignment horizontal="center"/>
    </xf>
    <xf numFmtId="3" fontId="72" fillId="0" borderId="5" xfId="27" applyNumberFormat="1" applyFont="1" applyBorder="1" applyAlignment="1">
      <alignment horizontal="center"/>
    </xf>
    <xf numFmtId="3" fontId="72" fillId="0" borderId="8" xfId="27" applyNumberFormat="1" applyFont="1" applyBorder="1" applyAlignment="1">
      <alignment horizontal="center"/>
    </xf>
    <xf numFmtId="3" fontId="32" fillId="0" borderId="5" xfId="26" quotePrefix="1" applyNumberFormat="1" applyFont="1" applyBorder="1" applyAlignment="1">
      <alignment horizontal="left"/>
    </xf>
    <xf numFmtId="0" fontId="79" fillId="0" borderId="0" xfId="0" applyFont="1"/>
    <xf numFmtId="0" fontId="38" fillId="0" borderId="0" xfId="0" applyFont="1" applyFill="1" applyBorder="1"/>
    <xf numFmtId="0" fontId="45" fillId="0" borderId="0" xfId="0" applyFont="1" applyFill="1" applyAlignment="1">
      <alignment horizontal="left"/>
    </xf>
    <xf numFmtId="171" fontId="3" fillId="0" borderId="10" xfId="30" applyNumberFormat="1" applyFont="1" applyFill="1" applyBorder="1"/>
    <xf numFmtId="10" fontId="14" fillId="0" borderId="0" xfId="30" applyNumberFormat="1" applyFont="1" applyFill="1"/>
    <xf numFmtId="10" fontId="14" fillId="0" borderId="0" xfId="30" applyNumberFormat="1" applyFont="1"/>
    <xf numFmtId="0" fontId="71" fillId="0" borderId="0" xfId="0" applyFont="1" applyFill="1"/>
    <xf numFmtId="37" fontId="38" fillId="0" borderId="0" xfId="0" applyNumberFormat="1" applyFont="1" applyFill="1" applyBorder="1"/>
    <xf numFmtId="0" fontId="38" fillId="0" borderId="0" xfId="0" applyFont="1" applyFill="1" applyAlignment="1">
      <alignment horizontal="center"/>
    </xf>
    <xf numFmtId="0" fontId="29" fillId="0" borderId="0" xfId="0" applyFont="1" applyFill="1" applyAlignment="1">
      <alignment horizontal="right"/>
    </xf>
    <xf numFmtId="0" fontId="80" fillId="0" borderId="0" xfId="0" applyFont="1" applyFill="1"/>
    <xf numFmtId="3" fontId="33" fillId="0" borderId="0" xfId="0" applyNumberFormat="1" applyFont="1" applyFill="1" applyAlignment="1">
      <alignment horizontal="center"/>
    </xf>
    <xf numFmtId="3" fontId="33" fillId="0" borderId="0" xfId="0" applyNumberFormat="1" applyFont="1" applyFill="1"/>
    <xf numFmtId="0" fontId="33" fillId="0" borderId="0" xfId="0" applyFont="1" applyFill="1"/>
    <xf numFmtId="0" fontId="38" fillId="0" borderId="0" xfId="0" applyFont="1" applyFill="1"/>
    <xf numFmtId="37" fontId="33" fillId="0" borderId="0" xfId="0" applyNumberFormat="1" applyFont="1" applyFill="1"/>
    <xf numFmtId="0" fontId="38" fillId="0" borderId="0" xfId="0" applyFont="1" applyFill="1" applyAlignment="1">
      <alignment horizontal="left"/>
    </xf>
    <xf numFmtId="0" fontId="71" fillId="0" borderId="0" xfId="0" applyFont="1" applyFill="1" applyAlignment="1">
      <alignment horizontal="center"/>
    </xf>
    <xf numFmtId="9" fontId="14" fillId="0" borderId="0" xfId="0" applyNumberFormat="1" applyFont="1" applyFill="1" applyAlignment="1">
      <alignment horizontal="left"/>
    </xf>
    <xf numFmtId="37" fontId="14" fillId="0" borderId="0" xfId="0" applyNumberFormat="1" applyFont="1" applyFill="1" applyBorder="1"/>
    <xf numFmtId="0" fontId="15" fillId="0" borderId="0" xfId="0" applyFont="1" applyFill="1" applyAlignment="1">
      <alignment horizontal="center"/>
    </xf>
    <xf numFmtId="0" fontId="71" fillId="0" borderId="0" xfId="0" applyFont="1" applyFill="1" applyAlignment="1">
      <alignment horizontal="left"/>
    </xf>
    <xf numFmtId="3" fontId="67" fillId="0" borderId="8" xfId="26" quotePrefix="1" applyNumberFormat="1" applyFont="1" applyBorder="1" applyAlignment="1">
      <alignment horizontal="center"/>
    </xf>
    <xf numFmtId="169" fontId="14" fillId="0" borderId="12" xfId="0" applyNumberFormat="1" applyFont="1" applyBorder="1"/>
    <xf numFmtId="0" fontId="81" fillId="0" borderId="0" xfId="0" applyFont="1"/>
    <xf numFmtId="5" fontId="82" fillId="0" borderId="0" xfId="0" applyNumberFormat="1" applyFont="1" applyBorder="1"/>
    <xf numFmtId="10" fontId="81" fillId="0" borderId="0" xfId="30" applyNumberFormat="1" applyFont="1"/>
    <xf numFmtId="172" fontId="81" fillId="0" borderId="0" xfId="1" applyNumberFormat="1" applyFont="1" applyBorder="1"/>
    <xf numFmtId="171" fontId="81" fillId="0" borderId="0" xfId="30" applyNumberFormat="1" applyFont="1"/>
    <xf numFmtId="5" fontId="81" fillId="0" borderId="0" xfId="0" applyNumberFormat="1" applyFont="1" applyBorder="1"/>
    <xf numFmtId="10" fontId="81" fillId="0" borderId="18" xfId="30" applyNumberFormat="1" applyFont="1" applyBorder="1"/>
    <xf numFmtId="10" fontId="81" fillId="4" borderId="0" xfId="30" applyNumberFormat="1" applyFont="1" applyFill="1"/>
    <xf numFmtId="0" fontId="27" fillId="0" borderId="0" xfId="0" applyFont="1" applyFill="1"/>
    <xf numFmtId="0" fontId="14" fillId="0" borderId="0" xfId="0" applyFont="1" applyFill="1" applyAlignment="1">
      <alignment horizontal="left"/>
    </xf>
    <xf numFmtId="10" fontId="71" fillId="0" borderId="10" xfId="22" applyNumberFormat="1" applyFont="1" applyFill="1" applyBorder="1"/>
    <xf numFmtId="3" fontId="70" fillId="0" borderId="0" xfId="22" applyNumberFormat="1" applyFont="1" applyFill="1"/>
    <xf numFmtId="37" fontId="19" fillId="0" borderId="0" xfId="0" applyNumberFormat="1" applyFont="1" applyProtection="1">
      <protection locked="0"/>
    </xf>
    <xf numFmtId="0" fontId="30" fillId="0" borderId="0" xfId="0" applyFont="1" applyFill="1"/>
    <xf numFmtId="0" fontId="30" fillId="0" borderId="0" xfId="0" applyFont="1" applyFill="1" applyAlignment="1">
      <alignment horizontal="left"/>
    </xf>
    <xf numFmtId="0" fontId="30" fillId="0" borderId="0" xfId="0" applyFont="1" applyFill="1" applyBorder="1"/>
    <xf numFmtId="37" fontId="30" fillId="0" borderId="0" xfId="0" applyNumberFormat="1" applyFont="1" applyFill="1" applyBorder="1"/>
    <xf numFmtId="0" fontId="31" fillId="0" borderId="0" xfId="0" applyFont="1" applyFill="1" applyAlignment="1">
      <alignment horizontal="center"/>
    </xf>
    <xf numFmtId="3" fontId="67" fillId="0" borderId="1" xfId="26" applyNumberFormat="1" applyFont="1" applyBorder="1" applyAlignment="1">
      <alignment horizontal="center"/>
    </xf>
    <xf numFmtId="167" fontId="78" fillId="0" borderId="10" xfId="16" applyNumberFormat="1" applyFont="1" applyFill="1" applyBorder="1"/>
    <xf numFmtId="5" fontId="14" fillId="4" borderId="0" xfId="0" applyNumberFormat="1" applyFont="1" applyFill="1"/>
    <xf numFmtId="3" fontId="78" fillId="0" borderId="0" xfId="26" applyNumberFormat="1" applyFont="1" applyFill="1" applyBorder="1" applyAlignment="1">
      <alignment horizontal="center"/>
    </xf>
    <xf numFmtId="1" fontId="14" fillId="0" borderId="12" xfId="0" applyNumberFormat="1" applyFont="1" applyBorder="1"/>
    <xf numFmtId="0" fontId="35" fillId="5" borderId="0" xfId="0" applyFont="1" applyFill="1"/>
    <xf numFmtId="0" fontId="34" fillId="5" borderId="10" xfId="0" applyFont="1" applyFill="1" applyBorder="1" applyAlignment="1">
      <alignment horizontal="center"/>
    </xf>
    <xf numFmtId="37" fontId="3" fillId="5" borderId="0" xfId="26" applyNumberFormat="1" applyFont="1" applyFill="1"/>
    <xf numFmtId="0" fontId="34" fillId="5" borderId="0" xfId="0" applyFont="1" applyFill="1" applyAlignment="1">
      <alignment horizontal="center"/>
    </xf>
    <xf numFmtId="0" fontId="34" fillId="5" borderId="0" xfId="0" applyFont="1" applyFill="1" applyBorder="1" applyAlignment="1">
      <alignment horizontal="center"/>
    </xf>
    <xf numFmtId="0" fontId="0" fillId="5" borderId="0" xfId="0" applyFill="1"/>
    <xf numFmtId="37" fontId="3" fillId="5" borderId="0" xfId="26" applyNumberFormat="1" applyFont="1" applyFill="1" applyBorder="1"/>
    <xf numFmtId="0" fontId="35" fillId="5" borderId="0" xfId="0" applyFont="1" applyFill="1" applyAlignment="1">
      <alignment horizontal="center"/>
    </xf>
    <xf numFmtId="5" fontId="35" fillId="5" borderId="0" xfId="0" applyNumberFormat="1" applyFont="1" applyFill="1"/>
    <xf numFmtId="171" fontId="35" fillId="5" borderId="10" xfId="30" applyNumberFormat="1" applyFont="1" applyFill="1" applyBorder="1"/>
    <xf numFmtId="172" fontId="35" fillId="5" borderId="0" xfId="1" applyNumberFormat="1" applyFont="1" applyFill="1" applyBorder="1"/>
    <xf numFmtId="5" fontId="35" fillId="5" borderId="10" xfId="0" applyNumberFormat="1" applyFont="1" applyFill="1" applyBorder="1"/>
    <xf numFmtId="0" fontId="80" fillId="5" borderId="0" xfId="0" applyFont="1" applyFill="1"/>
    <xf numFmtId="5" fontId="35" fillId="5" borderId="17" xfId="0" applyNumberFormat="1" applyFont="1" applyFill="1" applyBorder="1"/>
    <xf numFmtId="171" fontId="35" fillId="5" borderId="0" xfId="30" applyNumberFormat="1" applyFont="1" applyFill="1" applyBorder="1"/>
    <xf numFmtId="5" fontId="35" fillId="5" borderId="0" xfId="0" applyNumberFormat="1" applyFont="1" applyFill="1" applyBorder="1"/>
    <xf numFmtId="10" fontId="35" fillId="5" borderId="18" xfId="30" applyNumberFormat="1" applyFont="1" applyFill="1" applyBorder="1"/>
    <xf numFmtId="10" fontId="35" fillId="5" borderId="10" xfId="30" applyNumberFormat="1" applyFont="1" applyFill="1" applyBorder="1"/>
    <xf numFmtId="0" fontId="73" fillId="5" borderId="0" xfId="0" applyFont="1" applyFill="1"/>
    <xf numFmtId="172" fontId="73" fillId="5" borderId="0" xfId="1" applyNumberFormat="1" applyFont="1" applyFill="1" applyBorder="1"/>
    <xf numFmtId="0" fontId="3" fillId="5" borderId="0" xfId="0" applyFont="1" applyFill="1"/>
    <xf numFmtId="169" fontId="35" fillId="5" borderId="0" xfId="0" applyNumberFormat="1" applyFont="1" applyFill="1"/>
    <xf numFmtId="37" fontId="3" fillId="3" borderId="0" xfId="26" applyNumberFormat="1" applyFont="1" applyFill="1"/>
    <xf numFmtId="0" fontId="34" fillId="3" borderId="0" xfId="0" applyFont="1" applyFill="1" applyAlignment="1">
      <alignment horizontal="center"/>
    </xf>
    <xf numFmtId="0" fontId="34" fillId="3" borderId="10" xfId="0" applyFont="1" applyFill="1" applyBorder="1" applyAlignment="1">
      <alignment horizontal="center"/>
    </xf>
    <xf numFmtId="10" fontId="35" fillId="3" borderId="0" xfId="30" applyNumberFormat="1" applyFont="1" applyFill="1"/>
    <xf numFmtId="10" fontId="73" fillId="3" borderId="0" xfId="30" applyNumberFormat="1" applyFont="1" applyFill="1"/>
    <xf numFmtId="0" fontId="14" fillId="3" borderId="0" xfId="0" applyFont="1" applyFill="1"/>
    <xf numFmtId="171" fontId="35" fillId="3" borderId="0" xfId="30" applyNumberFormat="1" applyFont="1" applyFill="1"/>
    <xf numFmtId="10" fontId="35" fillId="3" borderId="18" xfId="30" applyNumberFormat="1" applyFont="1" applyFill="1" applyBorder="1"/>
    <xf numFmtId="171" fontId="35" fillId="3" borderId="0" xfId="30" applyNumberFormat="1" applyFont="1" applyFill="1" applyBorder="1"/>
    <xf numFmtId="37" fontId="3" fillId="3" borderId="0" xfId="15" applyNumberFormat="1" applyFont="1" applyFill="1"/>
    <xf numFmtId="0" fontId="34" fillId="3" borderId="0" xfId="0" applyFont="1" applyFill="1" applyBorder="1" applyAlignment="1">
      <alignment horizontal="center"/>
    </xf>
    <xf numFmtId="37" fontId="3" fillId="3" borderId="0" xfId="26" applyNumberFormat="1" applyFont="1" applyFill="1" applyBorder="1"/>
    <xf numFmtId="0" fontId="81" fillId="3" borderId="0" xfId="0" applyFont="1" applyFill="1"/>
    <xf numFmtId="5" fontId="82" fillId="3" borderId="0" xfId="0" applyNumberFormat="1" applyFont="1" applyFill="1" applyBorder="1"/>
    <xf numFmtId="10" fontId="81" fillId="3" borderId="0" xfId="30" applyNumberFormat="1" applyFont="1" applyFill="1"/>
    <xf numFmtId="0" fontId="35" fillId="3" borderId="0" xfId="0" applyFont="1" applyFill="1"/>
    <xf numFmtId="172" fontId="35" fillId="3" borderId="0" xfId="1" applyNumberFormat="1" applyFont="1" applyFill="1" applyBorder="1"/>
    <xf numFmtId="5" fontId="39" fillId="3" borderId="0" xfId="0" applyNumberFormat="1" applyFont="1" applyFill="1" applyBorder="1"/>
    <xf numFmtId="172" fontId="81" fillId="3" borderId="0" xfId="1" applyNumberFormat="1" applyFont="1" applyFill="1" applyBorder="1"/>
    <xf numFmtId="171" fontId="81" fillId="3" borderId="0" xfId="30" applyNumberFormat="1" applyFont="1" applyFill="1"/>
    <xf numFmtId="5" fontId="81" fillId="3" borderId="0" xfId="0" applyNumberFormat="1" applyFont="1" applyFill="1" applyBorder="1"/>
    <xf numFmtId="10" fontId="81" fillId="3" borderId="18" xfId="30" applyNumberFormat="1" applyFont="1" applyFill="1" applyBorder="1"/>
    <xf numFmtId="0" fontId="35" fillId="3" borderId="0" xfId="0" applyFont="1" applyFill="1" applyBorder="1"/>
    <xf numFmtId="0" fontId="29" fillId="4" borderId="0" xfId="0" applyFont="1" applyFill="1" applyBorder="1" applyAlignment="1">
      <alignment horizontal="center"/>
    </xf>
    <xf numFmtId="0" fontId="3" fillId="0" borderId="0" xfId="20" applyFont="1" applyBorder="1"/>
    <xf numFmtId="37" fontId="8" fillId="0" borderId="0" xfId="20" applyNumberFormat="1" applyFont="1" applyBorder="1"/>
    <xf numFmtId="0" fontId="3" fillId="4" borderId="0" xfId="20" applyFont="1" applyFill="1"/>
    <xf numFmtId="164" fontId="3" fillId="4" borderId="0" xfId="5" applyNumberFormat="1" applyFont="1" applyFill="1"/>
    <xf numFmtId="3" fontId="3" fillId="4" borderId="0" xfId="20" applyNumberFormat="1" applyFont="1" applyFill="1"/>
    <xf numFmtId="0" fontId="3" fillId="0" borderId="0" xfId="21" applyFont="1" applyBorder="1"/>
    <xf numFmtId="170" fontId="3" fillId="0" borderId="0" xfId="21" applyNumberFormat="1" applyFont="1" applyBorder="1"/>
    <xf numFmtId="170" fontId="3" fillId="0" borderId="0" xfId="21" applyNumberFormat="1" applyFont="1" applyBorder="1" applyAlignment="1">
      <alignment horizontal="center"/>
    </xf>
    <xf numFmtId="3" fontId="14" fillId="0" borderId="0" xfId="0" applyNumberFormat="1" applyFont="1" applyFill="1" applyAlignment="1">
      <alignment horizontal="center"/>
    </xf>
    <xf numFmtId="3" fontId="14" fillId="0" borderId="0" xfId="0" applyNumberFormat="1" applyFont="1" applyFill="1"/>
    <xf numFmtId="172" fontId="14" fillId="0" borderId="0" xfId="1" applyNumberFormat="1" applyFont="1" applyFill="1" applyBorder="1"/>
    <xf numFmtId="0" fontId="14" fillId="4" borderId="0" xfId="0" applyFont="1" applyFill="1"/>
    <xf numFmtId="0" fontId="38" fillId="4" borderId="0" xfId="0" applyFont="1" applyFill="1"/>
    <xf numFmtId="0" fontId="14" fillId="4" borderId="0" xfId="0" applyFont="1" applyFill="1" applyAlignment="1">
      <alignment horizontal="left"/>
    </xf>
    <xf numFmtId="5" fontId="33" fillId="4" borderId="0" xfId="0" applyNumberFormat="1" applyFont="1" applyFill="1"/>
    <xf numFmtId="7" fontId="3" fillId="0" borderId="0" xfId="26" applyNumberFormat="1" applyFont="1"/>
    <xf numFmtId="7" fontId="14" fillId="0" borderId="0" xfId="0" applyNumberFormat="1" applyFont="1"/>
    <xf numFmtId="172" fontId="3" fillId="0" borderId="0" xfId="1" applyNumberFormat="1" applyFont="1"/>
    <xf numFmtId="5" fontId="3" fillId="0" borderId="20" xfId="0" applyNumberFormat="1" applyFont="1" applyBorder="1"/>
    <xf numFmtId="5" fontId="3" fillId="0" borderId="21" xfId="26" applyNumberFormat="1" applyFont="1" applyBorder="1"/>
    <xf numFmtId="0" fontId="3" fillId="0" borderId="21" xfId="26" applyFont="1" applyBorder="1"/>
    <xf numFmtId="172" fontId="3" fillId="0" borderId="22" xfId="1" applyNumberFormat="1" applyFont="1" applyBorder="1"/>
    <xf numFmtId="0" fontId="3" fillId="0" borderId="21" xfId="0" applyFont="1" applyBorder="1"/>
    <xf numFmtId="10" fontId="3" fillId="0" borderId="23" xfId="26" applyNumberFormat="1" applyFont="1" applyBorder="1"/>
    <xf numFmtId="5" fontId="3" fillId="0" borderId="17" xfId="26" applyNumberFormat="1" applyFont="1" applyBorder="1"/>
    <xf numFmtId="0" fontId="14" fillId="0" borderId="21" xfId="0" applyFont="1" applyBorder="1"/>
    <xf numFmtId="5" fontId="14" fillId="0" borderId="21" xfId="0" applyNumberFormat="1" applyFont="1" applyBorder="1"/>
    <xf numFmtId="0" fontId="83" fillId="0" borderId="24" xfId="26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5" fontId="14" fillId="0" borderId="22" xfId="0" applyNumberFormat="1" applyFont="1" applyBorder="1"/>
    <xf numFmtId="10" fontId="14" fillId="0" borderId="25" xfId="30" applyNumberFormat="1" applyFont="1" applyBorder="1"/>
    <xf numFmtId="43" fontId="14" fillId="0" borderId="0" xfId="0" applyNumberFormat="1" applyFont="1"/>
    <xf numFmtId="0" fontId="3" fillId="4" borderId="0" xfId="26" applyFont="1" applyFill="1"/>
    <xf numFmtId="172" fontId="14" fillId="4" borderId="0" xfId="1" applyNumberFormat="1" applyFont="1" applyFill="1"/>
    <xf numFmtId="7" fontId="14" fillId="0" borderId="17" xfId="0" applyNumberFormat="1" applyFont="1" applyBorder="1"/>
    <xf numFmtId="0" fontId="3" fillId="5" borderId="15" xfId="26" applyFont="1" applyFill="1" applyBorder="1"/>
    <xf numFmtId="172" fontId="14" fillId="5" borderId="16" xfId="0" applyNumberFormat="1" applyFont="1" applyFill="1" applyBorder="1"/>
    <xf numFmtId="3" fontId="3" fillId="0" borderId="0" xfId="0" applyNumberFormat="1" applyFont="1" applyFill="1" applyBorder="1" applyAlignment="1"/>
    <xf numFmtId="7" fontId="3" fillId="0" borderId="0" xfId="26" applyNumberFormat="1" applyFont="1" applyBorder="1"/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3" fillId="0" borderId="27" xfId="26" applyFont="1" applyBorder="1"/>
    <xf numFmtId="0" fontId="14" fillId="0" borderId="27" xfId="0" applyFont="1" applyBorder="1"/>
    <xf numFmtId="0" fontId="14" fillId="0" borderId="28" xfId="0" applyFont="1" applyBorder="1"/>
    <xf numFmtId="0" fontId="5" fillId="0" borderId="29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3" fillId="0" borderId="0" xfId="26" applyFont="1" applyBorder="1"/>
    <xf numFmtId="0" fontId="14" fillId="0" borderId="30" xfId="0" applyFont="1" applyBorder="1"/>
    <xf numFmtId="0" fontId="72" fillId="4" borderId="0" xfId="26" applyFont="1" applyFill="1" applyBorder="1"/>
    <xf numFmtId="0" fontId="71" fillId="4" borderId="0" xfId="0" applyFont="1" applyFill="1" applyBorder="1"/>
    <xf numFmtId="0" fontId="3" fillId="0" borderId="29" xfId="0" applyFont="1" applyBorder="1"/>
    <xf numFmtId="0" fontId="3" fillId="0" borderId="0" xfId="0" applyFont="1" applyBorder="1"/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3" fillId="0" borderId="29" xfId="26" applyFont="1" applyBorder="1"/>
    <xf numFmtId="5" fontId="3" fillId="0" borderId="0" xfId="26" applyNumberFormat="1" applyFont="1" applyBorder="1"/>
    <xf numFmtId="7" fontId="14" fillId="0" borderId="0" xfId="0" applyNumberFormat="1" applyFont="1" applyBorder="1"/>
    <xf numFmtId="172" fontId="3" fillId="0" borderId="0" xfId="1" applyNumberFormat="1" applyFont="1" applyBorder="1"/>
    <xf numFmtId="0" fontId="3" fillId="4" borderId="0" xfId="26" applyFont="1" applyFill="1" applyBorder="1"/>
    <xf numFmtId="172" fontId="14" fillId="4" borderId="0" xfId="1" applyNumberFormat="1" applyFont="1" applyFill="1" applyBorder="1"/>
    <xf numFmtId="0" fontId="3" fillId="0" borderId="32" xfId="26" applyFont="1" applyBorder="1"/>
    <xf numFmtId="0" fontId="3" fillId="0" borderId="33" xfId="26" applyFont="1" applyBorder="1"/>
    <xf numFmtId="0" fontId="14" fillId="0" borderId="33" xfId="0" applyFont="1" applyBorder="1"/>
    <xf numFmtId="0" fontId="14" fillId="0" borderId="34" xfId="0" applyFont="1" applyBorder="1"/>
    <xf numFmtId="0" fontId="14" fillId="4" borderId="30" xfId="0" applyFont="1" applyFill="1" applyBorder="1"/>
    <xf numFmtId="164" fontId="19" fillId="0" borderId="0" xfId="18" applyNumberFormat="1" applyFont="1"/>
    <xf numFmtId="164" fontId="19" fillId="0" borderId="0" xfId="18" applyNumberFormat="1" applyFont="1" applyAlignment="1">
      <alignment horizontal="center"/>
    </xf>
    <xf numFmtId="3" fontId="19" fillId="0" borderId="0" xfId="18" applyNumberFormat="1" applyFont="1" applyAlignment="1">
      <alignment horizontal="right"/>
    </xf>
    <xf numFmtId="172" fontId="3" fillId="0" borderId="10" xfId="1" applyNumberFormat="1" applyFont="1" applyBorder="1"/>
    <xf numFmtId="3" fontId="19" fillId="0" borderId="0" xfId="18" applyNumberFormat="1" applyFont="1" applyAlignment="1">
      <alignment horizontal="center"/>
    </xf>
    <xf numFmtId="3" fontId="19" fillId="0" borderId="0" xfId="18" applyNumberFormat="1" applyFont="1"/>
    <xf numFmtId="164" fontId="19" fillId="0" borderId="10" xfId="18" applyNumberFormat="1" applyFont="1" applyBorder="1" applyAlignment="1">
      <alignment horizontal="center"/>
    </xf>
    <xf numFmtId="5" fontId="14" fillId="0" borderId="17" xfId="0" applyNumberFormat="1" applyFont="1" applyBorder="1"/>
    <xf numFmtId="3" fontId="84" fillId="0" borderId="0" xfId="26" applyNumberFormat="1" applyFont="1"/>
    <xf numFmtId="3" fontId="85" fillId="0" borderId="0" xfId="27" applyNumberFormat="1" applyFont="1" applyAlignment="1">
      <alignment horizontal="center"/>
    </xf>
    <xf numFmtId="3" fontId="85" fillId="0" borderId="1" xfId="26" applyNumberFormat="1" applyFont="1" applyFill="1" applyBorder="1" applyAlignment="1">
      <alignment horizontal="center"/>
    </xf>
    <xf numFmtId="3" fontId="85" fillId="0" borderId="5" xfId="26" applyNumberFormat="1" applyFont="1" applyFill="1" applyBorder="1" applyAlignment="1">
      <alignment horizontal="center"/>
    </xf>
    <xf numFmtId="3" fontId="85" fillId="0" borderId="8" xfId="26" applyNumberFormat="1" applyFont="1" applyFill="1" applyBorder="1" applyAlignment="1">
      <alignment horizontal="center"/>
    </xf>
    <xf numFmtId="3" fontId="84" fillId="0" borderId="0" xfId="26" applyNumberFormat="1" applyFont="1" applyFill="1" applyBorder="1" applyAlignment="1">
      <alignment horizontal="center"/>
    </xf>
    <xf numFmtId="3" fontId="84" fillId="0" borderId="0" xfId="26" applyNumberFormat="1" applyFont="1" applyFill="1" applyBorder="1"/>
    <xf numFmtId="167" fontId="84" fillId="0" borderId="0" xfId="16" applyNumberFormat="1" applyFont="1" applyFill="1" applyBorder="1"/>
    <xf numFmtId="166" fontId="84" fillId="0" borderId="0" xfId="26" applyNumberFormat="1" applyFont="1"/>
    <xf numFmtId="166" fontId="84" fillId="0" borderId="10" xfId="26" applyNumberFormat="1" applyFont="1" applyBorder="1"/>
    <xf numFmtId="37" fontId="84" fillId="0" borderId="0" xfId="26" applyNumberFormat="1" applyFont="1"/>
    <xf numFmtId="37" fontId="84" fillId="0" borderId="10" xfId="26" applyNumberFormat="1" applyFont="1" applyBorder="1"/>
    <xf numFmtId="5" fontId="84" fillId="0" borderId="13" xfId="26" applyNumberFormat="1" applyFont="1" applyBorder="1"/>
    <xf numFmtId="167" fontId="84" fillId="0" borderId="0" xfId="26" applyNumberFormat="1" applyFont="1"/>
    <xf numFmtId="3" fontId="84" fillId="0" borderId="0" xfId="26" applyNumberFormat="1" applyFont="1" applyFill="1"/>
    <xf numFmtId="3" fontId="84" fillId="0" borderId="0" xfId="26" applyNumberFormat="1" applyFont="1" applyAlignment="1">
      <alignment horizontal="center"/>
    </xf>
    <xf numFmtId="167" fontId="85" fillId="0" borderId="1" xfId="16" applyNumberFormat="1" applyFont="1" applyFill="1" applyBorder="1" applyAlignment="1">
      <alignment horizontal="center"/>
    </xf>
    <xf numFmtId="3" fontId="85" fillId="0" borderId="5" xfId="26" applyNumberFormat="1" applyFont="1" applyBorder="1" applyAlignment="1">
      <alignment horizontal="center"/>
    </xf>
    <xf numFmtId="3" fontId="85" fillId="0" borderId="8" xfId="26" applyNumberFormat="1" applyFont="1" applyBorder="1" applyAlignment="1">
      <alignment horizontal="center"/>
    </xf>
    <xf numFmtId="0" fontId="28" fillId="0" borderId="0" xfId="0" applyFont="1" applyBorder="1"/>
    <xf numFmtId="5" fontId="14" fillId="0" borderId="0" xfId="1" applyNumberFormat="1" applyFont="1" applyBorder="1"/>
    <xf numFmtId="169" fontId="14" fillId="0" borderId="0" xfId="0" applyNumberFormat="1" applyFont="1" applyBorder="1"/>
    <xf numFmtId="1" fontId="14" fillId="0" borderId="0" xfId="0" applyNumberFormat="1" applyFont="1" applyBorder="1"/>
    <xf numFmtId="5" fontId="14" fillId="0" borderId="18" xfId="0" applyNumberFormat="1" applyFont="1" applyFill="1" applyBorder="1"/>
    <xf numFmtId="10" fontId="15" fillId="0" borderId="13" xfId="0" applyNumberFormat="1" applyFont="1" applyFill="1" applyBorder="1" applyAlignment="1">
      <alignment horizontal="left"/>
    </xf>
    <xf numFmtId="10" fontId="15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86" fillId="0" borderId="0" xfId="26" applyFont="1" applyFill="1"/>
    <xf numFmtId="0" fontId="3" fillId="0" borderId="0" xfId="26" applyFont="1" applyFill="1"/>
    <xf numFmtId="0" fontId="33" fillId="0" borderId="0" xfId="0" applyFont="1" applyAlignment="1">
      <alignment horizontal="center"/>
    </xf>
    <xf numFmtId="10" fontId="33" fillId="0" borderId="0" xfId="0" applyNumberFormat="1" applyFont="1" applyAlignment="1">
      <alignment horizontal="center"/>
    </xf>
    <xf numFmtId="10" fontId="29" fillId="0" borderId="0" xfId="0" applyNumberFormat="1" applyFont="1" applyBorder="1" applyAlignment="1">
      <alignment horizontal="center"/>
    </xf>
    <xf numFmtId="10" fontId="33" fillId="0" borderId="0" xfId="0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3" fillId="0" borderId="0" xfId="0" applyFont="1" applyFill="1" applyAlignment="1">
      <alignment horizontal="center"/>
    </xf>
    <xf numFmtId="0" fontId="14" fillId="5" borderId="0" xfId="0" applyFont="1" applyFill="1"/>
    <xf numFmtId="0" fontId="34" fillId="0" borderId="0" xfId="0" applyFont="1" applyFill="1" applyAlignment="1">
      <alignment horizontal="left"/>
    </xf>
    <xf numFmtId="5" fontId="25" fillId="0" borderId="0" xfId="5" applyNumberFormat="1" applyFont="1" applyProtection="1">
      <protection locked="0"/>
    </xf>
    <xf numFmtId="37" fontId="25" fillId="0" borderId="0" xfId="5" applyNumberFormat="1" applyFont="1" applyProtection="1">
      <protection locked="0"/>
    </xf>
    <xf numFmtId="0" fontId="33" fillId="0" borderId="0" xfId="0" applyFont="1" applyBorder="1" applyAlignment="1">
      <alignment horizontal="center"/>
    </xf>
    <xf numFmtId="10" fontId="33" fillId="0" borderId="0" xfId="0" applyNumberFormat="1" applyFont="1" applyBorder="1"/>
    <xf numFmtId="0" fontId="33" fillId="0" borderId="0" xfId="0" applyFont="1" applyFill="1" applyBorder="1"/>
    <xf numFmtId="10" fontId="29" fillId="0" borderId="0" xfId="0" applyNumberFormat="1" applyFont="1" applyBorder="1"/>
    <xf numFmtId="0" fontId="25" fillId="0" borderId="0" xfId="0" applyFont="1"/>
    <xf numFmtId="0" fontId="29" fillId="0" borderId="0" xfId="0" applyFont="1" applyFill="1"/>
    <xf numFmtId="37" fontId="25" fillId="3" borderId="0" xfId="26" applyNumberFormat="1" applyFont="1" applyFill="1"/>
    <xf numFmtId="0" fontId="88" fillId="3" borderId="0" xfId="0" applyFont="1" applyFill="1" applyAlignment="1">
      <alignment horizontal="center"/>
    </xf>
    <xf numFmtId="0" fontId="88" fillId="3" borderId="10" xfId="0" applyFont="1" applyFill="1" applyBorder="1" applyAlignment="1">
      <alignment horizontal="center"/>
    </xf>
    <xf numFmtId="10" fontId="89" fillId="3" borderId="0" xfId="30" applyNumberFormat="1" applyFont="1" applyFill="1"/>
    <xf numFmtId="10" fontId="80" fillId="3" borderId="0" xfId="30" applyNumberFormat="1" applyFont="1" applyFill="1"/>
    <xf numFmtId="171" fontId="89" fillId="3" borderId="0" xfId="30" applyNumberFormat="1" applyFont="1" applyFill="1"/>
    <xf numFmtId="171" fontId="89" fillId="3" borderId="0" xfId="30" applyNumberFormat="1" applyFont="1" applyFill="1" applyBorder="1"/>
    <xf numFmtId="171" fontId="89" fillId="0" borderId="0" xfId="30" applyNumberFormat="1" applyFont="1" applyBorder="1"/>
    <xf numFmtId="0" fontId="25" fillId="0" borderId="0" xfId="26" applyFont="1"/>
    <xf numFmtId="5" fontId="25" fillId="0" borderId="0" xfId="26" applyNumberFormat="1" applyFont="1"/>
    <xf numFmtId="0" fontId="88" fillId="0" borderId="0" xfId="0" applyFont="1" applyAlignment="1">
      <alignment horizontal="center"/>
    </xf>
    <xf numFmtId="0" fontId="88" fillId="0" borderId="10" xfId="0" applyFont="1" applyBorder="1" applyAlignment="1">
      <alignment horizontal="center"/>
    </xf>
    <xf numFmtId="10" fontId="80" fillId="0" borderId="0" xfId="30" applyNumberFormat="1" applyFont="1"/>
    <xf numFmtId="10" fontId="89" fillId="0" borderId="0" xfId="30" applyNumberFormat="1" applyFont="1"/>
    <xf numFmtId="6" fontId="14" fillId="0" borderId="18" xfId="3" applyNumberFormat="1" applyFont="1" applyBorder="1"/>
    <xf numFmtId="10" fontId="15" fillId="0" borderId="18" xfId="0" applyNumberFormat="1" applyFont="1" applyBorder="1" applyAlignment="1">
      <alignment horizontal="left"/>
    </xf>
    <xf numFmtId="3" fontId="3" fillId="0" borderId="0" xfId="26" applyNumberFormat="1" applyFont="1" applyBorder="1" applyAlignment="1">
      <alignment horizontal="center"/>
    </xf>
    <xf numFmtId="3" fontId="3" fillId="0" borderId="3" xfId="19" applyNumberFormat="1" applyFont="1" applyBorder="1"/>
    <xf numFmtId="0" fontId="8" fillId="0" borderId="0" xfId="19" applyFont="1" applyAlignment="1">
      <alignment horizontal="centerContinuous"/>
    </xf>
    <xf numFmtId="171" fontId="14" fillId="0" borderId="10" xfId="30" applyNumberFormat="1" applyFont="1" applyFill="1" applyBorder="1"/>
    <xf numFmtId="171" fontId="14" fillId="0" borderId="0" xfId="30" applyNumberFormat="1" applyFont="1" applyBorder="1"/>
    <xf numFmtId="172" fontId="14" fillId="0" borderId="0" xfId="0" applyNumberFormat="1" applyFont="1" applyBorder="1"/>
    <xf numFmtId="0" fontId="0" fillId="0" borderId="0" xfId="0" applyAlignment="1">
      <alignment horizontal="center"/>
    </xf>
    <xf numFmtId="175" fontId="15" fillId="0" borderId="17" xfId="3" applyNumberFormat="1" applyFont="1" applyBorder="1"/>
    <xf numFmtId="180" fontId="28" fillId="0" borderId="13" xfId="0" applyNumberFormat="1" applyFont="1" applyBorder="1"/>
    <xf numFmtId="3" fontId="91" fillId="6" borderId="0" xfId="0" applyNumberFormat="1" applyFont="1" applyFill="1"/>
    <xf numFmtId="3" fontId="91" fillId="6" borderId="0" xfId="0" applyNumberFormat="1" applyFont="1" applyFill="1" applyAlignment="1">
      <alignment horizontal="center"/>
    </xf>
    <xf numFmtId="3" fontId="91" fillId="6" borderId="0" xfId="19" applyNumberFormat="1" applyFont="1" applyFill="1"/>
    <xf numFmtId="3" fontId="90" fillId="6" borderId="0" xfId="19" applyNumberFormat="1" applyFont="1" applyFill="1"/>
    <xf numFmtId="0" fontId="5" fillId="0" borderId="0" xfId="26" applyFont="1"/>
    <xf numFmtId="3" fontId="5" fillId="0" borderId="0" xfId="26" applyNumberFormat="1" applyFont="1"/>
    <xf numFmtId="0" fontId="5" fillId="6" borderId="0" xfId="26" applyFont="1" applyFill="1"/>
    <xf numFmtId="0" fontId="5" fillId="6" borderId="0" xfId="26" applyFont="1" applyFill="1" applyAlignment="1">
      <alignment wrapText="1"/>
    </xf>
    <xf numFmtId="3" fontId="5" fillId="6" borderId="0" xfId="26" applyNumberFormat="1" applyFont="1" applyFill="1"/>
    <xf numFmtId="0" fontId="3" fillId="7" borderId="0" xfId="26" applyNumberFormat="1" applyFont="1" applyFill="1" applyAlignment="1">
      <alignment horizontal="center"/>
    </xf>
    <xf numFmtId="0" fontId="3" fillId="7" borderId="0" xfId="26" applyFont="1" applyFill="1"/>
    <xf numFmtId="3" fontId="3" fillId="7" borderId="0" xfId="26" applyNumberFormat="1" applyFont="1" applyFill="1"/>
    <xf numFmtId="0" fontId="3" fillId="7" borderId="0" xfId="26" applyFont="1" applyFill="1" applyAlignment="1">
      <alignment horizontal="right"/>
    </xf>
    <xf numFmtId="0" fontId="5" fillId="7" borderId="0" xfId="26" applyNumberFormat="1" applyFont="1" applyFill="1" applyAlignment="1">
      <alignment horizontal="left"/>
    </xf>
    <xf numFmtId="0" fontId="5" fillId="6" borderId="0" xfId="26" applyNumberFormat="1" applyFont="1" applyFill="1" applyAlignment="1">
      <alignment horizontal="left"/>
    </xf>
    <xf numFmtId="0" fontId="91" fillId="0" borderId="0" xfId="26" applyFont="1"/>
    <xf numFmtId="3" fontId="90" fillId="0" borderId="0" xfId="26" applyNumberFormat="1" applyFont="1"/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3" fontId="3" fillId="0" borderId="0" xfId="19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3" fontId="3" fillId="6" borderId="0" xfId="26" applyNumberFormat="1" applyFont="1" applyFill="1"/>
    <xf numFmtId="3" fontId="3" fillId="6" borderId="0" xfId="26" applyNumberFormat="1" applyFont="1" applyFill="1" applyAlignment="1">
      <alignment horizontal="center"/>
    </xf>
    <xf numFmtId="3" fontId="5" fillId="0" borderId="0" xfId="27" applyNumberFormat="1" applyFont="1" applyAlignment="1">
      <alignment horizontal="center"/>
    </xf>
    <xf numFmtId="0" fontId="1" fillId="0" borderId="0" xfId="0" applyFont="1"/>
    <xf numFmtId="3" fontId="3" fillId="6" borderId="0" xfId="27" applyNumberFormat="1" applyFont="1" applyFill="1" applyAlignment="1">
      <alignment horizontal="center"/>
    </xf>
    <xf numFmtId="3" fontId="5" fillId="6" borderId="0" xfId="27" applyNumberFormat="1" applyFont="1" applyFill="1" applyAlignment="1">
      <alignment horizontal="center"/>
    </xf>
    <xf numFmtId="3" fontId="5" fillId="0" borderId="1" xfId="27" applyNumberFormat="1" applyFont="1" applyBorder="1" applyAlignment="1">
      <alignment horizontal="center"/>
    </xf>
    <xf numFmtId="3" fontId="5" fillId="6" borderId="1" xfId="26" applyNumberFormat="1" applyFont="1" applyFill="1" applyBorder="1" applyAlignment="1">
      <alignment horizontal="center"/>
    </xf>
    <xf numFmtId="167" fontId="5" fillId="6" borderId="1" xfId="16" applyNumberFormat="1" applyFont="1" applyFill="1" applyBorder="1" applyAlignment="1">
      <alignment horizontal="center"/>
    </xf>
    <xf numFmtId="3" fontId="5" fillId="0" borderId="5" xfId="27" applyNumberFormat="1" applyFont="1" applyBorder="1" applyAlignment="1">
      <alignment horizontal="center"/>
    </xf>
    <xf numFmtId="3" fontId="5" fillId="6" borderId="5" xfId="26" applyNumberFormat="1" applyFont="1" applyFill="1" applyBorder="1" applyAlignment="1">
      <alignment horizontal="center"/>
    </xf>
    <xf numFmtId="167" fontId="5" fillId="0" borderId="5" xfId="16" applyNumberFormat="1" applyFont="1" applyFill="1" applyBorder="1" applyAlignment="1">
      <alignment horizontal="center"/>
    </xf>
    <xf numFmtId="167" fontId="5" fillId="6" borderId="5" xfId="16" applyNumberFormat="1" applyFont="1" applyFill="1" applyBorder="1" applyAlignment="1">
      <alignment horizontal="center"/>
    </xf>
    <xf numFmtId="3" fontId="5" fillId="0" borderId="8" xfId="27" applyNumberFormat="1" applyFont="1" applyBorder="1" applyAlignment="1">
      <alignment horizontal="center"/>
    </xf>
    <xf numFmtId="3" fontId="5" fillId="6" borderId="8" xfId="26" applyNumberFormat="1" applyFont="1" applyFill="1" applyBorder="1" applyAlignment="1">
      <alignment horizontal="center"/>
    </xf>
    <xf numFmtId="3" fontId="5" fillId="0" borderId="8" xfId="26" quotePrefix="1" applyNumberFormat="1" applyFont="1" applyBorder="1" applyAlignment="1">
      <alignment horizontal="center"/>
    </xf>
    <xf numFmtId="0" fontId="3" fillId="0" borderId="0" xfId="26" applyFont="1" applyAlignment="1">
      <alignment horizontal="center"/>
    </xf>
    <xf numFmtId="3" fontId="3" fillId="6" borderId="0" xfId="26" applyNumberFormat="1" applyFont="1" applyFill="1" applyBorder="1" applyAlignment="1">
      <alignment horizontal="center"/>
    </xf>
    <xf numFmtId="3" fontId="3" fillId="6" borderId="0" xfId="26" applyNumberFormat="1" applyFont="1" applyFill="1" applyBorder="1"/>
    <xf numFmtId="167" fontId="3" fillId="6" borderId="0" xfId="16" applyNumberFormat="1" applyFont="1" applyFill="1" applyBorder="1"/>
    <xf numFmtId="166" fontId="3" fillId="6" borderId="0" xfId="26" applyNumberFormat="1" applyFont="1" applyFill="1"/>
    <xf numFmtId="166" fontId="3" fillId="6" borderId="10" xfId="26" applyNumberFormat="1" applyFont="1" applyFill="1" applyBorder="1"/>
    <xf numFmtId="37" fontId="3" fillId="6" borderId="0" xfId="26" applyNumberFormat="1" applyFont="1" applyFill="1"/>
    <xf numFmtId="0" fontId="18" fillId="0" borderId="0" xfId="0" applyFont="1" applyAlignment="1">
      <alignment horizontal="center"/>
    </xf>
    <xf numFmtId="0" fontId="18" fillId="0" borderId="0" xfId="0" applyFont="1"/>
    <xf numFmtId="5" fontId="18" fillId="0" borderId="0" xfId="0" applyNumberFormat="1" applyFont="1"/>
    <xf numFmtId="37" fontId="3" fillId="6" borderId="10" xfId="26" applyNumberFormat="1" applyFont="1" applyFill="1" applyBorder="1"/>
    <xf numFmtId="5" fontId="3" fillId="6" borderId="13" xfId="26" applyNumberFormat="1" applyFont="1" applyFill="1" applyBorder="1"/>
    <xf numFmtId="167" fontId="3" fillId="6" borderId="0" xfId="26" applyNumberFormat="1" applyFont="1" applyFill="1"/>
    <xf numFmtId="3" fontId="91" fillId="6" borderId="0" xfId="26" applyNumberFormat="1" applyFont="1" applyFill="1"/>
    <xf numFmtId="3" fontId="5" fillId="8" borderId="18" xfId="26" applyNumberFormat="1" applyFont="1" applyFill="1" applyBorder="1"/>
    <xf numFmtId="3" fontId="5" fillId="8" borderId="0" xfId="26" applyNumberFormat="1" applyFont="1" applyFill="1"/>
    <xf numFmtId="3" fontId="3" fillId="8" borderId="0" xfId="26" applyNumberFormat="1" applyFont="1" applyFill="1"/>
    <xf numFmtId="3" fontId="91" fillId="8" borderId="0" xfId="26" applyNumberFormat="1" applyFont="1" applyFill="1" applyAlignment="1">
      <alignment horizontal="center"/>
    </xf>
    <xf numFmtId="3" fontId="90" fillId="8" borderId="0" xfId="26" applyNumberFormat="1" applyFont="1" applyFill="1"/>
  </cellXfs>
  <cellStyles count="31">
    <cellStyle name="Comma" xfId="1" builtinId="3"/>
    <cellStyle name="Comma_RestateDebtInt1200case" xfId="2"/>
    <cellStyle name="Currency" xfId="3" builtinId="4"/>
    <cellStyle name="Normal" xfId="0" builtinId="0"/>
    <cellStyle name="Normal_AR Exp Summ-Ele" xfId="4"/>
    <cellStyle name="Normal_B&amp;OElSum" xfId="5"/>
    <cellStyle name="Normal_Bld Gain Summ-Ele" xfId="6"/>
    <cellStyle name="Normal_Colstrip AFUDC Reall AS" xfId="7"/>
    <cellStyle name="Normal_Colstrip Common-AS" xfId="8"/>
    <cellStyle name="Normal_DADS Adj Summ-ele" xfId="9"/>
    <cellStyle name="Normal_Debt Int AS Elec" xfId="10"/>
    <cellStyle name="Normal_Debt Int AS Gas" xfId="11"/>
    <cellStyle name="Normal_DFIT-WaEle_SUM" xfId="12"/>
    <cellStyle name="Normal_Electric" xfId="13"/>
    <cellStyle name="Normal_FIT AS Elec" xfId="14"/>
    <cellStyle name="Normal_IDElec6_97" xfId="15"/>
    <cellStyle name="Normal_IDGas6_97" xfId="16"/>
    <cellStyle name="Normal_InjDamSum-Elec" xfId="17"/>
    <cellStyle name="Normal_KFSumm" xfId="18"/>
    <cellStyle name="Normal_PSSum-Elec" xfId="19"/>
    <cellStyle name="Normal_R&amp;PElSum" xfId="20"/>
    <cellStyle name="Normal_Reg Exp Summ-ele" xfId="21"/>
    <cellStyle name="Normal_RestateDebtInt1200case" xfId="22"/>
    <cellStyle name="Normal_Sub Space Summ-Ele" xfId="23"/>
    <cellStyle name="Normal_Unbilled Sum-El" xfId="24"/>
    <cellStyle name="Normal_UncollectSumm-Gas" xfId="25"/>
    <cellStyle name="Normal_WAElec6_97" xfId="26"/>
    <cellStyle name="Normal_WAGas6_97" xfId="27"/>
    <cellStyle name="Normal_WNP-3AS" xfId="28"/>
    <cellStyle name="Normal_WXAS" xfId="29"/>
    <cellStyle name="Percent" xfId="30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78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48</xdr:row>
      <xdr:rowOff>47625</xdr:rowOff>
    </xdr:from>
    <xdr:to>
      <xdr:col>7</xdr:col>
      <xdr:colOff>123825</xdr:colOff>
      <xdr:row>59</xdr:row>
      <xdr:rowOff>104775</xdr:rowOff>
    </xdr:to>
    <xdr:cxnSp macro="">
      <xdr:nvCxnSpPr>
        <xdr:cNvPr id="26631" name="AutoShape 4"/>
        <xdr:cNvCxnSpPr>
          <a:cxnSpLocks noChangeShapeType="1"/>
        </xdr:cNvCxnSpPr>
      </xdr:nvCxnSpPr>
      <xdr:spPr bwMode="auto">
        <a:xfrm rot="5400000">
          <a:off x="6081712" y="8939213"/>
          <a:ext cx="1895475" cy="38100"/>
        </a:xfrm>
        <a:prstGeom prst="bentConnector3">
          <a:avLst>
            <a:gd name="adj1" fmla="val 49750"/>
          </a:avLst>
        </a:prstGeom>
        <a:noFill/>
        <a:ln w="9525">
          <a:solidFill>
            <a:srgbClr val="000000"/>
          </a:solidFill>
          <a:miter lim="800000"/>
          <a:headEnd type="triangle" w="med" len="med"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5.bin"/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6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2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0.bin"/><Relationship Id="rId2" Type="http://schemas.openxmlformats.org/officeDocument/2006/relationships/printerSettings" Target="../printerSettings/printerSettings99.bin"/><Relationship Id="rId1" Type="http://schemas.openxmlformats.org/officeDocument/2006/relationships/printerSettings" Target="../printerSettings/printerSettings98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9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5.bin"/><Relationship Id="rId2" Type="http://schemas.openxmlformats.org/officeDocument/2006/relationships/printerSettings" Target="../printerSettings/printerSettings114.bin"/><Relationship Id="rId1" Type="http://schemas.openxmlformats.org/officeDocument/2006/relationships/printerSettings" Target="../printerSettings/printerSettings113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7"/>
  <dimension ref="A1:Q71"/>
  <sheetViews>
    <sheetView zoomScaleNormal="100" workbookViewId="0">
      <selection activeCell="D8" sqref="D8"/>
    </sheetView>
  </sheetViews>
  <sheetFormatPr defaultRowHeight="12.75"/>
  <cols>
    <col min="1" max="1" width="4.7109375" style="3" customWidth="1"/>
    <col min="2" max="3" width="1.7109375" style="2" customWidth="1"/>
    <col min="4" max="4" width="34.28515625" style="2" customWidth="1"/>
    <col min="5" max="5" width="11.7109375" style="44" customWidth="1"/>
    <col min="6" max="6" width="13.7109375" style="44" customWidth="1"/>
    <col min="7" max="7" width="11.7109375" style="44" customWidth="1"/>
    <col min="8" max="8" width="12.85546875" style="44" customWidth="1"/>
    <col min="9" max="9" width="12.5703125" style="44" customWidth="1"/>
    <col min="10" max="10" width="9.140625" style="669"/>
    <col min="11" max="11" width="10.5703125" style="669" customWidth="1"/>
    <col min="12" max="16" width="9.140625" style="669"/>
    <col min="17" max="17" width="9.140625" style="716"/>
    <col min="18" max="16384" width="9.140625" style="669"/>
  </cols>
  <sheetData>
    <row r="1" spans="1:9">
      <c r="A1" s="1" t="s">
        <v>261</v>
      </c>
      <c r="D1" s="3"/>
    </row>
    <row r="2" spans="1:9">
      <c r="A2" s="1" t="s">
        <v>0</v>
      </c>
      <c r="D2" s="3"/>
    </row>
    <row r="3" spans="1:9">
      <c r="A3" s="1" t="s">
        <v>388</v>
      </c>
      <c r="D3" s="3"/>
    </row>
    <row r="4" spans="1:9">
      <c r="A4" s="1" t="str">
        <f>Inputs!D2</f>
        <v>TWELVE MONTHS ENDED SEPTEMBER 30, 2008</v>
      </c>
      <c r="D4" s="3"/>
    </row>
    <row r="5" spans="1:9">
      <c r="A5" s="1" t="s">
        <v>1</v>
      </c>
      <c r="D5" s="3"/>
    </row>
    <row r="6" spans="1:9">
      <c r="A6" s="7"/>
      <c r="B6" s="8"/>
      <c r="C6" s="8"/>
      <c r="D6" s="7"/>
      <c r="E6" s="866" t="s">
        <v>389</v>
      </c>
      <c r="F6" s="867"/>
      <c r="G6" s="868"/>
      <c r="H6" s="866" t="s">
        <v>390</v>
      </c>
      <c r="I6" s="868"/>
    </row>
    <row r="7" spans="1:9">
      <c r="A7" s="12"/>
      <c r="B7" s="13"/>
      <c r="C7" s="14"/>
      <c r="D7" s="15"/>
      <c r="E7" s="869" t="s">
        <v>391</v>
      </c>
      <c r="F7" s="869"/>
      <c r="G7" s="869"/>
      <c r="H7" s="870" t="s">
        <v>392</v>
      </c>
      <c r="I7" s="869" t="s">
        <v>13</v>
      </c>
    </row>
    <row r="8" spans="1:9">
      <c r="A8" s="17" t="s">
        <v>14</v>
      </c>
      <c r="B8" s="18"/>
      <c r="C8" s="19"/>
      <c r="D8" s="20"/>
      <c r="E8" s="871" t="s">
        <v>15</v>
      </c>
      <c r="F8" s="871" t="s">
        <v>291</v>
      </c>
      <c r="G8" s="871" t="s">
        <v>13</v>
      </c>
      <c r="H8" s="872" t="s">
        <v>393</v>
      </c>
      <c r="I8" s="871" t="s">
        <v>392</v>
      </c>
    </row>
    <row r="9" spans="1:9">
      <c r="A9" s="22" t="s">
        <v>35</v>
      </c>
      <c r="B9" s="23"/>
      <c r="C9" s="24"/>
      <c r="D9" s="25" t="s">
        <v>36</v>
      </c>
      <c r="E9" s="873" t="s">
        <v>37</v>
      </c>
      <c r="F9" s="873" t="s">
        <v>315</v>
      </c>
      <c r="G9" s="873" t="s">
        <v>291</v>
      </c>
      <c r="H9" s="874" t="s">
        <v>394</v>
      </c>
      <c r="I9" s="873" t="s">
        <v>291</v>
      </c>
    </row>
    <row r="10" spans="1:9">
      <c r="A10" s="27"/>
      <c r="B10" s="28"/>
      <c r="C10" s="28"/>
      <c r="D10" s="28" t="s">
        <v>57</v>
      </c>
      <c r="E10" s="875" t="s">
        <v>58</v>
      </c>
      <c r="F10" s="875" t="s">
        <v>59</v>
      </c>
      <c r="G10" s="875" t="s">
        <v>60</v>
      </c>
      <c r="H10" s="875" t="s">
        <v>61</v>
      </c>
      <c r="I10" s="875" t="s">
        <v>62</v>
      </c>
    </row>
    <row r="12" spans="1:9">
      <c r="B12" s="2" t="s">
        <v>85</v>
      </c>
    </row>
    <row r="13" spans="1:9">
      <c r="A13" s="32">
        <v>1</v>
      </c>
      <c r="B13" s="33" t="s">
        <v>86</v>
      </c>
      <c r="C13" s="33"/>
      <c r="D13" s="33"/>
      <c r="E13" s="78">
        <f>WAElec09_08!E13</f>
        <v>407849</v>
      </c>
      <c r="F13" s="78">
        <f>G13-E13</f>
        <v>-17696</v>
      </c>
      <c r="G13" s="78">
        <f>WAElec09_08!BD13</f>
        <v>390153</v>
      </c>
      <c r="H13" s="78">
        <f>'ConverFac_Exh-WA'!J9</f>
        <v>32546</v>
      </c>
      <c r="I13" s="78">
        <f>G13+H13</f>
        <v>422699</v>
      </c>
    </row>
    <row r="14" spans="1:9">
      <c r="A14" s="32">
        <v>2</v>
      </c>
      <c r="B14" s="34" t="s">
        <v>87</v>
      </c>
      <c r="C14" s="34"/>
      <c r="D14" s="34"/>
      <c r="E14" s="74">
        <f>WAElec09_08!E14</f>
        <v>800</v>
      </c>
      <c r="F14" s="74">
        <f>G14-E14</f>
        <v>0</v>
      </c>
      <c r="G14" s="74">
        <f>WAElec09_08!BD14</f>
        <v>800</v>
      </c>
      <c r="H14" s="74"/>
      <c r="I14" s="74">
        <f>G14+H14</f>
        <v>800</v>
      </c>
    </row>
    <row r="15" spans="1:9">
      <c r="A15" s="32">
        <v>3</v>
      </c>
      <c r="B15" s="34" t="s">
        <v>88</v>
      </c>
      <c r="C15" s="34"/>
      <c r="D15" s="34"/>
      <c r="E15" s="75">
        <f>WAElec09_08!E15</f>
        <v>126479</v>
      </c>
      <c r="F15" s="75">
        <f>G15-E15</f>
        <v>-52436</v>
      </c>
      <c r="G15" s="75">
        <f>WAElec09_08!BD15</f>
        <v>74043</v>
      </c>
      <c r="H15" s="75"/>
      <c r="I15" s="75">
        <f>G15+H15</f>
        <v>74043</v>
      </c>
    </row>
    <row r="16" spans="1:9">
      <c r="A16" s="32">
        <v>4</v>
      </c>
      <c r="B16" s="34"/>
      <c r="C16" s="34" t="s">
        <v>89</v>
      </c>
      <c r="D16" s="34"/>
      <c r="E16" s="34">
        <f>WAElec09_08!E16</f>
        <v>535128</v>
      </c>
      <c r="F16" s="34">
        <f>SUM(F13:F15)</f>
        <v>-70132</v>
      </c>
      <c r="G16" s="34">
        <f>WAElec09_08!BD16</f>
        <v>464996</v>
      </c>
      <c r="H16" s="34">
        <f>SUM(H13:H15)</f>
        <v>32546</v>
      </c>
      <c r="I16" s="34">
        <f>SUM(I13:I15)</f>
        <v>497542</v>
      </c>
    </row>
    <row r="17" spans="1:9">
      <c r="A17" s="32">
        <v>5</v>
      </c>
      <c r="B17" s="34" t="s">
        <v>90</v>
      </c>
      <c r="C17" s="34"/>
      <c r="D17" s="34"/>
      <c r="E17" s="75">
        <f>WAElec09_08!E17</f>
        <v>36572</v>
      </c>
      <c r="F17" s="75">
        <f>G17-E17</f>
        <v>-26892</v>
      </c>
      <c r="G17" s="75">
        <f>WAElec09_08!BD17</f>
        <v>9680</v>
      </c>
      <c r="H17" s="75"/>
      <c r="I17" s="75">
        <f>G17+H17</f>
        <v>9680</v>
      </c>
    </row>
    <row r="18" spans="1:9">
      <c r="A18" s="32">
        <v>6</v>
      </c>
      <c r="B18" s="34"/>
      <c r="C18" s="34" t="s">
        <v>91</v>
      </c>
      <c r="D18" s="34"/>
      <c r="E18" s="34">
        <f>WAElec09_08!E18</f>
        <v>571700</v>
      </c>
      <c r="F18" s="34">
        <f>SUM(F16:F17)</f>
        <v>-97024</v>
      </c>
      <c r="G18" s="34">
        <f>WAElec09_08!BD18</f>
        <v>474676</v>
      </c>
      <c r="H18" s="34">
        <f>SUM(H16:H17)</f>
        <v>32546</v>
      </c>
      <c r="I18" s="34">
        <f>SUM(I16:I17)</f>
        <v>507222</v>
      </c>
    </row>
    <row r="19" spans="1:9">
      <c r="A19" s="32"/>
      <c r="B19" s="34"/>
      <c r="C19" s="34"/>
      <c r="D19" s="34"/>
      <c r="E19" s="74"/>
      <c r="F19" s="74"/>
      <c r="G19" s="74"/>
      <c r="H19" s="74"/>
      <c r="I19" s="74"/>
    </row>
    <row r="20" spans="1:9">
      <c r="A20" s="32"/>
      <c r="B20" s="34" t="s">
        <v>92</v>
      </c>
      <c r="C20" s="34"/>
      <c r="D20" s="34"/>
      <c r="E20" s="74"/>
      <c r="F20" s="74"/>
      <c r="G20" s="74"/>
      <c r="H20" s="74"/>
      <c r="I20" s="74"/>
    </row>
    <row r="21" spans="1:9">
      <c r="A21" s="32"/>
      <c r="B21" s="34" t="s">
        <v>93</v>
      </c>
      <c r="C21" s="34"/>
      <c r="D21" s="34"/>
      <c r="E21" s="74"/>
      <c r="F21" s="74"/>
      <c r="G21" s="74"/>
      <c r="H21" s="74"/>
      <c r="I21" s="74"/>
    </row>
    <row r="22" spans="1:9">
      <c r="A22" s="32">
        <v>7</v>
      </c>
      <c r="B22" s="34"/>
      <c r="C22" s="34" t="s">
        <v>94</v>
      </c>
      <c r="D22" s="34"/>
      <c r="E22" s="74">
        <f>WAElec09_08!E22</f>
        <v>175800</v>
      </c>
      <c r="F22" s="74">
        <f>G22-E22</f>
        <v>-18210.5</v>
      </c>
      <c r="G22" s="74">
        <f>WAElec09_08!BD22</f>
        <v>157589.5</v>
      </c>
      <c r="H22" s="74"/>
      <c r="I22" s="74">
        <f>G22+H22</f>
        <v>157589.5</v>
      </c>
    </row>
    <row r="23" spans="1:9">
      <c r="A23" s="32">
        <v>8</v>
      </c>
      <c r="B23" s="34"/>
      <c r="C23" s="34" t="s">
        <v>95</v>
      </c>
      <c r="D23" s="34"/>
      <c r="E23" s="74">
        <f>WAElec09_08!E23</f>
        <v>147076</v>
      </c>
      <c r="F23" s="74">
        <f>G23-E23</f>
        <v>-70356</v>
      </c>
      <c r="G23" s="74">
        <f>WAElec09_08!BD23</f>
        <v>76720</v>
      </c>
      <c r="H23" s="74"/>
      <c r="I23" s="74">
        <f>G23+H23</f>
        <v>76720</v>
      </c>
    </row>
    <row r="24" spans="1:9">
      <c r="A24" s="32">
        <v>9</v>
      </c>
      <c r="B24" s="34"/>
      <c r="C24" s="34" t="s">
        <v>96</v>
      </c>
      <c r="D24" s="34"/>
      <c r="E24" s="74">
        <f>WAElec09_08!E24</f>
        <v>23675</v>
      </c>
      <c r="F24" s="74">
        <f>G24-E24</f>
        <v>8141</v>
      </c>
      <c r="G24" s="74">
        <f>WAElec09_08!BD24</f>
        <v>31816</v>
      </c>
      <c r="H24" s="74"/>
      <c r="I24" s="74">
        <f>G24+H24</f>
        <v>31816</v>
      </c>
    </row>
    <row r="25" spans="1:9">
      <c r="A25" s="32">
        <v>10</v>
      </c>
      <c r="B25" s="34"/>
      <c r="C25" s="34" t="s">
        <v>47</v>
      </c>
      <c r="D25" s="34"/>
      <c r="E25" s="75">
        <f>WAElec09_08!E25</f>
        <v>8935</v>
      </c>
      <c r="F25" s="75">
        <f>G25-E25</f>
        <v>2443</v>
      </c>
      <c r="G25" s="75">
        <f>WAElec09_08!BD25</f>
        <v>11378</v>
      </c>
      <c r="H25" s="75"/>
      <c r="I25" s="75">
        <f>G25+H25</f>
        <v>11378</v>
      </c>
    </row>
    <row r="26" spans="1:9">
      <c r="A26" s="32">
        <v>11</v>
      </c>
      <c r="B26" s="34"/>
      <c r="C26" s="34"/>
      <c r="D26" s="34" t="s">
        <v>97</v>
      </c>
      <c r="E26" s="34">
        <f>WAElec09_08!E26</f>
        <v>355486</v>
      </c>
      <c r="F26" s="34">
        <f>SUM(F22:F25)</f>
        <v>-77982.5</v>
      </c>
      <c r="G26" s="34">
        <f>WAElec09_08!BD26</f>
        <v>277503.5</v>
      </c>
      <c r="H26" s="34">
        <f>SUM(H22:H25)</f>
        <v>0</v>
      </c>
      <c r="I26" s="34">
        <f>SUM(I22:I25)</f>
        <v>277503.5</v>
      </c>
    </row>
    <row r="27" spans="1:9">
      <c r="A27" s="32"/>
      <c r="B27" s="34"/>
      <c r="C27" s="34"/>
      <c r="D27" s="34"/>
      <c r="E27" s="74"/>
      <c r="F27" s="74"/>
      <c r="G27" s="74"/>
      <c r="H27" s="74"/>
      <c r="I27" s="74"/>
    </row>
    <row r="28" spans="1:9">
      <c r="A28" s="32"/>
      <c r="B28" s="34" t="s">
        <v>98</v>
      </c>
      <c r="C28" s="34"/>
      <c r="D28" s="34"/>
      <c r="E28" s="74"/>
      <c r="F28" s="74"/>
      <c r="G28" s="74"/>
      <c r="H28" s="74"/>
      <c r="I28" s="74"/>
    </row>
    <row r="29" spans="1:9">
      <c r="A29" s="32">
        <v>12</v>
      </c>
      <c r="B29" s="34"/>
      <c r="C29" s="34" t="s">
        <v>94</v>
      </c>
      <c r="D29" s="34"/>
      <c r="E29" s="74">
        <f>WAElec09_08!E29</f>
        <v>17279</v>
      </c>
      <c r="F29" s="74">
        <f>G29-E29</f>
        <v>3643</v>
      </c>
      <c r="G29" s="74">
        <f>WAElec09_08!BD29</f>
        <v>20922</v>
      </c>
      <c r="H29" s="74"/>
      <c r="I29" s="74">
        <f t="shared" ref="I29:I36" si="0">G29+H29</f>
        <v>20922</v>
      </c>
    </row>
    <row r="30" spans="1:9">
      <c r="A30" s="32">
        <v>13</v>
      </c>
      <c r="B30" s="34"/>
      <c r="C30" s="34" t="s">
        <v>99</v>
      </c>
      <c r="D30" s="34"/>
      <c r="E30" s="74">
        <f>WAElec09_08!E30</f>
        <v>14599</v>
      </c>
      <c r="F30" s="74">
        <f>G30-E30</f>
        <v>1841</v>
      </c>
      <c r="G30" s="74">
        <f>WAElec09_08!BD30</f>
        <v>16440</v>
      </c>
      <c r="H30" s="74"/>
      <c r="I30" s="74">
        <f t="shared" si="0"/>
        <v>16440</v>
      </c>
    </row>
    <row r="31" spans="1:9">
      <c r="A31" s="32">
        <v>14</v>
      </c>
      <c r="B31" s="34"/>
      <c r="C31" s="34" t="s">
        <v>47</v>
      </c>
      <c r="D31" s="34"/>
      <c r="E31" s="75">
        <f>WAElec09_08!E31</f>
        <v>33186</v>
      </c>
      <c r="F31" s="75">
        <f>G31-E31</f>
        <v>-14044</v>
      </c>
      <c r="G31" s="75">
        <f>WAElec09_08!BD31</f>
        <v>19142</v>
      </c>
      <c r="H31" s="75">
        <f>'ConverFac_Exh-WA'!J16</f>
        <v>1257</v>
      </c>
      <c r="I31" s="75">
        <f t="shared" si="0"/>
        <v>20399</v>
      </c>
    </row>
    <row r="32" spans="1:9">
      <c r="A32" s="32">
        <v>15</v>
      </c>
      <c r="B32" s="34"/>
      <c r="C32" s="34"/>
      <c r="D32" s="34" t="s">
        <v>100</v>
      </c>
      <c r="E32" s="34">
        <f>WAElec09_08!E32</f>
        <v>65064</v>
      </c>
      <c r="F32" s="34">
        <f>SUM(F29:F31)</f>
        <v>-8560</v>
      </c>
      <c r="G32" s="34">
        <f>WAElec09_08!BD32</f>
        <v>56504</v>
      </c>
      <c r="H32" s="34">
        <f>SUM(H29:H31)</f>
        <v>1257</v>
      </c>
      <c r="I32" s="34">
        <f>SUM(I29:I31)</f>
        <v>57761</v>
      </c>
    </row>
    <row r="33" spans="1:9">
      <c r="A33" s="32"/>
      <c r="B33" s="34"/>
      <c r="C33" s="34"/>
      <c r="D33" s="34"/>
      <c r="E33" s="74"/>
      <c r="F33" s="74"/>
      <c r="G33" s="74"/>
      <c r="H33" s="74"/>
      <c r="I33" s="74"/>
    </row>
    <row r="34" spans="1:9">
      <c r="A34" s="32">
        <v>16</v>
      </c>
      <c r="B34" s="34" t="s">
        <v>101</v>
      </c>
      <c r="C34" s="34"/>
      <c r="D34" s="34"/>
      <c r="E34" s="74">
        <f>WAElec09_08!E34</f>
        <v>8559</v>
      </c>
      <c r="F34" s="74">
        <f>G34-E34</f>
        <v>25</v>
      </c>
      <c r="G34" s="74">
        <f>WAElec09_08!BD34</f>
        <v>8584</v>
      </c>
      <c r="H34" s="74">
        <f>'ConverFac_Exh-WA'!J12</f>
        <v>82</v>
      </c>
      <c r="I34" s="74">
        <f t="shared" si="0"/>
        <v>8666</v>
      </c>
    </row>
    <row r="35" spans="1:9">
      <c r="A35" s="32">
        <v>17</v>
      </c>
      <c r="B35" s="34" t="s">
        <v>102</v>
      </c>
      <c r="C35" s="34"/>
      <c r="D35" s="34"/>
      <c r="E35" s="74">
        <f>WAElec09_08!E35</f>
        <v>11359</v>
      </c>
      <c r="F35" s="74">
        <f>G35-E35</f>
        <v>-10649</v>
      </c>
      <c r="G35" s="74">
        <f>WAElec09_08!BD35</f>
        <v>710</v>
      </c>
      <c r="H35" s="74"/>
      <c r="I35" s="74">
        <f t="shared" si="0"/>
        <v>710</v>
      </c>
    </row>
    <row r="36" spans="1:9">
      <c r="A36" s="32">
        <v>18</v>
      </c>
      <c r="B36" s="34" t="s">
        <v>103</v>
      </c>
      <c r="C36" s="34"/>
      <c r="D36" s="34"/>
      <c r="E36" s="74">
        <f>WAElec09_08!E36</f>
        <v>696</v>
      </c>
      <c r="F36" s="74">
        <f>G36-E36</f>
        <v>61</v>
      </c>
      <c r="G36" s="74">
        <f>WAElec09_08!BD36</f>
        <v>757</v>
      </c>
      <c r="H36" s="74"/>
      <c r="I36" s="74">
        <f t="shared" si="0"/>
        <v>757</v>
      </c>
    </row>
    <row r="37" spans="1:9">
      <c r="A37" s="34"/>
      <c r="B37" s="34"/>
      <c r="C37" s="34"/>
      <c r="D37" s="34"/>
      <c r="E37" s="74"/>
      <c r="F37" s="74"/>
      <c r="G37" s="74"/>
      <c r="H37" s="74"/>
      <c r="I37" s="74"/>
    </row>
    <row r="38" spans="1:9">
      <c r="A38" s="32"/>
      <c r="B38" s="34" t="s">
        <v>104</v>
      </c>
      <c r="C38" s="34"/>
      <c r="D38" s="34"/>
      <c r="E38" s="74"/>
      <c r="F38" s="74"/>
      <c r="G38" s="74"/>
      <c r="H38" s="74"/>
      <c r="I38" s="74"/>
    </row>
    <row r="39" spans="1:9">
      <c r="A39" s="32">
        <v>19</v>
      </c>
      <c r="B39" s="34"/>
      <c r="C39" s="34" t="s">
        <v>94</v>
      </c>
      <c r="D39" s="34"/>
      <c r="E39" s="74">
        <f>WAElec09_08!E39</f>
        <v>35147</v>
      </c>
      <c r="F39" s="74">
        <f>G39-E39</f>
        <v>5238</v>
      </c>
      <c r="G39" s="74">
        <f>WAElec09_08!BD39</f>
        <v>40385</v>
      </c>
      <c r="H39" s="74">
        <f>'ConverFac_Exh-WA'!J14+'ConverFac_Exh-WA'!J18</f>
        <v>65</v>
      </c>
      <c r="I39" s="74">
        <f>G39+H39</f>
        <v>40450</v>
      </c>
    </row>
    <row r="40" spans="1:9">
      <c r="A40" s="32">
        <v>20</v>
      </c>
      <c r="B40" s="34"/>
      <c r="C40" s="34" t="s">
        <v>99</v>
      </c>
      <c r="D40" s="34"/>
      <c r="E40" s="74">
        <f>WAElec09_08!E40</f>
        <v>7022</v>
      </c>
      <c r="F40" s="74">
        <f>G40-E40</f>
        <v>2061</v>
      </c>
      <c r="G40" s="74">
        <f>WAElec09_08!BD40</f>
        <v>9083</v>
      </c>
      <c r="H40" s="74"/>
      <c r="I40" s="74">
        <f>G40+H40</f>
        <v>9083</v>
      </c>
    </row>
    <row r="41" spans="1:9">
      <c r="A41" s="32">
        <v>21</v>
      </c>
      <c r="B41" s="34"/>
      <c r="C41" s="34" t="s">
        <v>47</v>
      </c>
      <c r="D41" s="34"/>
      <c r="E41" s="75">
        <f>WAElec09_08!E41</f>
        <v>0</v>
      </c>
      <c r="F41" s="75">
        <f>G41-E41</f>
        <v>252</v>
      </c>
      <c r="G41" s="75">
        <f>WAElec09_08!BD41</f>
        <v>252</v>
      </c>
      <c r="H41" s="75"/>
      <c r="I41" s="75">
        <f>G41+H41</f>
        <v>252</v>
      </c>
    </row>
    <row r="42" spans="1:9">
      <c r="A42" s="32">
        <v>22</v>
      </c>
      <c r="B42" s="34"/>
      <c r="C42" s="34"/>
      <c r="D42" s="34" t="s">
        <v>105</v>
      </c>
      <c r="E42" s="239">
        <f>WAElec09_08!E42</f>
        <v>42169</v>
      </c>
      <c r="F42" s="239">
        <f>SUM(F39:F41)</f>
        <v>7551</v>
      </c>
      <c r="G42" s="239">
        <f>WAElec09_08!BD42</f>
        <v>49720</v>
      </c>
      <c r="H42" s="239">
        <f>SUM(H39:H41)</f>
        <v>65</v>
      </c>
      <c r="I42" s="239">
        <f>SUM(I39:I41)</f>
        <v>49785</v>
      </c>
    </row>
    <row r="43" spans="1:9">
      <c r="A43" s="32">
        <v>23</v>
      </c>
      <c r="B43" s="34" t="s">
        <v>106</v>
      </c>
      <c r="C43" s="34"/>
      <c r="D43" s="34"/>
      <c r="E43" s="239">
        <f>WAElec09_08!E43</f>
        <v>483333</v>
      </c>
      <c r="F43" s="239">
        <f>F26+F32+F34+F35+F36+F42</f>
        <v>-89554.5</v>
      </c>
      <c r="G43" s="239">
        <f>WAElec09_08!BD43</f>
        <v>393778.5</v>
      </c>
      <c r="H43" s="239">
        <f>H26+H32+H34+H35+H36+H42</f>
        <v>1404</v>
      </c>
      <c r="I43" s="239">
        <f>I26+I32+I34+I35+I36+I42</f>
        <v>395182.5</v>
      </c>
    </row>
    <row r="44" spans="1:9">
      <c r="A44" s="32"/>
      <c r="B44" s="34"/>
      <c r="C44" s="34"/>
      <c r="D44" s="34"/>
      <c r="E44" s="34"/>
      <c r="F44" s="34"/>
      <c r="G44" s="34"/>
      <c r="H44" s="34"/>
      <c r="I44" s="34"/>
    </row>
    <row r="45" spans="1:9">
      <c r="A45" s="32">
        <v>24</v>
      </c>
      <c r="B45" s="34" t="s">
        <v>107</v>
      </c>
      <c r="C45" s="34"/>
      <c r="D45" s="34"/>
      <c r="E45" s="34">
        <f>WAElec09_08!E45</f>
        <v>88367</v>
      </c>
      <c r="F45" s="74">
        <f>G45-E45</f>
        <v>-7469.5</v>
      </c>
      <c r="G45" s="34">
        <f>WAElec09_08!BD45</f>
        <v>80897.5</v>
      </c>
      <c r="H45" s="34">
        <f>H18-H43</f>
        <v>31142</v>
      </c>
      <c r="I45" s="34">
        <f>I18-I43</f>
        <v>112039.5</v>
      </c>
    </row>
    <row r="46" spans="1:9">
      <c r="A46" s="32"/>
      <c r="B46" s="34"/>
      <c r="C46" s="34"/>
      <c r="D46" s="34"/>
      <c r="E46" s="74"/>
      <c r="F46" s="74"/>
      <c r="G46" s="74"/>
      <c r="H46" s="74"/>
      <c r="I46" s="74"/>
    </row>
    <row r="47" spans="1:9">
      <c r="A47" s="32"/>
      <c r="B47" s="34" t="s">
        <v>108</v>
      </c>
      <c r="C47" s="34"/>
      <c r="D47" s="34"/>
      <c r="E47" s="74"/>
      <c r="F47" s="74"/>
      <c r="G47" s="74"/>
      <c r="H47" s="74"/>
      <c r="I47" s="74"/>
    </row>
    <row r="48" spans="1:9">
      <c r="A48" s="32">
        <v>25</v>
      </c>
      <c r="B48" s="34" t="s">
        <v>109</v>
      </c>
      <c r="C48" s="34"/>
      <c r="D48" s="34"/>
      <c r="E48" s="74">
        <f>WAElec09_08!E48</f>
        <v>16759</v>
      </c>
      <c r="F48" s="74">
        <f>G48-E48</f>
        <v>-8049.3786599999985</v>
      </c>
      <c r="G48" s="74">
        <f>WAElec09_08!BD48</f>
        <v>8709.6213400000015</v>
      </c>
      <c r="H48" s="74">
        <f>'ConverFac_Exh-WA'!J24</f>
        <v>10900</v>
      </c>
      <c r="I48" s="74">
        <f>G48+H48</f>
        <v>19609.621340000002</v>
      </c>
    </row>
    <row r="49" spans="1:9">
      <c r="A49" s="32">
        <v>26</v>
      </c>
      <c r="B49" s="34" t="s">
        <v>110</v>
      </c>
      <c r="C49" s="34"/>
      <c r="D49" s="34"/>
      <c r="E49" s="74">
        <f>WAElec09_08!E49</f>
        <v>3070</v>
      </c>
      <c r="F49" s="74">
        <f>G49-E49</f>
        <v>6276</v>
      </c>
      <c r="G49" s="74">
        <f>WAElec09_08!BD49</f>
        <v>9346</v>
      </c>
      <c r="H49" s="74"/>
      <c r="I49" s="74">
        <f>G49+H49</f>
        <v>9346</v>
      </c>
    </row>
    <row r="50" spans="1:9">
      <c r="A50" s="32">
        <v>27</v>
      </c>
      <c r="B50" s="34" t="s">
        <v>111</v>
      </c>
      <c r="C50" s="34"/>
      <c r="D50" s="34"/>
      <c r="E50" s="74"/>
      <c r="F50" s="74"/>
      <c r="G50" s="74"/>
      <c r="H50" s="74"/>
      <c r="I50" s="74"/>
    </row>
    <row r="51" spans="1:9">
      <c r="A51" s="32"/>
      <c r="B51" s="34"/>
      <c r="C51" s="34"/>
      <c r="D51" s="34"/>
      <c r="E51" s="74"/>
      <c r="F51" s="74"/>
      <c r="G51" s="74"/>
      <c r="H51" s="74"/>
      <c r="I51" s="74"/>
    </row>
    <row r="52" spans="1:9">
      <c r="A52" s="32">
        <v>28</v>
      </c>
      <c r="B52" s="34" t="s">
        <v>112</v>
      </c>
      <c r="C52" s="34"/>
      <c r="D52" s="34"/>
      <c r="E52" s="75">
        <f>WAElec09_08!E50</f>
        <v>0</v>
      </c>
      <c r="F52" s="75">
        <f>G52-E52</f>
        <v>0</v>
      </c>
      <c r="G52" s="75">
        <f>WAElec09_08!BD50</f>
        <v>0</v>
      </c>
      <c r="H52" s="75"/>
      <c r="I52" s="75">
        <f>G52+H52</f>
        <v>0</v>
      </c>
    </row>
    <row r="53" spans="1:9">
      <c r="E53" s="4"/>
      <c r="F53" s="4"/>
      <c r="G53" s="4"/>
      <c r="H53" s="4"/>
      <c r="I53" s="4"/>
    </row>
    <row r="54" spans="1:9" ht="13.5" thickBot="1">
      <c r="A54" s="32">
        <v>29</v>
      </c>
      <c r="B54" s="33" t="s">
        <v>113</v>
      </c>
      <c r="C54" s="33"/>
      <c r="D54" s="33"/>
      <c r="E54" s="238">
        <f>WAElec09_08!E52</f>
        <v>68538</v>
      </c>
      <c r="F54" s="238">
        <f>F45-SUM(F48:F52)</f>
        <v>-5696.1213400000015</v>
      </c>
      <c r="G54" s="238">
        <f>WAElec09_08!BD52</f>
        <v>62841.878660000002</v>
      </c>
      <c r="H54" s="238">
        <f>H45-SUM(H48:H52)</f>
        <v>20242</v>
      </c>
      <c r="I54" s="238">
        <f>I45-SUM(I48:I52)</f>
        <v>83083.878660000002</v>
      </c>
    </row>
    <row r="55" spans="1:9" ht="13.5" thickTop="1">
      <c r="E55" s="4"/>
      <c r="F55" s="4"/>
      <c r="G55" s="4"/>
      <c r="H55" s="4"/>
      <c r="I55" s="4"/>
    </row>
    <row r="56" spans="1:9">
      <c r="B56" s="2" t="s">
        <v>114</v>
      </c>
      <c r="E56" s="4"/>
      <c r="F56" s="4"/>
      <c r="G56" s="4"/>
      <c r="H56" s="4"/>
      <c r="I56" s="4"/>
    </row>
    <row r="57" spans="1:9">
      <c r="B57" s="2" t="s">
        <v>115</v>
      </c>
      <c r="E57" s="4"/>
      <c r="F57" s="4"/>
      <c r="G57" s="4"/>
      <c r="H57" s="4"/>
      <c r="I57" s="4"/>
    </row>
    <row r="58" spans="1:9">
      <c r="A58" s="32">
        <v>30</v>
      </c>
      <c r="B58" s="33"/>
      <c r="C58" s="33" t="s">
        <v>116</v>
      </c>
      <c r="D58" s="33"/>
      <c r="E58" s="78">
        <f>WAElec09_08!E56</f>
        <v>22439</v>
      </c>
      <c r="F58" s="78">
        <f t="shared" ref="F58:F68" si="1">G58-E58</f>
        <v>56039</v>
      </c>
      <c r="G58" s="78">
        <f>WAElec09_08!BD56</f>
        <v>78478</v>
      </c>
      <c r="H58" s="78"/>
      <c r="I58" s="78">
        <f t="shared" ref="I58:I68" si="2">G58+H58</f>
        <v>78478</v>
      </c>
    </row>
    <row r="59" spans="1:9">
      <c r="A59" s="32">
        <v>31</v>
      </c>
      <c r="B59" s="34"/>
      <c r="C59" s="34" t="s">
        <v>117</v>
      </c>
      <c r="D59" s="34"/>
      <c r="E59" s="74">
        <f>WAElec09_08!E57</f>
        <v>656077</v>
      </c>
      <c r="F59" s="74">
        <f t="shared" si="1"/>
        <v>106142</v>
      </c>
      <c r="G59" s="74">
        <f>WAElec09_08!BD57</f>
        <v>762219</v>
      </c>
      <c r="H59" s="74"/>
      <c r="I59" s="74">
        <f t="shared" si="2"/>
        <v>762219</v>
      </c>
    </row>
    <row r="60" spans="1:9">
      <c r="A60" s="32">
        <v>32</v>
      </c>
      <c r="B60" s="34"/>
      <c r="C60" s="34" t="s">
        <v>118</v>
      </c>
      <c r="D60" s="34"/>
      <c r="E60" s="74">
        <f>WAElec09_08!E58</f>
        <v>285760</v>
      </c>
      <c r="F60" s="74">
        <f t="shared" si="1"/>
        <v>10556</v>
      </c>
      <c r="G60" s="74">
        <f>WAElec09_08!BD58</f>
        <v>296316</v>
      </c>
      <c r="H60" s="74"/>
      <c r="I60" s="74">
        <f t="shared" si="2"/>
        <v>296316</v>
      </c>
    </row>
    <row r="61" spans="1:9">
      <c r="A61" s="32">
        <v>33</v>
      </c>
      <c r="B61" s="34"/>
      <c r="C61" s="34" t="s">
        <v>98</v>
      </c>
      <c r="D61" s="34"/>
      <c r="E61" s="74">
        <f>WAElec09_08!E59</f>
        <v>552007</v>
      </c>
      <c r="F61" s="74">
        <f t="shared" si="1"/>
        <v>55301</v>
      </c>
      <c r="G61" s="74">
        <f>WAElec09_08!BD59</f>
        <v>607308</v>
      </c>
      <c r="H61" s="74"/>
      <c r="I61" s="74">
        <f t="shared" si="2"/>
        <v>607308</v>
      </c>
    </row>
    <row r="62" spans="1:9">
      <c r="A62" s="32">
        <v>34</v>
      </c>
      <c r="B62" s="34"/>
      <c r="C62" s="34" t="s">
        <v>119</v>
      </c>
      <c r="D62" s="34"/>
      <c r="E62" s="75">
        <f>WAElec09_08!E60</f>
        <v>88036</v>
      </c>
      <c r="F62" s="75">
        <f t="shared" si="1"/>
        <v>21562</v>
      </c>
      <c r="G62" s="75">
        <f>WAElec09_08!BD60</f>
        <v>109598</v>
      </c>
      <c r="H62" s="75"/>
      <c r="I62" s="75">
        <f t="shared" si="2"/>
        <v>109598</v>
      </c>
    </row>
    <row r="63" spans="1:9">
      <c r="A63" s="32">
        <v>35</v>
      </c>
      <c r="B63" s="34"/>
      <c r="C63" s="34"/>
      <c r="D63" s="34" t="s">
        <v>120</v>
      </c>
      <c r="E63" s="34">
        <f>WAElec09_08!E61</f>
        <v>1604319</v>
      </c>
      <c r="F63" s="34">
        <f>SUM(F58:F62)</f>
        <v>249600</v>
      </c>
      <c r="G63" s="34">
        <f>WAElec09_08!BD61</f>
        <v>1853919</v>
      </c>
      <c r="H63" s="34">
        <f>SUM(H58:H62)</f>
        <v>0</v>
      </c>
      <c r="I63" s="34">
        <f>SUM(I58:I62)</f>
        <v>1853919</v>
      </c>
    </row>
    <row r="64" spans="1:9">
      <c r="A64" s="32">
        <v>36</v>
      </c>
      <c r="B64" s="34" t="s">
        <v>121</v>
      </c>
      <c r="C64" s="34"/>
      <c r="D64" s="34"/>
      <c r="E64" s="74">
        <f>WAElec09_08!E62</f>
        <v>543584</v>
      </c>
      <c r="F64" s="74">
        <f t="shared" si="1"/>
        <v>67357</v>
      </c>
      <c r="G64" s="74">
        <f>WAElec09_08!BD62</f>
        <v>610941</v>
      </c>
      <c r="H64" s="74"/>
      <c r="I64" s="74">
        <f t="shared" si="2"/>
        <v>610941</v>
      </c>
    </row>
    <row r="65" spans="1:9">
      <c r="A65" s="32">
        <v>37</v>
      </c>
      <c r="B65" s="34" t="s">
        <v>122</v>
      </c>
      <c r="C65" s="34"/>
      <c r="D65" s="34"/>
      <c r="E65" s="75">
        <f>WAElec09_08!E63</f>
        <v>6907</v>
      </c>
      <c r="F65" s="75">
        <f t="shared" si="1"/>
        <v>57728</v>
      </c>
      <c r="G65" s="75">
        <f>WAElec09_08!BD63</f>
        <v>64635</v>
      </c>
      <c r="H65" s="75"/>
      <c r="I65" s="75">
        <f t="shared" si="2"/>
        <v>64635</v>
      </c>
    </row>
    <row r="66" spans="1:9">
      <c r="A66" s="32">
        <v>38</v>
      </c>
      <c r="B66" s="34"/>
      <c r="C66" s="34" t="s">
        <v>123</v>
      </c>
      <c r="D66" s="34"/>
      <c r="E66" s="34">
        <f>WAElec09_08!E64</f>
        <v>550491</v>
      </c>
      <c r="F66" s="34">
        <f>SUM(F64:F65)</f>
        <v>125085</v>
      </c>
      <c r="G66" s="34">
        <f>WAElec09_08!BD64</f>
        <v>675576</v>
      </c>
      <c r="H66" s="34">
        <f>SUM(H64:H65)</f>
        <v>0</v>
      </c>
      <c r="I66" s="34">
        <f>SUM(I64:I65)</f>
        <v>675576</v>
      </c>
    </row>
    <row r="67" spans="1:9">
      <c r="A67" s="32">
        <v>39</v>
      </c>
      <c r="B67" s="34" t="s">
        <v>124</v>
      </c>
      <c r="C67" s="34"/>
      <c r="D67" s="34"/>
      <c r="E67" s="74">
        <f>WAElec09_08!E65</f>
        <v>0</v>
      </c>
      <c r="F67" s="74">
        <f t="shared" si="1"/>
        <v>-194</v>
      </c>
      <c r="G67" s="74">
        <f>WAElec09_08!BD65</f>
        <v>-194</v>
      </c>
      <c r="H67" s="74"/>
      <c r="I67" s="74">
        <f t="shared" si="2"/>
        <v>-194</v>
      </c>
    </row>
    <row r="68" spans="1:9">
      <c r="A68" s="32">
        <v>40</v>
      </c>
      <c r="B68" s="34" t="s">
        <v>125</v>
      </c>
      <c r="C68" s="34"/>
      <c r="D68" s="34"/>
      <c r="E68" s="75">
        <f>WAElec09_08!E66</f>
        <v>0</v>
      </c>
      <c r="F68" s="75">
        <f t="shared" si="1"/>
        <v>-171073</v>
      </c>
      <c r="G68" s="75">
        <f>WAElec09_08!BD66</f>
        <v>-171073</v>
      </c>
      <c r="H68" s="75"/>
      <c r="I68" s="75">
        <f t="shared" si="2"/>
        <v>-171073</v>
      </c>
    </row>
    <row r="69" spans="1:9">
      <c r="A69" s="32"/>
      <c r="B69" s="34"/>
      <c r="C69" s="34"/>
      <c r="D69" s="34"/>
      <c r="E69" s="34"/>
      <c r="F69" s="34"/>
      <c r="G69" s="34"/>
      <c r="H69" s="34"/>
      <c r="I69" s="34"/>
    </row>
    <row r="70" spans="1:9" ht="13.5" thickBot="1">
      <c r="A70" s="35">
        <v>41</v>
      </c>
      <c r="B70" s="33" t="s">
        <v>126</v>
      </c>
      <c r="C70" s="33"/>
      <c r="D70" s="33"/>
      <c r="E70" s="238">
        <f>WAElec09_08!E68</f>
        <v>1053828</v>
      </c>
      <c r="F70" s="238">
        <f>F63-F66+F67+F68</f>
        <v>-46752</v>
      </c>
      <c r="G70" s="238">
        <f>WAElec09_08!BD68</f>
        <v>1007076</v>
      </c>
      <c r="H70" s="238">
        <f>H63-H66+H67+H68</f>
        <v>0</v>
      </c>
      <c r="I70" s="238">
        <f>I63-I66+I67+I68</f>
        <v>1007076</v>
      </c>
    </row>
    <row r="71" spans="1:9" ht="13.5" thickTop="1">
      <c r="A71" s="32">
        <v>42</v>
      </c>
      <c r="B71" s="2" t="s">
        <v>127</v>
      </c>
      <c r="E71" s="37">
        <f>ROUND(E54/E70,4)</f>
        <v>6.5000000000000002E-2</v>
      </c>
      <c r="F71" s="37"/>
      <c r="G71" s="37">
        <f>ROUND(G54/G70,4)</f>
        <v>6.2399999999999997E-2</v>
      </c>
      <c r="H71" s="37"/>
      <c r="I71" s="37">
        <f>ROUND(I54/I70,4)</f>
        <v>8.2500000000000004E-2</v>
      </c>
    </row>
  </sheetData>
  <phoneticPr fontId="0" type="noConversion"/>
  <pageMargins left="0.75" right="0.51" top="0.75" bottom="0.5" header="0.5" footer="0.5"/>
  <pageSetup scale="75" firstPageNumber="4" orientation="portrait" useFirstPageNumber="1" horizontalDpi="300" verticalDpi="300" r:id="rId1"/>
  <headerFooter alignWithMargins="0">
    <oddHeader xml:space="preserve">&amp;RExhibit No. ____(EMA-2) </oddHeader>
    <oddFooter xml:space="preserve">&amp;RPage 1 of 11           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H110"/>
  <sheetViews>
    <sheetView zoomScale="75" workbookViewId="0">
      <selection activeCell="F2" sqref="F2"/>
    </sheetView>
  </sheetViews>
  <sheetFormatPr defaultColWidth="12.42578125" defaultRowHeight="12"/>
  <cols>
    <col min="1" max="1" width="5.5703125" style="82" customWidth="1"/>
    <col min="2" max="2" width="26.140625" style="81" customWidth="1"/>
    <col min="3" max="3" width="12.42578125" style="81" customWidth="1"/>
    <col min="4" max="4" width="6.7109375" style="81" customWidth="1"/>
    <col min="5" max="6" width="12.42578125" style="81" customWidth="1"/>
    <col min="7" max="8" width="11.7109375" style="81" customWidth="1"/>
    <col min="9" max="16384" width="12.42578125" style="81"/>
  </cols>
  <sheetData>
    <row r="1" spans="1:8">
      <c r="A1" s="79" t="str">
        <f>Inputs!$D$6</f>
        <v>AVISTA UTILITIES</v>
      </c>
      <c r="B1" s="80"/>
      <c r="C1" s="79"/>
    </row>
    <row r="2" spans="1:8">
      <c r="A2" s="79" t="s">
        <v>142</v>
      </c>
      <c r="B2" s="80"/>
      <c r="C2" s="79"/>
      <c r="E2" s="79"/>
      <c r="F2" s="82" t="s">
        <v>233</v>
      </c>
      <c r="G2" s="79"/>
    </row>
    <row r="3" spans="1:8">
      <c r="A3" s="80" t="str">
        <f>WAElec09_08!$A$4</f>
        <v>TWELVE MONTHS ENDED SEPTEMBER 30, 2008</v>
      </c>
      <c r="B3" s="80"/>
      <c r="C3" s="79"/>
      <c r="E3" s="79"/>
      <c r="F3" s="82" t="s">
        <v>234</v>
      </c>
      <c r="G3" s="79"/>
    </row>
    <row r="4" spans="1:8">
      <c r="A4" s="79" t="s">
        <v>1</v>
      </c>
      <c r="B4" s="80"/>
      <c r="C4" s="79"/>
      <c r="E4" s="83"/>
      <c r="F4" s="84" t="s">
        <v>145</v>
      </c>
      <c r="G4" s="85"/>
    </row>
    <row r="5" spans="1:8">
      <c r="A5" s="82" t="s">
        <v>14</v>
      </c>
    </row>
    <row r="6" spans="1:8" s="82" customFormat="1">
      <c r="A6" s="82" t="s">
        <v>146</v>
      </c>
      <c r="B6" s="86" t="s">
        <v>36</v>
      </c>
      <c r="C6" s="86"/>
      <c r="E6" s="86" t="s">
        <v>147</v>
      </c>
      <c r="F6" s="86" t="s">
        <v>148</v>
      </c>
      <c r="G6" s="86" t="s">
        <v>128</v>
      </c>
      <c r="H6" s="88" t="s">
        <v>149</v>
      </c>
    </row>
    <row r="7" spans="1:8">
      <c r="B7" s="89" t="s">
        <v>85</v>
      </c>
    </row>
    <row r="8" spans="1:8" s="92" customFormat="1">
      <c r="A8" s="90">
        <v>1</v>
      </c>
      <c r="B8" s="91" t="s">
        <v>86</v>
      </c>
      <c r="E8" s="93">
        <f>F8+G8</f>
        <v>0</v>
      </c>
      <c r="F8" s="93"/>
      <c r="G8" s="93"/>
      <c r="H8" s="92" t="str">
        <f t="shared" ref="H8:H13" si="0">IF(E8=F8+G8," ","ERROR")</f>
        <v xml:space="preserve"> </v>
      </c>
    </row>
    <row r="9" spans="1:8">
      <c r="A9" s="82">
        <v>2</v>
      </c>
      <c r="B9" s="89" t="s">
        <v>87</v>
      </c>
      <c r="E9" s="94"/>
      <c r="F9" s="94"/>
      <c r="G9" s="94"/>
      <c r="H9" s="92" t="str">
        <f t="shared" si="0"/>
        <v xml:space="preserve"> </v>
      </c>
    </row>
    <row r="10" spans="1:8">
      <c r="A10" s="82">
        <v>3</v>
      </c>
      <c r="B10" s="89" t="s">
        <v>150</v>
      </c>
      <c r="E10" s="94"/>
      <c r="F10" s="94"/>
      <c r="G10" s="94"/>
      <c r="H10" s="92" t="str">
        <f t="shared" si="0"/>
        <v xml:space="preserve"> </v>
      </c>
    </row>
    <row r="11" spans="1:8">
      <c r="A11" s="82">
        <v>4</v>
      </c>
      <c r="B11" s="89" t="s">
        <v>151</v>
      </c>
      <c r="E11" s="95">
        <f>E8+E9+E10</f>
        <v>0</v>
      </c>
      <c r="F11" s="95">
        <f>F8+F9+F10</f>
        <v>0</v>
      </c>
      <c r="G11" s="95">
        <f>G8+G9+G10</f>
        <v>0</v>
      </c>
      <c r="H11" s="92" t="str">
        <f t="shared" si="0"/>
        <v xml:space="preserve"> </v>
      </c>
    </row>
    <row r="12" spans="1:8">
      <c r="A12" s="82">
        <v>5</v>
      </c>
      <c r="B12" s="89" t="s">
        <v>90</v>
      </c>
      <c r="E12" s="94"/>
      <c r="F12" s="94"/>
      <c r="G12" s="94"/>
      <c r="H12" s="92" t="str">
        <f t="shared" si="0"/>
        <v xml:space="preserve"> </v>
      </c>
    </row>
    <row r="13" spans="1:8">
      <c r="A13" s="82">
        <v>6</v>
      </c>
      <c r="B13" s="89" t="s">
        <v>152</v>
      </c>
      <c r="E13" s="95">
        <f>E11+E12</f>
        <v>0</v>
      </c>
      <c r="F13" s="95">
        <f>F11+F12</f>
        <v>0</v>
      </c>
      <c r="G13" s="95">
        <f>G11+G12</f>
        <v>0</v>
      </c>
      <c r="H13" s="92" t="str">
        <f t="shared" si="0"/>
        <v xml:space="preserve"> </v>
      </c>
    </row>
    <row r="14" spans="1:8">
      <c r="E14" s="96"/>
      <c r="F14" s="96"/>
      <c r="G14" s="96"/>
      <c r="H14" s="92"/>
    </row>
    <row r="15" spans="1:8">
      <c r="B15" s="89" t="s">
        <v>92</v>
      </c>
      <c r="E15" s="96"/>
      <c r="F15" s="96"/>
      <c r="G15" s="96"/>
      <c r="H15" s="92"/>
    </row>
    <row r="16" spans="1:8">
      <c r="B16" s="89" t="s">
        <v>93</v>
      </c>
      <c r="E16" s="96"/>
      <c r="F16" s="96"/>
      <c r="G16" s="96"/>
      <c r="H16" s="92"/>
    </row>
    <row r="17" spans="1:8">
      <c r="A17" s="82">
        <v>7</v>
      </c>
      <c r="B17" s="89" t="s">
        <v>153</v>
      </c>
      <c r="E17" s="94"/>
      <c r="F17" s="94"/>
      <c r="G17" s="94"/>
      <c r="H17" s="92" t="str">
        <f>IF(E17=F17+G17," ","ERROR")</f>
        <v xml:space="preserve"> </v>
      </c>
    </row>
    <row r="18" spans="1:8">
      <c r="A18" s="82">
        <v>8</v>
      </c>
      <c r="B18" s="89" t="s">
        <v>154</v>
      </c>
      <c r="E18" s="94"/>
      <c r="F18" s="94"/>
      <c r="G18" s="94"/>
      <c r="H18" s="92" t="str">
        <f>IF(E18=F18+G18," ","ERROR")</f>
        <v xml:space="preserve"> </v>
      </c>
    </row>
    <row r="19" spans="1:8">
      <c r="A19" s="82">
        <v>9</v>
      </c>
      <c r="B19" s="89" t="s">
        <v>155</v>
      </c>
      <c r="E19" s="94"/>
      <c r="F19" s="94"/>
      <c r="G19" s="94"/>
      <c r="H19" s="92" t="str">
        <f>IF(E19=F19+G19," ","ERROR")</f>
        <v xml:space="preserve"> </v>
      </c>
    </row>
    <row r="20" spans="1:8">
      <c r="A20" s="82">
        <v>10</v>
      </c>
      <c r="B20" s="89" t="s">
        <v>156</v>
      </c>
      <c r="E20" s="94"/>
      <c r="F20" s="94"/>
      <c r="G20" s="94"/>
      <c r="H20" s="92" t="str">
        <f>IF(E20=F20+G20," ","ERROR")</f>
        <v xml:space="preserve"> </v>
      </c>
    </row>
    <row r="21" spans="1:8">
      <c r="A21" s="82">
        <v>11</v>
      </c>
      <c r="B21" s="89" t="s">
        <v>157</v>
      </c>
      <c r="E21" s="95">
        <f>E17+E18+E19+E20</f>
        <v>0</v>
      </c>
      <c r="F21" s="95">
        <f>F17+F18+F19+F20</f>
        <v>0</v>
      </c>
      <c r="G21" s="95">
        <f>G17+G18+G19+G20</f>
        <v>0</v>
      </c>
      <c r="H21" s="92" t="str">
        <f>IF(E21=F21+G21," ","ERROR")</f>
        <v xml:space="preserve"> </v>
      </c>
    </row>
    <row r="22" spans="1:8">
      <c r="E22" s="96"/>
      <c r="F22" s="96"/>
      <c r="G22" s="96"/>
      <c r="H22" s="92"/>
    </row>
    <row r="23" spans="1:8">
      <c r="B23" s="89" t="s">
        <v>98</v>
      </c>
      <c r="E23" s="96"/>
      <c r="F23" s="96"/>
      <c r="G23" s="96"/>
      <c r="H23" s="92"/>
    </row>
    <row r="24" spans="1:8">
      <c r="A24" s="82">
        <v>12</v>
      </c>
      <c r="B24" s="89" t="s">
        <v>153</v>
      </c>
      <c r="E24" s="94"/>
      <c r="F24" s="94"/>
      <c r="G24" s="94"/>
      <c r="H24" s="92" t="str">
        <f>IF(E24=F24+G24," ","ERROR")</f>
        <v xml:space="preserve"> </v>
      </c>
    </row>
    <row r="25" spans="1:8">
      <c r="A25" s="82">
        <v>13</v>
      </c>
      <c r="B25" s="89" t="s">
        <v>158</v>
      </c>
      <c r="E25" s="94"/>
      <c r="F25" s="94"/>
      <c r="G25" s="94"/>
      <c r="H25" s="92" t="str">
        <f>IF(E25=F25+G25," ","ERROR")</f>
        <v xml:space="preserve"> </v>
      </c>
    </row>
    <row r="26" spans="1:8">
      <c r="A26" s="82">
        <v>14</v>
      </c>
      <c r="B26" s="89" t="s">
        <v>156</v>
      </c>
      <c r="E26" s="94">
        <f>F26+G26</f>
        <v>0</v>
      </c>
      <c r="F26" s="94"/>
      <c r="G26" s="94"/>
      <c r="H26" s="92" t="str">
        <f>IF(E26=F26+G26," ","ERROR")</f>
        <v xml:space="preserve"> </v>
      </c>
    </row>
    <row r="27" spans="1:8">
      <c r="A27" s="82">
        <v>15</v>
      </c>
      <c r="B27" s="89" t="s">
        <v>159</v>
      </c>
      <c r="E27" s="95">
        <f>E24+E25+E26</f>
        <v>0</v>
      </c>
      <c r="F27" s="95">
        <f>F24+F25+F26</f>
        <v>0</v>
      </c>
      <c r="G27" s="95">
        <f>G24+G25+G26</f>
        <v>0</v>
      </c>
      <c r="H27" s="92" t="str">
        <f>IF(E27=F27+G27," ","ERROR")</f>
        <v xml:space="preserve"> </v>
      </c>
    </row>
    <row r="28" spans="1:8">
      <c r="E28" s="96"/>
      <c r="F28" s="96"/>
      <c r="G28" s="96"/>
      <c r="H28" s="92"/>
    </row>
    <row r="29" spans="1:8">
      <c r="A29" s="82">
        <v>16</v>
      </c>
      <c r="B29" s="89" t="s">
        <v>101</v>
      </c>
      <c r="E29" s="94"/>
      <c r="F29" s="94"/>
      <c r="G29" s="94"/>
      <c r="H29" s="92" t="str">
        <f>IF(E29=F29+G29," ","ERROR")</f>
        <v xml:space="preserve"> </v>
      </c>
    </row>
    <row r="30" spans="1:8">
      <c r="A30" s="82">
        <v>17</v>
      </c>
      <c r="B30" s="89" t="s">
        <v>102</v>
      </c>
      <c r="E30" s="94"/>
      <c r="F30" s="94"/>
      <c r="G30" s="94"/>
      <c r="H30" s="92" t="str">
        <f>IF(E30=F30+G30," ","ERROR")</f>
        <v xml:space="preserve"> </v>
      </c>
    </row>
    <row r="31" spans="1:8">
      <c r="A31" s="82">
        <v>18</v>
      </c>
      <c r="B31" s="89" t="s">
        <v>160</v>
      </c>
      <c r="E31" s="94"/>
      <c r="F31" s="94"/>
      <c r="G31" s="94"/>
      <c r="H31" s="92" t="str">
        <f>IF(E31=F31+G31," ","ERROR")</f>
        <v xml:space="preserve"> </v>
      </c>
    </row>
    <row r="32" spans="1:8">
      <c r="E32" s="96"/>
      <c r="F32" s="96"/>
      <c r="G32" s="96"/>
      <c r="H32" s="92"/>
    </row>
    <row r="33" spans="1:8">
      <c r="B33" s="89" t="s">
        <v>104</v>
      </c>
      <c r="E33" s="96"/>
      <c r="F33" s="96"/>
      <c r="G33" s="96"/>
      <c r="H33" s="92"/>
    </row>
    <row r="34" spans="1:8">
      <c r="A34" s="82">
        <v>19</v>
      </c>
      <c r="B34" s="89" t="s">
        <v>153</v>
      </c>
      <c r="E34" s="94"/>
      <c r="F34" s="94"/>
      <c r="G34" s="94"/>
      <c r="H34" s="92" t="str">
        <f>IF(E34=F34+G34," ","ERROR")</f>
        <v xml:space="preserve"> </v>
      </c>
    </row>
    <row r="35" spans="1:8">
      <c r="A35" s="82">
        <v>20</v>
      </c>
      <c r="B35" s="89" t="s">
        <v>158</v>
      </c>
      <c r="E35" s="94"/>
      <c r="F35" s="94"/>
      <c r="G35" s="94"/>
      <c r="H35" s="92" t="str">
        <f>IF(E35=F35+G35," ","ERROR")</f>
        <v xml:space="preserve"> </v>
      </c>
    </row>
    <row r="36" spans="1:8">
      <c r="A36" s="82">
        <v>21</v>
      </c>
      <c r="B36" s="89" t="s">
        <v>156</v>
      </c>
      <c r="E36" s="94"/>
      <c r="F36" s="94"/>
      <c r="G36" s="94"/>
      <c r="H36" s="92" t="str">
        <f>IF(E36=F36+G36," ","ERROR")</f>
        <v xml:space="preserve"> </v>
      </c>
    </row>
    <row r="37" spans="1:8">
      <c r="A37" s="82">
        <v>22</v>
      </c>
      <c r="B37" s="89" t="s">
        <v>161</v>
      </c>
      <c r="E37" s="97">
        <f>E34+E35+E36</f>
        <v>0</v>
      </c>
      <c r="F37" s="97">
        <f>F34+F35+F36</f>
        <v>0</v>
      </c>
      <c r="G37" s="97">
        <f>G34+G35+G36</f>
        <v>0</v>
      </c>
      <c r="H37" s="92" t="str">
        <f>IF(E37=F37+G37," ","ERROR")</f>
        <v xml:space="preserve"> </v>
      </c>
    </row>
    <row r="38" spans="1:8">
      <c r="A38" s="82">
        <v>23</v>
      </c>
      <c r="B38" s="89" t="s">
        <v>106</v>
      </c>
      <c r="E38" s="98">
        <f>E21+E27+E29+E30+E31+E37</f>
        <v>0</v>
      </c>
      <c r="F38" s="98">
        <f>F21+F27+F29+F30+F31+F37</f>
        <v>0</v>
      </c>
      <c r="G38" s="98">
        <f>G21+G27+G29+G30+G31+G37</f>
        <v>0</v>
      </c>
      <c r="H38" s="92" t="str">
        <f>IF(E38=F38+G38," ","ERROR")</f>
        <v xml:space="preserve"> </v>
      </c>
    </row>
    <row r="39" spans="1:8">
      <c r="E39" s="96"/>
      <c r="F39" s="96"/>
      <c r="G39" s="96"/>
      <c r="H39" s="92"/>
    </row>
    <row r="40" spans="1:8">
      <c r="A40" s="82">
        <v>24</v>
      </c>
      <c r="B40" s="89" t="s">
        <v>162</v>
      </c>
      <c r="E40" s="96">
        <f>E13-E38</f>
        <v>0</v>
      </c>
      <c r="F40" s="96">
        <f>F13-F38</f>
        <v>0</v>
      </c>
      <c r="G40" s="96">
        <f>G13-G38</f>
        <v>0</v>
      </c>
      <c r="H40" s="92" t="str">
        <f>IF(E40=F40+G40," ","ERROR")</f>
        <v xml:space="preserve"> </v>
      </c>
    </row>
    <row r="41" spans="1:8">
      <c r="B41" s="89"/>
      <c r="E41" s="96"/>
      <c r="F41" s="96"/>
      <c r="G41" s="96"/>
      <c r="H41" s="92"/>
    </row>
    <row r="42" spans="1:8">
      <c r="B42" s="89" t="s">
        <v>163</v>
      </c>
      <c r="E42" s="96"/>
      <c r="F42" s="96"/>
      <c r="G42" s="96"/>
      <c r="H42" s="92"/>
    </row>
    <row r="43" spans="1:8">
      <c r="A43" s="82">
        <v>25</v>
      </c>
      <c r="B43" s="89" t="s">
        <v>164</v>
      </c>
      <c r="D43" s="99">
        <v>0.35</v>
      </c>
      <c r="E43" s="94">
        <f>F43+G43</f>
        <v>0</v>
      </c>
      <c r="F43" s="94"/>
      <c r="G43" s="94"/>
      <c r="H43" s="92" t="str">
        <f>IF(E43=F43+G43," ","ERROR")</f>
        <v xml:space="preserve"> </v>
      </c>
    </row>
    <row r="44" spans="1:8">
      <c r="A44" s="82">
        <v>26</v>
      </c>
      <c r="B44" s="89" t="s">
        <v>165</v>
      </c>
      <c r="E44" s="94"/>
      <c r="F44" s="94"/>
      <c r="G44" s="94"/>
      <c r="H44" s="92" t="str">
        <f>IF(E44=F44+G44," ","ERROR")</f>
        <v xml:space="preserve"> </v>
      </c>
    </row>
    <row r="45" spans="1:8" ht="12.75">
      <c r="A45"/>
      <c r="B45"/>
      <c r="C45"/>
      <c r="D45"/>
      <c r="E45" s="913"/>
      <c r="F45" s="913"/>
      <c r="G45" s="913"/>
      <c r="H45" s="92" t="str">
        <f>IF(E45=F45+G45," ","ERROR")</f>
        <v xml:space="preserve"> </v>
      </c>
    </row>
    <row r="46" spans="1:8">
      <c r="A46" s="259"/>
      <c r="B46" s="262"/>
      <c r="C46" s="256"/>
      <c r="D46" s="256"/>
      <c r="E46" s="269"/>
      <c r="F46" s="269"/>
      <c r="G46" s="269"/>
      <c r="H46" s="92"/>
    </row>
    <row r="47" spans="1:8" s="92" customFormat="1">
      <c r="A47" s="263">
        <v>27</v>
      </c>
      <c r="B47" s="264" t="s">
        <v>113</v>
      </c>
      <c r="C47" s="265"/>
      <c r="D47" s="265"/>
      <c r="E47" s="273">
        <f>E40-SUM(E43:E44)</f>
        <v>0</v>
      </c>
      <c r="F47" s="273">
        <f>F40-SUM(F43:F44)</f>
        <v>0</v>
      </c>
      <c r="G47" s="273">
        <f>G40-SUM(G43:G44)</f>
        <v>0</v>
      </c>
      <c r="H47" s="92" t="str">
        <f>IF(E47=F47+G47," ","ERROR")</f>
        <v xml:space="preserve"> </v>
      </c>
    </row>
    <row r="48" spans="1:8">
      <c r="A48" s="259"/>
      <c r="H48" s="92"/>
    </row>
    <row r="49" spans="1:8">
      <c r="A49" s="259"/>
      <c r="B49" s="89" t="s">
        <v>114</v>
      </c>
      <c r="H49" s="92"/>
    </row>
    <row r="50" spans="1:8">
      <c r="A50" s="259"/>
      <c r="B50" s="89" t="s">
        <v>115</v>
      </c>
      <c r="H50" s="92"/>
    </row>
    <row r="51" spans="1:8" s="92" customFormat="1">
      <c r="A51" s="263">
        <v>28</v>
      </c>
      <c r="B51" s="91" t="s">
        <v>167</v>
      </c>
      <c r="E51" s="93"/>
      <c r="F51" s="93"/>
      <c r="G51" s="93"/>
      <c r="H51" s="92" t="str">
        <f t="shared" ref="H51:H61" si="1">IF(E51=F51+G51," ","ERROR")</f>
        <v xml:space="preserve"> </v>
      </c>
    </row>
    <row r="52" spans="1:8">
      <c r="A52" s="259">
        <v>29</v>
      </c>
      <c r="B52" s="89" t="s">
        <v>168</v>
      </c>
      <c r="E52" s="94">
        <f>SUM(F52:G52)</f>
        <v>436</v>
      </c>
      <c r="F52" s="94">
        <v>436</v>
      </c>
      <c r="G52" s="94">
        <v>0</v>
      </c>
      <c r="H52" s="92" t="str">
        <f t="shared" si="1"/>
        <v xml:space="preserve"> </v>
      </c>
    </row>
    <row r="53" spans="1:8">
      <c r="A53" s="259">
        <v>30</v>
      </c>
      <c r="B53" s="89" t="s">
        <v>169</v>
      </c>
      <c r="E53" s="94"/>
      <c r="F53" s="94"/>
      <c r="G53" s="94"/>
      <c r="H53" s="92" t="str">
        <f t="shared" si="1"/>
        <v xml:space="preserve"> </v>
      </c>
    </row>
    <row r="54" spans="1:8">
      <c r="A54" s="259">
        <v>31</v>
      </c>
      <c r="B54" s="89" t="s">
        <v>170</v>
      </c>
      <c r="E54" s="94"/>
      <c r="F54" s="94"/>
      <c r="G54" s="94"/>
      <c r="H54" s="92" t="str">
        <f t="shared" si="1"/>
        <v xml:space="preserve"> </v>
      </c>
    </row>
    <row r="55" spans="1:8">
      <c r="A55" s="259">
        <v>32</v>
      </c>
      <c r="B55" s="89" t="s">
        <v>171</v>
      </c>
      <c r="E55" s="100"/>
      <c r="F55" s="100"/>
      <c r="G55" s="100"/>
      <c r="H55" s="92" t="str">
        <f t="shared" si="1"/>
        <v xml:space="preserve"> </v>
      </c>
    </row>
    <row r="56" spans="1:8">
      <c r="A56" s="259">
        <v>33</v>
      </c>
      <c r="B56" s="89" t="s">
        <v>172</v>
      </c>
      <c r="E56" s="96">
        <f>E51+E52+E53+E54+E55</f>
        <v>436</v>
      </c>
      <c r="F56" s="96">
        <f>F51+F52+F53+F54+F55</f>
        <v>436</v>
      </c>
      <c r="G56" s="96">
        <f>G51+G52+G53+G54+G55</f>
        <v>0</v>
      </c>
      <c r="H56" s="92" t="str">
        <f t="shared" si="1"/>
        <v xml:space="preserve"> </v>
      </c>
    </row>
    <row r="57" spans="1:8">
      <c r="A57" s="259">
        <v>34</v>
      </c>
      <c r="B57" s="89" t="s">
        <v>121</v>
      </c>
      <c r="E57" s="94"/>
      <c r="F57" s="94"/>
      <c r="G57" s="94"/>
      <c r="H57" s="92" t="str">
        <f t="shared" si="1"/>
        <v xml:space="preserve"> </v>
      </c>
    </row>
    <row r="58" spans="1:8">
      <c r="A58" s="259">
        <v>35</v>
      </c>
      <c r="B58" s="89" t="s">
        <v>122</v>
      </c>
      <c r="E58" s="100"/>
      <c r="F58" s="100"/>
      <c r="G58" s="100"/>
      <c r="H58" s="92" t="str">
        <f t="shared" si="1"/>
        <v xml:space="preserve"> </v>
      </c>
    </row>
    <row r="59" spans="1:8">
      <c r="A59" s="259">
        <v>36</v>
      </c>
      <c r="B59" s="89" t="s">
        <v>173</v>
      </c>
      <c r="E59" s="96">
        <f>E57+E58</f>
        <v>0</v>
      </c>
      <c r="F59" s="96">
        <f>F57+F58</f>
        <v>0</v>
      </c>
      <c r="G59" s="96">
        <f>G57+G58</f>
        <v>0</v>
      </c>
      <c r="H59" s="92" t="str">
        <f t="shared" si="1"/>
        <v xml:space="preserve"> </v>
      </c>
    </row>
    <row r="60" spans="1:8">
      <c r="A60" s="259">
        <v>37</v>
      </c>
      <c r="B60" s="89" t="s">
        <v>124</v>
      </c>
      <c r="E60" s="94"/>
      <c r="F60" s="94"/>
      <c r="G60" s="94"/>
      <c r="H60" s="92" t="str">
        <f t="shared" si="1"/>
        <v xml:space="preserve"> </v>
      </c>
    </row>
    <row r="61" spans="1:8">
      <c r="A61" s="259">
        <v>38</v>
      </c>
      <c r="B61" s="89" t="s">
        <v>125</v>
      </c>
      <c r="E61" s="100"/>
      <c r="F61" s="100"/>
      <c r="G61" s="100"/>
      <c r="H61" s="92" t="str">
        <f t="shared" si="1"/>
        <v xml:space="preserve"> </v>
      </c>
    </row>
    <row r="62" spans="1:8" ht="9" customHeight="1">
      <c r="A62" s="259"/>
      <c r="H62" s="92"/>
    </row>
    <row r="63" spans="1:8" s="92" customFormat="1" ht="12.75" thickBot="1">
      <c r="A63" s="263">
        <v>39</v>
      </c>
      <c r="B63" s="91" t="s">
        <v>126</v>
      </c>
      <c r="E63" s="101">
        <f>E56-E59+E60+E61</f>
        <v>436</v>
      </c>
      <c r="F63" s="101">
        <f>F56-F59+F60+F61</f>
        <v>436</v>
      </c>
      <c r="G63" s="101">
        <f>G56-G59+G60+G61</f>
        <v>0</v>
      </c>
      <c r="H63" s="92" t="str">
        <f>IF(E63=F63+G63," ","ERROR")</f>
        <v xml:space="preserve"> </v>
      </c>
    </row>
    <row r="64" spans="1:8" ht="12.75" thickTop="1"/>
    <row r="65" spans="1:7" ht="12" customHeight="1">
      <c r="A65" s="80" t="str">
        <f>Inputs!$D$6</f>
        <v>AVISTA UTILITIES</v>
      </c>
      <c r="B65" s="80"/>
      <c r="C65" s="80"/>
      <c r="D65" s="87"/>
      <c r="E65" s="102"/>
      <c r="F65" s="87"/>
      <c r="G65" s="103" t="s">
        <v>232</v>
      </c>
    </row>
    <row r="66" spans="1:7">
      <c r="A66" s="80" t="s">
        <v>225</v>
      </c>
      <c r="B66" s="80"/>
      <c r="C66" s="80"/>
      <c r="D66" s="87"/>
      <c r="E66" s="102"/>
      <c r="F66" s="87"/>
      <c r="G66" s="104"/>
    </row>
    <row r="67" spans="1:7">
      <c r="A67" s="80" t="str">
        <f>A3</f>
        <v>TWELVE MONTHS ENDED SEPTEMBER 30, 2008</v>
      </c>
      <c r="B67" s="80"/>
      <c r="C67" s="80"/>
      <c r="D67" s="87"/>
      <c r="E67" s="102"/>
      <c r="F67" s="87"/>
      <c r="G67" s="105" t="str">
        <f>F2</f>
        <v xml:space="preserve">COLSTRIP #3 </v>
      </c>
    </row>
    <row r="68" spans="1:7">
      <c r="A68" s="80" t="s">
        <v>226</v>
      </c>
      <c r="B68" s="80"/>
      <c r="C68" s="80"/>
      <c r="D68" s="87"/>
      <c r="E68" s="102"/>
      <c r="F68" s="87"/>
      <c r="G68" s="105" t="str">
        <f>F3</f>
        <v>COMMON AFUDC ADJUSTMENT</v>
      </c>
    </row>
    <row r="69" spans="1:7">
      <c r="B69" s="87"/>
      <c r="C69" s="87"/>
      <c r="D69" s="87"/>
      <c r="E69" s="106"/>
      <c r="F69" s="107"/>
      <c r="G69" s="108" t="str">
        <f>F4</f>
        <v>ELECTRIC</v>
      </c>
    </row>
    <row r="70" spans="1:7">
      <c r="B70" s="87"/>
      <c r="C70" s="87"/>
      <c r="D70" s="87"/>
      <c r="E70" s="102"/>
      <c r="F70" s="87"/>
      <c r="G70" s="105"/>
    </row>
    <row r="71" spans="1:7">
      <c r="B71" s="109" t="s">
        <v>134</v>
      </c>
      <c r="C71" s="107"/>
      <c r="D71" s="87"/>
      <c r="E71" s="102"/>
      <c r="F71" s="87"/>
      <c r="G71" s="108" t="s">
        <v>128</v>
      </c>
    </row>
    <row r="72" spans="1:7">
      <c r="B72" s="89" t="s">
        <v>85</v>
      </c>
      <c r="C72" s="87"/>
      <c r="D72" s="87"/>
      <c r="E72" s="87"/>
      <c r="F72" s="87"/>
      <c r="G72" s="104"/>
    </row>
    <row r="73" spans="1:7">
      <c r="B73" s="91" t="s">
        <v>86</v>
      </c>
      <c r="C73" s="87"/>
      <c r="D73" s="87"/>
      <c r="E73" s="87"/>
      <c r="F73" s="87"/>
      <c r="G73" s="110">
        <f>G8</f>
        <v>0</v>
      </c>
    </row>
    <row r="74" spans="1:7">
      <c r="B74" s="89" t="s">
        <v>87</v>
      </c>
      <c r="C74" s="87"/>
      <c r="D74" s="87"/>
      <c r="E74" s="87"/>
      <c r="F74" s="87"/>
      <c r="G74" s="96">
        <f>G9</f>
        <v>0</v>
      </c>
    </row>
    <row r="75" spans="1:7">
      <c r="B75" s="89" t="s">
        <v>150</v>
      </c>
      <c r="C75" s="87"/>
      <c r="D75" s="87"/>
      <c r="E75" s="87"/>
      <c r="F75" s="87"/>
      <c r="G75" s="98">
        <f>G10</f>
        <v>0</v>
      </c>
    </row>
    <row r="76" spans="1:7">
      <c r="B76" s="89" t="s">
        <v>151</v>
      </c>
      <c r="C76" s="87"/>
      <c r="D76" s="87"/>
      <c r="E76" s="87"/>
      <c r="F76" s="87"/>
      <c r="G76" s="96">
        <f>SUM(G73:G75)</f>
        <v>0</v>
      </c>
    </row>
    <row r="77" spans="1:7">
      <c r="B77" s="89" t="s">
        <v>90</v>
      </c>
      <c r="C77" s="87"/>
      <c r="D77" s="87"/>
      <c r="E77" s="87"/>
      <c r="F77" s="87"/>
      <c r="G77" s="98">
        <f>G12</f>
        <v>0</v>
      </c>
    </row>
    <row r="78" spans="1:7">
      <c r="B78" s="89" t="s">
        <v>152</v>
      </c>
      <c r="C78" s="87"/>
      <c r="D78" s="87"/>
      <c r="E78" s="87"/>
      <c r="F78" s="87"/>
      <c r="G78" s="96">
        <f>G76+G77</f>
        <v>0</v>
      </c>
    </row>
    <row r="79" spans="1:7">
      <c r="C79" s="87"/>
      <c r="D79" s="87"/>
      <c r="E79" s="87"/>
      <c r="F79" s="87"/>
      <c r="G79" s="96"/>
    </row>
    <row r="80" spans="1:7">
      <c r="B80" s="89" t="s">
        <v>92</v>
      </c>
      <c r="C80" s="87"/>
      <c r="D80" s="87"/>
      <c r="E80" s="87"/>
      <c r="F80" s="87"/>
      <c r="G80" s="96"/>
    </row>
    <row r="81" spans="1:7">
      <c r="B81" s="89" t="s">
        <v>93</v>
      </c>
      <c r="C81" s="87"/>
      <c r="D81" s="87"/>
      <c r="E81" s="87"/>
      <c r="F81" s="87"/>
      <c r="G81" s="96"/>
    </row>
    <row r="82" spans="1:7">
      <c r="B82" s="89" t="s">
        <v>153</v>
      </c>
      <c r="C82" s="87"/>
      <c r="D82" s="87"/>
      <c r="E82" s="87"/>
      <c r="F82" s="87"/>
      <c r="G82" s="96">
        <f>G17</f>
        <v>0</v>
      </c>
    </row>
    <row r="83" spans="1:7">
      <c r="B83" s="89" t="s">
        <v>154</v>
      </c>
      <c r="C83" s="87"/>
      <c r="D83" s="87"/>
      <c r="E83" s="87"/>
      <c r="F83" s="87"/>
      <c r="G83" s="96">
        <f>G18</f>
        <v>0</v>
      </c>
    </row>
    <row r="84" spans="1:7">
      <c r="B84" s="89" t="s">
        <v>155</v>
      </c>
      <c r="C84" s="87"/>
      <c r="D84" s="87"/>
      <c r="E84" s="87"/>
      <c r="F84" s="87"/>
      <c r="G84" s="96">
        <f>G19</f>
        <v>0</v>
      </c>
    </row>
    <row r="85" spans="1:7">
      <c r="B85" s="89" t="s">
        <v>156</v>
      </c>
      <c r="C85" s="87"/>
      <c r="D85" s="87"/>
      <c r="E85" s="87"/>
      <c r="F85" s="87"/>
      <c r="G85" s="98">
        <f>G20</f>
        <v>0</v>
      </c>
    </row>
    <row r="86" spans="1:7">
      <c r="B86" s="89" t="s">
        <v>157</v>
      </c>
      <c r="C86" s="87"/>
      <c r="D86" s="87"/>
      <c r="E86" s="87"/>
      <c r="F86" s="87"/>
      <c r="G86" s="96">
        <f>SUM(G82:G85)</f>
        <v>0</v>
      </c>
    </row>
    <row r="87" spans="1:7">
      <c r="C87" s="87"/>
      <c r="D87" s="87"/>
      <c r="E87" s="87"/>
      <c r="F87" s="87"/>
      <c r="G87" s="96"/>
    </row>
    <row r="88" spans="1:7">
      <c r="B88" s="89" t="s">
        <v>98</v>
      </c>
      <c r="C88" s="87"/>
      <c r="D88" s="87"/>
      <c r="E88" s="87"/>
      <c r="F88" s="87"/>
      <c r="G88" s="96"/>
    </row>
    <row r="89" spans="1:7">
      <c r="B89" s="89" t="s">
        <v>153</v>
      </c>
      <c r="C89" s="87"/>
      <c r="D89" s="87"/>
      <c r="E89" s="87"/>
      <c r="F89" s="87"/>
      <c r="G89" s="96">
        <f>G24</f>
        <v>0</v>
      </c>
    </row>
    <row r="90" spans="1:7">
      <c r="B90" s="89" t="s">
        <v>158</v>
      </c>
      <c r="C90" s="87"/>
      <c r="D90" s="87"/>
      <c r="E90" s="87"/>
      <c r="F90" s="87"/>
      <c r="G90" s="96">
        <f>G25</f>
        <v>0</v>
      </c>
    </row>
    <row r="91" spans="1:7">
      <c r="A91" s="81"/>
      <c r="B91" s="89" t="s">
        <v>156</v>
      </c>
      <c r="C91" s="87"/>
      <c r="D91" s="87"/>
      <c r="E91" s="87"/>
      <c r="F91" s="87"/>
      <c r="G91" s="96"/>
    </row>
    <row r="92" spans="1:7">
      <c r="A92" s="81"/>
      <c r="B92" s="89" t="s">
        <v>159</v>
      </c>
      <c r="C92" s="87"/>
      <c r="D92" s="87"/>
      <c r="E92" s="87"/>
      <c r="F92" s="87"/>
      <c r="G92" s="95">
        <f>SUM(G89:G91)</f>
        <v>0</v>
      </c>
    </row>
    <row r="93" spans="1:7">
      <c r="A93" s="81"/>
      <c r="C93" s="87"/>
      <c r="D93" s="87"/>
      <c r="E93" s="87"/>
      <c r="F93" s="87"/>
      <c r="G93" s="96"/>
    </row>
    <row r="94" spans="1:7">
      <c r="A94" s="81"/>
      <c r="B94" s="89" t="s">
        <v>101</v>
      </c>
      <c r="C94" s="87"/>
      <c r="D94" s="87"/>
      <c r="E94" s="87"/>
      <c r="F94" s="87"/>
      <c r="G94" s="96">
        <f>G29</f>
        <v>0</v>
      </c>
    </row>
    <row r="95" spans="1:7">
      <c r="A95" s="81"/>
      <c r="B95" s="89" t="s">
        <v>102</v>
      </c>
      <c r="C95" s="87"/>
      <c r="D95" s="87"/>
      <c r="E95" s="87"/>
      <c r="F95" s="87"/>
      <c r="G95" s="96">
        <f>G30</f>
        <v>0</v>
      </c>
    </row>
    <row r="96" spans="1:7">
      <c r="A96" s="81"/>
      <c r="B96" s="89" t="s">
        <v>160</v>
      </c>
      <c r="C96" s="87"/>
      <c r="D96" s="87"/>
      <c r="E96" s="87"/>
      <c r="F96" s="87"/>
      <c r="G96" s="96">
        <f>G31</f>
        <v>0</v>
      </c>
    </row>
    <row r="97" spans="1:7">
      <c r="A97" s="81"/>
      <c r="C97" s="87"/>
      <c r="D97" s="87"/>
      <c r="E97" s="87"/>
      <c r="F97" s="87"/>
      <c r="G97" s="96"/>
    </row>
    <row r="98" spans="1:7">
      <c r="A98" s="81"/>
      <c r="B98" s="89" t="s">
        <v>104</v>
      </c>
      <c r="C98" s="87"/>
      <c r="D98" s="87"/>
      <c r="E98" s="87"/>
      <c r="F98" s="87"/>
      <c r="G98" s="96"/>
    </row>
    <row r="99" spans="1:7">
      <c r="A99" s="81"/>
      <c r="B99" s="89" t="s">
        <v>153</v>
      </c>
      <c r="C99" s="87"/>
      <c r="D99" s="87"/>
      <c r="E99" s="87"/>
      <c r="F99" s="87"/>
      <c r="G99" s="96">
        <f>G34</f>
        <v>0</v>
      </c>
    </row>
    <row r="100" spans="1:7">
      <c r="A100" s="81"/>
      <c r="B100" s="89" t="s">
        <v>158</v>
      </c>
      <c r="C100" s="87"/>
      <c r="D100" s="87"/>
      <c r="E100" s="87"/>
      <c r="F100" s="87"/>
      <c r="G100" s="96">
        <f>G35</f>
        <v>0</v>
      </c>
    </row>
    <row r="101" spans="1:7">
      <c r="A101" s="81"/>
      <c r="B101" s="89" t="s">
        <v>156</v>
      </c>
      <c r="C101" s="87"/>
      <c r="D101" s="87"/>
      <c r="E101" s="87"/>
      <c r="F101" s="87"/>
      <c r="G101" s="98">
        <f>G36</f>
        <v>0</v>
      </c>
    </row>
    <row r="102" spans="1:7">
      <c r="A102" s="81"/>
      <c r="B102" s="89" t="s">
        <v>161</v>
      </c>
      <c r="C102" s="87"/>
      <c r="D102" s="87"/>
      <c r="E102" s="87"/>
      <c r="F102" s="87"/>
      <c r="G102" s="96">
        <f>G99+G100+G101</f>
        <v>0</v>
      </c>
    </row>
    <row r="103" spans="1:7">
      <c r="A103" s="81"/>
      <c r="B103" s="87"/>
      <c r="C103" s="87"/>
      <c r="D103" s="87"/>
      <c r="E103" s="87"/>
      <c r="F103" s="87"/>
      <c r="G103" s="96"/>
    </row>
    <row r="104" spans="1:7">
      <c r="A104" s="81"/>
      <c r="B104" s="87" t="s">
        <v>106</v>
      </c>
      <c r="C104" s="87"/>
      <c r="D104" s="87"/>
      <c r="E104" s="87"/>
      <c r="F104" s="87"/>
      <c r="G104" s="97">
        <f>G86+G92+G94+G95+G96+G102</f>
        <v>0</v>
      </c>
    </row>
    <row r="105" spans="1:7">
      <c r="A105" s="81"/>
      <c r="B105" s="87"/>
      <c r="C105" s="87"/>
      <c r="D105" s="87"/>
      <c r="E105" s="87"/>
      <c r="F105" s="87"/>
      <c r="G105" s="96"/>
    </row>
    <row r="106" spans="1:7">
      <c r="A106" s="81"/>
      <c r="B106" s="87" t="s">
        <v>227</v>
      </c>
      <c r="C106" s="87"/>
      <c r="D106" s="87"/>
      <c r="E106" s="87"/>
      <c r="F106" s="87"/>
      <c r="G106" s="98">
        <f>G78-G104</f>
        <v>0</v>
      </c>
    </row>
    <row r="107" spans="1:7">
      <c r="A107" s="81"/>
      <c r="B107" s="87"/>
      <c r="C107" s="87"/>
      <c r="D107" s="87"/>
      <c r="E107" s="87"/>
      <c r="F107" s="87"/>
      <c r="G107" s="96"/>
    </row>
    <row r="108" spans="1:7">
      <c r="A108" s="81"/>
      <c r="B108" s="87" t="s">
        <v>228</v>
      </c>
      <c r="C108" s="87"/>
      <c r="D108" s="87"/>
      <c r="E108" s="102"/>
      <c r="F108" s="87"/>
      <c r="G108" s="96"/>
    </row>
    <row r="109" spans="1:7" ht="12.75" thickBot="1">
      <c r="A109" s="81"/>
      <c r="B109" s="111" t="s">
        <v>229</v>
      </c>
      <c r="C109" s="141">
        <f>Inputs!$D$4</f>
        <v>1.2215999999999999E-2</v>
      </c>
      <c r="D109" s="87"/>
      <c r="E109" s="102"/>
      <c r="F109" s="87"/>
      <c r="G109" s="101">
        <f>ROUND(G106*C109,0)</f>
        <v>0</v>
      </c>
    </row>
    <row r="110" spans="1:7" ht="12.75" thickTop="1">
      <c r="A110" s="81"/>
      <c r="B110" s="87"/>
      <c r="C110" s="87"/>
      <c r="D110" s="87"/>
      <c r="E110" s="102"/>
      <c r="F110" s="87"/>
      <c r="G110" s="104"/>
    </row>
  </sheetData>
  <customSheetViews>
    <customSheetView guid="{A15D1962-B049-11D2-8670-0000832CEEE8}" scale="75" showPageBreaks="1" showRuler="0" topLeftCell="A47">
      <selection activeCell="A67" sqref="A67"/>
      <rowBreaks count="1" manualBreakCount="1">
        <brk id="65" max="65535" man="1"/>
      </rowBreaks>
      <colBreaks count="3" manualBreakCount="3">
        <brk id="8" max="1048575" man="1"/>
        <brk id="16" max="1048575" man="1"/>
        <brk id="24" max="1048575" man="1"/>
      </colBreaks>
      <pageMargins left="0.75" right="0.75" top="0.5" bottom="0.5" header="0.5" footer="0.5"/>
      <printOptions horizontalCentered="1"/>
      <pageSetup scale="83" orientation="portrait" horizontalDpi="300" verticalDpi="300" r:id="rId1"/>
      <headerFooter alignWithMargins="0"/>
    </customSheetView>
    <customSheetView guid="{6E1B8C45-B07F-11D2-B0DC-0000832CDFF0}" scale="75" showPageBreaks="1" printArea="1" showRuler="0" topLeftCell="A47">
      <selection activeCell="A67" sqref="A67"/>
      <rowBreaks count="1" manualBreakCount="1">
        <brk id="65" max="65535" man="1"/>
      </rowBreaks>
      <colBreaks count="1" manualBreakCount="1">
        <brk id="8" max="1048575" man="1"/>
      </colBreaks>
      <pageMargins left="1" right="0.75" top="0.5" bottom="0.5" header="0.5" footer="0.5"/>
      <printOptions horizontalCentered="1"/>
      <pageSetup scale="90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0.75" top="0.5" bottom="0.5" header="0.5" footer="0.5"/>
  <pageSetup scale="90" orientation="portrait" horizontalDpi="300" verticalDpi="300" r:id="rId3"/>
  <headerFooter alignWithMargins="0"/>
  <rowBreaks count="1" manualBreakCount="1">
    <brk id="65" max="65535" man="1"/>
  </rowBreaks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L110"/>
  <sheetViews>
    <sheetView zoomScale="75" workbookViewId="0">
      <selection activeCell="F2" sqref="F2"/>
    </sheetView>
  </sheetViews>
  <sheetFormatPr defaultColWidth="12.42578125" defaultRowHeight="12"/>
  <cols>
    <col min="1" max="1" width="5.5703125" style="147" customWidth="1"/>
    <col min="2" max="2" width="26.140625" style="144" customWidth="1"/>
    <col min="3" max="3" width="12.42578125" style="144" customWidth="1"/>
    <col min="4" max="4" width="6.7109375" style="144" customWidth="1"/>
    <col min="5" max="5" width="12.42578125" style="81" customWidth="1"/>
    <col min="6" max="7" width="12.42578125" style="144" customWidth="1"/>
    <col min="8" max="8" width="11.7109375" style="81" customWidth="1"/>
    <col min="9" max="16384" width="12.42578125" style="144"/>
  </cols>
  <sheetData>
    <row r="1" spans="1:8">
      <c r="A1" s="142" t="str">
        <f>Inputs!$D$6</f>
        <v>AVISTA UTILITIES</v>
      </c>
      <c r="B1" s="143"/>
      <c r="C1" s="142"/>
      <c r="F1" s="927"/>
    </row>
    <row r="2" spans="1:8">
      <c r="A2" s="142" t="s">
        <v>142</v>
      </c>
      <c r="B2" s="143"/>
      <c r="C2" s="142"/>
      <c r="E2" s="79"/>
      <c r="F2" s="927" t="s">
        <v>471</v>
      </c>
      <c r="G2" s="142"/>
    </row>
    <row r="3" spans="1:8">
      <c r="A3" s="143" t="str">
        <f>WAElec09_08!$A$4</f>
        <v>TWELVE MONTHS ENDED SEPTEMBER 30, 2008</v>
      </c>
      <c r="B3" s="143"/>
      <c r="C3" s="142"/>
      <c r="E3" s="79"/>
      <c r="F3" s="927" t="s">
        <v>145</v>
      </c>
      <c r="G3" s="142"/>
    </row>
    <row r="4" spans="1:8">
      <c r="A4" s="142" t="s">
        <v>1</v>
      </c>
      <c r="B4" s="143"/>
      <c r="C4" s="142"/>
      <c r="E4" s="83"/>
      <c r="F4" s="145"/>
      <c r="G4" s="146"/>
    </row>
    <row r="5" spans="1:8">
      <c r="A5" s="147" t="s">
        <v>14</v>
      </c>
    </row>
    <row r="6" spans="1:8" s="147" customFormat="1">
      <c r="A6" s="147" t="s">
        <v>146</v>
      </c>
      <c r="B6" s="148" t="s">
        <v>36</v>
      </c>
      <c r="C6" s="148"/>
      <c r="E6" s="86" t="s">
        <v>147</v>
      </c>
      <c r="F6" s="148" t="s">
        <v>148</v>
      </c>
      <c r="G6" s="148" t="s">
        <v>128</v>
      </c>
      <c r="H6" s="88" t="s">
        <v>149</v>
      </c>
    </row>
    <row r="7" spans="1:8">
      <c r="B7" s="149" t="s">
        <v>85</v>
      </c>
    </row>
    <row r="8" spans="1:8" s="152" customFormat="1">
      <c r="A8" s="150">
        <v>1</v>
      </c>
      <c r="B8" s="151" t="s">
        <v>86</v>
      </c>
      <c r="E8" s="93">
        <f>F8+G8</f>
        <v>0</v>
      </c>
      <c r="F8" s="153"/>
      <c r="G8" s="153"/>
      <c r="H8" s="92" t="str">
        <f t="shared" ref="H8:H13" si="0">IF(E8=F8+G8," ","ERROR")</f>
        <v xml:space="preserve"> </v>
      </c>
    </row>
    <row r="9" spans="1:8">
      <c r="A9" s="147">
        <v>2</v>
      </c>
      <c r="B9" s="149" t="s">
        <v>87</v>
      </c>
      <c r="E9" s="94"/>
      <c r="F9" s="154"/>
      <c r="G9" s="154"/>
      <c r="H9" s="92" t="str">
        <f t="shared" si="0"/>
        <v xml:space="preserve"> </v>
      </c>
    </row>
    <row r="10" spans="1:8">
      <c r="A10" s="147">
        <v>3</v>
      </c>
      <c r="B10" s="149" t="s">
        <v>150</v>
      </c>
      <c r="E10" s="94"/>
      <c r="F10" s="154"/>
      <c r="G10" s="154"/>
      <c r="H10" s="92" t="str">
        <f t="shared" si="0"/>
        <v xml:space="preserve"> </v>
      </c>
    </row>
    <row r="11" spans="1:8">
      <c r="A11" s="147">
        <v>4</v>
      </c>
      <c r="B11" s="149" t="s">
        <v>151</v>
      </c>
      <c r="E11" s="95">
        <f>E8+E9+E10</f>
        <v>0</v>
      </c>
      <c r="F11" s="155">
        <f>F8+F9+F10</f>
        <v>0</v>
      </c>
      <c r="G11" s="155">
        <f>G8+G9+G10</f>
        <v>0</v>
      </c>
      <c r="H11" s="92" t="str">
        <f t="shared" si="0"/>
        <v xml:space="preserve"> </v>
      </c>
    </row>
    <row r="12" spans="1:8">
      <c r="A12" s="147">
        <v>5</v>
      </c>
      <c r="B12" s="149" t="s">
        <v>90</v>
      </c>
      <c r="E12" s="94"/>
      <c r="F12" s="154"/>
      <c r="G12" s="154"/>
      <c r="H12" s="92" t="str">
        <f t="shared" si="0"/>
        <v xml:space="preserve"> </v>
      </c>
    </row>
    <row r="13" spans="1:8">
      <c r="A13" s="147">
        <v>6</v>
      </c>
      <c r="B13" s="149" t="s">
        <v>152</v>
      </c>
      <c r="E13" s="95">
        <f>E11+E12</f>
        <v>0</v>
      </c>
      <c r="F13" s="155">
        <f>F11+F12</f>
        <v>0</v>
      </c>
      <c r="G13" s="155">
        <f>G11+G12</f>
        <v>0</v>
      </c>
      <c r="H13" s="92" t="str">
        <f t="shared" si="0"/>
        <v xml:space="preserve"> </v>
      </c>
    </row>
    <row r="14" spans="1:8">
      <c r="E14" s="96"/>
      <c r="F14" s="156"/>
      <c r="G14" s="156"/>
      <c r="H14" s="92"/>
    </row>
    <row r="15" spans="1:8">
      <c r="B15" s="149" t="s">
        <v>92</v>
      </c>
      <c r="E15" s="96"/>
      <c r="F15" s="156"/>
      <c r="G15" s="156"/>
      <c r="H15" s="92"/>
    </row>
    <row r="16" spans="1:8">
      <c r="B16" s="149" t="s">
        <v>93</v>
      </c>
      <c r="E16" s="96"/>
      <c r="F16" s="156"/>
      <c r="G16" s="156"/>
      <c r="H16" s="92"/>
    </row>
    <row r="17" spans="1:8">
      <c r="A17" s="147">
        <v>7</v>
      </c>
      <c r="B17" s="149" t="s">
        <v>153</v>
      </c>
      <c r="E17" s="94"/>
      <c r="F17" s="154"/>
      <c r="G17" s="154"/>
      <c r="H17" s="92" t="str">
        <f>IF(E17=F17+G17," ","ERROR")</f>
        <v xml:space="preserve"> </v>
      </c>
    </row>
    <row r="18" spans="1:8">
      <c r="A18" s="147">
        <v>8</v>
      </c>
      <c r="B18" s="149" t="s">
        <v>154</v>
      </c>
      <c r="E18" s="94"/>
      <c r="F18" s="154"/>
      <c r="G18" s="154"/>
      <c r="H18" s="92" t="str">
        <f>IF(E18=F18+G18," ","ERROR")</f>
        <v xml:space="preserve"> </v>
      </c>
    </row>
    <row r="19" spans="1:8">
      <c r="A19" s="147">
        <v>9</v>
      </c>
      <c r="B19" s="149" t="s">
        <v>155</v>
      </c>
      <c r="E19" s="94">
        <f>F19+G19</f>
        <v>0</v>
      </c>
      <c r="F19" s="154"/>
      <c r="G19" s="154"/>
      <c r="H19" s="92" t="str">
        <f>IF(E19=F19+G19," ","ERROR")</f>
        <v xml:space="preserve"> </v>
      </c>
    </row>
    <row r="20" spans="1:8">
      <c r="A20" s="147">
        <v>10</v>
      </c>
      <c r="B20" s="149" t="s">
        <v>156</v>
      </c>
      <c r="E20" s="94"/>
      <c r="F20" s="154"/>
      <c r="G20" s="154"/>
      <c r="H20" s="92" t="str">
        <f>IF(E20=F20+G20," ","ERROR")</f>
        <v xml:space="preserve"> </v>
      </c>
    </row>
    <row r="21" spans="1:8">
      <c r="A21" s="147">
        <v>11</v>
      </c>
      <c r="B21" s="149" t="s">
        <v>157</v>
      </c>
      <c r="E21" s="95">
        <f>E17+E18+E19+E20</f>
        <v>0</v>
      </c>
      <c r="F21" s="155">
        <f>F17+F18+F19+F20</f>
        <v>0</v>
      </c>
      <c r="G21" s="155">
        <f>G17+G18+G19+G20</f>
        <v>0</v>
      </c>
      <c r="H21" s="92" t="str">
        <f>IF(E21=F21+G21," ","ERROR")</f>
        <v xml:space="preserve"> </v>
      </c>
    </row>
    <row r="22" spans="1:8">
      <c r="E22" s="96"/>
      <c r="F22" s="156"/>
      <c r="G22" s="156"/>
      <c r="H22" s="92"/>
    </row>
    <row r="23" spans="1:8">
      <c r="B23" s="149" t="s">
        <v>98</v>
      </c>
      <c r="E23" s="96"/>
      <c r="F23" s="156"/>
      <c r="G23" s="156"/>
      <c r="H23" s="92"/>
    </row>
    <row r="24" spans="1:8">
      <c r="A24" s="147">
        <v>12</v>
      </c>
      <c r="B24" s="149" t="s">
        <v>153</v>
      </c>
      <c r="E24" s="94"/>
      <c r="F24" s="154"/>
      <c r="G24" s="154"/>
      <c r="H24" s="92" t="str">
        <f>IF(E24=F24+G24," ","ERROR")</f>
        <v xml:space="preserve"> </v>
      </c>
    </row>
    <row r="25" spans="1:8">
      <c r="A25" s="147">
        <v>13</v>
      </c>
      <c r="B25" s="149" t="s">
        <v>158</v>
      </c>
      <c r="E25" s="94"/>
      <c r="F25" s="154"/>
      <c r="G25" s="154"/>
      <c r="H25" s="92" t="str">
        <f>IF(E25=F25+G25," ","ERROR")</f>
        <v xml:space="preserve"> </v>
      </c>
    </row>
    <row r="26" spans="1:8">
      <c r="A26" s="147">
        <v>14</v>
      </c>
      <c r="B26" s="149" t="s">
        <v>156</v>
      </c>
      <c r="E26" s="94">
        <f>F26+G26</f>
        <v>0</v>
      </c>
      <c r="F26" s="154"/>
      <c r="G26" s="154">
        <f>G109</f>
        <v>0</v>
      </c>
      <c r="H26" s="92" t="str">
        <f>IF(E26=F26+G26," ","ERROR")</f>
        <v xml:space="preserve"> </v>
      </c>
    </row>
    <row r="27" spans="1:8">
      <c r="A27" s="147">
        <v>15</v>
      </c>
      <c r="B27" s="149" t="s">
        <v>159</v>
      </c>
      <c r="E27" s="95">
        <f>E24+E25+E26</f>
        <v>0</v>
      </c>
      <c r="F27" s="155">
        <f>F24+F25+F26</f>
        <v>0</v>
      </c>
      <c r="G27" s="155">
        <f>G24+G25+G26</f>
        <v>0</v>
      </c>
      <c r="H27" s="92" t="str">
        <f>IF(E27=F27+G27," ","ERROR")</f>
        <v xml:space="preserve"> </v>
      </c>
    </row>
    <row r="28" spans="1:8">
      <c r="E28" s="96"/>
      <c r="F28" s="156"/>
      <c r="G28" s="156"/>
      <c r="H28" s="92"/>
    </row>
    <row r="29" spans="1:8">
      <c r="A29" s="147">
        <v>16</v>
      </c>
      <c r="B29" s="149" t="s">
        <v>101</v>
      </c>
      <c r="E29" s="94"/>
      <c r="F29" s="154"/>
      <c r="G29" s="154"/>
      <c r="H29" s="92" t="str">
        <f>IF(E29=F29+G29," ","ERROR")</f>
        <v xml:space="preserve"> </v>
      </c>
    </row>
    <row r="30" spans="1:8">
      <c r="A30" s="147">
        <v>17</v>
      </c>
      <c r="B30" s="149" t="s">
        <v>102</v>
      </c>
      <c r="E30" s="94"/>
      <c r="F30" s="154"/>
      <c r="G30" s="154"/>
      <c r="H30" s="92" t="str">
        <f>IF(E30=F30+G30," ","ERROR")</f>
        <v xml:space="preserve"> </v>
      </c>
    </row>
    <row r="31" spans="1:8">
      <c r="A31" s="147">
        <v>18</v>
      </c>
      <c r="B31" s="149" t="s">
        <v>160</v>
      </c>
      <c r="E31" s="94"/>
      <c r="F31" s="154"/>
      <c r="G31" s="154"/>
      <c r="H31" s="92" t="str">
        <f>IF(E31=F31+G31," ","ERROR")</f>
        <v xml:space="preserve"> </v>
      </c>
    </row>
    <row r="32" spans="1:8">
      <c r="E32" s="96"/>
      <c r="F32" s="156"/>
      <c r="G32" s="156"/>
      <c r="H32" s="92"/>
    </row>
    <row r="33" spans="1:12">
      <c r="B33" s="149" t="s">
        <v>104</v>
      </c>
      <c r="E33" s="96"/>
      <c r="F33" s="156"/>
      <c r="G33" s="156"/>
      <c r="H33" s="92"/>
    </row>
    <row r="34" spans="1:12">
      <c r="A34" s="147">
        <v>19</v>
      </c>
      <c r="B34" s="149" t="s">
        <v>153</v>
      </c>
      <c r="E34" s="94"/>
      <c r="F34" s="154"/>
      <c r="G34" s="154"/>
      <c r="H34" s="92" t="str">
        <f>IF(E34=F34+G34," ","ERROR")</f>
        <v xml:space="preserve"> </v>
      </c>
    </row>
    <row r="35" spans="1:12">
      <c r="A35" s="147">
        <v>20</v>
      </c>
      <c r="B35" s="149" t="s">
        <v>158</v>
      </c>
      <c r="E35" s="94"/>
      <c r="F35" s="154"/>
      <c r="G35" s="154"/>
      <c r="H35" s="92" t="str">
        <f>IF(E35=F35+G35," ","ERROR")</f>
        <v xml:space="preserve"> </v>
      </c>
    </row>
    <row r="36" spans="1:12">
      <c r="A36" s="147">
        <v>21</v>
      </c>
      <c r="B36" s="149" t="s">
        <v>156</v>
      </c>
      <c r="E36" s="94"/>
      <c r="F36" s="154"/>
      <c r="G36" s="154"/>
      <c r="H36" s="92" t="str">
        <f>IF(E36=F36+G36," ","ERROR")</f>
        <v xml:space="preserve"> </v>
      </c>
    </row>
    <row r="37" spans="1:12">
      <c r="A37" s="147">
        <v>22</v>
      </c>
      <c r="B37" s="149" t="s">
        <v>161</v>
      </c>
      <c r="E37" s="97">
        <f>E34+E35+E36</f>
        <v>0</v>
      </c>
      <c r="F37" s="157">
        <f>F34+F35+F36</f>
        <v>0</v>
      </c>
      <c r="G37" s="157">
        <f>G34+G35+G36</f>
        <v>0</v>
      </c>
      <c r="H37" s="92" t="str">
        <f>IF(E37=F37+G37," ","ERROR")</f>
        <v xml:space="preserve"> </v>
      </c>
    </row>
    <row r="38" spans="1:12">
      <c r="A38" s="147">
        <v>23</v>
      </c>
      <c r="B38" s="149" t="s">
        <v>106</v>
      </c>
      <c r="E38" s="98">
        <f>E21+E27+E29+E30+E31+E37</f>
        <v>0</v>
      </c>
      <c r="F38" s="158">
        <f>F21+F27+F29+F30+F31+F37</f>
        <v>0</v>
      </c>
      <c r="G38" s="158">
        <f>G21+G27+G29+G30+G31+G37</f>
        <v>0</v>
      </c>
      <c r="H38" s="92" t="str">
        <f>IF(E38=F38+G38," ","ERROR")</f>
        <v xml:space="preserve"> </v>
      </c>
    </row>
    <row r="39" spans="1:12">
      <c r="E39" s="96"/>
      <c r="F39" s="156"/>
      <c r="G39" s="156"/>
      <c r="H39" s="92"/>
    </row>
    <row r="40" spans="1:12">
      <c r="A40" s="147">
        <v>24</v>
      </c>
      <c r="B40" s="149" t="s">
        <v>162</v>
      </c>
      <c r="E40" s="96">
        <f>E13-E38</f>
        <v>0</v>
      </c>
      <c r="F40" s="156">
        <f>F13-F38</f>
        <v>0</v>
      </c>
      <c r="G40" s="156">
        <f>G13-G38</f>
        <v>0</v>
      </c>
      <c r="H40" s="92" t="str">
        <f>IF(E40=F40+G40," ","ERROR")</f>
        <v xml:space="preserve"> </v>
      </c>
    </row>
    <row r="41" spans="1:12">
      <c r="B41" s="149"/>
      <c r="E41" s="96"/>
      <c r="F41" s="156"/>
      <c r="G41" s="156"/>
      <c r="H41" s="92"/>
    </row>
    <row r="42" spans="1:12">
      <c r="B42" s="149" t="s">
        <v>163</v>
      </c>
      <c r="E42" s="96"/>
      <c r="F42" s="156"/>
      <c r="G42" s="156"/>
      <c r="H42" s="92"/>
    </row>
    <row r="43" spans="1:12">
      <c r="A43" s="147">
        <v>25</v>
      </c>
      <c r="B43" s="149" t="s">
        <v>222</v>
      </c>
      <c r="E43" s="94">
        <f>F43+G43</f>
        <v>0</v>
      </c>
      <c r="F43" s="154">
        <v>0</v>
      </c>
      <c r="G43" s="154">
        <v>0</v>
      </c>
      <c r="H43" s="92" t="str">
        <f>IF(E43=F43+G43," ","ERROR")</f>
        <v xml:space="preserve"> </v>
      </c>
    </row>
    <row r="44" spans="1:12">
      <c r="A44" s="147">
        <v>26</v>
      </c>
      <c r="B44" s="149" t="s">
        <v>165</v>
      </c>
      <c r="E44" s="94">
        <f>F44+G44</f>
        <v>56</v>
      </c>
      <c r="F44" s="154">
        <v>56</v>
      </c>
      <c r="G44" s="154">
        <v>0</v>
      </c>
      <c r="H44" s="92" t="str">
        <f>IF(E44=F44+G44," ","ERROR")</f>
        <v xml:space="preserve"> </v>
      </c>
    </row>
    <row r="45" spans="1:12" ht="12.75">
      <c r="A45"/>
      <c r="B45"/>
      <c r="C45"/>
      <c r="D45"/>
      <c r="E45" s="913"/>
      <c r="F45" s="913"/>
      <c r="G45" s="913"/>
      <c r="H45" s="92" t="str">
        <f>IF(E45=F45+G45," ","ERROR")</f>
        <v xml:space="preserve"> </v>
      </c>
    </row>
    <row r="46" spans="1:12">
      <c r="A46" s="259"/>
      <c r="B46" s="262"/>
      <c r="C46" s="256"/>
      <c r="D46" s="256"/>
      <c r="E46" s="269"/>
      <c r="F46" s="269"/>
      <c r="G46" s="269"/>
      <c r="H46" s="92"/>
    </row>
    <row r="47" spans="1:12" s="152" customFormat="1">
      <c r="A47" s="263">
        <v>27</v>
      </c>
      <c r="B47" s="264" t="s">
        <v>113</v>
      </c>
      <c r="C47" s="265"/>
      <c r="D47" s="265"/>
      <c r="E47" s="273">
        <f>E40-SUM(E43:E44)</f>
        <v>-56</v>
      </c>
      <c r="F47" s="273">
        <f>F40-SUM(F43:F44)</f>
        <v>-56</v>
      </c>
      <c r="G47" s="273">
        <f>G40-SUM(G43:G44)</f>
        <v>0</v>
      </c>
      <c r="H47" s="92" t="str">
        <f>IF(E47=F47+G47," ","ERROR")</f>
        <v xml:space="preserve"> </v>
      </c>
      <c r="I47" s="1255"/>
      <c r="J47" s="1261" t="s">
        <v>647</v>
      </c>
      <c r="K47" s="1261" t="s">
        <v>645</v>
      </c>
      <c r="L47" s="1261" t="s">
        <v>646</v>
      </c>
    </row>
    <row r="48" spans="1:12">
      <c r="A48" s="259"/>
      <c r="H48" s="92"/>
      <c r="I48" s="1257" t="s">
        <v>648</v>
      </c>
      <c r="J48" s="1259" t="s">
        <v>649</v>
      </c>
      <c r="K48" s="1259" t="s">
        <v>653</v>
      </c>
      <c r="L48" s="1259" t="s">
        <v>653</v>
      </c>
    </row>
    <row r="49" spans="1:12">
      <c r="A49" s="259"/>
      <c r="B49" s="149" t="s">
        <v>114</v>
      </c>
      <c r="H49" s="92"/>
      <c r="I49" s="1260" t="s">
        <v>650</v>
      </c>
      <c r="J49" s="1259" t="s">
        <v>649</v>
      </c>
      <c r="K49" s="1259" t="s">
        <v>649</v>
      </c>
      <c r="L49" s="1259" t="s">
        <v>649</v>
      </c>
    </row>
    <row r="50" spans="1:12">
      <c r="A50" s="259"/>
      <c r="B50" s="149" t="s">
        <v>115</v>
      </c>
      <c r="H50" s="92"/>
      <c r="I50" s="1260" t="s">
        <v>651</v>
      </c>
      <c r="J50" s="1259" t="s">
        <v>649</v>
      </c>
      <c r="K50" s="1259" t="s">
        <v>649</v>
      </c>
      <c r="L50" s="1259" t="s">
        <v>649</v>
      </c>
    </row>
    <row r="51" spans="1:12" s="152" customFormat="1">
      <c r="A51" s="263">
        <v>28</v>
      </c>
      <c r="B51" s="151" t="s">
        <v>167</v>
      </c>
      <c r="E51" s="93"/>
      <c r="F51" s="153"/>
      <c r="G51" s="153"/>
      <c r="H51" s="92" t="str">
        <f t="shared" ref="H51:H61" si="1">IF(E51=F51+G51," ","ERROR")</f>
        <v xml:space="preserve"> </v>
      </c>
      <c r="I51" s="1255" t="s">
        <v>652</v>
      </c>
      <c r="J51" s="1256" t="s">
        <v>649</v>
      </c>
      <c r="K51" s="1256" t="s">
        <v>653</v>
      </c>
      <c r="L51" s="1256" t="s">
        <v>649</v>
      </c>
    </row>
    <row r="52" spans="1:12">
      <c r="A52" s="259">
        <v>29</v>
      </c>
      <c r="B52" s="149" t="s">
        <v>168</v>
      </c>
      <c r="E52" s="94">
        <f>SUM(F52:G52)</f>
        <v>-5248</v>
      </c>
      <c r="F52" s="154">
        <v>-5248</v>
      </c>
      <c r="G52" s="154">
        <v>0</v>
      </c>
      <c r="H52" s="92" t="str">
        <f t="shared" si="1"/>
        <v xml:space="preserve"> </v>
      </c>
      <c r="J52" s="147"/>
      <c r="K52" s="147"/>
      <c r="L52" s="147"/>
    </row>
    <row r="53" spans="1:12">
      <c r="A53" s="259">
        <v>30</v>
      </c>
      <c r="B53" s="149" t="s">
        <v>169</v>
      </c>
      <c r="E53" s="94"/>
      <c r="F53" s="154"/>
      <c r="G53" s="154"/>
      <c r="H53" s="92" t="str">
        <f t="shared" si="1"/>
        <v xml:space="preserve"> </v>
      </c>
      <c r="J53" s="147"/>
      <c r="K53" s="147"/>
      <c r="L53" s="147"/>
    </row>
    <row r="54" spans="1:12">
      <c r="A54" s="259">
        <v>31</v>
      </c>
      <c r="B54" s="149" t="s">
        <v>170</v>
      </c>
      <c r="E54" s="94"/>
      <c r="F54" s="154"/>
      <c r="G54" s="154"/>
      <c r="H54" s="92" t="str">
        <f t="shared" si="1"/>
        <v xml:space="preserve"> </v>
      </c>
      <c r="J54" s="147"/>
      <c r="K54" s="147"/>
      <c r="L54" s="147"/>
    </row>
    <row r="55" spans="1:12">
      <c r="A55" s="259">
        <v>32</v>
      </c>
      <c r="B55" s="149" t="s">
        <v>171</v>
      </c>
      <c r="E55" s="100"/>
      <c r="F55" s="159"/>
      <c r="G55" s="159"/>
      <c r="H55" s="92" t="str">
        <f t="shared" si="1"/>
        <v xml:space="preserve"> </v>
      </c>
      <c r="J55" s="147"/>
      <c r="K55" s="147"/>
      <c r="L55" s="147"/>
    </row>
    <row r="56" spans="1:12">
      <c r="A56" s="259">
        <v>33</v>
      </c>
      <c r="B56" s="149" t="s">
        <v>172</v>
      </c>
      <c r="E56" s="96">
        <f>E51+E52+E53+E54+E55</f>
        <v>-5248</v>
      </c>
      <c r="F56" s="156">
        <f>F51+F52+F53+F54+F55</f>
        <v>-5248</v>
      </c>
      <c r="G56" s="156">
        <f>G51+G52+G53+G54+G55</f>
        <v>0</v>
      </c>
      <c r="H56" s="92" t="str">
        <f t="shared" si="1"/>
        <v xml:space="preserve"> </v>
      </c>
    </row>
    <row r="57" spans="1:12">
      <c r="A57" s="259">
        <v>34</v>
      </c>
      <c r="B57" s="149" t="s">
        <v>121</v>
      </c>
      <c r="E57" s="94">
        <f>SUM(F57:G57)</f>
        <v>-3796</v>
      </c>
      <c r="F57" s="154">
        <v>-3796</v>
      </c>
      <c r="G57" s="154">
        <v>0</v>
      </c>
      <c r="H57" s="92" t="str">
        <f t="shared" si="1"/>
        <v xml:space="preserve"> </v>
      </c>
    </row>
    <row r="58" spans="1:12">
      <c r="A58" s="259">
        <v>35</v>
      </c>
      <c r="B58" s="149" t="s">
        <v>122</v>
      </c>
      <c r="E58" s="100"/>
      <c r="F58" s="159"/>
      <c r="G58" s="159"/>
      <c r="H58" s="92" t="str">
        <f t="shared" si="1"/>
        <v xml:space="preserve"> </v>
      </c>
    </row>
    <row r="59" spans="1:12">
      <c r="A59" s="259">
        <v>36</v>
      </c>
      <c r="B59" s="149" t="s">
        <v>173</v>
      </c>
      <c r="E59" s="96">
        <f>E57+E58</f>
        <v>-3796</v>
      </c>
      <c r="F59" s="156">
        <f>F57+F58</f>
        <v>-3796</v>
      </c>
      <c r="G59" s="156">
        <f>G57+G58</f>
        <v>0</v>
      </c>
      <c r="H59" s="92" t="str">
        <f t="shared" si="1"/>
        <v xml:space="preserve"> </v>
      </c>
    </row>
    <row r="60" spans="1:12">
      <c r="A60" s="259">
        <v>37</v>
      </c>
      <c r="B60" s="149" t="s">
        <v>124</v>
      </c>
      <c r="E60" s="94"/>
      <c r="F60" s="154"/>
      <c r="G60" s="154"/>
      <c r="H60" s="92" t="str">
        <f t="shared" si="1"/>
        <v xml:space="preserve"> </v>
      </c>
    </row>
    <row r="61" spans="1:12">
      <c r="A61" s="259">
        <v>38</v>
      </c>
      <c r="B61" s="149" t="s">
        <v>125</v>
      </c>
      <c r="E61" s="94">
        <f>SUM(F61:G61)</f>
        <v>598</v>
      </c>
      <c r="F61" s="159">
        <v>598</v>
      </c>
      <c r="G61" s="159">
        <v>0</v>
      </c>
      <c r="H61" s="92" t="str">
        <f t="shared" si="1"/>
        <v xml:space="preserve"> </v>
      </c>
    </row>
    <row r="62" spans="1:12">
      <c r="A62" s="259"/>
      <c r="E62" s="915"/>
      <c r="H62" s="92"/>
    </row>
    <row r="63" spans="1:12" s="152" customFormat="1" ht="12.75" thickBot="1">
      <c r="A63" s="263">
        <v>39</v>
      </c>
      <c r="B63" s="151" t="s">
        <v>126</v>
      </c>
      <c r="E63" s="101">
        <f>E56-E59+E60+E61</f>
        <v>-854</v>
      </c>
      <c r="F63" s="160">
        <f>F56-F59+F60+F61</f>
        <v>-854</v>
      </c>
      <c r="G63" s="160">
        <f>G56-G59+G60+G61</f>
        <v>0</v>
      </c>
      <c r="H63" s="92" t="str">
        <f>IF(E63=F63+G63," ","ERROR")</f>
        <v xml:space="preserve"> </v>
      </c>
    </row>
    <row r="64" spans="1:12" ht="12.75" thickTop="1"/>
    <row r="65" spans="1:7">
      <c r="A65" s="161"/>
      <c r="B65" s="161"/>
      <c r="C65" s="161"/>
      <c r="D65" s="161"/>
      <c r="E65" s="102"/>
      <c r="F65" s="161"/>
      <c r="G65" s="161"/>
    </row>
    <row r="66" spans="1:7">
      <c r="A66" s="161"/>
      <c r="B66" s="161"/>
      <c r="C66" s="161"/>
      <c r="D66" s="161"/>
      <c r="E66" s="102"/>
      <c r="F66" s="161"/>
      <c r="G66" s="161"/>
    </row>
    <row r="67" spans="1:7">
      <c r="A67" s="161"/>
      <c r="B67" s="161"/>
      <c r="C67" s="161"/>
      <c r="D67" s="161"/>
      <c r="E67" s="102"/>
      <c r="F67" s="161"/>
      <c r="G67" s="161"/>
    </row>
    <row r="68" spans="1:7">
      <c r="A68" s="161"/>
      <c r="B68" s="161"/>
      <c r="C68" s="161"/>
      <c r="D68" s="161"/>
      <c r="E68" s="102"/>
      <c r="F68" s="161"/>
      <c r="G68" s="161"/>
    </row>
    <row r="69" spans="1:7">
      <c r="A69" s="161"/>
      <c r="B69" s="161"/>
      <c r="C69" s="161"/>
      <c r="D69" s="161"/>
      <c r="E69" s="982"/>
      <c r="F69" s="161"/>
      <c r="G69" s="161"/>
    </row>
    <row r="70" spans="1:7">
      <c r="A70" s="161"/>
      <c r="B70" s="161"/>
      <c r="C70" s="161"/>
      <c r="D70" s="161"/>
      <c r="E70" s="102"/>
      <c r="F70" s="161"/>
      <c r="G70" s="161"/>
    </row>
    <row r="71" spans="1:7">
      <c r="A71" s="161"/>
      <c r="B71" s="161"/>
      <c r="C71" s="161"/>
      <c r="D71" s="161"/>
      <c r="E71" s="102"/>
      <c r="F71" s="161"/>
      <c r="G71" s="161"/>
    </row>
    <row r="72" spans="1:7">
      <c r="A72" s="161"/>
      <c r="B72" s="161"/>
      <c r="C72" s="161"/>
      <c r="D72" s="161"/>
      <c r="E72" s="87"/>
      <c r="F72" s="161"/>
      <c r="G72" s="161"/>
    </row>
    <row r="73" spans="1:7">
      <c r="A73" s="161"/>
      <c r="B73" s="161"/>
      <c r="C73" s="161"/>
      <c r="D73" s="161"/>
      <c r="E73" s="87"/>
      <c r="F73" s="161"/>
      <c r="G73" s="161"/>
    </row>
    <row r="74" spans="1:7">
      <c r="A74" s="161"/>
      <c r="B74" s="161"/>
      <c r="C74" s="161"/>
      <c r="D74" s="161"/>
      <c r="E74" s="87"/>
      <c r="F74" s="161"/>
      <c r="G74" s="161"/>
    </row>
    <row r="75" spans="1:7">
      <c r="A75" s="161"/>
      <c r="B75" s="161"/>
      <c r="C75" s="161"/>
      <c r="D75" s="161"/>
      <c r="E75" s="87"/>
      <c r="F75" s="161"/>
      <c r="G75" s="161"/>
    </row>
    <row r="76" spans="1:7">
      <c r="A76" s="161"/>
      <c r="B76" s="161"/>
      <c r="C76" s="161"/>
      <c r="D76" s="161"/>
      <c r="E76" s="87"/>
      <c r="F76" s="161"/>
      <c r="G76" s="161"/>
    </row>
    <row r="77" spans="1:7">
      <c r="A77" s="161"/>
      <c r="B77" s="161"/>
      <c r="C77" s="161"/>
      <c r="D77" s="161"/>
      <c r="E77" s="87"/>
      <c r="F77" s="161"/>
      <c r="G77" s="161"/>
    </row>
    <row r="78" spans="1:7">
      <c r="A78" s="161"/>
      <c r="B78" s="161"/>
      <c r="C78" s="161"/>
      <c r="D78" s="161"/>
      <c r="E78" s="87"/>
      <c r="F78" s="161"/>
      <c r="G78" s="161"/>
    </row>
    <row r="79" spans="1:7">
      <c r="A79" s="161"/>
      <c r="B79" s="161"/>
      <c r="C79" s="161"/>
      <c r="D79" s="161"/>
      <c r="E79" s="87"/>
      <c r="F79" s="161"/>
      <c r="G79" s="161"/>
    </row>
    <row r="80" spans="1:7">
      <c r="A80" s="161"/>
      <c r="B80" s="161"/>
      <c r="C80" s="161"/>
      <c r="D80" s="161"/>
      <c r="E80" s="87"/>
      <c r="F80" s="161"/>
      <c r="G80" s="161"/>
    </row>
    <row r="81" spans="1:7">
      <c r="A81" s="161"/>
      <c r="B81" s="161"/>
      <c r="C81" s="161"/>
      <c r="D81" s="161"/>
      <c r="E81" s="87"/>
      <c r="F81" s="161"/>
      <c r="G81" s="161"/>
    </row>
    <row r="82" spans="1:7">
      <c r="A82" s="161"/>
      <c r="B82" s="161"/>
      <c r="C82" s="161"/>
      <c r="D82" s="161"/>
      <c r="E82" s="87"/>
      <c r="F82" s="161"/>
      <c r="G82" s="161"/>
    </row>
    <row r="83" spans="1:7">
      <c r="A83" s="161"/>
      <c r="B83" s="161"/>
      <c r="C83" s="161"/>
      <c r="D83" s="161"/>
      <c r="E83" s="87"/>
      <c r="F83" s="161"/>
      <c r="G83" s="161"/>
    </row>
    <row r="84" spans="1:7">
      <c r="A84" s="161"/>
      <c r="B84" s="161"/>
      <c r="C84" s="161"/>
      <c r="D84" s="161"/>
      <c r="E84" s="87"/>
      <c r="F84" s="161"/>
      <c r="G84" s="161"/>
    </row>
    <row r="85" spans="1:7">
      <c r="A85" s="161"/>
      <c r="B85" s="161"/>
      <c r="C85" s="161"/>
      <c r="D85" s="161"/>
      <c r="E85" s="87"/>
      <c r="F85" s="161"/>
      <c r="G85" s="161"/>
    </row>
    <row r="86" spans="1:7">
      <c r="A86" s="161"/>
      <c r="B86" s="161"/>
      <c r="C86" s="161"/>
      <c r="D86" s="161"/>
      <c r="E86" s="87"/>
      <c r="F86" s="161"/>
      <c r="G86" s="161"/>
    </row>
    <row r="87" spans="1:7">
      <c r="A87" s="161"/>
      <c r="B87" s="161"/>
      <c r="C87" s="161"/>
      <c r="D87" s="161"/>
      <c r="E87" s="87"/>
      <c r="F87" s="161"/>
      <c r="G87" s="161"/>
    </row>
    <row r="88" spans="1:7">
      <c r="A88" s="161"/>
      <c r="B88" s="161"/>
      <c r="C88" s="161"/>
      <c r="D88" s="161"/>
      <c r="E88" s="87"/>
      <c r="F88" s="161"/>
      <c r="G88" s="161"/>
    </row>
    <row r="89" spans="1:7">
      <c r="A89" s="161"/>
      <c r="B89" s="161"/>
      <c r="C89" s="161"/>
      <c r="D89" s="161"/>
      <c r="E89" s="87"/>
      <c r="F89" s="161"/>
      <c r="G89" s="161"/>
    </row>
    <row r="90" spans="1:7">
      <c r="A90" s="161"/>
      <c r="B90" s="161"/>
      <c r="C90" s="161"/>
      <c r="D90" s="161"/>
      <c r="E90" s="87"/>
      <c r="F90" s="161"/>
      <c r="G90" s="161"/>
    </row>
    <row r="91" spans="1:7">
      <c r="A91" s="161"/>
      <c r="B91" s="161"/>
      <c r="C91" s="161"/>
      <c r="D91" s="161"/>
      <c r="E91" s="87"/>
      <c r="F91" s="161"/>
      <c r="G91" s="161"/>
    </row>
    <row r="92" spans="1:7">
      <c r="A92" s="161"/>
      <c r="B92" s="161"/>
      <c r="C92" s="161"/>
      <c r="D92" s="161"/>
      <c r="E92" s="87"/>
      <c r="F92" s="161"/>
      <c r="G92" s="161"/>
    </row>
    <row r="93" spans="1:7">
      <c r="A93" s="161"/>
      <c r="B93" s="161"/>
      <c r="C93" s="161"/>
      <c r="D93" s="161"/>
      <c r="E93" s="87"/>
      <c r="F93" s="161"/>
      <c r="G93" s="161"/>
    </row>
    <row r="94" spans="1:7">
      <c r="A94" s="161"/>
      <c r="B94" s="161"/>
      <c r="C94" s="161"/>
      <c r="D94" s="161"/>
      <c r="E94" s="87"/>
      <c r="F94" s="161"/>
      <c r="G94" s="161"/>
    </row>
    <row r="95" spans="1:7">
      <c r="A95" s="161"/>
      <c r="B95" s="161"/>
      <c r="C95" s="161"/>
      <c r="D95" s="161"/>
      <c r="E95" s="87"/>
      <c r="F95" s="161"/>
      <c r="G95" s="161"/>
    </row>
    <row r="96" spans="1:7">
      <c r="A96" s="161"/>
      <c r="B96" s="161"/>
      <c r="C96" s="161"/>
      <c r="D96" s="161"/>
      <c r="E96" s="87"/>
      <c r="F96" s="161"/>
      <c r="G96" s="161"/>
    </row>
    <row r="97" spans="1:7">
      <c r="A97" s="161"/>
      <c r="B97" s="161"/>
      <c r="C97" s="161"/>
      <c r="D97" s="161"/>
      <c r="E97" s="87"/>
      <c r="F97" s="161"/>
      <c r="G97" s="161"/>
    </row>
    <row r="98" spans="1:7">
      <c r="A98" s="161"/>
      <c r="B98" s="161"/>
      <c r="C98" s="161"/>
      <c r="D98" s="161"/>
      <c r="E98" s="87"/>
      <c r="F98" s="161"/>
      <c r="G98" s="161"/>
    </row>
    <row r="99" spans="1:7">
      <c r="A99" s="161"/>
      <c r="B99" s="161"/>
      <c r="C99" s="161"/>
      <c r="D99" s="161"/>
      <c r="E99" s="87"/>
      <c r="F99" s="161"/>
      <c r="G99" s="161"/>
    </row>
    <row r="100" spans="1:7">
      <c r="A100" s="161"/>
      <c r="B100" s="161"/>
      <c r="C100" s="161"/>
      <c r="D100" s="161"/>
      <c r="E100" s="87"/>
      <c r="F100" s="161"/>
      <c r="G100" s="161"/>
    </row>
    <row r="101" spans="1:7">
      <c r="A101" s="161"/>
      <c r="B101" s="161"/>
      <c r="C101" s="161"/>
      <c r="D101" s="161"/>
      <c r="E101" s="87"/>
      <c r="F101" s="161"/>
      <c r="G101" s="161"/>
    </row>
    <row r="102" spans="1:7">
      <c r="A102" s="161"/>
      <c r="B102" s="161"/>
      <c r="C102" s="161"/>
      <c r="D102" s="161"/>
      <c r="E102" s="87"/>
      <c r="F102" s="161"/>
      <c r="G102" s="161"/>
    </row>
    <row r="103" spans="1:7">
      <c r="A103" s="161"/>
      <c r="B103" s="161"/>
      <c r="C103" s="161"/>
      <c r="D103" s="161"/>
      <c r="E103" s="87"/>
      <c r="F103" s="161"/>
      <c r="G103" s="161"/>
    </row>
    <row r="104" spans="1:7">
      <c r="A104" s="161"/>
      <c r="B104" s="161"/>
      <c r="C104" s="161"/>
      <c r="D104" s="161"/>
      <c r="E104" s="87"/>
      <c r="F104" s="161"/>
      <c r="G104" s="161"/>
    </row>
    <row r="105" spans="1:7">
      <c r="A105" s="161"/>
      <c r="B105" s="161"/>
      <c r="C105" s="161"/>
      <c r="D105" s="161"/>
      <c r="E105" s="87"/>
      <c r="F105" s="161"/>
      <c r="G105" s="161"/>
    </row>
    <row r="106" spans="1:7">
      <c r="A106" s="161"/>
      <c r="B106" s="161"/>
      <c r="C106" s="161"/>
      <c r="D106" s="161"/>
      <c r="E106" s="87"/>
      <c r="F106" s="161"/>
      <c r="G106" s="161"/>
    </row>
    <row r="107" spans="1:7">
      <c r="A107" s="161"/>
      <c r="B107" s="161"/>
      <c r="C107" s="161"/>
      <c r="D107" s="161"/>
      <c r="E107" s="87"/>
      <c r="F107" s="161"/>
      <c r="G107" s="161"/>
    </row>
    <row r="108" spans="1:7">
      <c r="A108" s="161"/>
      <c r="B108" s="161"/>
      <c r="C108" s="161"/>
      <c r="D108" s="161"/>
      <c r="E108" s="102"/>
      <c r="F108" s="161"/>
      <c r="G108" s="161"/>
    </row>
    <row r="109" spans="1:7">
      <c r="A109" s="161"/>
      <c r="B109" s="161"/>
      <c r="C109" s="161"/>
      <c r="D109" s="161"/>
      <c r="E109" s="102"/>
      <c r="F109" s="161"/>
      <c r="G109" s="161"/>
    </row>
    <row r="110" spans="1:7">
      <c r="A110" s="161"/>
      <c r="B110" s="161"/>
      <c r="C110" s="161"/>
      <c r="D110" s="161"/>
      <c r="E110" s="102"/>
      <c r="F110" s="161"/>
      <c r="G110" s="161"/>
    </row>
  </sheetData>
  <customSheetViews>
    <customSheetView guid="{A15D1962-B049-11D2-8670-0000832CEEE8}" scale="75" showPageBreaks="1" showRuler="0" topLeftCell="A47">
      <rowBreaks count="1" manualBreakCount="1">
        <brk id="65" max="65535" man="1"/>
      </rowBreaks>
      <colBreaks count="3" manualBreakCount="3">
        <brk id="8" max="1048575" man="1"/>
        <brk id="16" max="1048575" man="1"/>
        <brk id="24" max="1048575" man="1"/>
      </colBreaks>
      <pageMargins left="0.75" right="0.75" top="0.5" bottom="0.5" header="0.5" footer="0.5"/>
      <printOptions horizontalCentered="1"/>
      <pageSetup scale="83" orientation="portrait" horizontalDpi="300" verticalDpi="300" r:id="rId1"/>
      <headerFooter alignWithMargins="0"/>
    </customSheetView>
    <customSheetView guid="{6E1B8C45-B07F-11D2-B0DC-0000832CDFF0}" scale="75" showPageBreaks="1" printArea="1" hiddenColumns="1" showRuler="0" topLeftCell="A47">
      <rowBreaks count="1" manualBreakCount="1">
        <brk id="65" max="65535" man="1"/>
      </rowBreaks>
      <colBreaks count="1" manualBreakCount="1">
        <brk id="8" max="1048575" man="1"/>
      </colBreaks>
      <pageMargins left="1" right="0.75" top="0.5" bottom="0.5" header="0.5" footer="0.5"/>
      <printOptions horizontalCentered="1"/>
      <pageSetup scale="90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0.75" top="0.5" bottom="0.5" header="0.5" footer="0.5"/>
  <pageSetup scale="90" orientation="portrait" horizontalDpi="300" verticalDpi="300" r:id="rId3"/>
  <headerFooter alignWithMargins="0"/>
  <rowBreaks count="1" manualBreakCount="1">
    <brk id="65" max="65535" man="1"/>
  </rowBreaks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H109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F2" sqref="F2"/>
    </sheetView>
  </sheetViews>
  <sheetFormatPr defaultColWidth="12.42578125" defaultRowHeight="12"/>
  <cols>
    <col min="1" max="1" width="5.5703125" style="367" customWidth="1"/>
    <col min="2" max="2" width="26.140625" style="364" customWidth="1"/>
    <col min="3" max="3" width="12.42578125" style="364" customWidth="1"/>
    <col min="4" max="4" width="6.7109375" style="364" customWidth="1"/>
    <col min="5" max="6" width="12.42578125" style="364" customWidth="1"/>
    <col min="7" max="7" width="11.7109375" style="364" customWidth="1"/>
    <col min="8" max="8" width="11.7109375" style="81" customWidth="1"/>
    <col min="9" max="16384" width="12.42578125" style="364"/>
  </cols>
  <sheetData>
    <row r="1" spans="1:8">
      <c r="A1" s="362" t="str">
        <f>Inputs!$D$6</f>
        <v>AVISTA UTILITIES</v>
      </c>
      <c r="B1" s="363"/>
      <c r="C1" s="362"/>
    </row>
    <row r="2" spans="1:8">
      <c r="A2" s="362" t="s">
        <v>142</v>
      </c>
      <c r="B2" s="363"/>
      <c r="C2" s="362"/>
      <c r="E2" s="362" t="s">
        <v>235</v>
      </c>
      <c r="F2" s="362"/>
      <c r="G2" s="362"/>
    </row>
    <row r="3" spans="1:8">
      <c r="A3" s="363" t="str">
        <f>WAElec09_08!$A$4</f>
        <v>TWELVE MONTHS ENDED SEPTEMBER 30, 2008</v>
      </c>
      <c r="B3" s="363"/>
      <c r="C3" s="362"/>
      <c r="E3" s="362" t="s">
        <v>236</v>
      </c>
      <c r="F3" s="362"/>
      <c r="G3" s="362"/>
    </row>
    <row r="4" spans="1:8">
      <c r="A4" s="362" t="s">
        <v>1</v>
      </c>
      <c r="B4" s="363"/>
      <c r="C4" s="362"/>
      <c r="E4" s="365" t="s">
        <v>145</v>
      </c>
      <c r="F4" s="365"/>
      <c r="G4" s="366"/>
    </row>
    <row r="5" spans="1:8">
      <c r="A5" s="367" t="s">
        <v>14</v>
      </c>
    </row>
    <row r="6" spans="1:8" s="367" customFormat="1">
      <c r="A6" s="367" t="s">
        <v>146</v>
      </c>
      <c r="B6" s="368" t="s">
        <v>36</v>
      </c>
      <c r="C6" s="368"/>
      <c r="E6" s="368" t="s">
        <v>147</v>
      </c>
      <c r="F6" s="368" t="s">
        <v>148</v>
      </c>
      <c r="G6" s="368" t="s">
        <v>128</v>
      </c>
      <c r="H6" s="88" t="s">
        <v>149</v>
      </c>
    </row>
    <row r="7" spans="1:8">
      <c r="B7" s="369" t="s">
        <v>85</v>
      </c>
    </row>
    <row r="8" spans="1:8" s="372" customFormat="1">
      <c r="A8" s="370">
        <v>1</v>
      </c>
      <c r="B8" s="371" t="s">
        <v>86</v>
      </c>
      <c r="E8" s="373">
        <f>F8+G8</f>
        <v>0</v>
      </c>
      <c r="F8" s="373"/>
      <c r="G8" s="373"/>
      <c r="H8" s="92" t="str">
        <f t="shared" ref="H8:H13" si="0">IF(E8=F8+G8," ","ERROR")</f>
        <v xml:space="preserve"> </v>
      </c>
    </row>
    <row r="9" spans="1:8">
      <c r="A9" s="367">
        <v>2</v>
      </c>
      <c r="B9" s="369" t="s">
        <v>87</v>
      </c>
      <c r="E9" s="374"/>
      <c r="F9" s="374"/>
      <c r="G9" s="374"/>
      <c r="H9" s="92" t="str">
        <f t="shared" si="0"/>
        <v xml:space="preserve"> </v>
      </c>
    </row>
    <row r="10" spans="1:8">
      <c r="A10" s="367">
        <v>3</v>
      </c>
      <c r="B10" s="369" t="s">
        <v>150</v>
      </c>
      <c r="E10" s="374"/>
      <c r="F10" s="374"/>
      <c r="G10" s="374"/>
      <c r="H10" s="92" t="str">
        <f t="shared" si="0"/>
        <v xml:space="preserve"> </v>
      </c>
    </row>
    <row r="11" spans="1:8">
      <c r="A11" s="367">
        <v>4</v>
      </c>
      <c r="B11" s="369" t="s">
        <v>151</v>
      </c>
      <c r="E11" s="375">
        <f>E8+E9+E10</f>
        <v>0</v>
      </c>
      <c r="F11" s="375">
        <f>F8+F9+F10</f>
        <v>0</v>
      </c>
      <c r="G11" s="375">
        <f>G8+G9+G10</f>
        <v>0</v>
      </c>
      <c r="H11" s="92" t="str">
        <f t="shared" si="0"/>
        <v xml:space="preserve"> </v>
      </c>
    </row>
    <row r="12" spans="1:8">
      <c r="A12" s="367">
        <v>5</v>
      </c>
      <c r="B12" s="369" t="s">
        <v>90</v>
      </c>
      <c r="E12" s="374"/>
      <c r="F12" s="374"/>
      <c r="G12" s="374"/>
      <c r="H12" s="92" t="str">
        <f t="shared" si="0"/>
        <v xml:space="preserve"> </v>
      </c>
    </row>
    <row r="13" spans="1:8">
      <c r="A13" s="367">
        <v>6</v>
      </c>
      <c r="B13" s="369" t="s">
        <v>152</v>
      </c>
      <c r="E13" s="375">
        <f>E11+E12</f>
        <v>0</v>
      </c>
      <c r="F13" s="375">
        <f>F11+F12</f>
        <v>0</v>
      </c>
      <c r="G13" s="375">
        <f>G11+G12</f>
        <v>0</v>
      </c>
      <c r="H13" s="92" t="str">
        <f t="shared" si="0"/>
        <v xml:space="preserve"> </v>
      </c>
    </row>
    <row r="14" spans="1:8">
      <c r="E14" s="376"/>
      <c r="F14" s="376"/>
      <c r="G14" s="376"/>
      <c r="H14" s="92"/>
    </row>
    <row r="15" spans="1:8">
      <c r="B15" s="369" t="s">
        <v>92</v>
      </c>
      <c r="E15" s="376"/>
      <c r="F15" s="376"/>
      <c r="G15" s="376"/>
      <c r="H15" s="92"/>
    </row>
    <row r="16" spans="1:8">
      <c r="B16" s="369" t="s">
        <v>93</v>
      </c>
      <c r="E16" s="376"/>
      <c r="F16" s="376"/>
      <c r="G16" s="376"/>
      <c r="H16" s="92"/>
    </row>
    <row r="17" spans="1:8">
      <c r="A17" s="367">
        <v>7</v>
      </c>
      <c r="B17" s="369" t="s">
        <v>153</v>
      </c>
      <c r="E17" s="374"/>
      <c r="F17" s="374"/>
      <c r="G17" s="374"/>
      <c r="H17" s="92" t="str">
        <f>IF(E17=F17+G17," ","ERROR")</f>
        <v xml:space="preserve"> </v>
      </c>
    </row>
    <row r="18" spans="1:8">
      <c r="A18" s="367">
        <v>8</v>
      </c>
      <c r="B18" s="369" t="s">
        <v>154</v>
      </c>
      <c r="E18" s="374"/>
      <c r="F18" s="374"/>
      <c r="G18" s="374"/>
      <c r="H18" s="92" t="str">
        <f>IF(E18=F18+G18," ","ERROR")</f>
        <v xml:space="preserve"> </v>
      </c>
    </row>
    <row r="19" spans="1:8">
      <c r="A19" s="367">
        <v>9</v>
      </c>
      <c r="B19" s="369" t="s">
        <v>155</v>
      </c>
      <c r="E19" s="374"/>
      <c r="F19" s="374"/>
      <c r="G19" s="374"/>
      <c r="H19" s="92" t="str">
        <f>IF(E19=F19+G19," ","ERROR")</f>
        <v xml:space="preserve"> </v>
      </c>
    </row>
    <row r="20" spans="1:8">
      <c r="A20" s="367">
        <v>10</v>
      </c>
      <c r="B20" s="369" t="s">
        <v>156</v>
      </c>
      <c r="E20" s="374"/>
      <c r="F20" s="374"/>
      <c r="G20" s="374"/>
      <c r="H20" s="92" t="str">
        <f>IF(E20=F20+G20," ","ERROR")</f>
        <v xml:space="preserve"> </v>
      </c>
    </row>
    <row r="21" spans="1:8">
      <c r="A21" s="367">
        <v>11</v>
      </c>
      <c r="B21" s="369" t="s">
        <v>157</v>
      </c>
      <c r="E21" s="375">
        <f>E17+E18+E19+E20</f>
        <v>0</v>
      </c>
      <c r="F21" s="375">
        <f>F17+F18+F19+F20</f>
        <v>0</v>
      </c>
      <c r="G21" s="375">
        <f>G17+G18+G19+G20</f>
        <v>0</v>
      </c>
      <c r="H21" s="92" t="str">
        <f>IF(E21=F21+G21," ","ERROR")</f>
        <v xml:space="preserve"> </v>
      </c>
    </row>
    <row r="22" spans="1:8">
      <c r="E22" s="376"/>
      <c r="F22" s="376"/>
      <c r="G22" s="376"/>
      <c r="H22" s="92"/>
    </row>
    <row r="23" spans="1:8">
      <c r="B23" s="369" t="s">
        <v>98</v>
      </c>
      <c r="E23" s="376"/>
      <c r="F23" s="376"/>
      <c r="G23" s="376"/>
      <c r="H23" s="92"/>
    </row>
    <row r="24" spans="1:8">
      <c r="A24" s="367">
        <v>12</v>
      </c>
      <c r="B24" s="369" t="s">
        <v>153</v>
      </c>
      <c r="E24" s="374"/>
      <c r="F24" s="374"/>
      <c r="G24" s="374"/>
      <c r="H24" s="92" t="str">
        <f>IF(E24=F24+G24," ","ERROR")</f>
        <v xml:space="preserve"> </v>
      </c>
    </row>
    <row r="25" spans="1:8">
      <c r="A25" s="367">
        <v>13</v>
      </c>
      <c r="B25" s="369" t="s">
        <v>158</v>
      </c>
      <c r="E25" s="374"/>
      <c r="F25" s="374"/>
      <c r="G25" s="374"/>
      <c r="H25" s="92" t="str">
        <f>IF(E25=F25+G25," ","ERROR")</f>
        <v xml:space="preserve"> </v>
      </c>
    </row>
    <row r="26" spans="1:8">
      <c r="A26" s="367">
        <v>14</v>
      </c>
      <c r="B26" s="369" t="s">
        <v>156</v>
      </c>
      <c r="E26" s="374">
        <f>F26+G26</f>
        <v>0</v>
      </c>
      <c r="F26" s="374"/>
      <c r="G26" s="374"/>
      <c r="H26" s="92" t="str">
        <f>IF(E26=F26+G26," ","ERROR")</f>
        <v xml:space="preserve"> </v>
      </c>
    </row>
    <row r="27" spans="1:8">
      <c r="A27" s="367">
        <v>15</v>
      </c>
      <c r="B27" s="369" t="s">
        <v>159</v>
      </c>
      <c r="E27" s="375">
        <f>E24+E25+E26</f>
        <v>0</v>
      </c>
      <c r="F27" s="375">
        <f>F24+F25+F26</f>
        <v>0</v>
      </c>
      <c r="G27" s="375">
        <f>G24+G25+G26</f>
        <v>0</v>
      </c>
      <c r="H27" s="92" t="str">
        <f>IF(E27=F27+G27," ","ERROR")</f>
        <v xml:space="preserve"> </v>
      </c>
    </row>
    <row r="28" spans="1:8">
      <c r="E28" s="376"/>
      <c r="F28" s="376"/>
      <c r="G28" s="376"/>
      <c r="H28" s="92"/>
    </row>
    <row r="29" spans="1:8">
      <c r="A29" s="367">
        <v>16</v>
      </c>
      <c r="B29" s="369" t="s">
        <v>101</v>
      </c>
      <c r="E29" s="374"/>
      <c r="F29" s="374"/>
      <c r="G29" s="374"/>
      <c r="H29" s="92" t="str">
        <f>IF(E29=F29+G29," ","ERROR")</f>
        <v xml:space="preserve"> </v>
      </c>
    </row>
    <row r="30" spans="1:8">
      <c r="A30" s="367">
        <v>17</v>
      </c>
      <c r="B30" s="369" t="s">
        <v>102</v>
      </c>
      <c r="E30" s="374"/>
      <c r="F30" s="374"/>
      <c r="G30" s="374"/>
      <c r="H30" s="92" t="str">
        <f>IF(E30=F30+G30," ","ERROR")</f>
        <v xml:space="preserve"> </v>
      </c>
    </row>
    <row r="31" spans="1:8">
      <c r="A31" s="367">
        <v>18</v>
      </c>
      <c r="B31" s="369" t="s">
        <v>160</v>
      </c>
      <c r="E31" s="374"/>
      <c r="F31" s="374"/>
      <c r="G31" s="374"/>
      <c r="H31" s="92" t="str">
        <f>IF(E31=F31+G31," ","ERROR")</f>
        <v xml:space="preserve"> </v>
      </c>
    </row>
    <row r="32" spans="1:8">
      <c r="E32" s="376"/>
      <c r="F32" s="376"/>
      <c r="G32" s="376"/>
      <c r="H32" s="92"/>
    </row>
    <row r="33" spans="1:8">
      <c r="B33" s="369" t="s">
        <v>104</v>
      </c>
      <c r="E33" s="376"/>
      <c r="F33" s="376"/>
      <c r="G33" s="376"/>
      <c r="H33" s="92"/>
    </row>
    <row r="34" spans="1:8">
      <c r="A34" s="367">
        <v>19</v>
      </c>
      <c r="B34" s="369" t="s">
        <v>153</v>
      </c>
      <c r="E34" s="374"/>
      <c r="F34" s="374"/>
      <c r="G34" s="374"/>
      <c r="H34" s="92" t="str">
        <f>IF(E34=F34+G34," ","ERROR")</f>
        <v xml:space="preserve"> </v>
      </c>
    </row>
    <row r="35" spans="1:8">
      <c r="A35" s="367">
        <v>20</v>
      </c>
      <c r="B35" s="369" t="s">
        <v>158</v>
      </c>
      <c r="E35" s="374"/>
      <c r="F35" s="374"/>
      <c r="G35" s="374"/>
      <c r="H35" s="92" t="str">
        <f>IF(E35=F35+G35," ","ERROR")</f>
        <v xml:space="preserve"> </v>
      </c>
    </row>
    <row r="36" spans="1:8">
      <c r="A36" s="367">
        <v>21</v>
      </c>
      <c r="B36" s="369" t="s">
        <v>156</v>
      </c>
      <c r="E36" s="374"/>
      <c r="F36" s="374"/>
      <c r="G36" s="374"/>
      <c r="H36" s="92" t="str">
        <f>IF(E36=F36+G36," ","ERROR")</f>
        <v xml:space="preserve"> </v>
      </c>
    </row>
    <row r="37" spans="1:8">
      <c r="A37" s="367">
        <v>22</v>
      </c>
      <c r="B37" s="369" t="s">
        <v>161</v>
      </c>
      <c r="E37" s="377">
        <f>E34+E35+E36</f>
        <v>0</v>
      </c>
      <c r="F37" s="377">
        <f>F34+F35+F36</f>
        <v>0</v>
      </c>
      <c r="G37" s="377">
        <f>G34+G35+G36</f>
        <v>0</v>
      </c>
      <c r="H37" s="92" t="str">
        <f>IF(E37=F37+G37," ","ERROR")</f>
        <v xml:space="preserve"> </v>
      </c>
    </row>
    <row r="38" spans="1:8">
      <c r="A38" s="367">
        <v>23</v>
      </c>
      <c r="B38" s="369" t="s">
        <v>106</v>
      </c>
      <c r="E38" s="378">
        <f>E21+E27+E29+E30+E31+E37</f>
        <v>0</v>
      </c>
      <c r="F38" s="378">
        <f>F21+F27+F29+F30+F31+F37</f>
        <v>0</v>
      </c>
      <c r="G38" s="378">
        <f>G21+G27+G29+G30+G31+G37</f>
        <v>0</v>
      </c>
      <c r="H38" s="92" t="str">
        <f>IF(E38=F38+G38," ","ERROR")</f>
        <v xml:space="preserve"> </v>
      </c>
    </row>
    <row r="39" spans="1:8">
      <c r="E39" s="376"/>
      <c r="F39" s="376"/>
      <c r="G39" s="376"/>
      <c r="H39" s="92"/>
    </row>
    <row r="40" spans="1:8">
      <c r="A40" s="367">
        <v>24</v>
      </c>
      <c r="B40" s="369" t="s">
        <v>162</v>
      </c>
      <c r="E40" s="376">
        <f>E13-E38</f>
        <v>0</v>
      </c>
      <c r="F40" s="376">
        <f>F13-F38</f>
        <v>0</v>
      </c>
      <c r="G40" s="376">
        <f>G13-G38</f>
        <v>0</v>
      </c>
      <c r="H40" s="92" t="str">
        <f>IF(E40=F40+G40," ","ERROR")</f>
        <v xml:space="preserve"> </v>
      </c>
    </row>
    <row r="41" spans="1:8">
      <c r="B41" s="369"/>
      <c r="E41" s="376"/>
      <c r="F41" s="376"/>
      <c r="G41" s="376"/>
      <c r="H41" s="92"/>
    </row>
    <row r="42" spans="1:8">
      <c r="B42" s="369" t="s">
        <v>163</v>
      </c>
      <c r="E42" s="376"/>
      <c r="F42" s="376"/>
      <c r="G42" s="376"/>
      <c r="H42" s="92"/>
    </row>
    <row r="43" spans="1:8">
      <c r="A43" s="367">
        <v>25</v>
      </c>
      <c r="B43" s="369" t="s">
        <v>164</v>
      </c>
      <c r="D43" s="379">
        <v>0.35</v>
      </c>
      <c r="E43" s="374">
        <f>F43+G43</f>
        <v>0</v>
      </c>
      <c r="F43" s="374">
        <f>ROUND(F40*D43,0)</f>
        <v>0</v>
      </c>
      <c r="G43" s="374">
        <f>ROUND(G40*D43,0)</f>
        <v>0</v>
      </c>
      <c r="H43" s="92" t="str">
        <f>IF(E43=F43+G43," ","ERROR")</f>
        <v xml:space="preserve"> </v>
      </c>
    </row>
    <row r="44" spans="1:8">
      <c r="A44" s="367">
        <v>26</v>
      </c>
      <c r="B44" s="369" t="s">
        <v>237</v>
      </c>
      <c r="E44" s="374"/>
      <c r="F44" s="374"/>
      <c r="G44" s="374"/>
      <c r="H44" s="92" t="str">
        <f>IF(E44=F44+G44," ","ERROR")</f>
        <v xml:space="preserve"> </v>
      </c>
    </row>
    <row r="45" spans="1:8" ht="12.75">
      <c r="A45"/>
      <c r="B45"/>
      <c r="C45"/>
      <c r="D45"/>
      <c r="E45" s="913"/>
      <c r="F45" s="913"/>
      <c r="G45" s="913"/>
      <c r="H45" s="92" t="str">
        <f>IF(E45=F45+G45," ","ERROR")</f>
        <v xml:space="preserve"> </v>
      </c>
    </row>
    <row r="46" spans="1:8">
      <c r="A46" s="259"/>
      <c r="B46" s="262"/>
      <c r="C46" s="256"/>
      <c r="D46" s="256"/>
      <c r="E46" s="269"/>
      <c r="F46" s="269"/>
      <c r="G46" s="269"/>
      <c r="H46" s="92"/>
    </row>
    <row r="47" spans="1:8" s="372" customFormat="1">
      <c r="A47" s="263">
        <v>27</v>
      </c>
      <c r="B47" s="264" t="s">
        <v>113</v>
      </c>
      <c r="C47" s="265"/>
      <c r="D47" s="265"/>
      <c r="E47" s="273">
        <f>E40-SUM(E43:E44)</f>
        <v>0</v>
      </c>
      <c r="F47" s="273">
        <f>F40-SUM(F43:F44)</f>
        <v>0</v>
      </c>
      <c r="G47" s="273">
        <f>G40-SUM(G43:G44)</f>
        <v>0</v>
      </c>
      <c r="H47" s="92" t="str">
        <f>IF(E47=F47+G47," ","ERROR")</f>
        <v xml:space="preserve"> </v>
      </c>
    </row>
    <row r="48" spans="1:8">
      <c r="A48" s="259"/>
      <c r="H48" s="92"/>
    </row>
    <row r="49" spans="1:8">
      <c r="A49" s="259"/>
      <c r="B49" s="369" t="s">
        <v>114</v>
      </c>
      <c r="H49" s="92"/>
    </row>
    <row r="50" spans="1:8">
      <c r="A50" s="259"/>
      <c r="B50" s="369" t="s">
        <v>115</v>
      </c>
      <c r="H50" s="92"/>
    </row>
    <row r="51" spans="1:8" s="372" customFormat="1">
      <c r="A51" s="263">
        <v>28</v>
      </c>
      <c r="B51" s="371" t="s">
        <v>167</v>
      </c>
      <c r="E51" s="373"/>
      <c r="F51" s="373"/>
      <c r="G51" s="373"/>
      <c r="H51" s="92" t="str">
        <f t="shared" ref="H51:H61" si="1">IF(E51=F51+G51," ","ERROR")</f>
        <v xml:space="preserve"> </v>
      </c>
    </row>
    <row r="52" spans="1:8">
      <c r="A52" s="259">
        <v>29</v>
      </c>
      <c r="B52" s="369" t="s">
        <v>168</v>
      </c>
      <c r="E52" s="374"/>
      <c r="F52" s="374"/>
      <c r="G52" s="374"/>
      <c r="H52" s="92" t="str">
        <f t="shared" si="1"/>
        <v xml:space="preserve"> </v>
      </c>
    </row>
    <row r="53" spans="1:8">
      <c r="A53" s="259">
        <v>30</v>
      </c>
      <c r="B53" s="369" t="s">
        <v>169</v>
      </c>
      <c r="E53" s="374"/>
      <c r="F53" s="374"/>
      <c r="G53" s="374"/>
      <c r="H53" s="92" t="str">
        <f t="shared" si="1"/>
        <v xml:space="preserve"> </v>
      </c>
    </row>
    <row r="54" spans="1:8">
      <c r="A54" s="259">
        <v>31</v>
      </c>
      <c r="B54" s="369" t="s">
        <v>170</v>
      </c>
      <c r="E54" s="374">
        <f>SUM(F54:G54)</f>
        <v>-231</v>
      </c>
      <c r="F54" s="374">
        <v>-231</v>
      </c>
      <c r="G54" s="374">
        <v>0</v>
      </c>
      <c r="H54" s="92" t="str">
        <f t="shared" si="1"/>
        <v xml:space="preserve"> </v>
      </c>
    </row>
    <row r="55" spans="1:8">
      <c r="A55" s="259">
        <v>32</v>
      </c>
      <c r="B55" s="369" t="s">
        <v>171</v>
      </c>
      <c r="E55" s="380"/>
      <c r="F55" s="380"/>
      <c r="G55" s="380"/>
      <c r="H55" s="92" t="str">
        <f t="shared" si="1"/>
        <v xml:space="preserve"> </v>
      </c>
    </row>
    <row r="56" spans="1:8">
      <c r="A56" s="259">
        <v>33</v>
      </c>
      <c r="B56" s="369" t="s">
        <v>172</v>
      </c>
      <c r="E56" s="376">
        <f>E51+E52+E53+E54+E55</f>
        <v>-231</v>
      </c>
      <c r="F56" s="376">
        <f>F51+F52+F53+F54+F55</f>
        <v>-231</v>
      </c>
      <c r="G56" s="376">
        <f>G51+G52+G53+G54+G55</f>
        <v>0</v>
      </c>
      <c r="H56" s="92" t="str">
        <f t="shared" si="1"/>
        <v xml:space="preserve"> </v>
      </c>
    </row>
    <row r="57" spans="1:8">
      <c r="A57" s="259">
        <v>34</v>
      </c>
      <c r="B57" s="369" t="s">
        <v>121</v>
      </c>
      <c r="E57" s="374"/>
      <c r="F57" s="374"/>
      <c r="G57" s="374"/>
      <c r="H57" s="92" t="str">
        <f t="shared" si="1"/>
        <v xml:space="preserve"> </v>
      </c>
    </row>
    <row r="58" spans="1:8">
      <c r="A58" s="259">
        <v>35</v>
      </c>
      <c r="B58" s="369" t="s">
        <v>122</v>
      </c>
      <c r="E58" s="380"/>
      <c r="F58" s="380"/>
      <c r="G58" s="380"/>
      <c r="H58" s="92" t="str">
        <f t="shared" si="1"/>
        <v xml:space="preserve"> </v>
      </c>
    </row>
    <row r="59" spans="1:8">
      <c r="A59" s="259">
        <v>36</v>
      </c>
      <c r="B59" s="369" t="s">
        <v>173</v>
      </c>
      <c r="E59" s="376">
        <f>E57+E58</f>
        <v>0</v>
      </c>
      <c r="F59" s="376">
        <f>F57+F58</f>
        <v>0</v>
      </c>
      <c r="G59" s="376">
        <f>G57+G58</f>
        <v>0</v>
      </c>
      <c r="H59" s="92" t="str">
        <f t="shared" si="1"/>
        <v xml:space="preserve"> </v>
      </c>
    </row>
    <row r="60" spans="1:8">
      <c r="A60" s="259">
        <v>37</v>
      </c>
      <c r="B60" s="369" t="s">
        <v>124</v>
      </c>
      <c r="E60" s="374"/>
      <c r="F60" s="374"/>
      <c r="G60" s="374"/>
      <c r="H60" s="92" t="str">
        <f t="shared" si="1"/>
        <v xml:space="preserve"> </v>
      </c>
    </row>
    <row r="61" spans="1:8">
      <c r="A61" s="259">
        <v>38</v>
      </c>
      <c r="B61" s="369" t="s">
        <v>125</v>
      </c>
      <c r="E61" s="380"/>
      <c r="F61" s="380"/>
      <c r="G61" s="380"/>
      <c r="H61" s="92" t="str">
        <f t="shared" si="1"/>
        <v xml:space="preserve"> </v>
      </c>
    </row>
    <row r="62" spans="1:8" ht="9" customHeight="1">
      <c r="A62" s="259"/>
      <c r="H62" s="92"/>
    </row>
    <row r="63" spans="1:8" s="372" customFormat="1" ht="12.75" thickBot="1">
      <c r="A63" s="263">
        <v>39</v>
      </c>
      <c r="B63" s="371" t="s">
        <v>126</v>
      </c>
      <c r="E63" s="381">
        <f>E56-E59+E60+E61</f>
        <v>-231</v>
      </c>
      <c r="F63" s="381">
        <f>F56-F59+F60+F61</f>
        <v>-231</v>
      </c>
      <c r="G63" s="381">
        <f>G56-G59+G60+G61</f>
        <v>0</v>
      </c>
      <c r="H63" s="92" t="str">
        <f>IF(E63=F63+G63," ","ERROR")</f>
        <v xml:space="preserve"> </v>
      </c>
    </row>
    <row r="64" spans="1:8" ht="12.75" thickTop="1"/>
    <row r="65" spans="1:4">
      <c r="A65" s="363"/>
      <c r="B65" s="363"/>
      <c r="C65" s="363"/>
      <c r="D65" s="382"/>
    </row>
    <row r="66" spans="1:4">
      <c r="A66" s="363"/>
      <c r="B66" s="363"/>
      <c r="C66" s="363"/>
      <c r="D66" s="382"/>
    </row>
    <row r="67" spans="1:4">
      <c r="A67" s="363"/>
      <c r="B67" s="363"/>
      <c r="C67" s="363"/>
      <c r="D67" s="382"/>
    </row>
    <row r="68" spans="1:4">
      <c r="A68" s="363"/>
      <c r="B68" s="363"/>
      <c r="C68" s="363"/>
      <c r="D68" s="382"/>
    </row>
    <row r="69" spans="1:4">
      <c r="B69" s="382"/>
      <c r="C69" s="382"/>
      <c r="D69" s="382"/>
    </row>
    <row r="70" spans="1:4">
      <c r="B70" s="382"/>
      <c r="C70" s="382"/>
      <c r="D70" s="382"/>
    </row>
    <row r="71" spans="1:4">
      <c r="B71" s="383"/>
      <c r="C71" s="384"/>
      <c r="D71" s="382"/>
    </row>
    <row r="72" spans="1:4">
      <c r="B72" s="369"/>
      <c r="C72" s="382"/>
      <c r="D72" s="382"/>
    </row>
    <row r="73" spans="1:4">
      <c r="B73" s="371"/>
      <c r="C73" s="382"/>
      <c r="D73" s="382"/>
    </row>
    <row r="74" spans="1:4">
      <c r="B74" s="369"/>
      <c r="C74" s="382"/>
      <c r="D74" s="382"/>
    </row>
    <row r="75" spans="1:4">
      <c r="B75" s="369"/>
      <c r="C75" s="382"/>
      <c r="D75" s="382"/>
    </row>
    <row r="76" spans="1:4">
      <c r="B76" s="369"/>
      <c r="C76" s="382"/>
      <c r="D76" s="382"/>
    </row>
    <row r="77" spans="1:4">
      <c r="B77" s="369"/>
      <c r="C77" s="382"/>
      <c r="D77" s="382"/>
    </row>
    <row r="78" spans="1:4">
      <c r="B78" s="369"/>
      <c r="C78" s="382"/>
      <c r="D78" s="382"/>
    </row>
    <row r="79" spans="1:4">
      <c r="C79" s="382"/>
      <c r="D79" s="382"/>
    </row>
    <row r="80" spans="1:4">
      <c r="B80" s="369"/>
      <c r="C80" s="382"/>
      <c r="D80" s="382"/>
    </row>
    <row r="81" spans="1:4">
      <c r="B81" s="369"/>
      <c r="C81" s="382"/>
      <c r="D81" s="382"/>
    </row>
    <row r="82" spans="1:4">
      <c r="B82" s="369"/>
      <c r="C82" s="382"/>
      <c r="D82" s="382"/>
    </row>
    <row r="83" spans="1:4">
      <c r="B83" s="369"/>
      <c r="C83" s="382"/>
      <c r="D83" s="382"/>
    </row>
    <row r="84" spans="1:4">
      <c r="B84" s="369"/>
      <c r="C84" s="382"/>
      <c r="D84" s="382"/>
    </row>
    <row r="85" spans="1:4">
      <c r="B85" s="369"/>
      <c r="C85" s="382"/>
      <c r="D85" s="382"/>
    </row>
    <row r="86" spans="1:4">
      <c r="B86" s="369"/>
      <c r="C86" s="382"/>
      <c r="D86" s="382"/>
    </row>
    <row r="87" spans="1:4">
      <c r="C87" s="382"/>
      <c r="D87" s="382"/>
    </row>
    <row r="88" spans="1:4">
      <c r="B88" s="369"/>
      <c r="C88" s="382"/>
      <c r="D88" s="382"/>
    </row>
    <row r="89" spans="1:4">
      <c r="B89" s="369"/>
      <c r="C89" s="382"/>
      <c r="D89" s="382"/>
    </row>
    <row r="90" spans="1:4">
      <c r="B90" s="369"/>
      <c r="C90" s="382"/>
      <c r="D90" s="382"/>
    </row>
    <row r="91" spans="1:4">
      <c r="A91" s="364"/>
      <c r="B91" s="369"/>
      <c r="C91" s="382"/>
      <c r="D91" s="382"/>
    </row>
    <row r="92" spans="1:4">
      <c r="A92" s="364"/>
      <c r="B92" s="369"/>
      <c r="C92" s="382"/>
      <c r="D92" s="382"/>
    </row>
    <row r="93" spans="1:4">
      <c r="A93" s="364"/>
      <c r="C93" s="382"/>
      <c r="D93" s="382"/>
    </row>
    <row r="94" spans="1:4">
      <c r="A94" s="364"/>
      <c r="B94" s="369"/>
      <c r="C94" s="382"/>
      <c r="D94" s="382"/>
    </row>
    <row r="95" spans="1:4">
      <c r="A95" s="364"/>
      <c r="B95" s="369"/>
      <c r="C95" s="382"/>
      <c r="D95" s="382"/>
    </row>
    <row r="96" spans="1:4">
      <c r="A96" s="364"/>
      <c r="B96" s="369"/>
      <c r="C96" s="382"/>
      <c r="D96" s="382"/>
    </row>
    <row r="97" spans="1:4">
      <c r="A97" s="364"/>
      <c r="C97" s="382"/>
      <c r="D97" s="382"/>
    </row>
    <row r="98" spans="1:4">
      <c r="A98" s="364"/>
      <c r="B98" s="369"/>
      <c r="C98" s="382"/>
      <c r="D98" s="382"/>
    </row>
    <row r="99" spans="1:4">
      <c r="A99" s="364"/>
      <c r="B99" s="369"/>
      <c r="C99" s="382"/>
      <c r="D99" s="382"/>
    </row>
    <row r="100" spans="1:4">
      <c r="A100" s="364"/>
      <c r="B100" s="369"/>
      <c r="C100" s="382"/>
      <c r="D100" s="382"/>
    </row>
    <row r="101" spans="1:4">
      <c r="A101" s="364"/>
      <c r="B101" s="369"/>
      <c r="C101" s="382"/>
      <c r="D101" s="382"/>
    </row>
    <row r="102" spans="1:4">
      <c r="A102" s="364"/>
      <c r="B102" s="369"/>
      <c r="C102" s="382"/>
      <c r="D102" s="382"/>
    </row>
    <row r="103" spans="1:4">
      <c r="A103" s="364"/>
      <c r="B103" s="382"/>
      <c r="C103" s="382"/>
      <c r="D103" s="382"/>
    </row>
    <row r="104" spans="1:4">
      <c r="A104" s="364"/>
      <c r="B104" s="382"/>
      <c r="C104" s="382"/>
      <c r="D104" s="382"/>
    </row>
    <row r="105" spans="1:4">
      <c r="A105" s="364"/>
      <c r="B105" s="382"/>
      <c r="C105" s="382"/>
      <c r="D105" s="382"/>
    </row>
    <row r="106" spans="1:4">
      <c r="A106" s="364"/>
      <c r="B106" s="382"/>
      <c r="C106" s="382"/>
      <c r="D106" s="382"/>
    </row>
    <row r="107" spans="1:4">
      <c r="A107" s="364"/>
      <c r="B107" s="382"/>
      <c r="C107" s="382"/>
      <c r="D107" s="382"/>
    </row>
    <row r="108" spans="1:4">
      <c r="A108" s="364"/>
      <c r="B108" s="382"/>
      <c r="C108" s="382"/>
      <c r="D108" s="382"/>
    </row>
    <row r="109" spans="1:4">
      <c r="A109" s="364"/>
      <c r="B109" s="385"/>
      <c r="C109" s="386"/>
      <c r="D109" s="382"/>
    </row>
  </sheetData>
  <customSheetViews>
    <customSheetView guid="{A15D1962-B049-11D2-8670-0000832CEEE8}" showPageBreaks="1" fitToPage="1" showRuler="0" topLeftCell="A49">
      <colBreaks count="3" manualBreakCount="3">
        <brk id="8" max="1048575" man="1"/>
        <brk id="9" max="1048575" man="1"/>
        <brk id="17" max="1048575" man="1"/>
      </colBreaks>
      <pageMargins left="1" right="1" top="0.5" bottom="0.5" header="0.5" footer="0.5"/>
      <printOptions horizontalCentered="1"/>
      <pageSetup scale="78" orientation="portrait" horizontalDpi="4294967292" verticalDpi="0" r:id="rId1"/>
      <headerFooter alignWithMargins="0"/>
    </customSheetView>
    <customSheetView guid="{6E1B8C45-B07F-11D2-B0DC-0000832CDFF0}" showPageBreaks="1" fitToPage="1" printArea="1" showRuler="0" topLeftCell="A49">
      <colBreaks count="1" manualBreakCount="1">
        <brk id="8" max="1048575" man="1"/>
      </colBreaks>
      <pageMargins left="1" right="1" top="0.5" bottom="0.5" header="0.5" footer="0.5"/>
      <printOptions horizontalCentered="1"/>
      <pageSetup scale="84" orientation="portrait" horizontalDpi="4294967292" verticalDpi="0" r:id="rId2"/>
      <headerFooter alignWithMargins="0"/>
    </customSheetView>
  </customSheetViews>
  <phoneticPr fontId="0" type="noConversion"/>
  <printOptions horizontalCentered="1"/>
  <pageMargins left="1" right="1" top="0.5" bottom="0.5" header="0.5" footer="0.5"/>
  <pageSetup scale="90" orientation="portrait" horizontalDpi="4294967292" r:id="rId3"/>
  <headerFooter alignWithMargins="0"/>
  <colBreaks count="1" manualBreakCount="1">
    <brk id="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H110"/>
  <sheetViews>
    <sheetView zoomScaleNormal="100" workbookViewId="0">
      <selection activeCell="F2" sqref="F2"/>
    </sheetView>
  </sheetViews>
  <sheetFormatPr defaultColWidth="12.42578125" defaultRowHeight="12"/>
  <cols>
    <col min="1" max="1" width="6.42578125" style="168" customWidth="1"/>
    <col min="2" max="2" width="26.140625" style="165" customWidth="1"/>
    <col min="3" max="3" width="12.42578125" style="165" customWidth="1"/>
    <col min="4" max="4" width="6.7109375" style="165" customWidth="1"/>
    <col min="5" max="6" width="12.42578125" style="165" customWidth="1"/>
    <col min="7" max="7" width="11.7109375" style="165" customWidth="1"/>
    <col min="8" max="8" width="11.7109375" style="81" customWidth="1"/>
    <col min="9" max="16384" width="12.42578125" style="165"/>
  </cols>
  <sheetData>
    <row r="1" spans="1:8">
      <c r="A1" s="163" t="str">
        <f>Inputs!$D$6</f>
        <v>AVISTA UTILITIES</v>
      </c>
      <c r="B1" s="164"/>
      <c r="C1" s="163"/>
    </row>
    <row r="2" spans="1:8">
      <c r="A2" s="163" t="s">
        <v>142</v>
      </c>
      <c r="B2" s="164"/>
      <c r="C2" s="163"/>
      <c r="E2" s="163" t="s">
        <v>557</v>
      </c>
      <c r="F2" s="163"/>
      <c r="G2" s="163"/>
    </row>
    <row r="3" spans="1:8">
      <c r="A3" s="164" t="str">
        <f>WAElec09_08!$A$4</f>
        <v>TWELVE MONTHS ENDED SEPTEMBER 30, 2008</v>
      </c>
      <c r="B3" s="164"/>
      <c r="C3" s="163"/>
      <c r="E3" s="163" t="s">
        <v>242</v>
      </c>
      <c r="F3" s="163"/>
      <c r="G3" s="163"/>
    </row>
    <row r="4" spans="1:8">
      <c r="A4" s="163" t="s">
        <v>1</v>
      </c>
      <c r="B4" s="164"/>
      <c r="C4" s="163"/>
      <c r="E4" s="166" t="s">
        <v>145</v>
      </c>
      <c r="F4" s="166"/>
      <c r="G4" s="167"/>
    </row>
    <row r="5" spans="1:8">
      <c r="A5" s="168" t="s">
        <v>14</v>
      </c>
    </row>
    <row r="6" spans="1:8" s="168" customFormat="1">
      <c r="A6" s="168" t="s">
        <v>146</v>
      </c>
      <c r="B6" s="169" t="s">
        <v>36</v>
      </c>
      <c r="C6" s="169"/>
      <c r="E6" s="169" t="s">
        <v>147</v>
      </c>
      <c r="F6" s="169" t="s">
        <v>148</v>
      </c>
      <c r="G6" s="169" t="s">
        <v>128</v>
      </c>
      <c r="H6" s="88" t="s">
        <v>149</v>
      </c>
    </row>
    <row r="7" spans="1:8">
      <c r="B7" s="170" t="s">
        <v>85</v>
      </c>
    </row>
    <row r="8" spans="1:8" s="173" customFormat="1">
      <c r="A8" s="171">
        <v>1</v>
      </c>
      <c r="B8" s="172" t="s">
        <v>86</v>
      </c>
      <c r="E8" s="174">
        <f>F8+G8</f>
        <v>0</v>
      </c>
      <c r="F8" s="174"/>
      <c r="G8" s="174"/>
      <c r="H8" s="92" t="str">
        <f t="shared" ref="H8:H13" si="0">IF(E8=F8+G8," ","ERROR")</f>
        <v xml:space="preserve"> </v>
      </c>
    </row>
    <row r="9" spans="1:8">
      <c r="A9" s="168">
        <v>2</v>
      </c>
      <c r="B9" s="170" t="s">
        <v>87</v>
      </c>
      <c r="E9" s="175"/>
      <c r="F9" s="175"/>
      <c r="G9" s="175"/>
      <c r="H9" s="92" t="str">
        <f t="shared" si="0"/>
        <v xml:space="preserve"> </v>
      </c>
    </row>
    <row r="10" spans="1:8">
      <c r="A10" s="168">
        <v>3</v>
      </c>
      <c r="B10" s="170" t="s">
        <v>150</v>
      </c>
      <c r="E10" s="175"/>
      <c r="F10" s="175"/>
      <c r="G10" s="175"/>
      <c r="H10" s="92" t="str">
        <f t="shared" si="0"/>
        <v xml:space="preserve"> </v>
      </c>
    </row>
    <row r="11" spans="1:8">
      <c r="A11" s="168">
        <v>4</v>
      </c>
      <c r="B11" s="170" t="s">
        <v>151</v>
      </c>
      <c r="E11" s="176">
        <f>E8+E9+E10</f>
        <v>0</v>
      </c>
      <c r="F11" s="176">
        <f>F8+F9+F10</f>
        <v>0</v>
      </c>
      <c r="G11" s="176">
        <f>G8+G9+G10</f>
        <v>0</v>
      </c>
      <c r="H11" s="92" t="str">
        <f t="shared" si="0"/>
        <v xml:space="preserve"> </v>
      </c>
    </row>
    <row r="12" spans="1:8">
      <c r="A12" s="168">
        <v>5</v>
      </c>
      <c r="B12" s="170" t="s">
        <v>90</v>
      </c>
      <c r="E12" s="175"/>
      <c r="F12" s="175"/>
      <c r="G12" s="175"/>
      <c r="H12" s="92" t="str">
        <f t="shared" si="0"/>
        <v xml:space="preserve"> </v>
      </c>
    </row>
    <row r="13" spans="1:8">
      <c r="A13" s="168">
        <v>6</v>
      </c>
      <c r="B13" s="170" t="s">
        <v>152</v>
      </c>
      <c r="E13" s="176">
        <f>E11+E12</f>
        <v>0</v>
      </c>
      <c r="F13" s="176">
        <f>F11+F12</f>
        <v>0</v>
      </c>
      <c r="G13" s="176">
        <f>G11+G12</f>
        <v>0</v>
      </c>
      <c r="H13" s="92" t="str">
        <f t="shared" si="0"/>
        <v xml:space="preserve"> </v>
      </c>
    </row>
    <row r="14" spans="1:8">
      <c r="E14" s="177"/>
      <c r="F14" s="177"/>
      <c r="G14" s="177"/>
      <c r="H14" s="92"/>
    </row>
    <row r="15" spans="1:8">
      <c r="B15" s="170" t="s">
        <v>92</v>
      </c>
      <c r="E15" s="177"/>
      <c r="F15" s="177"/>
      <c r="G15" s="177"/>
      <c r="H15" s="92"/>
    </row>
    <row r="16" spans="1:8">
      <c r="B16" s="170" t="s">
        <v>93</v>
      </c>
      <c r="E16" s="177"/>
      <c r="F16" s="177"/>
      <c r="G16" s="177"/>
      <c r="H16" s="92"/>
    </row>
    <row r="17" spans="1:8">
      <c r="A17" s="168">
        <v>7</v>
      </c>
      <c r="B17" s="170" t="s">
        <v>153</v>
      </c>
      <c r="E17" s="175"/>
      <c r="F17" s="175"/>
      <c r="G17" s="175"/>
      <c r="H17" s="92" t="str">
        <f>IF(E17=F17+G17," ","ERROR")</f>
        <v xml:space="preserve"> </v>
      </c>
    </row>
    <row r="18" spans="1:8">
      <c r="A18" s="168">
        <v>8</v>
      </c>
      <c r="B18" s="170" t="s">
        <v>154</v>
      </c>
      <c r="E18" s="175"/>
      <c r="F18" s="175"/>
      <c r="G18" s="175"/>
      <c r="H18" s="92" t="str">
        <f>IF(E18=F18+G18," ","ERROR")</f>
        <v xml:space="preserve"> </v>
      </c>
    </row>
    <row r="19" spans="1:8">
      <c r="A19" s="168">
        <v>9</v>
      </c>
      <c r="B19" s="170" t="s">
        <v>155</v>
      </c>
      <c r="E19" s="175">
        <f>F19+G19</f>
        <v>-685</v>
      </c>
      <c r="F19" s="175">
        <v>-685</v>
      </c>
      <c r="G19" s="175">
        <v>0</v>
      </c>
      <c r="H19" s="92" t="str">
        <f>IF(E19=F19+G19," ","ERROR")</f>
        <v xml:space="preserve"> </v>
      </c>
    </row>
    <row r="20" spans="1:8">
      <c r="A20" s="168">
        <v>10</v>
      </c>
      <c r="B20" s="170" t="s">
        <v>156</v>
      </c>
      <c r="E20" s="175"/>
      <c r="F20" s="175"/>
      <c r="G20" s="175"/>
      <c r="H20" s="92" t="str">
        <f>IF(E20=F20+G20," ","ERROR")</f>
        <v xml:space="preserve"> </v>
      </c>
    </row>
    <row r="21" spans="1:8">
      <c r="A21" s="168">
        <v>11</v>
      </c>
      <c r="B21" s="170" t="s">
        <v>157</v>
      </c>
      <c r="E21" s="176">
        <f>E17+E18+E19+E20</f>
        <v>-685</v>
      </c>
      <c r="F21" s="176">
        <f>F17+F18+F19+F20</f>
        <v>-685</v>
      </c>
      <c r="G21" s="176">
        <f>G17+G18+G19+G20</f>
        <v>0</v>
      </c>
      <c r="H21" s="92" t="str">
        <f>IF(E21=F21+G21," ","ERROR")</f>
        <v xml:space="preserve"> </v>
      </c>
    </row>
    <row r="22" spans="1:8">
      <c r="E22" s="177"/>
      <c r="F22" s="177"/>
      <c r="G22" s="177"/>
      <c r="H22" s="92"/>
    </row>
    <row r="23" spans="1:8">
      <c r="B23" s="170" t="s">
        <v>98</v>
      </c>
      <c r="E23" s="177"/>
      <c r="F23" s="177"/>
      <c r="G23" s="177"/>
      <c r="H23" s="92"/>
    </row>
    <row r="24" spans="1:8">
      <c r="A24" s="168">
        <v>12</v>
      </c>
      <c r="B24" s="170" t="s">
        <v>153</v>
      </c>
      <c r="E24" s="175"/>
      <c r="F24" s="175"/>
      <c r="G24" s="175"/>
      <c r="H24" s="92" t="str">
        <f>IF(E24=F24+G24," ","ERROR")</f>
        <v xml:space="preserve"> </v>
      </c>
    </row>
    <row r="25" spans="1:8">
      <c r="A25" s="168">
        <v>13</v>
      </c>
      <c r="B25" s="170" t="s">
        <v>158</v>
      </c>
      <c r="E25" s="175">
        <f>F25+G25</f>
        <v>857</v>
      </c>
      <c r="F25" s="175">
        <v>857</v>
      </c>
      <c r="G25" s="175">
        <v>0</v>
      </c>
      <c r="H25" s="92" t="str">
        <f>IF(E25=F25+G25," ","ERROR")</f>
        <v xml:space="preserve"> </v>
      </c>
    </row>
    <row r="26" spans="1:8">
      <c r="A26" s="168">
        <v>14</v>
      </c>
      <c r="B26" s="170" t="s">
        <v>156</v>
      </c>
      <c r="E26" s="175">
        <f>F26+G26</f>
        <v>0</v>
      </c>
      <c r="F26" s="175"/>
      <c r="G26" s="178">
        <f>F109</f>
        <v>0</v>
      </c>
      <c r="H26" s="92" t="str">
        <f>IF(E26=F26+G26," ","ERROR")</f>
        <v xml:space="preserve"> </v>
      </c>
    </row>
    <row r="27" spans="1:8">
      <c r="A27" s="168">
        <v>15</v>
      </c>
      <c r="B27" s="170" t="s">
        <v>159</v>
      </c>
      <c r="E27" s="176">
        <f>E24+E25+E26</f>
        <v>857</v>
      </c>
      <c r="F27" s="176">
        <f>F24+F25+F26</f>
        <v>857</v>
      </c>
      <c r="G27" s="176">
        <f>G24+G25+G26</f>
        <v>0</v>
      </c>
      <c r="H27" s="92" t="str">
        <f>IF(E27=F27+G27," ","ERROR")</f>
        <v xml:space="preserve"> </v>
      </c>
    </row>
    <row r="28" spans="1:8">
      <c r="E28" s="177"/>
      <c r="F28" s="177"/>
      <c r="G28" s="177"/>
      <c r="H28" s="92"/>
    </row>
    <row r="29" spans="1:8">
      <c r="A29" s="168">
        <v>16</v>
      </c>
      <c r="B29" s="170" t="s">
        <v>101</v>
      </c>
      <c r="E29" s="175">
        <f>F29+G29</f>
        <v>0</v>
      </c>
      <c r="F29" s="175"/>
      <c r="G29" s="175"/>
      <c r="H29" s="92" t="str">
        <f>IF(E29=F29+G29," ","ERROR")</f>
        <v xml:space="preserve"> </v>
      </c>
    </row>
    <row r="30" spans="1:8">
      <c r="A30" s="168">
        <v>17</v>
      </c>
      <c r="B30" s="170" t="s">
        <v>102</v>
      </c>
      <c r="E30" s="175"/>
      <c r="F30" s="175"/>
      <c r="G30" s="175"/>
      <c r="H30" s="92" t="str">
        <f>IF(E30=F30+G30," ","ERROR")</f>
        <v xml:space="preserve"> </v>
      </c>
    </row>
    <row r="31" spans="1:8">
      <c r="A31" s="168">
        <v>18</v>
      </c>
      <c r="B31" s="170" t="s">
        <v>160</v>
      </c>
      <c r="E31" s="175"/>
      <c r="F31" s="175"/>
      <c r="G31" s="175"/>
      <c r="H31" s="92" t="str">
        <f>IF(E31=F31+G31," ","ERROR")</f>
        <v xml:space="preserve"> </v>
      </c>
    </row>
    <row r="32" spans="1:8">
      <c r="E32" s="177"/>
      <c r="F32" s="177"/>
      <c r="G32" s="177"/>
      <c r="H32" s="92"/>
    </row>
    <row r="33" spans="1:8">
      <c r="B33" s="170" t="s">
        <v>104</v>
      </c>
      <c r="E33" s="177"/>
      <c r="F33" s="177"/>
      <c r="G33" s="177"/>
      <c r="H33" s="92"/>
    </row>
    <row r="34" spans="1:8">
      <c r="A34" s="168">
        <v>19</v>
      </c>
      <c r="B34" s="170" t="s">
        <v>153</v>
      </c>
      <c r="E34" s="175">
        <f>F34+G34</f>
        <v>0</v>
      </c>
      <c r="F34" s="175"/>
      <c r="G34" s="175"/>
      <c r="H34" s="92" t="str">
        <f>IF(E34=F34+G34," ","ERROR")</f>
        <v xml:space="preserve"> </v>
      </c>
    </row>
    <row r="35" spans="1:8">
      <c r="A35" s="168">
        <v>20</v>
      </c>
      <c r="B35" s="170" t="s">
        <v>158</v>
      </c>
      <c r="E35" s="175">
        <f>F35+G35</f>
        <v>-232</v>
      </c>
      <c r="F35" s="175">
        <v>-232</v>
      </c>
      <c r="G35" s="175">
        <v>0</v>
      </c>
      <c r="H35" s="92" t="str">
        <f>IF(E35=F35+G35," ","ERROR")</f>
        <v xml:space="preserve"> </v>
      </c>
    </row>
    <row r="36" spans="1:8">
      <c r="A36" s="168">
        <v>21</v>
      </c>
      <c r="B36" s="170" t="s">
        <v>156</v>
      </c>
      <c r="E36" s="175"/>
      <c r="F36" s="175"/>
      <c r="G36" s="175"/>
      <c r="H36" s="92" t="str">
        <f>IF(E36=F36+G36," ","ERROR")</f>
        <v xml:space="preserve"> </v>
      </c>
    </row>
    <row r="37" spans="1:8">
      <c r="A37" s="168">
        <v>22</v>
      </c>
      <c r="B37" s="170" t="s">
        <v>161</v>
      </c>
      <c r="E37" s="179">
        <f>E34+E35+E36</f>
        <v>-232</v>
      </c>
      <c r="F37" s="179">
        <f>F34+F35+F36</f>
        <v>-232</v>
      </c>
      <c r="G37" s="179">
        <f>G34+G35+G36</f>
        <v>0</v>
      </c>
      <c r="H37" s="92" t="str">
        <f>IF(E37=F37+G37," ","ERROR")</f>
        <v xml:space="preserve"> </v>
      </c>
    </row>
    <row r="38" spans="1:8">
      <c r="A38" s="168">
        <v>23</v>
      </c>
      <c r="B38" s="170" t="s">
        <v>106</v>
      </c>
      <c r="E38" s="180">
        <f>E21+E27+E29+E30+E31+E37</f>
        <v>-60</v>
      </c>
      <c r="F38" s="180">
        <f>F21+F27+F29+F30+F31+F37</f>
        <v>-60</v>
      </c>
      <c r="G38" s="180">
        <f>G21+G27+G29+G30+G31+G37</f>
        <v>0</v>
      </c>
      <c r="H38" s="92" t="str">
        <f>IF(E38=F38+G38," ","ERROR")</f>
        <v xml:space="preserve"> </v>
      </c>
    </row>
    <row r="39" spans="1:8">
      <c r="E39" s="177"/>
      <c r="F39" s="177"/>
      <c r="G39" s="177"/>
      <c r="H39" s="92"/>
    </row>
    <row r="40" spans="1:8">
      <c r="A40" s="168">
        <v>24</v>
      </c>
      <c r="B40" s="170" t="s">
        <v>162</v>
      </c>
      <c r="E40" s="177">
        <f>E13-E38</f>
        <v>60</v>
      </c>
      <c r="F40" s="177">
        <f>F13-F38</f>
        <v>60</v>
      </c>
      <c r="G40" s="177">
        <f>G13-G38</f>
        <v>0</v>
      </c>
      <c r="H40" s="92" t="str">
        <f>IF(E40=F40+G40," ","ERROR")</f>
        <v xml:space="preserve"> </v>
      </c>
    </row>
    <row r="41" spans="1:8">
      <c r="B41" s="170"/>
      <c r="E41" s="177"/>
      <c r="F41" s="177"/>
      <c r="G41" s="177"/>
      <c r="H41" s="92"/>
    </row>
    <row r="42" spans="1:8">
      <c r="B42" s="170" t="s">
        <v>163</v>
      </c>
      <c r="E42" s="177"/>
      <c r="F42" s="177"/>
      <c r="G42" s="177"/>
      <c r="H42" s="92"/>
    </row>
    <row r="43" spans="1:8">
      <c r="A43" s="168">
        <v>25</v>
      </c>
      <c r="B43" s="170" t="s">
        <v>222</v>
      </c>
      <c r="E43" s="175">
        <f>F43+G43</f>
        <v>21</v>
      </c>
      <c r="F43" s="175">
        <f>ROUND(0.35*F40,0)</f>
        <v>21</v>
      </c>
      <c r="G43" s="175">
        <f>ROUND(0.35*G40,0)</f>
        <v>0</v>
      </c>
      <c r="H43" s="92" t="str">
        <f>IF(E43=F43+G43," ","ERROR")</f>
        <v xml:space="preserve"> </v>
      </c>
    </row>
    <row r="44" spans="1:8">
      <c r="A44" s="168">
        <v>26</v>
      </c>
      <c r="B44" s="170" t="s">
        <v>237</v>
      </c>
    </row>
    <row r="45" spans="1:8" ht="12.75">
      <c r="A45"/>
      <c r="B45"/>
      <c r="C45"/>
      <c r="D45"/>
      <c r="E45" s="913"/>
      <c r="F45" s="913"/>
      <c r="G45" s="913"/>
      <c r="H45" s="92" t="str">
        <f>IF(E45=F45+G45," ","ERROR")</f>
        <v xml:space="preserve"> </v>
      </c>
    </row>
    <row r="46" spans="1:8">
      <c r="A46" s="259"/>
      <c r="B46" s="262"/>
      <c r="C46" s="256"/>
      <c r="D46" s="256"/>
      <c r="E46" s="269"/>
      <c r="F46" s="269"/>
      <c r="G46" s="269"/>
      <c r="H46" s="92"/>
    </row>
    <row r="47" spans="1:8" s="173" customFormat="1">
      <c r="A47" s="263">
        <v>27</v>
      </c>
      <c r="B47" s="264" t="s">
        <v>113</v>
      </c>
      <c r="C47" s="265"/>
      <c r="D47" s="265"/>
      <c r="E47" s="273">
        <f>E40-SUM(E43:E43)</f>
        <v>39</v>
      </c>
      <c r="F47" s="273">
        <f>F40-SUM(F43:F43)</f>
        <v>39</v>
      </c>
      <c r="G47" s="273">
        <f>G40-SUM(G43:G43)</f>
        <v>0</v>
      </c>
      <c r="H47" s="92" t="str">
        <f>IF(E47=F47+G47," ","ERROR")</f>
        <v xml:space="preserve"> </v>
      </c>
    </row>
    <row r="48" spans="1:8">
      <c r="A48" s="259"/>
      <c r="H48" s="92"/>
    </row>
    <row r="49" spans="1:8">
      <c r="A49" s="259"/>
      <c r="B49" s="170" t="s">
        <v>114</v>
      </c>
      <c r="H49" s="92"/>
    </row>
    <row r="50" spans="1:8">
      <c r="A50" s="259"/>
      <c r="B50" s="170" t="s">
        <v>115</v>
      </c>
      <c r="H50" s="92"/>
    </row>
    <row r="51" spans="1:8" s="173" customFormat="1">
      <c r="A51" s="263">
        <v>28</v>
      </c>
      <c r="B51" s="172" t="s">
        <v>167</v>
      </c>
      <c r="E51" s="175">
        <f>F51+G51</f>
        <v>0</v>
      </c>
      <c r="F51" s="174"/>
      <c r="G51" s="174"/>
      <c r="H51" s="92" t="str">
        <f t="shared" ref="H51:H61" si="1">IF(E51=F51+G51," ","ERROR")</f>
        <v xml:space="preserve"> </v>
      </c>
    </row>
    <row r="52" spans="1:8">
      <c r="A52" s="259">
        <v>29</v>
      </c>
      <c r="B52" s="170" t="s">
        <v>168</v>
      </c>
      <c r="E52" s="175">
        <f>F52+G52</f>
        <v>0</v>
      </c>
      <c r="F52" s="175"/>
      <c r="G52" s="175"/>
      <c r="H52" s="92" t="str">
        <f t="shared" si="1"/>
        <v xml:space="preserve"> </v>
      </c>
    </row>
    <row r="53" spans="1:8">
      <c r="A53" s="259">
        <v>30</v>
      </c>
      <c r="B53" s="170" t="s">
        <v>169</v>
      </c>
      <c r="E53" s="175">
        <f>F53+G53</f>
        <v>0</v>
      </c>
      <c r="F53" s="175"/>
      <c r="G53" s="175"/>
      <c r="H53" s="92" t="str">
        <f t="shared" si="1"/>
        <v xml:space="preserve"> </v>
      </c>
    </row>
    <row r="54" spans="1:8">
      <c r="A54" s="259">
        <v>31</v>
      </c>
      <c r="B54" s="170" t="s">
        <v>170</v>
      </c>
      <c r="E54" s="175">
        <f>F54+G54</f>
        <v>0</v>
      </c>
      <c r="F54" s="175"/>
      <c r="G54" s="175"/>
      <c r="H54" s="92" t="str">
        <f t="shared" si="1"/>
        <v xml:space="preserve"> </v>
      </c>
    </row>
    <row r="55" spans="1:8">
      <c r="A55" s="259">
        <v>32</v>
      </c>
      <c r="B55" s="170" t="s">
        <v>171</v>
      </c>
      <c r="E55" s="181">
        <f>F55+G55</f>
        <v>0</v>
      </c>
      <c r="F55" s="181"/>
      <c r="G55" s="181"/>
      <c r="H55" s="92" t="str">
        <f t="shared" si="1"/>
        <v xml:space="preserve"> </v>
      </c>
    </row>
    <row r="56" spans="1:8">
      <c r="A56" s="259">
        <v>33</v>
      </c>
      <c r="B56" s="170" t="s">
        <v>172</v>
      </c>
      <c r="E56" s="177">
        <f>E51+E52+E53+E54+E55</f>
        <v>0</v>
      </c>
      <c r="F56" s="177">
        <f>F51+F52+F53+F54+F55</f>
        <v>0</v>
      </c>
      <c r="G56" s="177">
        <f>G51+G52+G53+G54+G55</f>
        <v>0</v>
      </c>
      <c r="H56" s="92" t="str">
        <f t="shared" si="1"/>
        <v xml:space="preserve"> </v>
      </c>
    </row>
    <row r="57" spans="1:8">
      <c r="A57" s="259">
        <v>34</v>
      </c>
      <c r="B57" s="170" t="s">
        <v>121</v>
      </c>
      <c r="E57" s="175">
        <f>F57+G57</f>
        <v>0</v>
      </c>
      <c r="F57" s="175"/>
      <c r="G57" s="175"/>
      <c r="H57" s="92" t="str">
        <f t="shared" si="1"/>
        <v xml:space="preserve"> </v>
      </c>
    </row>
    <row r="58" spans="1:8">
      <c r="A58" s="259">
        <v>35</v>
      </c>
      <c r="B58" s="170" t="s">
        <v>122</v>
      </c>
      <c r="E58" s="181"/>
      <c r="F58" s="181"/>
      <c r="G58" s="181"/>
      <c r="H58" s="92" t="str">
        <f t="shared" si="1"/>
        <v xml:space="preserve"> </v>
      </c>
    </row>
    <row r="59" spans="1:8">
      <c r="A59" s="259">
        <v>36</v>
      </c>
      <c r="B59" s="170" t="s">
        <v>173</v>
      </c>
      <c r="E59" s="177">
        <f>E57+E58</f>
        <v>0</v>
      </c>
      <c r="F59" s="177">
        <f>F57+F58</f>
        <v>0</v>
      </c>
      <c r="G59" s="177">
        <f>G57+G58</f>
        <v>0</v>
      </c>
      <c r="H59" s="92" t="str">
        <f t="shared" si="1"/>
        <v xml:space="preserve"> </v>
      </c>
    </row>
    <row r="60" spans="1:8">
      <c r="A60" s="259">
        <v>37</v>
      </c>
      <c r="B60" s="170" t="s">
        <v>124</v>
      </c>
      <c r="E60" s="175"/>
      <c r="F60" s="175"/>
      <c r="G60" s="175"/>
      <c r="H60" s="92" t="str">
        <f t="shared" si="1"/>
        <v xml:space="preserve"> </v>
      </c>
    </row>
    <row r="61" spans="1:8">
      <c r="A61" s="259">
        <v>38</v>
      </c>
      <c r="B61" s="170" t="s">
        <v>125</v>
      </c>
      <c r="E61" s="181">
        <f>F61+G61</f>
        <v>0</v>
      </c>
      <c r="F61" s="181"/>
      <c r="G61" s="181"/>
      <c r="H61" s="92" t="str">
        <f t="shared" si="1"/>
        <v xml:space="preserve"> </v>
      </c>
    </row>
    <row r="62" spans="1:8">
      <c r="A62" s="259"/>
      <c r="H62" s="92"/>
    </row>
    <row r="63" spans="1:8" s="173" customFormat="1" ht="12.75" thickBot="1">
      <c r="A63" s="263">
        <v>39</v>
      </c>
      <c r="B63" s="172" t="s">
        <v>126</v>
      </c>
      <c r="E63" s="182">
        <f>E56-E59+E60+E61</f>
        <v>0</v>
      </c>
      <c r="F63" s="182">
        <f>F56-F59+F60+F61</f>
        <v>0</v>
      </c>
      <c r="G63" s="182">
        <f>G56-G59+G60+G61</f>
        <v>0</v>
      </c>
      <c r="H63" s="92" t="str">
        <f>IF(E63=F63+G63," ","ERROR")</f>
        <v xml:space="preserve"> </v>
      </c>
    </row>
    <row r="64" spans="1:8" ht="12.75" thickTop="1"/>
    <row r="65" spans="1:7">
      <c r="A65" s="523" t="str">
        <f>Inputs!$D$6</f>
        <v>AVISTA UTILITIES</v>
      </c>
      <c r="B65" s="523"/>
      <c r="C65" s="523"/>
      <c r="D65" s="544"/>
      <c r="E65" s="545"/>
      <c r="F65" s="544"/>
      <c r="G65" s="546"/>
    </row>
    <row r="66" spans="1:7">
      <c r="A66" s="523" t="s">
        <v>225</v>
      </c>
      <c r="B66" s="523"/>
      <c r="C66" s="523"/>
      <c r="D66" s="544"/>
      <c r="E66" s="550"/>
      <c r="F66" s="1193"/>
      <c r="G66" s="1194"/>
    </row>
    <row r="67" spans="1:7">
      <c r="A67" s="523" t="str">
        <f>A3</f>
        <v>TWELVE MONTHS ENDED SEPTEMBER 30, 2008</v>
      </c>
      <c r="B67" s="523"/>
      <c r="C67" s="523"/>
      <c r="D67" s="544"/>
      <c r="E67" s="550"/>
      <c r="F67" s="1195"/>
      <c r="G67" s="1193"/>
    </row>
    <row r="68" spans="1:7">
      <c r="A68" s="523" t="s">
        <v>226</v>
      </c>
      <c r="B68" s="523"/>
      <c r="C68" s="523"/>
      <c r="D68" s="544"/>
      <c r="E68" s="550"/>
      <c r="F68" s="1195"/>
      <c r="G68" s="1193"/>
    </row>
    <row r="69" spans="1:7">
      <c r="A69" s="525"/>
      <c r="B69" s="544"/>
      <c r="C69" s="544"/>
      <c r="D69" s="544"/>
      <c r="E69" s="550"/>
      <c r="F69" s="1195"/>
      <c r="G69" s="1193"/>
    </row>
    <row r="70" spans="1:7">
      <c r="A70" s="525"/>
      <c r="B70" s="544"/>
      <c r="C70" s="544"/>
      <c r="D70" s="544"/>
      <c r="E70" s="550"/>
      <c r="F70" s="1195"/>
      <c r="G70" s="1193"/>
    </row>
    <row r="71" spans="1:7">
      <c r="A71" s="525"/>
      <c r="B71" s="552" t="s">
        <v>134</v>
      </c>
      <c r="C71" s="553"/>
      <c r="D71" s="544"/>
      <c r="E71" s="545"/>
      <c r="F71" s="549" t="s">
        <v>128</v>
      </c>
      <c r="G71" s="544"/>
    </row>
    <row r="72" spans="1:7">
      <c r="A72" s="525"/>
      <c r="B72" s="531" t="s">
        <v>85</v>
      </c>
      <c r="C72" s="544"/>
      <c r="D72" s="544"/>
      <c r="E72" s="544"/>
      <c r="F72" s="546"/>
      <c r="G72" s="544"/>
    </row>
    <row r="73" spans="1:7">
      <c r="A73" s="525"/>
      <c r="B73" s="533" t="s">
        <v>86</v>
      </c>
      <c r="C73" s="544"/>
      <c r="D73" s="544"/>
      <c r="E73" s="544"/>
      <c r="F73" s="554">
        <f>G8</f>
        <v>0</v>
      </c>
      <c r="G73" s="544"/>
    </row>
    <row r="74" spans="1:7">
      <c r="A74" s="525"/>
      <c r="B74" s="531" t="s">
        <v>87</v>
      </c>
      <c r="C74" s="544"/>
      <c r="D74" s="544"/>
      <c r="E74" s="544"/>
      <c r="F74" s="538">
        <f>G9</f>
        <v>0</v>
      </c>
      <c r="G74" s="544"/>
    </row>
    <row r="75" spans="1:7">
      <c r="A75" s="525"/>
      <c r="B75" s="531" t="s">
        <v>150</v>
      </c>
      <c r="C75" s="544"/>
      <c r="D75" s="544"/>
      <c r="E75" s="544"/>
      <c r="F75" s="540">
        <f>G10</f>
        <v>0</v>
      </c>
      <c r="G75" s="544"/>
    </row>
    <row r="76" spans="1:7">
      <c r="A76" s="525"/>
      <c r="B76" s="531" t="s">
        <v>151</v>
      </c>
      <c r="C76" s="544"/>
      <c r="D76" s="544"/>
      <c r="E76" s="544"/>
      <c r="F76" s="538">
        <f>SUM(F73:F75)</f>
        <v>0</v>
      </c>
      <c r="G76" s="544"/>
    </row>
    <row r="77" spans="1:7">
      <c r="A77" s="525"/>
      <c r="B77" s="531" t="s">
        <v>90</v>
      </c>
      <c r="C77" s="544"/>
      <c r="D77" s="544"/>
      <c r="E77" s="544"/>
      <c r="F77" s="540">
        <f>G12</f>
        <v>0</v>
      </c>
      <c r="G77" s="544"/>
    </row>
    <row r="78" spans="1:7">
      <c r="A78" s="525"/>
      <c r="B78" s="531" t="s">
        <v>152</v>
      </c>
      <c r="C78" s="544"/>
      <c r="D78" s="544"/>
      <c r="E78" s="544"/>
      <c r="F78" s="538">
        <f>F76+F77</f>
        <v>0</v>
      </c>
      <c r="G78" s="544"/>
    </row>
    <row r="79" spans="1:7">
      <c r="A79" s="525"/>
      <c r="B79" s="524"/>
      <c r="C79" s="544"/>
      <c r="D79" s="544"/>
      <c r="E79" s="544"/>
      <c r="F79" s="538"/>
      <c r="G79" s="544"/>
    </row>
    <row r="80" spans="1:7">
      <c r="A80" s="525"/>
      <c r="B80" s="531" t="s">
        <v>92</v>
      </c>
      <c r="C80" s="544"/>
      <c r="D80" s="544"/>
      <c r="E80" s="544"/>
      <c r="F80" s="538"/>
      <c r="G80" s="544"/>
    </row>
    <row r="81" spans="1:7">
      <c r="A81" s="525"/>
      <c r="B81" s="531" t="s">
        <v>93</v>
      </c>
      <c r="C81" s="544"/>
      <c r="D81" s="544"/>
      <c r="E81" s="544"/>
      <c r="F81" s="538"/>
      <c r="G81" s="544"/>
    </row>
    <row r="82" spans="1:7">
      <c r="A82" s="525"/>
      <c r="B82" s="531" t="s">
        <v>153</v>
      </c>
      <c r="C82" s="544"/>
      <c r="D82" s="544"/>
      <c r="E82" s="544"/>
      <c r="F82" s="538">
        <f>G17</f>
        <v>0</v>
      </c>
      <c r="G82" s="544"/>
    </row>
    <row r="83" spans="1:7">
      <c r="A83" s="525"/>
      <c r="B83" s="531" t="s">
        <v>154</v>
      </c>
      <c r="C83" s="544"/>
      <c r="D83" s="544"/>
      <c r="E83" s="544"/>
      <c r="F83" s="538">
        <f>G18</f>
        <v>0</v>
      </c>
      <c r="G83" s="544"/>
    </row>
    <row r="84" spans="1:7">
      <c r="A84" s="525"/>
      <c r="B84" s="531" t="s">
        <v>155</v>
      </c>
      <c r="C84" s="544"/>
      <c r="D84" s="544"/>
      <c r="E84" s="544"/>
      <c r="F84" s="538">
        <f>G19</f>
        <v>0</v>
      </c>
      <c r="G84" s="544"/>
    </row>
    <row r="85" spans="1:7">
      <c r="A85" s="525"/>
      <c r="B85" s="531" t="s">
        <v>156</v>
      </c>
      <c r="C85" s="544"/>
      <c r="D85" s="544"/>
      <c r="E85" s="544"/>
      <c r="F85" s="540">
        <f>G20</f>
        <v>0</v>
      </c>
      <c r="G85" s="544"/>
    </row>
    <row r="86" spans="1:7">
      <c r="A86" s="525"/>
      <c r="B86" s="531" t="s">
        <v>157</v>
      </c>
      <c r="C86" s="544"/>
      <c r="D86" s="544"/>
      <c r="E86" s="544"/>
      <c r="F86" s="538">
        <f>SUM(F82:F85)</f>
        <v>0</v>
      </c>
      <c r="G86" s="544"/>
    </row>
    <row r="87" spans="1:7">
      <c r="A87" s="525"/>
      <c r="B87" s="524"/>
      <c r="C87" s="544"/>
      <c r="D87" s="544"/>
      <c r="E87" s="544"/>
      <c r="F87" s="538"/>
      <c r="G87" s="544"/>
    </row>
    <row r="88" spans="1:7">
      <c r="A88" s="525"/>
      <c r="B88" s="531" t="s">
        <v>98</v>
      </c>
      <c r="C88" s="544"/>
      <c r="D88" s="544"/>
      <c r="E88" s="544"/>
      <c r="F88" s="538"/>
      <c r="G88" s="544"/>
    </row>
    <row r="89" spans="1:7">
      <c r="A89" s="525"/>
      <c r="B89" s="531" t="s">
        <v>153</v>
      </c>
      <c r="C89" s="544"/>
      <c r="D89" s="544"/>
      <c r="E89" s="544"/>
      <c r="F89" s="538">
        <f>G24</f>
        <v>0</v>
      </c>
      <c r="G89" s="544"/>
    </row>
    <row r="90" spans="1:7">
      <c r="A90" s="525"/>
      <c r="B90" s="531" t="s">
        <v>158</v>
      </c>
      <c r="C90" s="544"/>
      <c r="D90" s="544"/>
      <c r="E90" s="544"/>
      <c r="F90" s="538">
        <f>G25</f>
        <v>0</v>
      </c>
      <c r="G90" s="544"/>
    </row>
    <row r="91" spans="1:7">
      <c r="A91" s="524"/>
      <c r="B91" s="531" t="s">
        <v>156</v>
      </c>
      <c r="C91" s="544"/>
      <c r="D91" s="544"/>
      <c r="E91" s="544"/>
      <c r="F91" s="538"/>
      <c r="G91" s="544"/>
    </row>
    <row r="92" spans="1:7">
      <c r="A92" s="524"/>
      <c r="B92" s="531" t="s">
        <v>159</v>
      </c>
      <c r="C92" s="544"/>
      <c r="D92" s="544"/>
      <c r="E92" s="544"/>
      <c r="F92" s="537">
        <f>SUM(F89:F91)</f>
        <v>0</v>
      </c>
      <c r="G92" s="544"/>
    </row>
    <row r="93" spans="1:7">
      <c r="A93" s="524"/>
      <c r="B93" s="524"/>
      <c r="C93" s="544"/>
      <c r="D93" s="544"/>
      <c r="E93" s="544"/>
      <c r="F93" s="538"/>
      <c r="G93" s="544"/>
    </row>
    <row r="94" spans="1:7">
      <c r="A94" s="524"/>
      <c r="B94" s="531" t="s">
        <v>101</v>
      </c>
      <c r="C94" s="544"/>
      <c r="D94" s="544"/>
      <c r="E94" s="544"/>
      <c r="F94" s="538">
        <f>G29</f>
        <v>0</v>
      </c>
      <c r="G94" s="544"/>
    </row>
    <row r="95" spans="1:7">
      <c r="A95" s="524"/>
      <c r="B95" s="531" t="s">
        <v>102</v>
      </c>
      <c r="C95" s="544"/>
      <c r="D95" s="544"/>
      <c r="E95" s="544"/>
      <c r="F95" s="538">
        <f>G30</f>
        <v>0</v>
      </c>
      <c r="G95" s="544"/>
    </row>
    <row r="96" spans="1:7">
      <c r="A96" s="524"/>
      <c r="B96" s="531" t="s">
        <v>160</v>
      </c>
      <c r="C96" s="544"/>
      <c r="D96" s="544"/>
      <c r="E96" s="544"/>
      <c r="F96" s="538">
        <f>G31</f>
        <v>0</v>
      </c>
      <c r="G96" s="544"/>
    </row>
    <row r="97" spans="1:7">
      <c r="A97" s="524"/>
      <c r="B97" s="524"/>
      <c r="C97" s="544"/>
      <c r="D97" s="544"/>
      <c r="E97" s="544"/>
      <c r="F97" s="538"/>
      <c r="G97" s="544"/>
    </row>
    <row r="98" spans="1:7">
      <c r="A98" s="524"/>
      <c r="B98" s="531" t="s">
        <v>104</v>
      </c>
      <c r="C98" s="544"/>
      <c r="D98" s="544"/>
      <c r="E98" s="544"/>
      <c r="F98" s="538"/>
      <c r="G98" s="544"/>
    </row>
    <row r="99" spans="1:7">
      <c r="A99" s="524"/>
      <c r="B99" s="531" t="s">
        <v>153</v>
      </c>
      <c r="C99" s="544"/>
      <c r="D99" s="544"/>
      <c r="E99" s="544"/>
      <c r="F99" s="538">
        <f>G34</f>
        <v>0</v>
      </c>
      <c r="G99" s="544"/>
    </row>
    <row r="100" spans="1:7">
      <c r="A100" s="524"/>
      <c r="B100" s="531" t="s">
        <v>158</v>
      </c>
      <c r="C100" s="544"/>
      <c r="D100" s="544"/>
      <c r="E100" s="544"/>
      <c r="F100" s="538">
        <f>G35</f>
        <v>0</v>
      </c>
      <c r="G100" s="544"/>
    </row>
    <row r="101" spans="1:7">
      <c r="A101" s="524"/>
      <c r="B101" s="531" t="s">
        <v>156</v>
      </c>
      <c r="C101" s="544"/>
      <c r="D101" s="544"/>
      <c r="E101" s="544"/>
      <c r="F101" s="540">
        <f>G36</f>
        <v>0</v>
      </c>
      <c r="G101" s="544"/>
    </row>
    <row r="102" spans="1:7">
      <c r="A102" s="524"/>
      <c r="B102" s="531" t="s">
        <v>161</v>
      </c>
      <c r="C102" s="544"/>
      <c r="D102" s="544"/>
      <c r="E102" s="544"/>
      <c r="F102" s="538">
        <f>F99+F100+F101</f>
        <v>0</v>
      </c>
      <c r="G102" s="544"/>
    </row>
    <row r="103" spans="1:7">
      <c r="A103" s="524"/>
      <c r="B103" s="544"/>
      <c r="C103" s="544"/>
      <c r="D103" s="544"/>
      <c r="E103" s="544"/>
      <c r="F103" s="538"/>
      <c r="G103" s="544"/>
    </row>
    <row r="104" spans="1:7">
      <c r="A104" s="524"/>
      <c r="B104" s="544" t="s">
        <v>106</v>
      </c>
      <c r="C104" s="544"/>
      <c r="D104" s="544"/>
      <c r="E104" s="544"/>
      <c r="F104" s="539">
        <f>F86+F92+F94+F95+F96+F102</f>
        <v>0</v>
      </c>
      <c r="G104" s="544"/>
    </row>
    <row r="105" spans="1:7">
      <c r="A105" s="524"/>
      <c r="B105" s="544"/>
      <c r="C105" s="544"/>
      <c r="D105" s="544"/>
      <c r="E105" s="544"/>
      <c r="F105" s="538"/>
      <c r="G105" s="544"/>
    </row>
    <row r="106" spans="1:7">
      <c r="A106" s="524"/>
      <c r="B106" s="544" t="s">
        <v>227</v>
      </c>
      <c r="C106" s="544"/>
      <c r="D106" s="544"/>
      <c r="E106" s="544"/>
      <c r="F106" s="540">
        <f>F78-F104</f>
        <v>0</v>
      </c>
      <c r="G106" s="544"/>
    </row>
    <row r="107" spans="1:7">
      <c r="A107" s="524"/>
      <c r="B107" s="544"/>
      <c r="C107" s="544"/>
      <c r="D107" s="544"/>
      <c r="E107" s="544"/>
      <c r="F107" s="538"/>
      <c r="G107" s="544"/>
    </row>
    <row r="108" spans="1:7">
      <c r="A108" s="524"/>
      <c r="B108" s="544" t="s">
        <v>228</v>
      </c>
      <c r="C108" s="544"/>
      <c r="D108" s="544"/>
      <c r="E108" s="545"/>
      <c r="F108" s="538"/>
      <c r="G108" s="544"/>
    </row>
    <row r="109" spans="1:7" ht="12.75" thickBot="1">
      <c r="A109" s="524"/>
      <c r="B109" s="555" t="s">
        <v>229</v>
      </c>
      <c r="C109" s="1069">
        <f>Inputs!$D$4</f>
        <v>1.2215999999999999E-2</v>
      </c>
      <c r="D109" s="544"/>
      <c r="E109" s="545"/>
      <c r="F109" s="556">
        <f>ROUND(F106*C109,0)</f>
        <v>0</v>
      </c>
      <c r="G109" s="544"/>
    </row>
    <row r="110" spans="1:7" ht="12.75" thickTop="1"/>
  </sheetData>
  <customSheetViews>
    <customSheetView guid="{A15D1962-B049-11D2-8670-0000832CEEE8}" scale="75" showPageBreaks="1" showRuler="0" topLeftCell="A48">
      <selection activeCell="A67" sqref="A67"/>
      <rowBreaks count="1" manualBreakCount="1">
        <brk id="65" max="65535" man="1"/>
      </rowBreaks>
      <colBreaks count="2" manualBreakCount="2">
        <brk id="8" max="1048575" man="1"/>
        <brk id="17" max="1048575" man="1"/>
      </colBreaks>
      <pageMargins left="0.75" right="0.75" top="0.5" bottom="0.5" header="0.5" footer="0.5"/>
      <printOptions horizontalCentered="1"/>
      <pageSetup scale="78" orientation="portrait" horizontalDpi="300" verticalDpi="300" r:id="rId1"/>
      <headerFooter alignWithMargins="0"/>
    </customSheetView>
    <customSheetView guid="{6E1B8C45-B07F-11D2-B0DC-0000832CDFF0}" scale="75" showPageBreaks="1" printArea="1" hiddenColumns="1" showRuler="0" topLeftCell="A48">
      <selection activeCell="A67" sqref="A67"/>
      <rowBreaks count="1" manualBreakCount="1">
        <brk id="65" max="65535" man="1"/>
      </rowBreaks>
      <colBreaks count="1" manualBreakCount="1">
        <brk id="8" max="1048575" man="1"/>
      </colBreaks>
      <pageMargins left="0.75" right="0.75" top="0.5" bottom="0.5" header="0.5" footer="0.5"/>
      <printOptions horizontalCentered="1"/>
      <pageSetup scale="78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0.75" top="0.5" bottom="0.5" header="0.5" footer="0.5"/>
  <pageSetup scale="90" orientation="portrait" horizontalDpi="300" verticalDpi="300" r:id="rId3"/>
  <headerFooter alignWithMargins="0"/>
  <rowBreaks count="1" manualBreakCount="1">
    <brk id="64" max="6" man="1"/>
  </rowBreaks>
  <colBreaks count="1" manualBreakCount="1">
    <brk id="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H110"/>
  <sheetViews>
    <sheetView topLeftCell="A37" workbookViewId="0">
      <selection activeCell="F62" sqref="F62"/>
    </sheetView>
  </sheetViews>
  <sheetFormatPr defaultColWidth="12.42578125" defaultRowHeight="12"/>
  <cols>
    <col min="1" max="1" width="5.5703125" style="392" customWidth="1"/>
    <col min="2" max="2" width="26.140625" style="389" customWidth="1"/>
    <col min="3" max="3" width="12.42578125" style="389" customWidth="1"/>
    <col min="4" max="4" width="6.7109375" style="389" customWidth="1"/>
    <col min="5" max="7" width="12.42578125" style="389" customWidth="1"/>
    <col min="8" max="8" width="11.7109375" style="81" customWidth="1"/>
    <col min="9" max="16384" width="12.42578125" style="389"/>
  </cols>
  <sheetData>
    <row r="1" spans="1:8">
      <c r="A1" s="387" t="str">
        <f>Inputs!$D$6</f>
        <v>AVISTA UTILITIES</v>
      </c>
      <c r="B1" s="388"/>
      <c r="C1" s="387"/>
    </row>
    <row r="2" spans="1:8">
      <c r="A2" s="387" t="s">
        <v>142</v>
      </c>
      <c r="B2" s="388"/>
      <c r="C2" s="387"/>
      <c r="E2" s="387" t="s">
        <v>238</v>
      </c>
      <c r="F2" s="387"/>
      <c r="G2" s="387"/>
    </row>
    <row r="3" spans="1:8">
      <c r="A3" s="388" t="str">
        <f>WAElec09_08!$A$4</f>
        <v>TWELVE MONTHS ENDED SEPTEMBER 30, 2008</v>
      </c>
      <c r="B3" s="388"/>
      <c r="C3" s="387"/>
      <c r="E3" s="387" t="s">
        <v>239</v>
      </c>
      <c r="F3" s="387"/>
      <c r="G3" s="387"/>
    </row>
    <row r="4" spans="1:8">
      <c r="A4" s="387" t="s">
        <v>1</v>
      </c>
      <c r="B4" s="388"/>
      <c r="C4" s="387"/>
      <c r="E4" s="390" t="s">
        <v>145</v>
      </c>
      <c r="F4" s="390"/>
      <c r="G4" s="391"/>
    </row>
    <row r="5" spans="1:8">
      <c r="A5" s="392" t="s">
        <v>14</v>
      </c>
    </row>
    <row r="6" spans="1:8" s="392" customFormat="1">
      <c r="A6" s="392" t="s">
        <v>146</v>
      </c>
      <c r="B6" s="393" t="s">
        <v>36</v>
      </c>
      <c r="C6" s="393"/>
      <c r="E6" s="393" t="s">
        <v>147</v>
      </c>
      <c r="F6" s="393" t="s">
        <v>148</v>
      </c>
      <c r="G6" s="393" t="s">
        <v>128</v>
      </c>
      <c r="H6" s="88" t="s">
        <v>149</v>
      </c>
    </row>
    <row r="7" spans="1:8">
      <c r="B7" s="394" t="s">
        <v>85</v>
      </c>
    </row>
    <row r="8" spans="1:8" s="397" customFormat="1">
      <c r="A8" s="395">
        <v>1</v>
      </c>
      <c r="B8" s="396" t="s">
        <v>86</v>
      </c>
      <c r="E8" s="398">
        <f>F8+G8</f>
        <v>0</v>
      </c>
      <c r="F8" s="398"/>
      <c r="G8" s="398"/>
      <c r="H8" s="92" t="str">
        <f t="shared" ref="H8:H13" si="0">IF(E8=F8+G8," ","ERROR")</f>
        <v xml:space="preserve"> </v>
      </c>
    </row>
    <row r="9" spans="1:8">
      <c r="A9" s="392">
        <v>2</v>
      </c>
      <c r="B9" s="394" t="s">
        <v>87</v>
      </c>
      <c r="E9" s="399"/>
      <c r="F9" s="399"/>
      <c r="G9" s="399"/>
      <c r="H9" s="92" t="str">
        <f t="shared" si="0"/>
        <v xml:space="preserve"> </v>
      </c>
    </row>
    <row r="10" spans="1:8">
      <c r="A10" s="392">
        <v>3</v>
      </c>
      <c r="B10" s="394" t="s">
        <v>150</v>
      </c>
      <c r="E10" s="399"/>
      <c r="F10" s="399"/>
      <c r="G10" s="399"/>
      <c r="H10" s="92" t="str">
        <f t="shared" si="0"/>
        <v xml:space="preserve"> </v>
      </c>
    </row>
    <row r="11" spans="1:8">
      <c r="A11" s="392">
        <v>4</v>
      </c>
      <c r="B11" s="394" t="s">
        <v>151</v>
      </c>
      <c r="E11" s="400">
        <f>E8+E9+E10</f>
        <v>0</v>
      </c>
      <c r="F11" s="400">
        <f>F8+F9+F10</f>
        <v>0</v>
      </c>
      <c r="G11" s="400">
        <f>G8+G9+G10</f>
        <v>0</v>
      </c>
      <c r="H11" s="92" t="str">
        <f t="shared" si="0"/>
        <v xml:space="preserve"> </v>
      </c>
    </row>
    <row r="12" spans="1:8">
      <c r="A12" s="392">
        <v>5</v>
      </c>
      <c r="B12" s="394" t="s">
        <v>90</v>
      </c>
      <c r="E12" s="399"/>
      <c r="F12" s="399"/>
      <c r="G12" s="399"/>
      <c r="H12" s="92" t="str">
        <f t="shared" si="0"/>
        <v xml:space="preserve"> </v>
      </c>
    </row>
    <row r="13" spans="1:8">
      <c r="A13" s="392">
        <v>6</v>
      </c>
      <c r="B13" s="394" t="s">
        <v>152</v>
      </c>
      <c r="E13" s="400">
        <f>E11+E12</f>
        <v>0</v>
      </c>
      <c r="F13" s="400">
        <f>F11+F12</f>
        <v>0</v>
      </c>
      <c r="G13" s="400">
        <f>G11+G12</f>
        <v>0</v>
      </c>
      <c r="H13" s="92" t="str">
        <f t="shared" si="0"/>
        <v xml:space="preserve"> </v>
      </c>
    </row>
    <row r="14" spans="1:8">
      <c r="E14" s="401"/>
      <c r="F14" s="401"/>
      <c r="G14" s="401"/>
      <c r="H14" s="92"/>
    </row>
    <row r="15" spans="1:8">
      <c r="B15" s="394" t="s">
        <v>92</v>
      </c>
      <c r="E15" s="401"/>
      <c r="F15" s="401"/>
      <c r="G15" s="401"/>
      <c r="H15" s="92"/>
    </row>
    <row r="16" spans="1:8">
      <c r="B16" s="394" t="s">
        <v>93</v>
      </c>
      <c r="E16" s="401"/>
      <c r="F16" s="401"/>
      <c r="G16" s="401"/>
      <c r="H16" s="92"/>
    </row>
    <row r="17" spans="1:8">
      <c r="A17" s="392">
        <v>7</v>
      </c>
      <c r="B17" s="394" t="s">
        <v>153</v>
      </c>
      <c r="E17" s="399"/>
      <c r="F17" s="399"/>
      <c r="G17" s="399"/>
      <c r="H17" s="92" t="str">
        <f>IF(E17=F17+G17," ","ERROR")</f>
        <v xml:space="preserve"> </v>
      </c>
    </row>
    <row r="18" spans="1:8">
      <c r="A18" s="392">
        <v>8</v>
      </c>
      <c r="B18" s="394" t="s">
        <v>154</v>
      </c>
      <c r="E18" s="399"/>
      <c r="F18" s="399"/>
      <c r="G18" s="399"/>
      <c r="H18" s="92" t="str">
        <f>IF(E18=F18+G18," ","ERROR")</f>
        <v xml:space="preserve"> </v>
      </c>
    </row>
    <row r="19" spans="1:8">
      <c r="A19" s="392">
        <v>9</v>
      </c>
      <c r="B19" s="394" t="s">
        <v>155</v>
      </c>
      <c r="E19" s="399">
        <f>F19+G19</f>
        <v>0</v>
      </c>
      <c r="F19" s="399">
        <v>0</v>
      </c>
      <c r="G19" s="399">
        <v>0</v>
      </c>
      <c r="H19" s="92" t="str">
        <f>IF(E19=F19+G19," ","ERROR")</f>
        <v xml:space="preserve"> </v>
      </c>
    </row>
    <row r="20" spans="1:8">
      <c r="A20" s="392">
        <v>10</v>
      </c>
      <c r="B20" s="394" t="s">
        <v>156</v>
      </c>
      <c r="E20" s="399"/>
      <c r="F20" s="399"/>
      <c r="G20" s="399"/>
      <c r="H20" s="92" t="str">
        <f>IF(E20=F20+G20," ","ERROR")</f>
        <v xml:space="preserve"> </v>
      </c>
    </row>
    <row r="21" spans="1:8">
      <c r="A21" s="392">
        <v>11</v>
      </c>
      <c r="B21" s="394" t="s">
        <v>157</v>
      </c>
      <c r="E21" s="400">
        <f>E17+E18+E19+E20</f>
        <v>0</v>
      </c>
      <c r="F21" s="400">
        <f>F17+F18+F19+F20</f>
        <v>0</v>
      </c>
      <c r="G21" s="400">
        <f>G17+G18+G19+G20</f>
        <v>0</v>
      </c>
      <c r="H21" s="92" t="str">
        <f>IF(E21=F21+G21," ","ERROR")</f>
        <v xml:space="preserve"> </v>
      </c>
    </row>
    <row r="22" spans="1:8">
      <c r="E22" s="401"/>
      <c r="F22" s="401"/>
      <c r="G22" s="401"/>
      <c r="H22" s="92"/>
    </row>
    <row r="23" spans="1:8">
      <c r="B23" s="394" t="s">
        <v>98</v>
      </c>
      <c r="E23" s="401"/>
      <c r="F23" s="401"/>
      <c r="G23" s="401"/>
      <c r="H23" s="92"/>
    </row>
    <row r="24" spans="1:8">
      <c r="A24" s="392">
        <v>12</v>
      </c>
      <c r="B24" s="394" t="s">
        <v>153</v>
      </c>
      <c r="E24" s="399"/>
      <c r="F24" s="399"/>
      <c r="G24" s="399"/>
      <c r="H24" s="92" t="str">
        <f>IF(E24=F24+G24," ","ERROR")</f>
        <v xml:space="preserve"> </v>
      </c>
    </row>
    <row r="25" spans="1:8">
      <c r="A25" s="392">
        <v>13</v>
      </c>
      <c r="B25" s="394" t="s">
        <v>158</v>
      </c>
      <c r="E25" s="399"/>
      <c r="F25" s="399"/>
      <c r="G25" s="399"/>
      <c r="H25" s="92" t="str">
        <f>IF(E25=F25+G25," ","ERROR")</f>
        <v xml:space="preserve"> </v>
      </c>
    </row>
    <row r="26" spans="1:8">
      <c r="A26" s="392">
        <v>14</v>
      </c>
      <c r="B26" s="394" t="s">
        <v>156</v>
      </c>
      <c r="E26" s="399"/>
      <c r="F26" s="399"/>
      <c r="G26" s="399"/>
      <c r="H26" s="92" t="str">
        <f>IF(E26=F26+G26," ","ERROR")</f>
        <v xml:space="preserve"> </v>
      </c>
    </row>
    <row r="27" spans="1:8">
      <c r="A27" s="392">
        <v>15</v>
      </c>
      <c r="B27" s="394" t="s">
        <v>159</v>
      </c>
      <c r="E27" s="400">
        <f>E24+E25+E26</f>
        <v>0</v>
      </c>
      <c r="F27" s="400">
        <f>F24+F25+F26</f>
        <v>0</v>
      </c>
      <c r="G27" s="400">
        <f>G24+G25+G26</f>
        <v>0</v>
      </c>
      <c r="H27" s="92" t="str">
        <f>IF(E27=F27+G27," ","ERROR")</f>
        <v xml:space="preserve"> </v>
      </c>
    </row>
    <row r="28" spans="1:8">
      <c r="E28" s="401"/>
      <c r="F28" s="401"/>
      <c r="G28" s="401"/>
      <c r="H28" s="92"/>
    </row>
    <row r="29" spans="1:8">
      <c r="A29" s="392">
        <v>16</v>
      </c>
      <c r="B29" s="394" t="s">
        <v>101</v>
      </c>
      <c r="E29" s="399"/>
      <c r="F29" s="399"/>
      <c r="G29" s="399"/>
      <c r="H29" s="92" t="str">
        <f>IF(E29=F29+G29," ","ERROR")</f>
        <v xml:space="preserve"> </v>
      </c>
    </row>
    <row r="30" spans="1:8">
      <c r="A30" s="392">
        <v>17</v>
      </c>
      <c r="B30" s="394" t="s">
        <v>102</v>
      </c>
      <c r="E30" s="399"/>
      <c r="F30" s="399"/>
      <c r="G30" s="399"/>
      <c r="H30" s="92" t="str">
        <f>IF(E30=F30+G30," ","ERROR")</f>
        <v xml:space="preserve"> </v>
      </c>
    </row>
    <row r="31" spans="1:8">
      <c r="A31" s="392">
        <v>18</v>
      </c>
      <c r="B31" s="394" t="s">
        <v>160</v>
      </c>
      <c r="E31" s="399"/>
      <c r="F31" s="399"/>
      <c r="G31" s="399"/>
      <c r="H31" s="92" t="str">
        <f>IF(E31=F31+G31," ","ERROR")</f>
        <v xml:space="preserve"> </v>
      </c>
    </row>
    <row r="32" spans="1:8">
      <c r="E32" s="401"/>
      <c r="F32" s="401"/>
      <c r="G32" s="401"/>
      <c r="H32" s="92"/>
    </row>
    <row r="33" spans="1:8">
      <c r="B33" s="394" t="s">
        <v>104</v>
      </c>
      <c r="E33" s="401"/>
      <c r="F33" s="401"/>
      <c r="G33" s="401"/>
      <c r="H33" s="92"/>
    </row>
    <row r="34" spans="1:8">
      <c r="A34" s="392">
        <v>19</v>
      </c>
      <c r="B34" s="394" t="s">
        <v>153</v>
      </c>
      <c r="E34" s="399"/>
      <c r="F34" s="399"/>
      <c r="G34" s="399"/>
      <c r="H34" s="92" t="str">
        <f>IF(E34=F34+G34," ","ERROR")</f>
        <v xml:space="preserve"> </v>
      </c>
    </row>
    <row r="35" spans="1:8">
      <c r="A35" s="392">
        <v>20</v>
      </c>
      <c r="B35" s="394" t="s">
        <v>158</v>
      </c>
      <c r="E35" s="399"/>
      <c r="F35" s="399"/>
      <c r="G35" s="399"/>
      <c r="H35" s="92" t="str">
        <f>IF(E35=F35+G35," ","ERROR")</f>
        <v xml:space="preserve"> </v>
      </c>
    </row>
    <row r="36" spans="1:8">
      <c r="A36" s="392">
        <v>21</v>
      </c>
      <c r="B36" s="394" t="s">
        <v>156</v>
      </c>
      <c r="E36" s="399"/>
      <c r="F36" s="399"/>
      <c r="G36" s="399"/>
      <c r="H36" s="92" t="str">
        <f>IF(E36=F36+G36," ","ERROR")</f>
        <v xml:space="preserve"> </v>
      </c>
    </row>
    <row r="37" spans="1:8">
      <c r="A37" s="392">
        <v>22</v>
      </c>
      <c r="B37" s="394" t="s">
        <v>161</v>
      </c>
      <c r="E37" s="402">
        <f>E34+E35+E36</f>
        <v>0</v>
      </c>
      <c r="F37" s="402">
        <f>F34+F35+F36</f>
        <v>0</v>
      </c>
      <c r="G37" s="402">
        <f>G34+G35+G36</f>
        <v>0</v>
      </c>
      <c r="H37" s="92" t="str">
        <f>IF(E37=F37+G37," ","ERROR")</f>
        <v xml:space="preserve"> </v>
      </c>
    </row>
    <row r="38" spans="1:8">
      <c r="A38" s="392">
        <v>23</v>
      </c>
      <c r="B38" s="394" t="s">
        <v>106</v>
      </c>
      <c r="E38" s="403">
        <f>E21+E27+E29+E30+E31+E37</f>
        <v>0</v>
      </c>
      <c r="F38" s="403">
        <f>F21+F27+F29+F30+F31+F37</f>
        <v>0</v>
      </c>
      <c r="G38" s="403">
        <f>G21+G27+G29+G30+G31+G37</f>
        <v>0</v>
      </c>
      <c r="H38" s="92" t="str">
        <f>IF(E38=F38+G38," ","ERROR")</f>
        <v xml:space="preserve"> </v>
      </c>
    </row>
    <row r="39" spans="1:8">
      <c r="E39" s="401"/>
      <c r="F39" s="401"/>
      <c r="G39" s="401"/>
      <c r="H39" s="92"/>
    </row>
    <row r="40" spans="1:8">
      <c r="A40" s="392">
        <v>24</v>
      </c>
      <c r="B40" s="394" t="s">
        <v>162</v>
      </c>
      <c r="E40" s="401">
        <f>E13-E38</f>
        <v>0</v>
      </c>
      <c r="F40" s="401">
        <f>F13-F38</f>
        <v>0</v>
      </c>
      <c r="G40" s="401">
        <f>G13-G38</f>
        <v>0</v>
      </c>
      <c r="H40" s="92" t="str">
        <f>IF(E40=F40+G40," ","ERROR")</f>
        <v xml:space="preserve"> </v>
      </c>
    </row>
    <row r="41" spans="1:8">
      <c r="B41" s="394"/>
      <c r="E41" s="401"/>
      <c r="F41" s="401"/>
      <c r="G41" s="401"/>
      <c r="H41" s="92"/>
    </row>
    <row r="42" spans="1:8">
      <c r="B42" s="394" t="s">
        <v>163</v>
      </c>
      <c r="E42" s="401"/>
      <c r="F42" s="401"/>
      <c r="G42" s="401"/>
      <c r="H42" s="92"/>
    </row>
    <row r="43" spans="1:8">
      <c r="A43" s="392">
        <v>25</v>
      </c>
      <c r="B43" s="394" t="s">
        <v>222</v>
      </c>
      <c r="E43" s="399">
        <v>0</v>
      </c>
      <c r="F43" s="399">
        <v>0</v>
      </c>
      <c r="G43" s="399">
        <v>0</v>
      </c>
      <c r="H43" s="92" t="str">
        <f>IF(E43=F43+G43," ","ERROR")</f>
        <v xml:space="preserve"> </v>
      </c>
    </row>
    <row r="44" spans="1:8">
      <c r="A44" s="392">
        <v>26</v>
      </c>
      <c r="B44" s="394" t="s">
        <v>165</v>
      </c>
      <c r="E44" s="399">
        <f>F44+G44</f>
        <v>0</v>
      </c>
      <c r="F44" s="399">
        <v>0</v>
      </c>
      <c r="G44" s="399">
        <v>0</v>
      </c>
      <c r="H44" s="92" t="str">
        <f>IF(E44=F44+G44," ","ERROR")</f>
        <v xml:space="preserve"> </v>
      </c>
    </row>
    <row r="45" spans="1:8" ht="12.75">
      <c r="A45"/>
      <c r="B45"/>
      <c r="C45"/>
      <c r="D45"/>
      <c r="E45" s="913"/>
      <c r="F45" s="913"/>
      <c r="G45" s="913"/>
      <c r="H45" s="92" t="str">
        <f>IF(E45=F45+G45," ","ERROR")</f>
        <v xml:space="preserve"> </v>
      </c>
    </row>
    <row r="46" spans="1:8">
      <c r="A46" s="259"/>
      <c r="B46" s="262"/>
      <c r="C46" s="256"/>
      <c r="D46" s="256"/>
      <c r="E46" s="269"/>
      <c r="F46" s="269"/>
      <c r="G46" s="269"/>
      <c r="H46" s="92"/>
    </row>
    <row r="47" spans="1:8" s="397" customFormat="1">
      <c r="A47" s="263">
        <v>27</v>
      </c>
      <c r="B47" s="264" t="s">
        <v>113</v>
      </c>
      <c r="C47" s="265"/>
      <c r="D47" s="265"/>
      <c r="E47" s="273">
        <f>E40-SUM(E43:E44)</f>
        <v>0</v>
      </c>
      <c r="F47" s="273">
        <f>F40-SUM(F43:F44)</f>
        <v>0</v>
      </c>
      <c r="G47" s="273">
        <f>G40-SUM(G43:G44)</f>
        <v>0</v>
      </c>
      <c r="H47" s="92" t="str">
        <f>IF(E47=F47+G47," ","ERROR")</f>
        <v xml:space="preserve"> </v>
      </c>
    </row>
    <row r="48" spans="1:8">
      <c r="A48" s="259"/>
      <c r="H48" s="92"/>
    </row>
    <row r="49" spans="1:8">
      <c r="A49" s="259"/>
      <c r="B49" s="394" t="s">
        <v>114</v>
      </c>
      <c r="H49" s="92"/>
    </row>
    <row r="50" spans="1:8">
      <c r="A50" s="259"/>
      <c r="B50" s="394" t="s">
        <v>115</v>
      </c>
      <c r="H50" s="92"/>
    </row>
    <row r="51" spans="1:8" s="397" customFormat="1">
      <c r="A51" s="263">
        <v>28</v>
      </c>
      <c r="B51" s="396" t="s">
        <v>167</v>
      </c>
      <c r="E51" s="398"/>
      <c r="F51" s="398"/>
      <c r="G51" s="398"/>
      <c r="H51" s="92" t="str">
        <f t="shared" ref="H51:H61" si="1">IF(E51=F51+G51," ","ERROR")</f>
        <v xml:space="preserve"> </v>
      </c>
    </row>
    <row r="52" spans="1:8">
      <c r="A52" s="259">
        <v>29</v>
      </c>
      <c r="B52" s="394" t="s">
        <v>168</v>
      </c>
      <c r="E52" s="399">
        <f>F52+G52</f>
        <v>79626</v>
      </c>
      <c r="F52" s="399">
        <v>79626</v>
      </c>
      <c r="G52" s="399"/>
      <c r="H52" s="92" t="str">
        <f t="shared" si="1"/>
        <v xml:space="preserve"> </v>
      </c>
    </row>
    <row r="53" spans="1:8">
      <c r="A53" s="259">
        <v>30</v>
      </c>
      <c r="B53" s="394" t="s">
        <v>169</v>
      </c>
      <c r="E53" s="399"/>
      <c r="F53" s="399"/>
      <c r="G53" s="399"/>
      <c r="H53" s="92" t="str">
        <f t="shared" si="1"/>
        <v xml:space="preserve"> </v>
      </c>
    </row>
    <row r="54" spans="1:8">
      <c r="A54" s="259">
        <v>31</v>
      </c>
      <c r="B54" s="394" t="s">
        <v>170</v>
      </c>
      <c r="E54" s="399"/>
      <c r="F54" s="399"/>
      <c r="G54" s="399"/>
      <c r="H54" s="92" t="str">
        <f t="shared" si="1"/>
        <v xml:space="preserve"> </v>
      </c>
    </row>
    <row r="55" spans="1:8">
      <c r="A55" s="259">
        <v>32</v>
      </c>
      <c r="B55" s="394" t="s">
        <v>171</v>
      </c>
      <c r="E55" s="404"/>
      <c r="F55" s="404"/>
      <c r="G55" s="404"/>
      <c r="H55" s="92" t="str">
        <f t="shared" si="1"/>
        <v xml:space="preserve"> </v>
      </c>
    </row>
    <row r="56" spans="1:8">
      <c r="A56" s="259">
        <v>33</v>
      </c>
      <c r="B56" s="394" t="s">
        <v>172</v>
      </c>
      <c r="E56" s="401">
        <f>E51+E52+E53+E54+E55</f>
        <v>79626</v>
      </c>
      <c r="F56" s="401">
        <f>F51+F52+F53+F54+F55</f>
        <v>79626</v>
      </c>
      <c r="G56" s="401">
        <f>G51+G52+G53+G54+G55</f>
        <v>0</v>
      </c>
      <c r="H56" s="92" t="str">
        <f t="shared" si="1"/>
        <v xml:space="preserve"> </v>
      </c>
    </row>
    <row r="57" spans="1:8">
      <c r="A57" s="259">
        <v>34</v>
      </c>
      <c r="B57" s="394" t="s">
        <v>121</v>
      </c>
      <c r="E57" s="399"/>
      <c r="F57" s="399"/>
      <c r="G57" s="399"/>
      <c r="H57" s="92" t="str">
        <f t="shared" si="1"/>
        <v xml:space="preserve"> </v>
      </c>
    </row>
    <row r="58" spans="1:8">
      <c r="A58" s="259">
        <v>35</v>
      </c>
      <c r="B58" s="394" t="s">
        <v>122</v>
      </c>
      <c r="E58" s="404">
        <f>F58+G58</f>
        <v>57168</v>
      </c>
      <c r="F58" s="404">
        <v>57168</v>
      </c>
      <c r="G58" s="404"/>
      <c r="H58" s="92" t="str">
        <f t="shared" si="1"/>
        <v xml:space="preserve"> </v>
      </c>
    </row>
    <row r="59" spans="1:8">
      <c r="A59" s="259">
        <v>36</v>
      </c>
      <c r="B59" s="394" t="s">
        <v>173</v>
      </c>
      <c r="E59" s="401">
        <f>E57+E58</f>
        <v>57168</v>
      </c>
      <c r="F59" s="401">
        <f>F57+F58</f>
        <v>57168</v>
      </c>
      <c r="G59" s="401">
        <f>G57+G58</f>
        <v>0</v>
      </c>
      <c r="H59" s="92" t="str">
        <f t="shared" si="1"/>
        <v xml:space="preserve"> </v>
      </c>
    </row>
    <row r="60" spans="1:8">
      <c r="A60" s="259">
        <v>37</v>
      </c>
      <c r="B60" s="394" t="s">
        <v>124</v>
      </c>
      <c r="E60" s="399"/>
      <c r="F60" s="399"/>
      <c r="G60" s="399"/>
      <c r="H60" s="92" t="str">
        <f t="shared" si="1"/>
        <v xml:space="preserve"> </v>
      </c>
    </row>
    <row r="61" spans="1:8">
      <c r="A61" s="259">
        <v>38</v>
      </c>
      <c r="B61" s="394" t="s">
        <v>125</v>
      </c>
      <c r="E61" s="404">
        <f>F61+G61</f>
        <v>-4036</v>
      </c>
      <c r="F61" s="404">
        <v>-4036</v>
      </c>
      <c r="G61" s="404"/>
      <c r="H61" s="92" t="str">
        <f t="shared" si="1"/>
        <v xml:space="preserve"> </v>
      </c>
    </row>
    <row r="62" spans="1:8">
      <c r="A62" s="259"/>
      <c r="H62" s="92"/>
    </row>
    <row r="63" spans="1:8" s="397" customFormat="1" ht="12.75" thickBot="1">
      <c r="A63" s="263">
        <v>39</v>
      </c>
      <c r="B63" s="396" t="s">
        <v>126</v>
      </c>
      <c r="E63" s="405">
        <f>E56-E59+E60+E61</f>
        <v>18422</v>
      </c>
      <c r="F63" s="405">
        <f>F56-F59+F60+F61</f>
        <v>18422</v>
      </c>
      <c r="G63" s="405">
        <f>G56-G59+G60+G61</f>
        <v>0</v>
      </c>
      <c r="H63" s="92" t="str">
        <f>IF(E63=F63+G63," ","ERROR")</f>
        <v xml:space="preserve"> </v>
      </c>
    </row>
    <row r="64" spans="1:8" ht="12.75" thickTop="1"/>
    <row r="65" spans="1:7">
      <c r="A65" s="406"/>
      <c r="B65" s="406"/>
      <c r="C65" s="406"/>
      <c r="D65" s="407"/>
      <c r="E65" s="408"/>
      <c r="F65" s="407"/>
      <c r="G65" s="409"/>
    </row>
    <row r="66" spans="1:7">
      <c r="A66" s="406"/>
      <c r="B66" s="406"/>
      <c r="C66" s="406"/>
      <c r="D66" s="407"/>
      <c r="E66" s="408"/>
      <c r="F66" s="407"/>
      <c r="G66" s="409"/>
    </row>
    <row r="67" spans="1:7">
      <c r="A67" s="406"/>
      <c r="B67" s="406"/>
      <c r="C67" s="406"/>
      <c r="D67" s="407"/>
      <c r="E67" s="408"/>
      <c r="F67" s="407"/>
      <c r="G67" s="410"/>
    </row>
    <row r="68" spans="1:7">
      <c r="A68" s="406"/>
      <c r="B68" s="406"/>
      <c r="C68" s="406"/>
      <c r="D68" s="407"/>
      <c r="E68" s="408"/>
      <c r="F68" s="407"/>
      <c r="G68" s="410"/>
    </row>
    <row r="69" spans="1:7">
      <c r="A69" s="411"/>
      <c r="B69" s="407"/>
      <c r="C69" s="407"/>
      <c r="D69" s="407"/>
      <c r="E69" s="408"/>
      <c r="F69" s="407"/>
      <c r="G69" s="410"/>
    </row>
    <row r="70" spans="1:7">
      <c r="A70" s="411"/>
      <c r="B70" s="407"/>
      <c r="C70" s="407"/>
      <c r="D70" s="407"/>
      <c r="E70" s="408"/>
      <c r="F70" s="407"/>
      <c r="G70" s="410"/>
    </row>
    <row r="71" spans="1:7">
      <c r="A71" s="411"/>
      <c r="B71" s="412"/>
      <c r="C71" s="407"/>
      <c r="D71" s="407"/>
      <c r="E71" s="408"/>
      <c r="F71" s="407"/>
      <c r="G71" s="410"/>
    </row>
    <row r="72" spans="1:7">
      <c r="A72" s="411"/>
      <c r="B72" s="413"/>
      <c r="C72" s="407"/>
      <c r="D72" s="407"/>
      <c r="E72" s="407"/>
      <c r="F72" s="407"/>
      <c r="G72" s="409"/>
    </row>
    <row r="73" spans="1:7">
      <c r="A73" s="411"/>
      <c r="B73" s="414"/>
      <c r="C73" s="407"/>
      <c r="D73" s="407"/>
      <c r="E73" s="407"/>
      <c r="F73" s="407"/>
      <c r="G73" s="415"/>
    </row>
    <row r="74" spans="1:7">
      <c r="A74" s="411"/>
      <c r="B74" s="413"/>
      <c r="C74" s="407"/>
      <c r="D74" s="407"/>
      <c r="E74" s="407"/>
      <c r="F74" s="407"/>
      <c r="G74" s="416"/>
    </row>
    <row r="75" spans="1:7">
      <c r="A75" s="411"/>
      <c r="B75" s="413"/>
      <c r="C75" s="407"/>
      <c r="D75" s="407"/>
      <c r="E75" s="407"/>
      <c r="F75" s="407"/>
      <c r="G75" s="416"/>
    </row>
    <row r="76" spans="1:7">
      <c r="A76" s="411"/>
      <c r="B76" s="413"/>
      <c r="C76" s="407"/>
      <c r="D76" s="407"/>
      <c r="E76" s="407"/>
      <c r="F76" s="407"/>
      <c r="G76" s="416"/>
    </row>
    <row r="77" spans="1:7">
      <c r="A77" s="411"/>
      <c r="B77" s="413"/>
      <c r="C77" s="407"/>
      <c r="D77" s="407"/>
      <c r="E77" s="407"/>
      <c r="F77" s="407"/>
      <c r="G77" s="416"/>
    </row>
    <row r="78" spans="1:7">
      <c r="A78" s="411"/>
      <c r="B78" s="413"/>
      <c r="C78" s="407"/>
      <c r="D78" s="407"/>
      <c r="E78" s="407"/>
      <c r="F78" s="407"/>
      <c r="G78" s="416"/>
    </row>
    <row r="79" spans="1:7">
      <c r="A79" s="411"/>
      <c r="B79" s="417"/>
      <c r="C79" s="407"/>
      <c r="D79" s="407"/>
      <c r="E79" s="407"/>
      <c r="F79" s="407"/>
      <c r="G79" s="416"/>
    </row>
    <row r="80" spans="1:7">
      <c r="A80" s="411"/>
      <c r="B80" s="413"/>
      <c r="C80" s="407"/>
      <c r="D80" s="407"/>
      <c r="E80" s="407"/>
      <c r="F80" s="407"/>
      <c r="G80" s="416"/>
    </row>
    <row r="81" spans="1:7">
      <c r="A81" s="411"/>
      <c r="B81" s="413"/>
      <c r="C81" s="407"/>
      <c r="D81" s="407"/>
      <c r="E81" s="407"/>
      <c r="F81" s="407"/>
      <c r="G81" s="416"/>
    </row>
    <row r="82" spans="1:7">
      <c r="A82" s="411"/>
      <c r="B82" s="413"/>
      <c r="C82" s="407"/>
      <c r="D82" s="407"/>
      <c r="E82" s="407"/>
      <c r="F82" s="407"/>
      <c r="G82" s="416"/>
    </row>
    <row r="83" spans="1:7">
      <c r="A83" s="411"/>
      <c r="B83" s="413"/>
      <c r="C83" s="407"/>
      <c r="D83" s="407"/>
      <c r="E83" s="407"/>
      <c r="F83" s="407"/>
      <c r="G83" s="416"/>
    </row>
    <row r="84" spans="1:7">
      <c r="A84" s="411"/>
      <c r="B84" s="413"/>
      <c r="C84" s="407"/>
      <c r="D84" s="407"/>
      <c r="E84" s="407"/>
      <c r="F84" s="407"/>
      <c r="G84" s="416"/>
    </row>
    <row r="85" spans="1:7">
      <c r="A85" s="411"/>
      <c r="B85" s="413"/>
      <c r="C85" s="407"/>
      <c r="D85" s="407"/>
      <c r="E85" s="407"/>
      <c r="F85" s="407"/>
      <c r="G85" s="416"/>
    </row>
    <row r="86" spans="1:7">
      <c r="A86" s="411"/>
      <c r="B86" s="413"/>
      <c r="C86" s="407"/>
      <c r="D86" s="407"/>
      <c r="E86" s="407"/>
      <c r="F86" s="407"/>
      <c r="G86" s="416"/>
    </row>
    <row r="87" spans="1:7">
      <c r="A87" s="411"/>
      <c r="B87" s="417"/>
      <c r="C87" s="407"/>
      <c r="D87" s="407"/>
      <c r="E87" s="407"/>
      <c r="F87" s="407"/>
      <c r="G87" s="416"/>
    </row>
    <row r="88" spans="1:7">
      <c r="A88" s="411"/>
      <c r="B88" s="413"/>
      <c r="C88" s="407"/>
      <c r="D88" s="407"/>
      <c r="E88" s="407"/>
      <c r="F88" s="407"/>
      <c r="G88" s="416"/>
    </row>
    <row r="89" spans="1:7">
      <c r="A89" s="411"/>
      <c r="B89" s="413"/>
      <c r="C89" s="407"/>
      <c r="D89" s="407"/>
      <c r="E89" s="407"/>
      <c r="F89" s="407"/>
      <c r="G89" s="416"/>
    </row>
    <row r="90" spans="1:7">
      <c r="A90" s="411"/>
      <c r="B90" s="413"/>
      <c r="C90" s="407"/>
      <c r="D90" s="407"/>
      <c r="E90" s="407"/>
      <c r="F90" s="407"/>
      <c r="G90" s="416"/>
    </row>
    <row r="91" spans="1:7">
      <c r="A91" s="417"/>
      <c r="B91" s="413"/>
      <c r="C91" s="407"/>
      <c r="D91" s="407"/>
      <c r="E91" s="407"/>
      <c r="F91" s="407"/>
      <c r="G91" s="416"/>
    </row>
    <row r="92" spans="1:7">
      <c r="A92" s="417"/>
      <c r="B92" s="413"/>
      <c r="C92" s="407"/>
      <c r="D92" s="407"/>
      <c r="E92" s="407"/>
      <c r="F92" s="407"/>
      <c r="G92" s="416"/>
    </row>
    <row r="93" spans="1:7">
      <c r="A93" s="417"/>
      <c r="B93" s="417"/>
      <c r="C93" s="407"/>
      <c r="D93" s="407"/>
      <c r="E93" s="407"/>
      <c r="F93" s="407"/>
      <c r="G93" s="416"/>
    </row>
    <row r="94" spans="1:7">
      <c r="A94" s="417"/>
      <c r="B94" s="413"/>
      <c r="C94" s="407"/>
      <c r="D94" s="407"/>
      <c r="E94" s="407"/>
      <c r="F94" s="407"/>
      <c r="G94" s="416"/>
    </row>
    <row r="95" spans="1:7">
      <c r="A95" s="417"/>
      <c r="B95" s="413"/>
      <c r="C95" s="407"/>
      <c r="D95" s="407"/>
      <c r="E95" s="407"/>
      <c r="F95" s="407"/>
      <c r="G95" s="416"/>
    </row>
    <row r="96" spans="1:7">
      <c r="A96" s="417"/>
      <c r="B96" s="413"/>
      <c r="C96" s="407"/>
      <c r="D96" s="407"/>
      <c r="E96" s="407"/>
      <c r="F96" s="407"/>
      <c r="G96" s="416"/>
    </row>
    <row r="97" spans="1:7">
      <c r="A97" s="417"/>
      <c r="B97" s="417"/>
      <c r="C97" s="407"/>
      <c r="D97" s="407"/>
      <c r="E97" s="407"/>
      <c r="F97" s="407"/>
      <c r="G97" s="416"/>
    </row>
    <row r="98" spans="1:7">
      <c r="A98" s="417"/>
      <c r="B98" s="413"/>
      <c r="C98" s="407"/>
      <c r="D98" s="407"/>
      <c r="E98" s="407"/>
      <c r="F98" s="407"/>
      <c r="G98" s="416"/>
    </row>
    <row r="99" spans="1:7">
      <c r="A99" s="417"/>
      <c r="B99" s="413"/>
      <c r="C99" s="407"/>
      <c r="D99" s="407"/>
      <c r="E99" s="407"/>
      <c r="F99" s="407"/>
      <c r="G99" s="416"/>
    </row>
    <row r="100" spans="1:7">
      <c r="A100" s="417"/>
      <c r="B100" s="413"/>
      <c r="C100" s="407"/>
      <c r="D100" s="407"/>
      <c r="E100" s="407"/>
      <c r="F100" s="407"/>
      <c r="G100" s="416"/>
    </row>
    <row r="101" spans="1:7">
      <c r="A101" s="417"/>
      <c r="B101" s="413"/>
      <c r="C101" s="407"/>
      <c r="D101" s="407"/>
      <c r="E101" s="407"/>
      <c r="F101" s="407"/>
      <c r="G101" s="416"/>
    </row>
    <row r="102" spans="1:7">
      <c r="A102" s="417"/>
      <c r="B102" s="413"/>
      <c r="C102" s="407"/>
      <c r="D102" s="407"/>
      <c r="E102" s="407"/>
      <c r="F102" s="407"/>
      <c r="G102" s="416"/>
    </row>
    <row r="103" spans="1:7">
      <c r="A103" s="417"/>
      <c r="B103" s="407"/>
      <c r="C103" s="407"/>
      <c r="D103" s="407"/>
      <c r="E103" s="407"/>
      <c r="F103" s="407"/>
      <c r="G103" s="416"/>
    </row>
    <row r="104" spans="1:7">
      <c r="A104" s="417"/>
      <c r="B104" s="407"/>
      <c r="C104" s="407"/>
      <c r="D104" s="407"/>
      <c r="E104" s="407"/>
      <c r="F104" s="407"/>
      <c r="G104" s="416"/>
    </row>
    <row r="105" spans="1:7">
      <c r="A105" s="417"/>
      <c r="B105" s="407"/>
      <c r="C105" s="407"/>
      <c r="D105" s="407"/>
      <c r="E105" s="407"/>
      <c r="F105" s="407"/>
      <c r="G105" s="416"/>
    </row>
    <row r="106" spans="1:7">
      <c r="A106" s="417"/>
      <c r="B106" s="407"/>
      <c r="C106" s="407"/>
      <c r="D106" s="407"/>
      <c r="E106" s="407"/>
      <c r="F106" s="407"/>
      <c r="G106" s="416"/>
    </row>
    <row r="107" spans="1:7">
      <c r="A107" s="417"/>
      <c r="B107" s="407"/>
      <c r="C107" s="407"/>
      <c r="D107" s="407"/>
      <c r="E107" s="407"/>
      <c r="F107" s="407"/>
      <c r="G107" s="416"/>
    </row>
    <row r="108" spans="1:7">
      <c r="A108" s="417"/>
      <c r="B108" s="407"/>
      <c r="C108" s="407"/>
      <c r="D108" s="407"/>
      <c r="E108" s="408"/>
      <c r="F108" s="407"/>
      <c r="G108" s="416"/>
    </row>
    <row r="109" spans="1:7">
      <c r="A109" s="417"/>
      <c r="B109" s="412"/>
      <c r="C109" s="418"/>
      <c r="D109" s="407"/>
      <c r="E109" s="408"/>
      <c r="F109" s="407"/>
      <c r="G109" s="415"/>
    </row>
    <row r="110" spans="1:7">
      <c r="A110" s="417"/>
      <c r="B110" s="407"/>
      <c r="C110" s="407"/>
      <c r="D110" s="407"/>
      <c r="E110" s="408"/>
      <c r="F110" s="407"/>
      <c r="G110" s="409"/>
    </row>
  </sheetData>
  <customSheetViews>
    <customSheetView guid="{A15D1962-B049-11D2-8670-0000832CEEE8}" showPageBreaks="1" fitToPage="1" showRuler="0" topLeftCell="A57">
      <rowBreaks count="2" manualBreakCount="2">
        <brk id="65" max="65535" man="1"/>
        <brk id="71" max="16383" man="1"/>
      </rowBreaks>
      <colBreaks count="3" manualBreakCount="3">
        <brk id="8" max="1048575" man="1"/>
        <brk id="9" max="1048575" man="1"/>
        <brk id="17" max="1048575" man="1"/>
      </colBreaks>
      <pageMargins left="1" right="1" top="0.5" bottom="0.5" header="0.5" footer="0.5"/>
      <printOptions horizontalCentered="1"/>
      <pageSetup scale="77" orientation="portrait" horizontalDpi="300" verticalDpi="300" r:id="rId1"/>
      <headerFooter alignWithMargins="0"/>
    </customSheetView>
    <customSheetView guid="{6E1B8C45-B07F-11D2-B0DC-0000832CDFF0}" showPageBreaks="1" fitToPage="1" printArea="1" hiddenColumns="1" showRuler="0" topLeftCell="A34">
      <selection activeCell="F49" sqref="F49"/>
      <rowBreaks count="1" manualBreakCount="1">
        <brk id="65" max="65535" man="1"/>
      </rowBreaks>
      <colBreaks count="1" manualBreakCount="1">
        <brk id="8" max="1048575" man="1"/>
      </colBreaks>
      <pageMargins left="1" right="1" top="0.5" bottom="0.5" header="0.5" footer="0.5"/>
      <printOptions horizontalCentered="1"/>
      <pageSetup scale="84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1" top="0.5" bottom="0.5" header="0.5" footer="0.5"/>
  <pageSetup scale="90" orientation="portrait" horizontalDpi="300" verticalDpi="300" r:id="rId3"/>
  <headerFooter alignWithMargins="0"/>
  <rowBreaks count="1" manualBreakCount="1">
    <brk id="65" max="65535" man="1"/>
  </rowBreaks>
  <colBreaks count="1" manualBreakCount="1">
    <brk id="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H110"/>
  <sheetViews>
    <sheetView topLeftCell="A26" zoomScaleNormal="100" workbookViewId="0">
      <selection activeCell="F103" sqref="F103"/>
    </sheetView>
  </sheetViews>
  <sheetFormatPr defaultColWidth="12.42578125" defaultRowHeight="12"/>
  <cols>
    <col min="1" max="1" width="5.5703125" style="456" customWidth="1"/>
    <col min="2" max="2" width="26.140625" style="455" customWidth="1"/>
    <col min="3" max="3" width="12.42578125" style="455" customWidth="1"/>
    <col min="4" max="4" width="6.7109375" style="455" customWidth="1"/>
    <col min="5" max="16384" width="12.42578125" style="455"/>
  </cols>
  <sheetData>
    <row r="1" spans="1:8">
      <c r="A1" s="453" t="str">
        <f>Inputs!$D$6</f>
        <v>AVISTA UTILITIES</v>
      </c>
      <c r="B1" s="454"/>
      <c r="C1" s="453"/>
    </row>
    <row r="2" spans="1:8">
      <c r="A2" s="453" t="s">
        <v>142</v>
      </c>
      <c r="B2" s="454"/>
      <c r="C2" s="453"/>
      <c r="E2" s="453"/>
      <c r="F2" s="456" t="s">
        <v>243</v>
      </c>
      <c r="G2" s="453"/>
    </row>
    <row r="3" spans="1:8">
      <c r="A3" s="454" t="str">
        <f>WAElec09_08!$A$4</f>
        <v>TWELVE MONTHS ENDED SEPTEMBER 30, 2008</v>
      </c>
      <c r="B3" s="454"/>
      <c r="C3" s="453"/>
      <c r="E3" s="453"/>
      <c r="F3" s="456" t="s">
        <v>244</v>
      </c>
      <c r="G3" s="453"/>
    </row>
    <row r="4" spans="1:8">
      <c r="A4" s="453" t="s">
        <v>1</v>
      </c>
      <c r="B4" s="454"/>
      <c r="C4" s="453"/>
      <c r="E4" s="457"/>
      <c r="F4" s="458" t="s">
        <v>145</v>
      </c>
      <c r="G4" s="459"/>
    </row>
    <row r="5" spans="1:8">
      <c r="A5" s="456" t="s">
        <v>14</v>
      </c>
    </row>
    <row r="6" spans="1:8" s="456" customFormat="1">
      <c r="A6" s="456" t="s">
        <v>146</v>
      </c>
      <c r="B6" s="460" t="s">
        <v>36</v>
      </c>
      <c r="C6" s="460"/>
      <c r="E6" s="460" t="s">
        <v>147</v>
      </c>
      <c r="F6" s="460" t="s">
        <v>148</v>
      </c>
      <c r="G6" s="460" t="s">
        <v>128</v>
      </c>
      <c r="H6" s="461"/>
    </row>
    <row r="7" spans="1:8">
      <c r="B7" s="462" t="s">
        <v>85</v>
      </c>
    </row>
    <row r="8" spans="1:8" s="465" customFormat="1">
      <c r="A8" s="463">
        <v>1</v>
      </c>
      <c r="B8" s="464" t="s">
        <v>86</v>
      </c>
      <c r="E8" s="466">
        <f>F8+G8</f>
        <v>-13744</v>
      </c>
      <c r="F8" s="466">
        <v>-13744</v>
      </c>
      <c r="G8" s="466"/>
      <c r="H8" s="465" t="str">
        <f t="shared" ref="H8:H13" si="0">IF(E8=F8+G8," ","ERROR")</f>
        <v xml:space="preserve"> </v>
      </c>
    </row>
    <row r="9" spans="1:8">
      <c r="A9" s="456">
        <v>2</v>
      </c>
      <c r="B9" s="462" t="s">
        <v>87</v>
      </c>
      <c r="E9" s="467"/>
      <c r="F9" s="467"/>
      <c r="G9" s="467"/>
      <c r="H9" s="465" t="str">
        <f t="shared" si="0"/>
        <v xml:space="preserve"> </v>
      </c>
    </row>
    <row r="10" spans="1:8">
      <c r="A10" s="456">
        <v>3</v>
      </c>
      <c r="B10" s="462" t="s">
        <v>150</v>
      </c>
      <c r="E10" s="467"/>
      <c r="F10" s="467"/>
      <c r="G10" s="467"/>
      <c r="H10" s="465" t="str">
        <f t="shared" si="0"/>
        <v xml:space="preserve"> </v>
      </c>
    </row>
    <row r="11" spans="1:8">
      <c r="A11" s="456">
        <v>4</v>
      </c>
      <c r="B11" s="462" t="s">
        <v>151</v>
      </c>
      <c r="E11" s="468">
        <f>E8+E9+E10</f>
        <v>-13744</v>
      </c>
      <c r="F11" s="468">
        <f>F8+F9+F10</f>
        <v>-13744</v>
      </c>
      <c r="G11" s="468">
        <f>G8+G9+G10</f>
        <v>0</v>
      </c>
      <c r="H11" s="465" t="str">
        <f t="shared" si="0"/>
        <v xml:space="preserve"> </v>
      </c>
    </row>
    <row r="12" spans="1:8">
      <c r="A12" s="456">
        <v>5</v>
      </c>
      <c r="B12" s="462" t="s">
        <v>90</v>
      </c>
      <c r="E12" s="467">
        <f>SUM(F12:G12)</f>
        <v>-16</v>
      </c>
      <c r="F12" s="467">
        <v>-16</v>
      </c>
      <c r="G12" s="467"/>
      <c r="H12" s="465" t="str">
        <f t="shared" si="0"/>
        <v xml:space="preserve"> </v>
      </c>
    </row>
    <row r="13" spans="1:8">
      <c r="A13" s="456">
        <v>6</v>
      </c>
      <c r="B13" s="462" t="s">
        <v>152</v>
      </c>
      <c r="E13" s="468">
        <f>E11+E12</f>
        <v>-13760</v>
      </c>
      <c r="F13" s="468">
        <f>F11+F12</f>
        <v>-13760</v>
      </c>
      <c r="G13" s="468">
        <f>G11+G12</f>
        <v>0</v>
      </c>
      <c r="H13" s="465" t="str">
        <f t="shared" si="0"/>
        <v xml:space="preserve"> </v>
      </c>
    </row>
    <row r="14" spans="1:8">
      <c r="E14" s="469"/>
      <c r="F14" s="469"/>
      <c r="G14" s="469"/>
      <c r="H14" s="465"/>
    </row>
    <row r="15" spans="1:8">
      <c r="B15" s="462" t="s">
        <v>92</v>
      </c>
      <c r="E15" s="469"/>
      <c r="F15" s="469"/>
      <c r="G15" s="469"/>
      <c r="H15" s="465"/>
    </row>
    <row r="16" spans="1:8">
      <c r="B16" s="462" t="s">
        <v>93</v>
      </c>
      <c r="E16" s="469"/>
      <c r="F16" s="469"/>
      <c r="G16" s="469"/>
      <c r="H16" s="465"/>
    </row>
    <row r="17" spans="1:8">
      <c r="A17" s="456">
        <v>7</v>
      </c>
      <c r="B17" s="462" t="s">
        <v>153</v>
      </c>
      <c r="E17" s="467"/>
      <c r="F17" s="467"/>
      <c r="G17" s="467"/>
      <c r="H17" s="465" t="str">
        <f>IF(E17=F17+G17," ","ERROR")</f>
        <v xml:space="preserve"> </v>
      </c>
    </row>
    <row r="18" spans="1:8">
      <c r="A18" s="456">
        <v>8</v>
      </c>
      <c r="B18" s="462" t="s">
        <v>154</v>
      </c>
      <c r="E18" s="467"/>
      <c r="F18" s="467"/>
      <c r="G18" s="467"/>
      <c r="H18" s="465" t="str">
        <f>IF(E18=F18+G18," ","ERROR")</f>
        <v xml:space="preserve"> </v>
      </c>
    </row>
    <row r="19" spans="1:8">
      <c r="A19" s="456">
        <v>9</v>
      </c>
      <c r="B19" s="462" t="s">
        <v>155</v>
      </c>
      <c r="E19" s="467"/>
      <c r="F19" s="467"/>
      <c r="G19" s="467"/>
      <c r="H19" s="465" t="str">
        <f>IF(E19=F19+G19," ","ERROR")</f>
        <v xml:space="preserve"> </v>
      </c>
    </row>
    <row r="20" spans="1:8">
      <c r="A20" s="456">
        <v>10</v>
      </c>
      <c r="B20" s="462" t="s">
        <v>156</v>
      </c>
      <c r="E20" s="467"/>
      <c r="F20" s="467"/>
      <c r="G20" s="467"/>
      <c r="H20" s="465" t="str">
        <f>IF(E20=F20+G20," ","ERROR")</f>
        <v xml:space="preserve"> </v>
      </c>
    </row>
    <row r="21" spans="1:8">
      <c r="A21" s="456">
        <v>11</v>
      </c>
      <c r="B21" s="462" t="s">
        <v>157</v>
      </c>
      <c r="E21" s="468">
        <f>E17+E18+E19+E20</f>
        <v>0</v>
      </c>
      <c r="F21" s="468">
        <f>F17+F18+F19+F20</f>
        <v>0</v>
      </c>
      <c r="G21" s="468">
        <f>G17+G18+G19+G20</f>
        <v>0</v>
      </c>
      <c r="H21" s="465" t="str">
        <f>IF(E21=F21+G21," ","ERROR")</f>
        <v xml:space="preserve"> </v>
      </c>
    </row>
    <row r="22" spans="1:8">
      <c r="E22" s="469"/>
      <c r="F22" s="469"/>
      <c r="G22" s="469"/>
      <c r="H22" s="465"/>
    </row>
    <row r="23" spans="1:8">
      <c r="B23" s="462" t="s">
        <v>98</v>
      </c>
      <c r="E23" s="469"/>
      <c r="F23" s="469"/>
      <c r="G23" s="469"/>
      <c r="H23" s="465"/>
    </row>
    <row r="24" spans="1:8">
      <c r="A24" s="456">
        <v>12</v>
      </c>
      <c r="B24" s="462" t="s">
        <v>153</v>
      </c>
      <c r="E24" s="467"/>
      <c r="F24" s="467"/>
      <c r="G24" s="467"/>
      <c r="H24" s="465" t="str">
        <f>IF(E24=F24+G24," ","ERROR")</f>
        <v xml:space="preserve"> </v>
      </c>
    </row>
    <row r="25" spans="1:8">
      <c r="A25" s="456">
        <v>13</v>
      </c>
      <c r="B25" s="462" t="s">
        <v>158</v>
      </c>
      <c r="E25" s="467"/>
      <c r="F25" s="467"/>
      <c r="G25" s="467"/>
      <c r="H25" s="465" t="str">
        <f>IF(E25=F25+G25," ","ERROR")</f>
        <v xml:space="preserve"> </v>
      </c>
    </row>
    <row r="26" spans="1:8">
      <c r="A26" s="456">
        <v>14</v>
      </c>
      <c r="B26" s="462" t="s">
        <v>156</v>
      </c>
      <c r="E26" s="467">
        <f>F26+G26</f>
        <v>-13726</v>
      </c>
      <c r="F26" s="467">
        <f>-13813+87</f>
        <v>-13726</v>
      </c>
      <c r="G26" s="917">
        <f>0+F109</f>
        <v>0</v>
      </c>
      <c r="H26" s="465" t="str">
        <f>IF(E26=F26+G26," ","ERROR")</f>
        <v xml:space="preserve"> </v>
      </c>
    </row>
    <row r="27" spans="1:8">
      <c r="A27" s="456">
        <v>15</v>
      </c>
      <c r="B27" s="462" t="s">
        <v>159</v>
      </c>
      <c r="E27" s="468">
        <f>E24+E25+E26</f>
        <v>-13726</v>
      </c>
      <c r="F27" s="468">
        <f>F24+F25+F26</f>
        <v>-13726</v>
      </c>
      <c r="G27" s="468">
        <f>G24+G25+G26</f>
        <v>0</v>
      </c>
      <c r="H27" s="465" t="str">
        <f>IF(E27=F27+G27," ","ERROR")</f>
        <v xml:space="preserve"> </v>
      </c>
    </row>
    <row r="28" spans="1:8">
      <c r="E28" s="469"/>
      <c r="F28" s="469"/>
      <c r="G28" s="469"/>
      <c r="H28" s="465"/>
    </row>
    <row r="29" spans="1:8">
      <c r="A29" s="456">
        <v>16</v>
      </c>
      <c r="B29" s="462" t="s">
        <v>101</v>
      </c>
      <c r="E29" s="467"/>
      <c r="F29" s="467"/>
      <c r="G29" s="467"/>
      <c r="H29" s="465" t="str">
        <f>IF(E29=F29+G29," ","ERROR")</f>
        <v xml:space="preserve"> </v>
      </c>
    </row>
    <row r="30" spans="1:8">
      <c r="A30" s="456">
        <v>17</v>
      </c>
      <c r="B30" s="462" t="s">
        <v>102</v>
      </c>
      <c r="E30" s="467"/>
      <c r="F30" s="467"/>
      <c r="G30" s="467"/>
      <c r="H30" s="465" t="str">
        <f>IF(E30=F30+G30," ","ERROR")</f>
        <v xml:space="preserve"> </v>
      </c>
    </row>
    <row r="31" spans="1:8">
      <c r="A31" s="456">
        <v>18</v>
      </c>
      <c r="B31" s="462" t="s">
        <v>160</v>
      </c>
      <c r="E31" s="467"/>
      <c r="F31" s="467"/>
      <c r="G31" s="467"/>
      <c r="H31" s="465" t="str">
        <f>IF(E31=F31+G31," ","ERROR")</f>
        <v xml:space="preserve"> </v>
      </c>
    </row>
    <row r="32" spans="1:8">
      <c r="E32" s="469"/>
      <c r="F32" s="469"/>
      <c r="G32" s="469"/>
      <c r="H32" s="465"/>
    </row>
    <row r="33" spans="1:8">
      <c r="B33" s="462" t="s">
        <v>104</v>
      </c>
      <c r="E33" s="469"/>
      <c r="F33" s="469"/>
      <c r="G33" s="469"/>
      <c r="H33" s="465"/>
    </row>
    <row r="34" spans="1:8">
      <c r="A34" s="456">
        <v>19</v>
      </c>
      <c r="B34" s="462" t="s">
        <v>153</v>
      </c>
      <c r="E34" s="467">
        <f>F34+G34</f>
        <v>0</v>
      </c>
      <c r="F34" s="467">
        <v>0</v>
      </c>
      <c r="G34" s="467"/>
      <c r="H34" s="465" t="str">
        <f>IF(E34=F34+G34," ","ERROR")</f>
        <v xml:space="preserve"> </v>
      </c>
    </row>
    <row r="35" spans="1:8">
      <c r="A35" s="456">
        <v>20</v>
      </c>
      <c r="B35" s="462" t="s">
        <v>158</v>
      </c>
      <c r="E35" s="467"/>
      <c r="F35" s="467"/>
      <c r="G35" s="467"/>
      <c r="H35" s="465" t="str">
        <f>IF(E35=F35+G35," ","ERROR")</f>
        <v xml:space="preserve"> </v>
      </c>
    </row>
    <row r="36" spans="1:8">
      <c r="A36" s="456">
        <v>21</v>
      </c>
      <c r="B36" s="462" t="s">
        <v>156</v>
      </c>
      <c r="E36" s="467"/>
      <c r="F36" s="467"/>
      <c r="G36" s="467"/>
      <c r="H36" s="465" t="str">
        <f>IF(E36=F36+G36," ","ERROR")</f>
        <v xml:space="preserve"> </v>
      </c>
    </row>
    <row r="37" spans="1:8">
      <c r="A37" s="456">
        <v>22</v>
      </c>
      <c r="B37" s="462" t="s">
        <v>161</v>
      </c>
      <c r="E37" s="471">
        <f>E34+E35+E36</f>
        <v>0</v>
      </c>
      <c r="F37" s="471">
        <f>F34+F35+F36</f>
        <v>0</v>
      </c>
      <c r="G37" s="471">
        <f>G34+G35+G36</f>
        <v>0</v>
      </c>
      <c r="H37" s="465" t="str">
        <f>IF(E37=F37+G37," ","ERROR")</f>
        <v xml:space="preserve"> </v>
      </c>
    </row>
    <row r="38" spans="1:8">
      <c r="A38" s="456">
        <v>23</v>
      </c>
      <c r="B38" s="462" t="s">
        <v>106</v>
      </c>
      <c r="E38" s="472">
        <f>E21+E27+E29+E30+E31+E37</f>
        <v>-13726</v>
      </c>
      <c r="F38" s="472">
        <f>F21+F27+F29+F30+F31+F37</f>
        <v>-13726</v>
      </c>
      <c r="G38" s="472">
        <f>G21+G27+G29+G30+G31+G37</f>
        <v>0</v>
      </c>
      <c r="H38" s="465" t="str">
        <f>IF(E38=F38+G38," ","ERROR")</f>
        <v xml:space="preserve"> </v>
      </c>
    </row>
    <row r="39" spans="1:8">
      <c r="E39" s="469"/>
      <c r="F39" s="469"/>
      <c r="G39" s="469"/>
      <c r="H39" s="465"/>
    </row>
    <row r="40" spans="1:8">
      <c r="A40" s="456">
        <v>24</v>
      </c>
      <c r="B40" s="462" t="s">
        <v>162</v>
      </c>
      <c r="E40" s="469">
        <f>E13-E38</f>
        <v>-34</v>
      </c>
      <c r="F40" s="469">
        <f>F13-F38</f>
        <v>-34</v>
      </c>
      <c r="G40" s="469">
        <f>G13-G38</f>
        <v>0</v>
      </c>
      <c r="H40" s="465" t="str">
        <f>IF(E40=F40+G40," ","ERROR")</f>
        <v xml:space="preserve"> </v>
      </c>
    </row>
    <row r="41" spans="1:8">
      <c r="B41" s="462"/>
      <c r="E41" s="469"/>
      <c r="F41" s="469"/>
      <c r="G41" s="469"/>
      <c r="H41" s="465"/>
    </row>
    <row r="42" spans="1:8">
      <c r="B42" s="462" t="s">
        <v>163</v>
      </c>
      <c r="E42" s="469"/>
      <c r="F42" s="469"/>
      <c r="G42" s="469"/>
      <c r="H42" s="465"/>
    </row>
    <row r="43" spans="1:8">
      <c r="A43" s="456">
        <v>25</v>
      </c>
      <c r="B43" s="462" t="s">
        <v>164</v>
      </c>
      <c r="D43" s="473">
        <v>0.35</v>
      </c>
      <c r="E43" s="467">
        <f>F43+G43</f>
        <v>-12</v>
      </c>
      <c r="F43" s="467">
        <f>ROUND(F40*D43,0)</f>
        <v>-12</v>
      </c>
      <c r="G43" s="467">
        <f>ROUND(G40*D43,0)</f>
        <v>0</v>
      </c>
      <c r="H43" s="465" t="str">
        <f>IF(E43=F43+G43," ","ERROR")</f>
        <v xml:space="preserve"> </v>
      </c>
    </row>
    <row r="44" spans="1:8">
      <c r="A44" s="456">
        <v>26</v>
      </c>
      <c r="B44" s="462" t="s">
        <v>165</v>
      </c>
      <c r="E44" s="467"/>
      <c r="F44" s="467"/>
      <c r="G44" s="467"/>
      <c r="H44" s="465" t="str">
        <f>IF(E44=F44+G44," ","ERROR")</f>
        <v xml:space="preserve"> </v>
      </c>
    </row>
    <row r="45" spans="1:8" ht="12.75">
      <c r="A45"/>
      <c r="B45"/>
      <c r="C45"/>
      <c r="D45"/>
      <c r="E45" s="913"/>
      <c r="F45" s="913"/>
      <c r="G45" s="913"/>
      <c r="H45" s="465" t="str">
        <f>IF(E45=F45+G45," ","ERROR")</f>
        <v xml:space="preserve"> </v>
      </c>
    </row>
    <row r="46" spans="1:8">
      <c r="A46" s="259"/>
      <c r="B46" s="262"/>
      <c r="C46" s="256"/>
      <c r="D46" s="256"/>
      <c r="E46" s="269"/>
      <c r="F46" s="269"/>
      <c r="G46" s="269"/>
      <c r="H46" s="465"/>
    </row>
    <row r="47" spans="1:8" s="465" customFormat="1">
      <c r="A47" s="263">
        <v>27</v>
      </c>
      <c r="B47" s="264" t="s">
        <v>113</v>
      </c>
      <c r="C47" s="265"/>
      <c r="D47" s="265"/>
      <c r="E47" s="273">
        <f>E40-SUM(E43:E44)</f>
        <v>-22</v>
      </c>
      <c r="F47" s="273">
        <f>F40-SUM(F43:F44)</f>
        <v>-22</v>
      </c>
      <c r="G47" s="273">
        <f>G40-SUM(G43:G44)</f>
        <v>0</v>
      </c>
      <c r="H47" s="465" t="str">
        <f>IF(E47=F47+G47," ","ERROR")</f>
        <v xml:space="preserve"> </v>
      </c>
    </row>
    <row r="48" spans="1:8">
      <c r="A48" s="259"/>
      <c r="H48" s="465"/>
    </row>
    <row r="49" spans="1:8">
      <c r="A49" s="259"/>
      <c r="B49" s="462" t="s">
        <v>114</v>
      </c>
      <c r="H49" s="465"/>
    </row>
    <row r="50" spans="1:8">
      <c r="A50" s="259"/>
      <c r="B50" s="462" t="s">
        <v>115</v>
      </c>
      <c r="H50" s="465"/>
    </row>
    <row r="51" spans="1:8" s="465" customFormat="1">
      <c r="A51" s="263">
        <v>28</v>
      </c>
      <c r="B51" s="464" t="s">
        <v>167</v>
      </c>
      <c r="E51" s="466"/>
      <c r="F51" s="466"/>
      <c r="G51" s="466"/>
      <c r="H51" s="465" t="str">
        <f t="shared" ref="H51:H61" si="1">IF(E51=F51+G51," ","ERROR")</f>
        <v xml:space="preserve"> </v>
      </c>
    </row>
    <row r="52" spans="1:8">
      <c r="A52" s="259">
        <v>29</v>
      </c>
      <c r="B52" s="462" t="s">
        <v>168</v>
      </c>
      <c r="E52" s="467"/>
      <c r="F52" s="467"/>
      <c r="G52" s="467"/>
      <c r="H52" s="465" t="str">
        <f t="shared" si="1"/>
        <v xml:space="preserve"> </v>
      </c>
    </row>
    <row r="53" spans="1:8">
      <c r="A53" s="259">
        <v>30</v>
      </c>
      <c r="B53" s="462" t="s">
        <v>169</v>
      </c>
      <c r="E53" s="467"/>
      <c r="F53" s="467"/>
      <c r="G53" s="467"/>
      <c r="H53" s="465" t="str">
        <f t="shared" si="1"/>
        <v xml:space="preserve"> </v>
      </c>
    </row>
    <row r="54" spans="1:8">
      <c r="A54" s="259">
        <v>31</v>
      </c>
      <c r="B54" s="462" t="s">
        <v>170</v>
      </c>
      <c r="E54" s="467"/>
      <c r="F54" s="467"/>
      <c r="G54" s="467"/>
      <c r="H54" s="465" t="str">
        <f t="shared" si="1"/>
        <v xml:space="preserve"> </v>
      </c>
    </row>
    <row r="55" spans="1:8">
      <c r="A55" s="259">
        <v>32</v>
      </c>
      <c r="B55" s="462" t="s">
        <v>171</v>
      </c>
      <c r="E55" s="474"/>
      <c r="F55" s="474"/>
      <c r="G55" s="474"/>
      <c r="H55" s="465" t="str">
        <f t="shared" si="1"/>
        <v xml:space="preserve"> </v>
      </c>
    </row>
    <row r="56" spans="1:8">
      <c r="A56" s="259">
        <v>33</v>
      </c>
      <c r="B56" s="462" t="s">
        <v>172</v>
      </c>
      <c r="E56" s="469">
        <f>E51+E52+E53+E54+E55</f>
        <v>0</v>
      </c>
      <c r="F56" s="469">
        <f>F51+F52+F53+F54+F55</f>
        <v>0</v>
      </c>
      <c r="G56" s="469">
        <f>G51+G52+G53+G54+G55</f>
        <v>0</v>
      </c>
      <c r="H56" s="465" t="str">
        <f t="shared" si="1"/>
        <v xml:space="preserve"> </v>
      </c>
    </row>
    <row r="57" spans="1:8">
      <c r="A57" s="259">
        <v>34</v>
      </c>
      <c r="B57" s="462" t="s">
        <v>121</v>
      </c>
      <c r="E57" s="467"/>
      <c r="F57" s="467"/>
      <c r="G57" s="467"/>
      <c r="H57" s="465" t="str">
        <f t="shared" si="1"/>
        <v xml:space="preserve"> </v>
      </c>
    </row>
    <row r="58" spans="1:8">
      <c r="A58" s="259">
        <v>35</v>
      </c>
      <c r="B58" s="462" t="s">
        <v>122</v>
      </c>
      <c r="E58" s="474"/>
      <c r="F58" s="474"/>
      <c r="G58" s="474"/>
      <c r="H58" s="465" t="str">
        <f t="shared" si="1"/>
        <v xml:space="preserve"> </v>
      </c>
    </row>
    <row r="59" spans="1:8">
      <c r="A59" s="259">
        <v>36</v>
      </c>
      <c r="B59" s="462" t="s">
        <v>173</v>
      </c>
      <c r="E59" s="469">
        <f>E57+E58</f>
        <v>0</v>
      </c>
      <c r="F59" s="469">
        <f>F57+F58</f>
        <v>0</v>
      </c>
      <c r="G59" s="469">
        <f>G57+G58</f>
        <v>0</v>
      </c>
      <c r="H59" s="465" t="str">
        <f t="shared" si="1"/>
        <v xml:space="preserve"> </v>
      </c>
    </row>
    <row r="60" spans="1:8">
      <c r="A60" s="259">
        <v>37</v>
      </c>
      <c r="B60" s="462" t="s">
        <v>124</v>
      </c>
      <c r="E60" s="467"/>
      <c r="F60" s="467"/>
      <c r="G60" s="467"/>
      <c r="H60" s="465" t="str">
        <f t="shared" si="1"/>
        <v xml:space="preserve"> </v>
      </c>
    </row>
    <row r="61" spans="1:8">
      <c r="A61" s="259">
        <v>38</v>
      </c>
      <c r="B61" s="462" t="s">
        <v>125</v>
      </c>
      <c r="E61" s="474"/>
      <c r="F61" s="474"/>
      <c r="G61" s="474"/>
      <c r="H61" s="465" t="str">
        <f t="shared" si="1"/>
        <v xml:space="preserve"> </v>
      </c>
    </row>
    <row r="62" spans="1:8" ht="9" customHeight="1">
      <c r="A62" s="259"/>
      <c r="H62" s="465"/>
    </row>
    <row r="63" spans="1:8" s="465" customFormat="1" ht="12.75" thickBot="1">
      <c r="A63" s="263">
        <v>39</v>
      </c>
      <c r="B63" s="464" t="s">
        <v>126</v>
      </c>
      <c r="E63" s="475">
        <f>E56-E59+E60+E61</f>
        <v>0</v>
      </c>
      <c r="F63" s="475">
        <f>F56-F59+F60+F61</f>
        <v>0</v>
      </c>
      <c r="G63" s="475">
        <f>G56-G59+G60+G61</f>
        <v>0</v>
      </c>
      <c r="H63" s="465" t="str">
        <f>IF(E63=F63+G63," ","ERROR")</f>
        <v xml:space="preserve"> </v>
      </c>
    </row>
    <row r="64" spans="1:8" ht="12.75" thickTop="1"/>
    <row r="65" spans="1:8">
      <c r="A65" s="454" t="str">
        <f>Inputs!$D$6</f>
        <v>AVISTA UTILITIES</v>
      </c>
      <c r="B65" s="454"/>
      <c r="C65" s="454"/>
      <c r="D65" s="476"/>
      <c r="E65" s="477"/>
      <c r="F65" s="476"/>
      <c r="G65" s="478"/>
      <c r="H65" s="477"/>
    </row>
    <row r="66" spans="1:8">
      <c r="A66" s="454" t="s">
        <v>225</v>
      </c>
      <c r="B66" s="454"/>
      <c r="C66" s="454"/>
      <c r="D66" s="476"/>
      <c r="E66" s="477"/>
      <c r="F66" s="476"/>
      <c r="G66" s="478"/>
      <c r="H66" s="477"/>
    </row>
    <row r="67" spans="1:8">
      <c r="A67" s="454" t="str">
        <f>A3</f>
        <v>TWELVE MONTHS ENDED SEPTEMBER 30, 2008</v>
      </c>
      <c r="B67" s="454"/>
      <c r="C67" s="454"/>
      <c r="D67" s="476"/>
      <c r="E67" s="477"/>
      <c r="F67" s="479" t="str">
        <f>F2</f>
        <v>ELIMINATE</v>
      </c>
      <c r="G67" s="476"/>
      <c r="H67" s="477"/>
    </row>
    <row r="68" spans="1:8">
      <c r="A68" s="454" t="s">
        <v>226</v>
      </c>
      <c r="B68" s="454"/>
      <c r="C68" s="454"/>
      <c r="D68" s="476"/>
      <c r="E68" s="477"/>
      <c r="F68" s="479" t="str">
        <f>F3</f>
        <v>B &amp; O TAXES</v>
      </c>
      <c r="G68" s="476"/>
      <c r="H68" s="477"/>
    </row>
    <row r="69" spans="1:8">
      <c r="B69" s="476"/>
      <c r="C69" s="476"/>
      <c r="D69" s="476"/>
      <c r="E69" s="480"/>
      <c r="F69" s="481" t="str">
        <f>F4</f>
        <v>ELECTRIC</v>
      </c>
      <c r="G69" s="476"/>
      <c r="H69" s="482"/>
    </row>
    <row r="70" spans="1:8">
      <c r="B70" s="476"/>
      <c r="C70" s="476"/>
      <c r="D70" s="476"/>
      <c r="E70" s="477"/>
      <c r="F70" s="479"/>
      <c r="G70" s="483"/>
      <c r="H70" s="477"/>
    </row>
    <row r="71" spans="1:8">
      <c r="B71" s="484" t="s">
        <v>134</v>
      </c>
      <c r="C71" s="485"/>
      <c r="D71" s="476"/>
      <c r="E71" s="477"/>
      <c r="F71" s="481" t="s">
        <v>128</v>
      </c>
      <c r="G71" s="476"/>
      <c r="H71" s="477"/>
    </row>
    <row r="72" spans="1:8">
      <c r="B72" s="462" t="s">
        <v>85</v>
      </c>
      <c r="C72" s="476"/>
      <c r="D72" s="476"/>
      <c r="E72" s="476"/>
      <c r="F72" s="478"/>
      <c r="G72" s="476"/>
      <c r="H72" s="476"/>
    </row>
    <row r="73" spans="1:8">
      <c r="B73" s="464" t="s">
        <v>86</v>
      </c>
      <c r="C73" s="476"/>
      <c r="D73" s="476"/>
      <c r="E73" s="476"/>
      <c r="F73" s="486">
        <f>G8</f>
        <v>0</v>
      </c>
      <c r="G73" s="476"/>
      <c r="H73" s="476"/>
    </row>
    <row r="74" spans="1:8">
      <c r="B74" s="462" t="s">
        <v>87</v>
      </c>
      <c r="C74" s="476"/>
      <c r="D74" s="476"/>
      <c r="E74" s="476"/>
      <c r="F74" s="469">
        <f>G9</f>
        <v>0</v>
      </c>
      <c r="G74" s="476"/>
      <c r="H74" s="476"/>
    </row>
    <row r="75" spans="1:8">
      <c r="B75" s="462" t="s">
        <v>150</v>
      </c>
      <c r="C75" s="476"/>
      <c r="D75" s="476"/>
      <c r="E75" s="476"/>
      <c r="F75" s="472">
        <f>G10</f>
        <v>0</v>
      </c>
      <c r="G75" s="476"/>
      <c r="H75" s="476"/>
    </row>
    <row r="76" spans="1:8">
      <c r="B76" s="462" t="s">
        <v>151</v>
      </c>
      <c r="C76" s="476"/>
      <c r="D76" s="476"/>
      <c r="E76" s="476"/>
      <c r="F76" s="469">
        <f>SUM(F73:F75)</f>
        <v>0</v>
      </c>
      <c r="G76" s="476"/>
      <c r="H76" s="476"/>
    </row>
    <row r="77" spans="1:8">
      <c r="B77" s="462" t="s">
        <v>90</v>
      </c>
      <c r="C77" s="476"/>
      <c r="D77" s="476"/>
      <c r="E77" s="476"/>
      <c r="F77" s="472">
        <f>G12</f>
        <v>0</v>
      </c>
      <c r="G77" s="476"/>
      <c r="H77" s="476"/>
    </row>
    <row r="78" spans="1:8">
      <c r="B78" s="462" t="s">
        <v>152</v>
      </c>
      <c r="C78" s="476"/>
      <c r="D78" s="476"/>
      <c r="E78" s="476"/>
      <c r="F78" s="469">
        <f>F76+F77</f>
        <v>0</v>
      </c>
      <c r="G78" s="476"/>
      <c r="H78" s="476"/>
    </row>
    <row r="79" spans="1:8">
      <c r="C79" s="476"/>
      <c r="D79" s="476"/>
      <c r="E79" s="476"/>
      <c r="F79" s="469"/>
      <c r="G79" s="476"/>
      <c r="H79" s="476"/>
    </row>
    <row r="80" spans="1:8">
      <c r="B80" s="462" t="s">
        <v>92</v>
      </c>
      <c r="C80" s="476"/>
      <c r="D80" s="476"/>
      <c r="E80" s="476"/>
      <c r="F80" s="469"/>
      <c r="G80" s="476"/>
      <c r="H80" s="476"/>
    </row>
    <row r="81" spans="1:8">
      <c r="B81" s="462" t="s">
        <v>93</v>
      </c>
      <c r="C81" s="476"/>
      <c r="D81" s="476"/>
      <c r="E81" s="476"/>
      <c r="F81" s="469"/>
      <c r="G81" s="476"/>
      <c r="H81" s="476"/>
    </row>
    <row r="82" spans="1:8">
      <c r="B82" s="462" t="s">
        <v>153</v>
      </c>
      <c r="C82" s="476"/>
      <c r="D82" s="476"/>
      <c r="E82" s="476"/>
      <c r="F82" s="469">
        <f>G17</f>
        <v>0</v>
      </c>
      <c r="G82" s="476"/>
      <c r="H82" s="476"/>
    </row>
    <row r="83" spans="1:8">
      <c r="B83" s="462" t="s">
        <v>154</v>
      </c>
      <c r="C83" s="476"/>
      <c r="D83" s="476"/>
      <c r="E83" s="476"/>
      <c r="F83" s="469">
        <f>G18</f>
        <v>0</v>
      </c>
      <c r="G83" s="476"/>
      <c r="H83" s="476"/>
    </row>
    <row r="84" spans="1:8">
      <c r="B84" s="462" t="s">
        <v>155</v>
      </c>
      <c r="C84" s="476"/>
      <c r="D84" s="476"/>
      <c r="E84" s="476"/>
      <c r="F84" s="469">
        <f>G19</f>
        <v>0</v>
      </c>
      <c r="G84" s="476"/>
      <c r="H84" s="476"/>
    </row>
    <row r="85" spans="1:8">
      <c r="B85" s="462" t="s">
        <v>156</v>
      </c>
      <c r="C85" s="476"/>
      <c r="D85" s="476"/>
      <c r="E85" s="476"/>
      <c r="F85" s="472">
        <f>G20</f>
        <v>0</v>
      </c>
      <c r="G85" s="476"/>
      <c r="H85" s="476"/>
    </row>
    <row r="86" spans="1:8">
      <c r="B86" s="462" t="s">
        <v>157</v>
      </c>
      <c r="C86" s="476"/>
      <c r="D86" s="476"/>
      <c r="E86" s="476"/>
      <c r="F86" s="469">
        <f>SUM(F82:F85)</f>
        <v>0</v>
      </c>
      <c r="G86" s="476"/>
      <c r="H86" s="476"/>
    </row>
    <row r="87" spans="1:8">
      <c r="C87" s="476"/>
      <c r="D87" s="476"/>
      <c r="E87" s="476"/>
      <c r="F87" s="469"/>
      <c r="G87" s="476"/>
      <c r="H87" s="476"/>
    </row>
    <row r="88" spans="1:8">
      <c r="B88" s="462" t="s">
        <v>98</v>
      </c>
      <c r="C88" s="476"/>
      <c r="D88" s="476"/>
      <c r="E88" s="476"/>
      <c r="F88" s="469"/>
      <c r="G88" s="476"/>
      <c r="H88" s="476"/>
    </row>
    <row r="89" spans="1:8">
      <c r="B89" s="462" t="s">
        <v>153</v>
      </c>
      <c r="C89" s="476"/>
      <c r="D89" s="476"/>
      <c r="E89" s="476"/>
      <c r="F89" s="469">
        <f>G24</f>
        <v>0</v>
      </c>
      <c r="G89" s="476"/>
      <c r="H89" s="476"/>
    </row>
    <row r="90" spans="1:8">
      <c r="B90" s="462" t="s">
        <v>158</v>
      </c>
      <c r="C90" s="476"/>
      <c r="D90" s="476"/>
      <c r="E90" s="476"/>
      <c r="F90" s="469">
        <f>G25</f>
        <v>0</v>
      </c>
      <c r="G90" s="476"/>
      <c r="H90" s="476"/>
    </row>
    <row r="91" spans="1:8">
      <c r="A91" s="455"/>
      <c r="B91" s="462" t="s">
        <v>156</v>
      </c>
      <c r="C91" s="476"/>
      <c r="D91" s="476"/>
      <c r="E91" s="476"/>
      <c r="F91" s="487">
        <v>0</v>
      </c>
      <c r="G91" s="476"/>
      <c r="H91" s="476"/>
    </row>
    <row r="92" spans="1:8">
      <c r="A92" s="455"/>
      <c r="B92" s="462" t="s">
        <v>159</v>
      </c>
      <c r="C92" s="476"/>
      <c r="D92" s="476"/>
      <c r="E92" s="476"/>
      <c r="F92" s="468">
        <f>SUM(F89:F91)</f>
        <v>0</v>
      </c>
      <c r="G92" s="476"/>
      <c r="H92" s="476"/>
    </row>
    <row r="93" spans="1:8">
      <c r="A93" s="455"/>
      <c r="C93" s="476"/>
      <c r="D93" s="476"/>
      <c r="E93" s="476"/>
      <c r="F93" s="469"/>
      <c r="G93" s="476"/>
      <c r="H93" s="476"/>
    </row>
    <row r="94" spans="1:8">
      <c r="A94" s="455"/>
      <c r="B94" s="462" t="s">
        <v>101</v>
      </c>
      <c r="C94" s="476"/>
      <c r="D94" s="476"/>
      <c r="E94" s="476"/>
      <c r="F94" s="469">
        <f>G29</f>
        <v>0</v>
      </c>
      <c r="G94" s="476"/>
      <c r="H94" s="476"/>
    </row>
    <row r="95" spans="1:8">
      <c r="A95" s="455"/>
      <c r="B95" s="462" t="s">
        <v>102</v>
      </c>
      <c r="C95" s="476"/>
      <c r="D95" s="476"/>
      <c r="E95" s="476"/>
      <c r="F95" s="469">
        <f>G30</f>
        <v>0</v>
      </c>
      <c r="G95" s="476"/>
      <c r="H95" s="476"/>
    </row>
    <row r="96" spans="1:8">
      <c r="A96" s="455"/>
      <c r="B96" s="462" t="s">
        <v>160</v>
      </c>
      <c r="C96" s="476"/>
      <c r="D96" s="476"/>
      <c r="E96" s="476"/>
      <c r="F96" s="469">
        <f>G31</f>
        <v>0</v>
      </c>
      <c r="G96" s="476"/>
      <c r="H96" s="476"/>
    </row>
    <row r="97" spans="1:8">
      <c r="A97" s="455"/>
      <c r="C97" s="476"/>
      <c r="D97" s="476"/>
      <c r="E97" s="476"/>
      <c r="F97" s="469"/>
      <c r="G97" s="476"/>
      <c r="H97" s="476"/>
    </row>
    <row r="98" spans="1:8">
      <c r="A98" s="455"/>
      <c r="B98" s="462" t="s">
        <v>104</v>
      </c>
      <c r="C98" s="476"/>
      <c r="D98" s="476"/>
      <c r="E98" s="476"/>
      <c r="F98" s="469"/>
      <c r="G98" s="476"/>
      <c r="H98" s="476"/>
    </row>
    <row r="99" spans="1:8">
      <c r="A99" s="455"/>
      <c r="B99" s="462" t="s">
        <v>153</v>
      </c>
      <c r="C99" s="476"/>
      <c r="D99" s="476"/>
      <c r="E99" s="476"/>
      <c r="F99" s="469">
        <f>G34</f>
        <v>0</v>
      </c>
      <c r="G99" s="476"/>
      <c r="H99" s="476"/>
    </row>
    <row r="100" spans="1:8">
      <c r="A100" s="455"/>
      <c r="B100" s="462" t="s">
        <v>158</v>
      </c>
      <c r="C100" s="476"/>
      <c r="D100" s="476"/>
      <c r="E100" s="476"/>
      <c r="F100" s="469">
        <f>G35</f>
        <v>0</v>
      </c>
      <c r="G100" s="476"/>
      <c r="H100" s="476"/>
    </row>
    <row r="101" spans="1:8">
      <c r="A101" s="455"/>
      <c r="B101" s="462" t="s">
        <v>156</v>
      </c>
      <c r="C101" s="476"/>
      <c r="D101" s="476"/>
      <c r="E101" s="476"/>
      <c r="F101" s="472">
        <f>G36</f>
        <v>0</v>
      </c>
      <c r="G101" s="476"/>
      <c r="H101" s="476"/>
    </row>
    <row r="102" spans="1:8">
      <c r="A102" s="455"/>
      <c r="B102" s="462" t="s">
        <v>161</v>
      </c>
      <c r="C102" s="476"/>
      <c r="D102" s="476"/>
      <c r="E102" s="476"/>
      <c r="F102" s="469">
        <f>F99+F100+F101</f>
        <v>0</v>
      </c>
      <c r="G102" s="476"/>
      <c r="H102" s="476"/>
    </row>
    <row r="103" spans="1:8">
      <c r="A103" s="455"/>
      <c r="B103" s="476"/>
      <c r="C103" s="476"/>
      <c r="D103" s="476"/>
      <c r="E103" s="476"/>
      <c r="F103" s="469"/>
      <c r="G103" s="476"/>
      <c r="H103" s="476"/>
    </row>
    <row r="104" spans="1:8">
      <c r="A104" s="455"/>
      <c r="B104" s="476" t="s">
        <v>106</v>
      </c>
      <c r="C104" s="476"/>
      <c r="D104" s="476"/>
      <c r="E104" s="476"/>
      <c r="F104" s="471">
        <f>F86+F92+F94+F95+F96+F102</f>
        <v>0</v>
      </c>
      <c r="G104" s="476"/>
      <c r="H104" s="476"/>
    </row>
    <row r="105" spans="1:8">
      <c r="A105" s="455"/>
      <c r="B105" s="476"/>
      <c r="C105" s="476"/>
      <c r="D105" s="476"/>
      <c r="E105" s="476"/>
      <c r="F105" s="469"/>
      <c r="G105" s="476"/>
      <c r="H105" s="476"/>
    </row>
    <row r="106" spans="1:8">
      <c r="A106" s="455"/>
      <c r="B106" s="476" t="s">
        <v>227</v>
      </c>
      <c r="C106" s="476"/>
      <c r="D106" s="476"/>
      <c r="E106" s="476"/>
      <c r="F106" s="472">
        <f>F78-F104</f>
        <v>0</v>
      </c>
      <c r="G106" s="476"/>
      <c r="H106" s="476"/>
    </row>
    <row r="107" spans="1:8">
      <c r="A107" s="455"/>
      <c r="B107" s="476"/>
      <c r="C107" s="476"/>
      <c r="D107" s="476"/>
      <c r="E107" s="476"/>
      <c r="F107" s="469"/>
      <c r="G107" s="476"/>
      <c r="H107" s="476"/>
    </row>
    <row r="108" spans="1:8">
      <c r="A108" s="455"/>
      <c r="B108" s="476" t="s">
        <v>228</v>
      </c>
      <c r="C108" s="476"/>
      <c r="D108" s="476"/>
      <c r="E108" s="477"/>
      <c r="F108" s="469"/>
      <c r="G108" s="476"/>
      <c r="H108" s="476"/>
    </row>
    <row r="109" spans="1:8" ht="12.75" thickBot="1">
      <c r="A109" s="455"/>
      <c r="B109" s="488" t="s">
        <v>229</v>
      </c>
      <c r="C109" s="489">
        <f>Inputs!$D$4</f>
        <v>1.2215999999999999E-2</v>
      </c>
      <c r="D109" s="476"/>
      <c r="E109" s="477"/>
      <c r="F109" s="475">
        <f>ROUND(F106*C109,0)</f>
        <v>0</v>
      </c>
      <c r="G109" s="476"/>
      <c r="H109" s="476"/>
    </row>
    <row r="110" spans="1:8" ht="12.75" thickTop="1">
      <c r="A110" s="455"/>
      <c r="B110" s="476"/>
      <c r="C110" s="476"/>
      <c r="D110" s="476"/>
      <c r="E110" s="477"/>
      <c r="F110" s="476"/>
      <c r="G110" s="478"/>
      <c r="H110" s="476"/>
    </row>
  </sheetData>
  <customSheetViews>
    <customSheetView guid="{A15D1962-B049-11D2-8670-0000832CEEE8}" scale="75" showPageBreaks="1" showRuler="0" topLeftCell="B46">
      <selection activeCell="A67" sqref="A67"/>
      <rowBreaks count="1" manualBreakCount="1">
        <brk id="65" max="65535" man="1"/>
      </rowBreaks>
      <colBreaks count="3" manualBreakCount="3">
        <brk id="8" max="1048575" man="1"/>
        <brk id="16" max="1048575" man="1"/>
        <brk id="24" max="1048575" man="1"/>
      </colBreaks>
      <pageMargins left="1" right="1" top="0.5" bottom="0.5" header="0.5" footer="0.5"/>
      <printOptions horizontalCentered="1"/>
      <pageSetup scale="83" orientation="portrait" horizontalDpi="300" verticalDpi="300" r:id="rId1"/>
      <headerFooter alignWithMargins="0"/>
    </customSheetView>
    <customSheetView guid="{6E1B8C45-B07F-11D2-B0DC-0000832CDFF0}" scale="75" showPageBreaks="1" printArea="1" showRuler="0" topLeftCell="B46">
      <selection activeCell="A67" sqref="A67"/>
      <rowBreaks count="1" manualBreakCount="1">
        <brk id="65" max="65535" man="1"/>
      </rowBreaks>
      <colBreaks count="1" manualBreakCount="1">
        <brk id="8" max="1048575" man="1"/>
      </colBreaks>
      <pageMargins left="1" right="1" top="0.5" bottom="0.5" header="0.5" footer="0.5"/>
      <printOptions horizontalCentered="1"/>
      <pageSetup scale="83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1" top="0.75" bottom="0.5" header="0.5" footer="0.5"/>
  <pageSetup scale="90" orientation="portrait" horizontalDpi="300" verticalDpi="300" r:id="rId3"/>
  <headerFooter alignWithMargins="0"/>
  <rowBreaks count="1" manualBreakCount="1">
    <brk id="64" max="6" man="1"/>
  </rowBreaks>
  <colBreaks count="1" manualBreakCount="1">
    <brk id="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K111"/>
  <sheetViews>
    <sheetView workbookViewId="0">
      <selection activeCell="J37" sqref="J37"/>
    </sheetView>
  </sheetViews>
  <sheetFormatPr defaultColWidth="12.42578125" defaultRowHeight="12"/>
  <cols>
    <col min="1" max="1" width="5.5703125" style="495" customWidth="1"/>
    <col min="2" max="2" width="26.140625" style="492" customWidth="1"/>
    <col min="3" max="3" width="12.42578125" style="492" customWidth="1"/>
    <col min="4" max="4" width="6.7109375" style="492" customWidth="1"/>
    <col min="5" max="6" width="12.42578125" style="492" customWidth="1"/>
    <col min="7" max="7" width="11.7109375" style="492" customWidth="1"/>
    <col min="8" max="8" width="12.42578125" style="455" customWidth="1"/>
    <col min="9" max="9" width="14.7109375" style="492" customWidth="1"/>
    <col min="10" max="10" width="12.42578125" style="492" customWidth="1"/>
    <col min="11" max="11" width="17.140625" style="492" customWidth="1"/>
    <col min="12" max="16384" width="12.42578125" style="492"/>
  </cols>
  <sheetData>
    <row r="1" spans="1:8">
      <c r="A1" s="490" t="str">
        <f>Inputs!$D$6</f>
        <v>AVISTA UTILITIES</v>
      </c>
      <c r="B1" s="491"/>
      <c r="C1" s="490"/>
    </row>
    <row r="2" spans="1:8">
      <c r="A2" s="490" t="s">
        <v>142</v>
      </c>
      <c r="B2" s="491"/>
      <c r="C2" s="490"/>
      <c r="E2" s="490" t="s">
        <v>245</v>
      </c>
      <c r="F2" s="490"/>
      <c r="G2" s="490"/>
    </row>
    <row r="3" spans="1:8">
      <c r="A3" s="491" t="str">
        <f>WAElec09_08!$A$4</f>
        <v>TWELVE MONTHS ENDED SEPTEMBER 30, 2008</v>
      </c>
      <c r="B3" s="491"/>
      <c r="C3" s="490"/>
      <c r="E3" s="490" t="s">
        <v>242</v>
      </c>
      <c r="F3" s="490"/>
      <c r="G3" s="490"/>
    </row>
    <row r="4" spans="1:8">
      <c r="A4" s="490" t="s">
        <v>1</v>
      </c>
      <c r="B4" s="491"/>
      <c r="C4" s="490"/>
      <c r="E4" s="493" t="s">
        <v>145</v>
      </c>
      <c r="F4" s="493"/>
      <c r="G4" s="494"/>
    </row>
    <row r="5" spans="1:8">
      <c r="A5" s="495" t="s">
        <v>14</v>
      </c>
    </row>
    <row r="6" spans="1:8" s="495" customFormat="1">
      <c r="A6" s="495" t="s">
        <v>146</v>
      </c>
      <c r="B6" s="496" t="s">
        <v>36</v>
      </c>
      <c r="C6" s="496"/>
      <c r="E6" s="496" t="s">
        <v>147</v>
      </c>
      <c r="F6" s="496" t="s">
        <v>148</v>
      </c>
      <c r="G6" s="496" t="s">
        <v>128</v>
      </c>
      <c r="H6" s="461"/>
    </row>
    <row r="7" spans="1:8">
      <c r="B7" s="497" t="s">
        <v>85</v>
      </c>
    </row>
    <row r="8" spans="1:8" s="500" customFormat="1">
      <c r="A8" s="498">
        <v>1</v>
      </c>
      <c r="B8" s="499" t="s">
        <v>86</v>
      </c>
      <c r="E8" s="501">
        <f>F8+G8</f>
        <v>0</v>
      </c>
      <c r="F8" s="501"/>
      <c r="G8" s="501"/>
      <c r="H8" s="465" t="str">
        <f t="shared" ref="H8:H13" si="0">IF(E8=F8+G8," ","ERROR")</f>
        <v xml:space="preserve"> </v>
      </c>
    </row>
    <row r="9" spans="1:8">
      <c r="A9" s="495">
        <v>2</v>
      </c>
      <c r="B9" s="497" t="s">
        <v>87</v>
      </c>
      <c r="E9" s="502"/>
      <c r="F9" s="502"/>
      <c r="G9" s="502"/>
      <c r="H9" s="465" t="str">
        <f t="shared" si="0"/>
        <v xml:space="preserve"> </v>
      </c>
    </row>
    <row r="10" spans="1:8">
      <c r="A10" s="495">
        <v>3</v>
      </c>
      <c r="B10" s="497" t="s">
        <v>150</v>
      </c>
      <c r="E10" s="502"/>
      <c r="F10" s="502"/>
      <c r="G10" s="502"/>
      <c r="H10" s="465" t="str">
        <f t="shared" si="0"/>
        <v xml:space="preserve"> </v>
      </c>
    </row>
    <row r="11" spans="1:8">
      <c r="A11" s="495">
        <v>4</v>
      </c>
      <c r="B11" s="497" t="s">
        <v>151</v>
      </c>
      <c r="E11" s="503">
        <f>E8+E9+E10</f>
        <v>0</v>
      </c>
      <c r="F11" s="503">
        <f>F8+F9+F10</f>
        <v>0</v>
      </c>
      <c r="G11" s="503">
        <f>G8+G9+G10</f>
        <v>0</v>
      </c>
      <c r="H11" s="465" t="str">
        <f t="shared" si="0"/>
        <v xml:space="preserve"> </v>
      </c>
    </row>
    <row r="12" spans="1:8">
      <c r="A12" s="495">
        <v>5</v>
      </c>
      <c r="B12" s="497" t="s">
        <v>90</v>
      </c>
      <c r="E12" s="502"/>
      <c r="F12" s="502"/>
      <c r="G12" s="502"/>
      <c r="H12" s="465" t="str">
        <f t="shared" si="0"/>
        <v xml:space="preserve"> </v>
      </c>
    </row>
    <row r="13" spans="1:8">
      <c r="A13" s="495">
        <v>6</v>
      </c>
      <c r="B13" s="497" t="s">
        <v>152</v>
      </c>
      <c r="E13" s="503">
        <f>E11+E12</f>
        <v>0</v>
      </c>
      <c r="F13" s="503">
        <f>F11+F12</f>
        <v>0</v>
      </c>
      <c r="G13" s="503">
        <f>G11+G12</f>
        <v>0</v>
      </c>
      <c r="H13" s="465" t="str">
        <f t="shared" si="0"/>
        <v xml:space="preserve"> </v>
      </c>
    </row>
    <row r="14" spans="1:8">
      <c r="E14" s="504"/>
      <c r="F14" s="504"/>
      <c r="G14" s="504"/>
      <c r="H14" s="465"/>
    </row>
    <row r="15" spans="1:8">
      <c r="B15" s="497" t="s">
        <v>92</v>
      </c>
      <c r="E15" s="504"/>
      <c r="F15" s="504"/>
      <c r="G15" s="504"/>
      <c r="H15" s="465"/>
    </row>
    <row r="16" spans="1:8">
      <c r="B16" s="497" t="s">
        <v>93</v>
      </c>
      <c r="E16" s="504"/>
      <c r="F16" s="504"/>
      <c r="G16" s="504"/>
      <c r="H16" s="465"/>
    </row>
    <row r="17" spans="1:11">
      <c r="A17" s="495">
        <v>7</v>
      </c>
      <c r="B17" s="497" t="s">
        <v>153</v>
      </c>
      <c r="E17" s="502"/>
      <c r="F17" s="502"/>
      <c r="G17" s="502"/>
      <c r="H17" s="465" t="str">
        <f>IF(E17=F17+G17," ","ERROR")</f>
        <v xml:space="preserve"> </v>
      </c>
    </row>
    <row r="18" spans="1:11">
      <c r="A18" s="495">
        <v>8</v>
      </c>
      <c r="B18" s="497" t="s">
        <v>154</v>
      </c>
      <c r="E18" s="502"/>
      <c r="F18" s="502"/>
      <c r="G18" s="502"/>
      <c r="H18" s="465" t="str">
        <f>IF(E18=F18+G18," ","ERROR")</f>
        <v xml:space="preserve"> </v>
      </c>
    </row>
    <row r="19" spans="1:11">
      <c r="A19" s="495">
        <v>9</v>
      </c>
      <c r="B19" s="497" t="s">
        <v>155</v>
      </c>
      <c r="E19" s="502"/>
      <c r="F19" s="502"/>
      <c r="G19" s="502"/>
      <c r="H19" s="465" t="str">
        <f>IF(E19=F19+G19," ","ERROR")</f>
        <v xml:space="preserve"> </v>
      </c>
    </row>
    <row r="20" spans="1:11">
      <c r="A20" s="495">
        <v>10</v>
      </c>
      <c r="B20" s="497" t="s">
        <v>156</v>
      </c>
      <c r="E20" s="502">
        <f>F20+G20</f>
        <v>2085</v>
      </c>
      <c r="F20" s="952">
        <v>2085</v>
      </c>
      <c r="G20" s="505">
        <v>0</v>
      </c>
      <c r="H20" s="465" t="str">
        <f>IF(E20=F20+G20," ","ERROR")</f>
        <v xml:space="preserve"> </v>
      </c>
    </row>
    <row r="21" spans="1:11">
      <c r="A21" s="495">
        <v>11</v>
      </c>
      <c r="B21" s="497" t="s">
        <v>157</v>
      </c>
      <c r="E21" s="503">
        <f>E17+E18+E19+E20</f>
        <v>2085</v>
      </c>
      <c r="F21" s="503">
        <f>F17+F18+F19+F20</f>
        <v>2085</v>
      </c>
      <c r="G21" s="503">
        <f>G17+G18+G19+G20</f>
        <v>0</v>
      </c>
      <c r="H21" s="465" t="str">
        <f>IF(E21=F21+G21," ","ERROR")</f>
        <v xml:space="preserve"> </v>
      </c>
    </row>
    <row r="22" spans="1:11">
      <c r="E22" s="504"/>
      <c r="F22" s="504"/>
      <c r="G22" s="504"/>
      <c r="H22" s="465"/>
    </row>
    <row r="23" spans="1:11">
      <c r="B23" s="497" t="s">
        <v>98</v>
      </c>
      <c r="E23" s="504"/>
      <c r="F23" s="504"/>
      <c r="G23" s="504"/>
      <c r="H23" s="465"/>
    </row>
    <row r="24" spans="1:11">
      <c r="A24" s="495">
        <v>12</v>
      </c>
      <c r="B24" s="497" t="s">
        <v>153</v>
      </c>
      <c r="E24" s="502"/>
      <c r="F24" s="502"/>
      <c r="G24" s="502"/>
      <c r="H24" s="465" t="str">
        <f>IF(E24=F24+G24," ","ERROR")</f>
        <v xml:space="preserve"> </v>
      </c>
    </row>
    <row r="25" spans="1:11">
      <c r="A25" s="495">
        <v>13</v>
      </c>
      <c r="B25" s="497" t="s">
        <v>158</v>
      </c>
      <c r="E25" s="502"/>
      <c r="F25" s="502"/>
      <c r="G25" s="502"/>
      <c r="H25" s="465" t="str">
        <f>IF(E25=F25+G25," ","ERROR")</f>
        <v xml:space="preserve"> </v>
      </c>
    </row>
    <row r="26" spans="1:11">
      <c r="A26" s="495">
        <v>14</v>
      </c>
      <c r="B26" s="497" t="s">
        <v>156</v>
      </c>
      <c r="E26" s="502">
        <f>F26+G26</f>
        <v>-643</v>
      </c>
      <c r="F26" s="952">
        <v>-643</v>
      </c>
      <c r="G26" s="505">
        <f>F110</f>
        <v>0</v>
      </c>
      <c r="H26" s="1191" t="s">
        <v>630</v>
      </c>
      <c r="I26" s="1192"/>
      <c r="J26" s="1192"/>
      <c r="K26" s="1192"/>
    </row>
    <row r="27" spans="1:11">
      <c r="A27" s="495">
        <v>15</v>
      </c>
      <c r="B27" s="497" t="s">
        <v>159</v>
      </c>
      <c r="E27" s="503">
        <f>E24+E25+E26</f>
        <v>-643</v>
      </c>
      <c r="F27" s="503">
        <f>F24+F25+F26</f>
        <v>-643</v>
      </c>
      <c r="G27" s="503">
        <f>G24+G25+G26</f>
        <v>0</v>
      </c>
      <c r="H27" s="1191" t="s">
        <v>631</v>
      </c>
      <c r="I27" s="1192"/>
      <c r="J27" s="1192"/>
      <c r="K27" s="1192"/>
    </row>
    <row r="28" spans="1:11">
      <c r="E28" s="504"/>
      <c r="F28" s="504"/>
      <c r="G28" s="504"/>
      <c r="H28" s="465"/>
    </row>
    <row r="29" spans="1:11">
      <c r="A29" s="495">
        <v>16</v>
      </c>
      <c r="B29" s="497" t="s">
        <v>101</v>
      </c>
      <c r="E29" s="502"/>
      <c r="F29" s="502"/>
      <c r="G29" s="502"/>
      <c r="H29" s="465" t="str">
        <f>IF(E29=F29+G29," ","ERROR")</f>
        <v xml:space="preserve"> </v>
      </c>
    </row>
    <row r="30" spans="1:11">
      <c r="A30" s="495">
        <v>17</v>
      </c>
      <c r="B30" s="497" t="s">
        <v>102</v>
      </c>
      <c r="E30" s="502"/>
      <c r="F30" s="502"/>
      <c r="G30" s="502"/>
      <c r="H30" s="465" t="str">
        <f>IF(E30=F30+G30," ","ERROR")</f>
        <v xml:space="preserve"> </v>
      </c>
    </row>
    <row r="31" spans="1:11">
      <c r="A31" s="495">
        <v>18</v>
      </c>
      <c r="B31" s="497" t="s">
        <v>160</v>
      </c>
      <c r="E31" s="502"/>
      <c r="F31" s="502"/>
      <c r="G31" s="502"/>
      <c r="H31" s="465" t="str">
        <f>IF(E31=F31+G31," ","ERROR")</f>
        <v xml:space="preserve"> </v>
      </c>
    </row>
    <row r="32" spans="1:11">
      <c r="E32" s="504"/>
      <c r="F32" s="504"/>
      <c r="G32" s="504"/>
      <c r="H32" s="465"/>
    </row>
    <row r="33" spans="1:8">
      <c r="B33" s="497" t="s">
        <v>104</v>
      </c>
      <c r="E33" s="504"/>
      <c r="F33" s="504"/>
      <c r="G33" s="504"/>
      <c r="H33" s="465"/>
    </row>
    <row r="34" spans="1:8">
      <c r="A34" s="495">
        <v>19</v>
      </c>
      <c r="B34" s="497" t="s">
        <v>153</v>
      </c>
      <c r="E34" s="502"/>
      <c r="F34" s="502"/>
      <c r="G34" s="502"/>
      <c r="H34" s="465" t="str">
        <f>IF(E34=F34+G34," ","ERROR")</f>
        <v xml:space="preserve"> </v>
      </c>
    </row>
    <row r="35" spans="1:8">
      <c r="A35" s="495">
        <v>20</v>
      </c>
      <c r="B35" s="497" t="s">
        <v>158</v>
      </c>
      <c r="E35" s="502"/>
      <c r="F35" s="502"/>
      <c r="G35" s="502"/>
      <c r="H35" s="465" t="str">
        <f>IF(E35=F35+G35," ","ERROR")</f>
        <v xml:space="preserve"> </v>
      </c>
    </row>
    <row r="36" spans="1:8">
      <c r="A36" s="495">
        <v>21</v>
      </c>
      <c r="B36" s="497" t="s">
        <v>156</v>
      </c>
      <c r="E36" s="502">
        <f>F36+G36</f>
        <v>3</v>
      </c>
      <c r="F36" s="952">
        <v>3</v>
      </c>
      <c r="G36" s="505">
        <v>0</v>
      </c>
      <c r="H36" s="465" t="str">
        <f>IF(E36=F36+G36," ","ERROR")</f>
        <v xml:space="preserve"> </v>
      </c>
    </row>
    <row r="37" spans="1:8">
      <c r="A37" s="495">
        <v>22</v>
      </c>
      <c r="B37" s="497" t="s">
        <v>161</v>
      </c>
      <c r="E37" s="506">
        <f>E34+E35+E36</f>
        <v>3</v>
      </c>
      <c r="F37" s="506">
        <f>F34+F35+F36</f>
        <v>3</v>
      </c>
      <c r="G37" s="506">
        <f>G34+G35+G36</f>
        <v>0</v>
      </c>
      <c r="H37" s="465" t="str">
        <f>IF(E37=F37+G37," ","ERROR")</f>
        <v xml:space="preserve"> </v>
      </c>
    </row>
    <row r="38" spans="1:8">
      <c r="A38" s="495">
        <v>23</v>
      </c>
      <c r="B38" s="497" t="s">
        <v>106</v>
      </c>
      <c r="E38" s="507">
        <f>E21+E27+E29+E30+E31+E37</f>
        <v>1445</v>
      </c>
      <c r="F38" s="507">
        <f>F21+F27+F29+F30+F31+F37</f>
        <v>1445</v>
      </c>
      <c r="G38" s="507">
        <f>G21+G27+G29+G30+G31+G37</f>
        <v>0</v>
      </c>
      <c r="H38" s="465" t="str">
        <f>IF(E38=F38+G38," ","ERROR")</f>
        <v xml:space="preserve"> </v>
      </c>
    </row>
    <row r="39" spans="1:8">
      <c r="E39" s="504"/>
      <c r="F39" s="504"/>
      <c r="G39" s="504"/>
      <c r="H39" s="465"/>
    </row>
    <row r="40" spans="1:8">
      <c r="A40" s="495">
        <v>24</v>
      </c>
      <c r="B40" s="497" t="s">
        <v>162</v>
      </c>
      <c r="E40" s="504">
        <f>E13-E38</f>
        <v>-1445</v>
      </c>
      <c r="F40" s="504">
        <f>F13-F38</f>
        <v>-1445</v>
      </c>
      <c r="G40" s="504">
        <f>G13-G38</f>
        <v>0</v>
      </c>
      <c r="H40" s="465" t="str">
        <f>IF(E40=F40+G40," ","ERROR")</f>
        <v xml:space="preserve"> </v>
      </c>
    </row>
    <row r="41" spans="1:8">
      <c r="B41" s="497"/>
      <c r="E41" s="504"/>
      <c r="F41" s="504"/>
      <c r="G41" s="504"/>
      <c r="H41" s="465"/>
    </row>
    <row r="42" spans="1:8">
      <c r="B42" s="497" t="s">
        <v>163</v>
      </c>
      <c r="E42" s="504"/>
      <c r="F42" s="504"/>
      <c r="G42" s="504"/>
      <c r="H42" s="465"/>
    </row>
    <row r="43" spans="1:8">
      <c r="A43" s="495">
        <v>25</v>
      </c>
      <c r="B43" s="497" t="s">
        <v>222</v>
      </c>
      <c r="E43" s="502">
        <f>F43+G43</f>
        <v>-506</v>
      </c>
      <c r="F43" s="502">
        <f>ROUND(F40*0.35,0)</f>
        <v>-506</v>
      </c>
      <c r="G43" s="502">
        <f>ROUND(G40*0.35,0)</f>
        <v>0</v>
      </c>
      <c r="H43" s="465" t="str">
        <f>IF(E43=F43+G43," ","ERROR")</f>
        <v xml:space="preserve"> </v>
      </c>
    </row>
    <row r="44" spans="1:8">
      <c r="A44" s="495">
        <v>26</v>
      </c>
      <c r="B44" s="497" t="s">
        <v>165</v>
      </c>
      <c r="E44" s="502"/>
      <c r="F44" s="502"/>
      <c r="G44" s="502"/>
      <c r="H44" s="465" t="str">
        <f>IF(E44=F44+G44," ","ERROR")</f>
        <v xml:space="preserve"> </v>
      </c>
    </row>
    <row r="45" spans="1:8" ht="12.75">
      <c r="A45"/>
      <c r="B45"/>
      <c r="C45"/>
      <c r="D45"/>
      <c r="E45" s="913"/>
      <c r="F45" s="913"/>
      <c r="G45" s="913"/>
      <c r="H45" s="465" t="str">
        <f>IF(E45=F45+G45," ","ERROR")</f>
        <v xml:space="preserve"> </v>
      </c>
    </row>
    <row r="46" spans="1:8">
      <c r="A46" s="259"/>
      <c r="B46" s="262"/>
      <c r="C46" s="256"/>
      <c r="D46" s="256"/>
      <c r="E46" s="269"/>
      <c r="F46" s="269"/>
      <c r="G46" s="269"/>
      <c r="H46" s="465"/>
    </row>
    <row r="47" spans="1:8" s="500" customFormat="1">
      <c r="A47" s="263">
        <v>27</v>
      </c>
      <c r="B47" s="264" t="s">
        <v>113</v>
      </c>
      <c r="C47" s="265"/>
      <c r="D47" s="265"/>
      <c r="E47" s="273">
        <f>E40-SUM(E43:E44)</f>
        <v>-939</v>
      </c>
      <c r="F47" s="273">
        <f>F40-SUM(F43:F44)</f>
        <v>-939</v>
      </c>
      <c r="G47" s="273">
        <f>G40-SUM(G43:G44)</f>
        <v>0</v>
      </c>
      <c r="H47" s="465" t="str">
        <f>IF(E47=F47+G47," ","ERROR")</f>
        <v xml:space="preserve"> </v>
      </c>
    </row>
    <row r="48" spans="1:8">
      <c r="A48" s="259"/>
      <c r="H48" s="465"/>
    </row>
    <row r="49" spans="1:8">
      <c r="A49" s="259"/>
      <c r="B49" s="497" t="s">
        <v>114</v>
      </c>
      <c r="H49" s="465"/>
    </row>
    <row r="50" spans="1:8">
      <c r="A50" s="259"/>
      <c r="B50" s="497" t="s">
        <v>115</v>
      </c>
      <c r="H50" s="465"/>
    </row>
    <row r="51" spans="1:8" s="500" customFormat="1">
      <c r="A51" s="263">
        <v>28</v>
      </c>
      <c r="B51" s="499" t="s">
        <v>167</v>
      </c>
      <c r="E51" s="501"/>
      <c r="F51" s="501"/>
      <c r="G51" s="501"/>
      <c r="H51" s="465" t="str">
        <f t="shared" ref="H51:H61" si="1">IF(E51=F51+G51," ","ERROR")</f>
        <v xml:space="preserve"> </v>
      </c>
    </row>
    <row r="52" spans="1:8">
      <c r="A52" s="259">
        <v>29</v>
      </c>
      <c r="B52" s="497" t="s">
        <v>168</v>
      </c>
      <c r="E52" s="502"/>
      <c r="F52" s="502"/>
      <c r="G52" s="502"/>
      <c r="H52" s="465" t="str">
        <f t="shared" si="1"/>
        <v xml:space="preserve"> </v>
      </c>
    </row>
    <row r="53" spans="1:8">
      <c r="A53" s="259">
        <v>30</v>
      </c>
      <c r="B53" s="497" t="s">
        <v>169</v>
      </c>
      <c r="E53" s="502"/>
      <c r="F53" s="502"/>
      <c r="G53" s="502"/>
      <c r="H53" s="465" t="str">
        <f t="shared" si="1"/>
        <v xml:space="preserve"> </v>
      </c>
    </row>
    <row r="54" spans="1:8">
      <c r="A54" s="259">
        <v>31</v>
      </c>
      <c r="B54" s="497" t="s">
        <v>170</v>
      </c>
      <c r="E54" s="502"/>
      <c r="F54" s="502"/>
      <c r="G54" s="502"/>
      <c r="H54" s="465" t="str">
        <f t="shared" si="1"/>
        <v xml:space="preserve"> </v>
      </c>
    </row>
    <row r="55" spans="1:8">
      <c r="A55" s="259">
        <v>32</v>
      </c>
      <c r="B55" s="497" t="s">
        <v>171</v>
      </c>
      <c r="E55" s="508"/>
      <c r="F55" s="508"/>
      <c r="G55" s="508"/>
      <c r="H55" s="465" t="str">
        <f t="shared" si="1"/>
        <v xml:space="preserve"> </v>
      </c>
    </row>
    <row r="56" spans="1:8">
      <c r="A56" s="259">
        <v>33</v>
      </c>
      <c r="B56" s="497" t="s">
        <v>172</v>
      </c>
      <c r="E56" s="504">
        <f>E51+E52+E53+E54+E55</f>
        <v>0</v>
      </c>
      <c r="F56" s="504">
        <f>F51+F52+F53+F54+F55</f>
        <v>0</v>
      </c>
      <c r="G56" s="504">
        <f>G51+G52+G53+G54+G55</f>
        <v>0</v>
      </c>
      <c r="H56" s="465" t="str">
        <f t="shared" si="1"/>
        <v xml:space="preserve"> </v>
      </c>
    </row>
    <row r="57" spans="1:8">
      <c r="A57" s="259">
        <v>34</v>
      </c>
      <c r="B57" s="497" t="s">
        <v>121</v>
      </c>
      <c r="E57" s="502"/>
      <c r="F57" s="502"/>
      <c r="G57" s="502"/>
      <c r="H57" s="465" t="str">
        <f t="shared" si="1"/>
        <v xml:space="preserve"> </v>
      </c>
    </row>
    <row r="58" spans="1:8">
      <c r="A58" s="259">
        <v>35</v>
      </c>
      <c r="B58" s="497" t="s">
        <v>122</v>
      </c>
      <c r="E58" s="508"/>
      <c r="F58" s="508"/>
      <c r="G58" s="508"/>
      <c r="H58" s="465" t="str">
        <f t="shared" si="1"/>
        <v xml:space="preserve"> </v>
      </c>
    </row>
    <row r="59" spans="1:8">
      <c r="A59" s="259">
        <v>36</v>
      </c>
      <c r="B59" s="497" t="s">
        <v>173</v>
      </c>
      <c r="E59" s="504">
        <f>E57+E58</f>
        <v>0</v>
      </c>
      <c r="F59" s="504">
        <f>F57+F58</f>
        <v>0</v>
      </c>
      <c r="G59" s="504">
        <f>G57+G58</f>
        <v>0</v>
      </c>
      <c r="H59" s="465" t="str">
        <f t="shared" si="1"/>
        <v xml:space="preserve"> </v>
      </c>
    </row>
    <row r="60" spans="1:8">
      <c r="A60" s="259">
        <v>37</v>
      </c>
      <c r="B60" s="497" t="s">
        <v>124</v>
      </c>
      <c r="E60" s="502"/>
      <c r="F60" s="502"/>
      <c r="G60" s="502"/>
      <c r="H60" s="465" t="str">
        <f t="shared" si="1"/>
        <v xml:space="preserve"> </v>
      </c>
    </row>
    <row r="61" spans="1:8">
      <c r="A61" s="259">
        <v>38</v>
      </c>
      <c r="B61" s="497" t="s">
        <v>125</v>
      </c>
      <c r="E61" s="508"/>
      <c r="F61" s="508"/>
      <c r="G61" s="508"/>
      <c r="H61" s="465" t="str">
        <f t="shared" si="1"/>
        <v xml:space="preserve"> </v>
      </c>
    </row>
    <row r="62" spans="1:8">
      <c r="A62" s="259"/>
      <c r="H62" s="465"/>
    </row>
    <row r="63" spans="1:8" s="500" customFormat="1" ht="12.75" thickBot="1">
      <c r="A63" s="263">
        <v>39</v>
      </c>
      <c r="B63" s="499" t="s">
        <v>126</v>
      </c>
      <c r="E63" s="510">
        <f>E56-E59+E60+E61</f>
        <v>0</v>
      </c>
      <c r="F63" s="510">
        <f>F56-F59+F60+F61</f>
        <v>0</v>
      </c>
      <c r="G63" s="510">
        <f>G56-G59+G60+G61</f>
        <v>0</v>
      </c>
      <c r="H63" s="465" t="str">
        <f>IF(E63=F63+G63," ","ERROR")</f>
        <v xml:space="preserve"> </v>
      </c>
    </row>
    <row r="64" spans="1:8" ht="12.75" thickTop="1"/>
    <row r="66" spans="1:8">
      <c r="A66" s="491" t="str">
        <f>Inputs!$D$6</f>
        <v>AVISTA UTILITIES</v>
      </c>
      <c r="B66" s="491"/>
      <c r="C66" s="491"/>
      <c r="D66" s="511"/>
      <c r="E66" s="512"/>
      <c r="F66" s="513"/>
      <c r="G66" s="511"/>
      <c r="H66" s="477"/>
    </row>
    <row r="67" spans="1:8">
      <c r="A67" s="491" t="s">
        <v>225</v>
      </c>
      <c r="B67" s="491"/>
      <c r="C67" s="491"/>
      <c r="D67" s="511"/>
      <c r="E67" s="512"/>
      <c r="F67" s="513"/>
      <c r="G67" s="511"/>
      <c r="H67" s="477"/>
    </row>
    <row r="68" spans="1:8">
      <c r="A68" s="491" t="str">
        <f>A3</f>
        <v>TWELVE MONTHS ENDED SEPTEMBER 30, 2008</v>
      </c>
      <c r="B68" s="491"/>
      <c r="C68" s="491"/>
      <c r="D68" s="511"/>
      <c r="E68" s="512"/>
      <c r="F68" s="514" t="str">
        <f>E2</f>
        <v>PROPERTY TAX</v>
      </c>
      <c r="G68" s="511"/>
      <c r="H68" s="477"/>
    </row>
    <row r="69" spans="1:8">
      <c r="A69" s="491" t="s">
        <v>226</v>
      </c>
      <c r="B69" s="491"/>
      <c r="C69" s="491"/>
      <c r="D69" s="511"/>
      <c r="E69" s="512"/>
      <c r="F69" s="514" t="str">
        <f>E3</f>
        <v>ADJUSTMENT</v>
      </c>
      <c r="G69" s="511"/>
      <c r="H69" s="477"/>
    </row>
    <row r="70" spans="1:8">
      <c r="B70" s="511"/>
      <c r="C70" s="511"/>
      <c r="D70" s="511"/>
      <c r="E70" s="515"/>
      <c r="F70" s="516" t="str">
        <f>E4</f>
        <v>ELECTRIC</v>
      </c>
      <c r="G70" s="517"/>
      <c r="H70" s="482"/>
    </row>
    <row r="71" spans="1:8">
      <c r="B71" s="511"/>
      <c r="C71" s="511"/>
      <c r="D71" s="511"/>
      <c r="E71" s="512"/>
      <c r="F71" s="514"/>
      <c r="G71" s="511"/>
      <c r="H71" s="477"/>
    </row>
    <row r="72" spans="1:8">
      <c r="B72" s="518" t="s">
        <v>134</v>
      </c>
      <c r="C72" s="517"/>
      <c r="D72" s="511"/>
      <c r="E72" s="512"/>
      <c r="F72" s="516" t="s">
        <v>128</v>
      </c>
      <c r="G72" s="511"/>
      <c r="H72" s="477"/>
    </row>
    <row r="73" spans="1:8">
      <c r="B73" s="497" t="s">
        <v>85</v>
      </c>
      <c r="C73" s="511"/>
      <c r="D73" s="511"/>
      <c r="E73" s="511"/>
      <c r="F73" s="513"/>
      <c r="G73" s="511"/>
      <c r="H73" s="476"/>
    </row>
    <row r="74" spans="1:8">
      <c r="B74" s="499" t="s">
        <v>86</v>
      </c>
      <c r="C74" s="511"/>
      <c r="D74" s="511"/>
      <c r="E74" s="511"/>
      <c r="F74" s="509">
        <f>G8</f>
        <v>0</v>
      </c>
      <c r="G74" s="511"/>
      <c r="H74" s="476"/>
    </row>
    <row r="75" spans="1:8">
      <c r="B75" s="497" t="s">
        <v>87</v>
      </c>
      <c r="C75" s="511"/>
      <c r="D75" s="511"/>
      <c r="E75" s="511"/>
      <c r="F75" s="504">
        <f>G9</f>
        <v>0</v>
      </c>
      <c r="G75" s="511"/>
      <c r="H75" s="476"/>
    </row>
    <row r="76" spans="1:8">
      <c r="B76" s="497" t="s">
        <v>150</v>
      </c>
      <c r="C76" s="511"/>
      <c r="D76" s="511"/>
      <c r="E76" s="511"/>
      <c r="F76" s="507">
        <f>G10</f>
        <v>0</v>
      </c>
      <c r="G76" s="511"/>
      <c r="H76" s="476"/>
    </row>
    <row r="77" spans="1:8">
      <c r="B77" s="497" t="s">
        <v>151</v>
      </c>
      <c r="C77" s="511"/>
      <c r="D77" s="511"/>
      <c r="E77" s="511"/>
      <c r="F77" s="504">
        <f>SUM(F74:F76)</f>
        <v>0</v>
      </c>
      <c r="G77" s="511"/>
      <c r="H77" s="476"/>
    </row>
    <row r="78" spans="1:8">
      <c r="B78" s="497" t="s">
        <v>90</v>
      </c>
      <c r="C78" s="511"/>
      <c r="D78" s="511"/>
      <c r="E78" s="511"/>
      <c r="F78" s="507">
        <f>G12</f>
        <v>0</v>
      </c>
      <c r="G78" s="511"/>
      <c r="H78" s="476"/>
    </row>
    <row r="79" spans="1:8">
      <c r="B79" s="497" t="s">
        <v>152</v>
      </c>
      <c r="C79" s="511"/>
      <c r="D79" s="511"/>
      <c r="E79" s="511"/>
      <c r="F79" s="504">
        <f>F77+F78</f>
        <v>0</v>
      </c>
      <c r="G79" s="511"/>
      <c r="H79" s="476"/>
    </row>
    <row r="80" spans="1:8">
      <c r="C80" s="511"/>
      <c r="D80" s="511"/>
      <c r="E80" s="511"/>
      <c r="F80" s="504"/>
      <c r="G80" s="511"/>
      <c r="H80" s="476"/>
    </row>
    <row r="81" spans="1:10">
      <c r="B81" s="497" t="s">
        <v>92</v>
      </c>
      <c r="C81" s="511"/>
      <c r="D81" s="511"/>
      <c r="E81" s="511"/>
      <c r="F81" s="504"/>
      <c r="G81" s="511"/>
      <c r="H81" s="476"/>
    </row>
    <row r="82" spans="1:10">
      <c r="B82" s="497" t="s">
        <v>93</v>
      </c>
      <c r="C82" s="511"/>
      <c r="D82" s="511"/>
      <c r="E82" s="511"/>
      <c r="F82" s="504"/>
      <c r="G82" s="511"/>
      <c r="H82" s="476"/>
    </row>
    <row r="83" spans="1:10">
      <c r="B83" s="497" t="s">
        <v>153</v>
      </c>
      <c r="C83" s="511"/>
      <c r="D83" s="511"/>
      <c r="E83" s="511"/>
      <c r="F83" s="504">
        <f>G17</f>
        <v>0</v>
      </c>
      <c r="G83" s="511"/>
      <c r="H83" s="476"/>
    </row>
    <row r="84" spans="1:10">
      <c r="B84" s="497" t="s">
        <v>154</v>
      </c>
      <c r="C84" s="511"/>
      <c r="D84" s="511"/>
      <c r="E84" s="511"/>
      <c r="F84" s="504">
        <f>G18</f>
        <v>0</v>
      </c>
      <c r="G84" s="511"/>
      <c r="H84" s="476"/>
    </row>
    <row r="85" spans="1:10">
      <c r="B85" s="497" t="s">
        <v>155</v>
      </c>
      <c r="C85" s="511"/>
      <c r="D85" s="511"/>
      <c r="E85" s="511"/>
      <c r="F85" s="504">
        <f>G19</f>
        <v>0</v>
      </c>
      <c r="G85" s="511"/>
      <c r="H85" s="476"/>
    </row>
    <row r="86" spans="1:10">
      <c r="B86" s="497" t="s">
        <v>156</v>
      </c>
      <c r="C86" s="511"/>
      <c r="D86" s="511"/>
      <c r="E86" s="511"/>
      <c r="F86" s="953">
        <f>G20</f>
        <v>0</v>
      </c>
      <c r="G86" s="511"/>
      <c r="H86" s="476"/>
    </row>
    <row r="87" spans="1:10">
      <c r="B87" s="497" t="s">
        <v>157</v>
      </c>
      <c r="C87" s="511"/>
      <c r="D87" s="511"/>
      <c r="E87" s="511"/>
      <c r="F87" s="504">
        <f>SUM(F83:F86)</f>
        <v>0</v>
      </c>
      <c r="G87" s="511"/>
      <c r="H87" s="476"/>
    </row>
    <row r="88" spans="1:10">
      <c r="C88" s="511"/>
      <c r="D88" s="511"/>
      <c r="E88" s="511"/>
      <c r="F88" s="504"/>
      <c r="G88" s="511"/>
      <c r="H88" s="476"/>
    </row>
    <row r="89" spans="1:10">
      <c r="B89" s="497" t="s">
        <v>98</v>
      </c>
      <c r="C89" s="511"/>
      <c r="D89" s="511"/>
      <c r="E89" s="511"/>
      <c r="F89" s="504"/>
      <c r="G89" s="511"/>
      <c r="H89" s="476"/>
    </row>
    <row r="90" spans="1:10">
      <c r="B90" s="497" t="s">
        <v>153</v>
      </c>
      <c r="C90" s="511"/>
      <c r="D90" s="511"/>
      <c r="E90" s="511"/>
      <c r="F90" s="504">
        <f>G24</f>
        <v>0</v>
      </c>
      <c r="G90" s="511"/>
      <c r="H90" s="476"/>
    </row>
    <row r="91" spans="1:10">
      <c r="B91" s="497" t="s">
        <v>158</v>
      </c>
      <c r="C91" s="511"/>
      <c r="D91" s="511"/>
      <c r="E91" s="511"/>
      <c r="F91" s="504">
        <f>G25</f>
        <v>0</v>
      </c>
      <c r="G91" s="511"/>
      <c r="H91" s="476"/>
    </row>
    <row r="92" spans="1:10">
      <c r="A92" s="492"/>
      <c r="B92" s="497" t="s">
        <v>156</v>
      </c>
      <c r="C92" s="511"/>
      <c r="D92" s="511"/>
      <c r="E92" s="511"/>
      <c r="F92" s="519">
        <v>0</v>
      </c>
      <c r="H92" s="1190" t="s">
        <v>632</v>
      </c>
      <c r="I92" s="1192"/>
      <c r="J92" s="1192"/>
    </row>
    <row r="93" spans="1:10">
      <c r="A93" s="492"/>
      <c r="B93" s="497" t="s">
        <v>159</v>
      </c>
      <c r="C93" s="511"/>
      <c r="D93" s="511"/>
      <c r="E93" s="511"/>
      <c r="F93" s="503">
        <f>SUM(F90:F92)</f>
        <v>0</v>
      </c>
      <c r="G93" s="511"/>
      <c r="H93" s="476"/>
    </row>
    <row r="94" spans="1:10">
      <c r="A94" s="492"/>
      <c r="C94" s="511"/>
      <c r="D94" s="511"/>
      <c r="E94" s="511"/>
      <c r="F94" s="504"/>
      <c r="G94" s="511"/>
      <c r="H94" s="476"/>
    </row>
    <row r="95" spans="1:10">
      <c r="A95" s="492"/>
      <c r="B95" s="497" t="s">
        <v>101</v>
      </c>
      <c r="C95" s="511"/>
      <c r="D95" s="511"/>
      <c r="E95" s="511"/>
      <c r="F95" s="504">
        <f>G29</f>
        <v>0</v>
      </c>
      <c r="G95" s="511"/>
      <c r="H95" s="476"/>
    </row>
    <row r="96" spans="1:10">
      <c r="A96" s="492"/>
      <c r="B96" s="497" t="s">
        <v>102</v>
      </c>
      <c r="C96" s="511"/>
      <c r="D96" s="511"/>
      <c r="E96" s="511"/>
      <c r="F96" s="504">
        <f>G30</f>
        <v>0</v>
      </c>
      <c r="G96" s="511"/>
      <c r="H96" s="476"/>
    </row>
    <row r="97" spans="1:8">
      <c r="A97" s="492"/>
      <c r="B97" s="497" t="s">
        <v>160</v>
      </c>
      <c r="C97" s="511"/>
      <c r="D97" s="511"/>
      <c r="E97" s="511"/>
      <c r="F97" s="504">
        <f>G31</f>
        <v>0</v>
      </c>
      <c r="G97" s="511"/>
      <c r="H97" s="476"/>
    </row>
    <row r="98" spans="1:8">
      <c r="A98" s="492"/>
      <c r="C98" s="511"/>
      <c r="D98" s="511"/>
      <c r="E98" s="511"/>
      <c r="F98" s="504"/>
      <c r="G98" s="511"/>
      <c r="H98" s="476"/>
    </row>
    <row r="99" spans="1:8">
      <c r="A99" s="492"/>
      <c r="B99" s="497" t="s">
        <v>104</v>
      </c>
      <c r="C99" s="511"/>
      <c r="D99" s="511"/>
      <c r="E99" s="511"/>
      <c r="F99" s="504"/>
      <c r="G99" s="511"/>
      <c r="H99" s="476"/>
    </row>
    <row r="100" spans="1:8">
      <c r="A100" s="492"/>
      <c r="B100" s="497" t="s">
        <v>153</v>
      </c>
      <c r="C100" s="511"/>
      <c r="D100" s="511"/>
      <c r="E100" s="511"/>
      <c r="F100" s="504">
        <f>G34</f>
        <v>0</v>
      </c>
      <c r="G100" s="511"/>
      <c r="H100" s="476"/>
    </row>
    <row r="101" spans="1:8">
      <c r="A101" s="492"/>
      <c r="B101" s="497" t="s">
        <v>158</v>
      </c>
      <c r="C101" s="511"/>
      <c r="D101" s="511"/>
      <c r="E101" s="511"/>
      <c r="F101" s="504">
        <f>G35</f>
        <v>0</v>
      </c>
      <c r="G101" s="511"/>
      <c r="H101" s="476"/>
    </row>
    <row r="102" spans="1:8">
      <c r="A102" s="492"/>
      <c r="B102" s="497" t="s">
        <v>156</v>
      </c>
      <c r="C102" s="511"/>
      <c r="D102" s="511"/>
      <c r="E102" s="511"/>
      <c r="F102" s="953">
        <f>G36</f>
        <v>0</v>
      </c>
      <c r="G102" s="511"/>
      <c r="H102" s="476"/>
    </row>
    <row r="103" spans="1:8">
      <c r="A103" s="492"/>
      <c r="B103" s="497" t="s">
        <v>161</v>
      </c>
      <c r="C103" s="511"/>
      <c r="D103" s="511"/>
      <c r="E103" s="511"/>
      <c r="F103" s="504">
        <f>F100+F101+F102</f>
        <v>0</v>
      </c>
      <c r="G103" s="1188"/>
      <c r="H103" s="476"/>
    </row>
    <row r="104" spans="1:8">
      <c r="A104" s="492"/>
      <c r="B104" s="511"/>
      <c r="C104" s="511"/>
      <c r="D104" s="511"/>
      <c r="E104" s="511"/>
      <c r="F104" s="504"/>
      <c r="G104" s="1188"/>
      <c r="H104" s="476"/>
    </row>
    <row r="105" spans="1:8">
      <c r="A105" s="492"/>
      <c r="B105" s="511" t="s">
        <v>106</v>
      </c>
      <c r="C105" s="511"/>
      <c r="D105" s="511"/>
      <c r="E105" s="511"/>
      <c r="F105" s="506">
        <f>F87+F93+F95+F96+F97+F103</f>
        <v>0</v>
      </c>
      <c r="G105" s="1189"/>
      <c r="H105" s="476"/>
    </row>
    <row r="106" spans="1:8">
      <c r="A106" s="492"/>
      <c r="B106" s="511"/>
      <c r="C106" s="511"/>
      <c r="D106" s="511"/>
      <c r="E106" s="511"/>
      <c r="F106" s="504"/>
      <c r="G106" s="1188"/>
      <c r="H106" s="476"/>
    </row>
    <row r="107" spans="1:8">
      <c r="A107" s="492"/>
      <c r="B107" s="511" t="s">
        <v>227</v>
      </c>
      <c r="C107" s="511"/>
      <c r="D107" s="511"/>
      <c r="E107" s="511"/>
      <c r="F107" s="507">
        <f>F79-F105</f>
        <v>0</v>
      </c>
      <c r="G107" s="1188"/>
      <c r="H107" s="476"/>
    </row>
    <row r="108" spans="1:8">
      <c r="A108" s="492"/>
      <c r="B108" s="511"/>
      <c r="C108" s="511"/>
      <c r="D108" s="511"/>
      <c r="E108" s="511"/>
      <c r="F108" s="504"/>
      <c r="G108" s="1188"/>
      <c r="H108" s="476"/>
    </row>
    <row r="109" spans="1:8">
      <c r="A109" s="492"/>
      <c r="B109" s="511" t="s">
        <v>228</v>
      </c>
      <c r="C109" s="511"/>
      <c r="D109" s="511"/>
      <c r="E109" s="512"/>
      <c r="F109" s="504"/>
      <c r="G109" s="511"/>
      <c r="H109" s="476"/>
    </row>
    <row r="110" spans="1:8" ht="12.75" thickBot="1">
      <c r="A110" s="492"/>
      <c r="B110" s="520" t="s">
        <v>229</v>
      </c>
      <c r="C110" s="521">
        <f>Inputs!$D$4</f>
        <v>1.2215999999999999E-2</v>
      </c>
      <c r="D110" s="511"/>
      <c r="E110" s="512"/>
      <c r="F110" s="510">
        <f>ROUND(F107*C110,0)</f>
        <v>0</v>
      </c>
      <c r="G110" s="511"/>
      <c r="H110" s="476"/>
    </row>
    <row r="111" spans="1:8" ht="12.75" thickTop="1">
      <c r="A111" s="492"/>
      <c r="B111" s="511"/>
      <c r="C111" s="511"/>
      <c r="D111" s="511"/>
      <c r="E111" s="512"/>
      <c r="F111" s="513"/>
      <c r="G111" s="511"/>
      <c r="H111" s="476"/>
    </row>
  </sheetData>
  <customSheetViews>
    <customSheetView guid="{A15D1962-B049-11D2-8670-0000832CEEE8}" scale="75" showPageBreaks="1" showRuler="0" topLeftCell="A63">
      <selection activeCell="A67" sqref="A67"/>
      <rowBreaks count="1" manualBreakCount="1">
        <brk id="65" max="65535" man="1"/>
      </rowBreaks>
      <colBreaks count="3" manualBreakCount="3">
        <brk id="8" max="1048575" man="1"/>
        <brk id="16" max="1048575" man="1"/>
        <brk id="24" max="1048575" man="1"/>
      </colBreaks>
      <pageMargins left="1" right="1" top="0.5" bottom="0.5" header="0.5" footer="0.5"/>
      <printOptions horizontalCentered="1"/>
      <pageSetup scale="83" orientation="portrait" horizontalDpi="300" verticalDpi="300" r:id="rId1"/>
      <headerFooter alignWithMargins="0"/>
    </customSheetView>
    <customSheetView guid="{6E1B8C45-B07F-11D2-B0DC-0000832CDFF0}" scale="75" showPageBreaks="1" printArea="1" showRuler="0" topLeftCell="A63">
      <selection activeCell="A67" sqref="A67"/>
      <rowBreaks count="1" manualBreakCount="1">
        <brk id="65" max="65535" man="1"/>
      </rowBreaks>
      <colBreaks count="1" manualBreakCount="1">
        <brk id="8" max="1048575" man="1"/>
      </colBreaks>
      <pageMargins left="1" right="1" top="0.5" bottom="0.5" header="0.5" footer="0.5"/>
      <printOptions horizontalCentered="1"/>
      <pageSetup scale="83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1" top="0.5" bottom="0.5" header="0.5" footer="0.5"/>
  <pageSetup scale="90" orientation="portrait" horizontalDpi="300" verticalDpi="300" r:id="rId3"/>
  <headerFooter alignWithMargins="0"/>
  <rowBreaks count="1" manualBreakCount="1">
    <brk id="65" max="65535" man="1"/>
  </rowBreaks>
  <colBreaks count="1" manualBreakCount="1">
    <brk id="7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H110"/>
  <sheetViews>
    <sheetView zoomScale="75" workbookViewId="0">
      <selection activeCell="F2" sqref="F2"/>
    </sheetView>
  </sheetViews>
  <sheetFormatPr defaultColWidth="12.42578125" defaultRowHeight="12"/>
  <cols>
    <col min="1" max="1" width="5.5703125" style="495" customWidth="1"/>
    <col min="2" max="2" width="26.140625" style="492" customWidth="1"/>
    <col min="3" max="3" width="12.42578125" style="492" customWidth="1"/>
    <col min="4" max="4" width="6.7109375" style="492" customWidth="1"/>
    <col min="5" max="6" width="12.42578125" style="492" customWidth="1"/>
    <col min="7" max="7" width="11.7109375" style="492" customWidth="1"/>
    <col min="8" max="8" width="12.42578125" style="455" customWidth="1"/>
    <col min="9" max="16384" width="12.42578125" style="492"/>
  </cols>
  <sheetData>
    <row r="1" spans="1:8">
      <c r="A1" s="490" t="str">
        <f>Inputs!$D$6</f>
        <v>AVISTA UTILITIES</v>
      </c>
      <c r="B1" s="491"/>
      <c r="C1" s="490"/>
    </row>
    <row r="2" spans="1:8">
      <c r="A2" s="490" t="s">
        <v>142</v>
      </c>
      <c r="B2" s="491"/>
      <c r="C2" s="490"/>
      <c r="E2" s="490" t="s">
        <v>246</v>
      </c>
      <c r="F2" s="490"/>
      <c r="G2" s="490"/>
    </row>
    <row r="3" spans="1:8">
      <c r="A3" s="491" t="str">
        <f>WAElec09_08!$A$4</f>
        <v>TWELVE MONTHS ENDED SEPTEMBER 30, 2008</v>
      </c>
      <c r="B3" s="491"/>
      <c r="C3" s="490"/>
      <c r="E3" s="490" t="s">
        <v>247</v>
      </c>
      <c r="F3" s="490"/>
      <c r="G3" s="490"/>
    </row>
    <row r="4" spans="1:8">
      <c r="A4" s="490" t="s">
        <v>1</v>
      </c>
      <c r="B4" s="491"/>
      <c r="C4" s="490"/>
      <c r="E4" s="493" t="s">
        <v>145</v>
      </c>
      <c r="F4" s="493"/>
      <c r="G4" s="494"/>
    </row>
    <row r="5" spans="1:8">
      <c r="A5" s="495" t="s">
        <v>14</v>
      </c>
    </row>
    <row r="6" spans="1:8" s="495" customFormat="1">
      <c r="A6" s="495" t="s">
        <v>146</v>
      </c>
      <c r="B6" s="496" t="s">
        <v>36</v>
      </c>
      <c r="C6" s="496"/>
      <c r="E6" s="496" t="s">
        <v>147</v>
      </c>
      <c r="F6" s="496" t="s">
        <v>148</v>
      </c>
      <c r="G6" s="496" t="s">
        <v>128</v>
      </c>
      <c r="H6" s="461"/>
    </row>
    <row r="7" spans="1:8">
      <c r="B7" s="497" t="s">
        <v>85</v>
      </c>
    </row>
    <row r="8" spans="1:8" s="500" customFormat="1">
      <c r="A8" s="498">
        <v>1</v>
      </c>
      <c r="B8" s="499" t="s">
        <v>86</v>
      </c>
      <c r="E8" s="501">
        <f>F8+G8</f>
        <v>0</v>
      </c>
      <c r="F8" s="501"/>
      <c r="G8" s="501"/>
      <c r="H8" s="465" t="str">
        <f t="shared" ref="H8:H13" si="0">IF(E8=F8+G8," ","ERROR")</f>
        <v xml:space="preserve"> </v>
      </c>
    </row>
    <row r="9" spans="1:8">
      <c r="A9" s="495">
        <v>2</v>
      </c>
      <c r="B9" s="497" t="s">
        <v>87</v>
      </c>
      <c r="E9" s="502"/>
      <c r="F9" s="502"/>
      <c r="G9" s="502"/>
      <c r="H9" s="465" t="str">
        <f t="shared" si="0"/>
        <v xml:space="preserve"> </v>
      </c>
    </row>
    <row r="10" spans="1:8">
      <c r="A10" s="495">
        <v>3</v>
      </c>
      <c r="B10" s="497" t="s">
        <v>150</v>
      </c>
      <c r="E10" s="502"/>
      <c r="F10" s="502"/>
      <c r="G10" s="502"/>
      <c r="H10" s="465" t="str">
        <f t="shared" si="0"/>
        <v xml:space="preserve"> </v>
      </c>
    </row>
    <row r="11" spans="1:8">
      <c r="A11" s="495">
        <v>4</v>
      </c>
      <c r="B11" s="497" t="s">
        <v>151</v>
      </c>
      <c r="E11" s="503">
        <f>E8+E9+E10</f>
        <v>0</v>
      </c>
      <c r="F11" s="503">
        <f>F8+F9+F10</f>
        <v>0</v>
      </c>
      <c r="G11" s="503">
        <f>G8+G9+G10</f>
        <v>0</v>
      </c>
      <c r="H11" s="465" t="str">
        <f t="shared" si="0"/>
        <v xml:space="preserve"> </v>
      </c>
    </row>
    <row r="12" spans="1:8">
      <c r="A12" s="495">
        <v>5</v>
      </c>
      <c r="B12" s="497" t="s">
        <v>90</v>
      </c>
      <c r="E12" s="502"/>
      <c r="F12" s="502"/>
      <c r="G12" s="502"/>
      <c r="H12" s="465" t="str">
        <f t="shared" si="0"/>
        <v xml:space="preserve"> </v>
      </c>
    </row>
    <row r="13" spans="1:8">
      <c r="A13" s="495">
        <v>6</v>
      </c>
      <c r="B13" s="497" t="s">
        <v>152</v>
      </c>
      <c r="E13" s="503">
        <f>E11+E12</f>
        <v>0</v>
      </c>
      <c r="F13" s="503">
        <f>F11+F12</f>
        <v>0</v>
      </c>
      <c r="G13" s="503">
        <f>G11+G12</f>
        <v>0</v>
      </c>
      <c r="H13" s="465" t="str">
        <f t="shared" si="0"/>
        <v xml:space="preserve"> </v>
      </c>
    </row>
    <row r="14" spans="1:8">
      <c r="E14" s="504"/>
      <c r="F14" s="504"/>
      <c r="G14" s="504"/>
      <c r="H14" s="465"/>
    </row>
    <row r="15" spans="1:8">
      <c r="B15" s="497" t="s">
        <v>92</v>
      </c>
      <c r="E15" s="504"/>
      <c r="F15" s="504"/>
      <c r="G15" s="504"/>
      <c r="H15" s="465"/>
    </row>
    <row r="16" spans="1:8">
      <c r="B16" s="497" t="s">
        <v>93</v>
      </c>
      <c r="E16" s="504"/>
      <c r="F16" s="504"/>
      <c r="G16" s="504"/>
      <c r="H16" s="465"/>
    </row>
    <row r="17" spans="1:8">
      <c r="A17" s="495">
        <v>7</v>
      </c>
      <c r="B17" s="497" t="s">
        <v>153</v>
      </c>
      <c r="E17" s="502"/>
      <c r="F17" s="502"/>
      <c r="G17" s="502"/>
      <c r="H17" s="465" t="str">
        <f>IF(E17=F17+G17," ","ERROR")</f>
        <v xml:space="preserve"> </v>
      </c>
    </row>
    <row r="18" spans="1:8">
      <c r="A18" s="495">
        <v>8</v>
      </c>
      <c r="B18" s="497" t="s">
        <v>154</v>
      </c>
      <c r="E18" s="502"/>
      <c r="F18" s="502"/>
      <c r="G18" s="502"/>
      <c r="H18" s="465" t="str">
        <f>IF(E18=F18+G18," ","ERROR")</f>
        <v xml:space="preserve"> </v>
      </c>
    </row>
    <row r="19" spans="1:8">
      <c r="A19" s="495">
        <v>9</v>
      </c>
      <c r="B19" s="497" t="s">
        <v>155</v>
      </c>
      <c r="E19" s="502"/>
      <c r="F19" s="502"/>
      <c r="G19" s="502"/>
      <c r="H19" s="465" t="str">
        <f>IF(E19=F19+G19," ","ERROR")</f>
        <v xml:space="preserve"> </v>
      </c>
    </row>
    <row r="20" spans="1:8">
      <c r="A20" s="495">
        <v>10</v>
      </c>
      <c r="B20" s="497" t="s">
        <v>156</v>
      </c>
      <c r="E20" s="502"/>
      <c r="F20" s="502"/>
      <c r="G20" s="502"/>
      <c r="H20" s="465" t="str">
        <f>IF(E20=F20+G20," ","ERROR")</f>
        <v xml:space="preserve"> </v>
      </c>
    </row>
    <row r="21" spans="1:8">
      <c r="A21" s="495">
        <v>11</v>
      </c>
      <c r="B21" s="497" t="s">
        <v>157</v>
      </c>
      <c r="E21" s="503">
        <f>E17+E18+E19+E20</f>
        <v>0</v>
      </c>
      <c r="F21" s="503">
        <f>F17+F18+F19+F20</f>
        <v>0</v>
      </c>
      <c r="G21" s="503">
        <f>G17+G18+G19+G20</f>
        <v>0</v>
      </c>
      <c r="H21" s="465" t="str">
        <f>IF(E21=F21+G21," ","ERROR")</f>
        <v xml:space="preserve"> </v>
      </c>
    </row>
    <row r="22" spans="1:8">
      <c r="E22" s="504"/>
      <c r="F22" s="504"/>
      <c r="G22" s="504"/>
      <c r="H22" s="465"/>
    </row>
    <row r="23" spans="1:8">
      <c r="B23" s="497" t="s">
        <v>98</v>
      </c>
      <c r="E23" s="504"/>
      <c r="F23" s="504"/>
      <c r="G23" s="504"/>
      <c r="H23" s="465"/>
    </row>
    <row r="24" spans="1:8">
      <c r="A24" s="495">
        <v>12</v>
      </c>
      <c r="B24" s="497" t="s">
        <v>153</v>
      </c>
      <c r="E24" s="502"/>
      <c r="F24" s="502"/>
      <c r="G24" s="502"/>
      <c r="H24" s="465" t="str">
        <f>IF(E24=F24+G24," ","ERROR")</f>
        <v xml:space="preserve"> </v>
      </c>
    </row>
    <row r="25" spans="1:8">
      <c r="A25" s="495">
        <v>13</v>
      </c>
      <c r="B25" s="497" t="s">
        <v>158</v>
      </c>
      <c r="E25" s="502"/>
      <c r="F25" s="502"/>
      <c r="G25" s="502"/>
      <c r="H25" s="465" t="str">
        <f>IF(E25=F25+G25," ","ERROR")</f>
        <v xml:space="preserve"> </v>
      </c>
    </row>
    <row r="26" spans="1:8">
      <c r="A26" s="495">
        <v>14</v>
      </c>
      <c r="B26" s="497" t="s">
        <v>156</v>
      </c>
      <c r="E26" s="502">
        <f>F26+G26</f>
        <v>0</v>
      </c>
      <c r="F26" s="502"/>
      <c r="G26" s="505">
        <f>0+F109</f>
        <v>0</v>
      </c>
      <c r="H26" s="465" t="str">
        <f>IF(E26=F26+G26," ","ERROR")</f>
        <v xml:space="preserve"> </v>
      </c>
    </row>
    <row r="27" spans="1:8">
      <c r="A27" s="495">
        <v>15</v>
      </c>
      <c r="B27" s="497" t="s">
        <v>159</v>
      </c>
      <c r="E27" s="503">
        <f>E24+E25+E26</f>
        <v>0</v>
      </c>
      <c r="F27" s="503">
        <f>F24+F25+F26</f>
        <v>0</v>
      </c>
      <c r="G27" s="503">
        <f>G24+G25+G26</f>
        <v>0</v>
      </c>
      <c r="H27" s="465" t="str">
        <f>IF(E27=F27+G27," ","ERROR")</f>
        <v xml:space="preserve"> </v>
      </c>
    </row>
    <row r="28" spans="1:8">
      <c r="E28" s="504"/>
      <c r="F28" s="504"/>
      <c r="G28" s="504"/>
      <c r="H28" s="465"/>
    </row>
    <row r="29" spans="1:8">
      <c r="A29" s="495">
        <v>16</v>
      </c>
      <c r="B29" s="497" t="s">
        <v>101</v>
      </c>
      <c r="E29" s="502">
        <f>F29+G29</f>
        <v>-108</v>
      </c>
      <c r="F29" s="904">
        <v>-108</v>
      </c>
      <c r="G29" s="904">
        <v>0</v>
      </c>
      <c r="H29" s="465" t="str">
        <f>IF(E29=F29+G29," ","ERROR")</f>
        <v xml:space="preserve"> </v>
      </c>
    </row>
    <row r="30" spans="1:8">
      <c r="A30" s="495">
        <v>17</v>
      </c>
      <c r="B30" s="497" t="s">
        <v>102</v>
      </c>
      <c r="E30" s="502"/>
      <c r="F30" s="502"/>
      <c r="G30" s="502"/>
      <c r="H30" s="465" t="str">
        <f>IF(E30=F30+G30," ","ERROR")</f>
        <v xml:space="preserve"> </v>
      </c>
    </row>
    <row r="31" spans="1:8">
      <c r="A31" s="495">
        <v>18</v>
      </c>
      <c r="B31" s="497" t="s">
        <v>160</v>
      </c>
      <c r="E31" s="502"/>
      <c r="F31" s="502"/>
      <c r="G31" s="502"/>
      <c r="H31" s="465" t="str">
        <f>IF(E31=F31+G31," ","ERROR")</f>
        <v xml:space="preserve"> </v>
      </c>
    </row>
    <row r="32" spans="1:8">
      <c r="E32" s="504"/>
      <c r="F32" s="504"/>
      <c r="G32" s="504"/>
      <c r="H32" s="465"/>
    </row>
    <row r="33" spans="1:8">
      <c r="B33" s="497" t="s">
        <v>104</v>
      </c>
      <c r="E33" s="504"/>
      <c r="F33" s="504"/>
      <c r="G33" s="504"/>
      <c r="H33" s="465"/>
    </row>
    <row r="34" spans="1:8">
      <c r="A34" s="495">
        <v>19</v>
      </c>
      <c r="B34" s="497" t="s">
        <v>153</v>
      </c>
      <c r="E34" s="502"/>
      <c r="F34" s="502"/>
      <c r="G34" s="502"/>
      <c r="H34" s="465" t="str">
        <f>IF(E34=F34+G34," ","ERROR")</f>
        <v xml:space="preserve"> </v>
      </c>
    </row>
    <row r="35" spans="1:8">
      <c r="A35" s="495">
        <v>20</v>
      </c>
      <c r="B35" s="497" t="s">
        <v>158</v>
      </c>
      <c r="E35" s="502"/>
      <c r="F35" s="502"/>
      <c r="G35" s="502"/>
      <c r="H35" s="465" t="str">
        <f>IF(E35=F35+G35," ","ERROR")</f>
        <v xml:space="preserve"> </v>
      </c>
    </row>
    <row r="36" spans="1:8">
      <c r="A36" s="495">
        <v>21</v>
      </c>
      <c r="B36" s="497" t="s">
        <v>156</v>
      </c>
      <c r="E36" s="502"/>
      <c r="F36" s="502"/>
      <c r="G36" s="502"/>
      <c r="H36" s="465" t="str">
        <f>IF(E36=F36+G36," ","ERROR")</f>
        <v xml:space="preserve"> </v>
      </c>
    </row>
    <row r="37" spans="1:8">
      <c r="A37" s="495">
        <v>22</v>
      </c>
      <c r="B37" s="497" t="s">
        <v>161</v>
      </c>
      <c r="E37" s="506">
        <f>E34+E35+E36</f>
        <v>0</v>
      </c>
      <c r="F37" s="506">
        <f>F34+F35+F36</f>
        <v>0</v>
      </c>
      <c r="G37" s="506">
        <f>G34+G35+G36</f>
        <v>0</v>
      </c>
      <c r="H37" s="465" t="str">
        <f>IF(E37=F37+G37," ","ERROR")</f>
        <v xml:space="preserve"> </v>
      </c>
    </row>
    <row r="38" spans="1:8">
      <c r="A38" s="495">
        <v>23</v>
      </c>
      <c r="B38" s="497" t="s">
        <v>106</v>
      </c>
      <c r="E38" s="507">
        <f>E21+E27+E29+E30+E31+E37</f>
        <v>-108</v>
      </c>
      <c r="F38" s="507">
        <f>F21+F27+F29+F30+F31+F37</f>
        <v>-108</v>
      </c>
      <c r="G38" s="507">
        <f>G21+G27+G29+G30+G31+G37</f>
        <v>0</v>
      </c>
      <c r="H38" s="465" t="str">
        <f>IF(E38=F38+G38," ","ERROR")</f>
        <v xml:space="preserve"> </v>
      </c>
    </row>
    <row r="39" spans="1:8">
      <c r="E39" s="504"/>
      <c r="F39" s="504"/>
      <c r="G39" s="504"/>
      <c r="H39" s="465"/>
    </row>
    <row r="40" spans="1:8">
      <c r="A40" s="495">
        <v>24</v>
      </c>
      <c r="B40" s="497" t="s">
        <v>162</v>
      </c>
      <c r="E40" s="504">
        <f>E13-E38</f>
        <v>108</v>
      </c>
      <c r="F40" s="504">
        <f>F13-F38</f>
        <v>108</v>
      </c>
      <c r="G40" s="504">
        <f>G13-G38</f>
        <v>0</v>
      </c>
      <c r="H40" s="465" t="str">
        <f>IF(E40=F40+G40," ","ERROR")</f>
        <v xml:space="preserve"> </v>
      </c>
    </row>
    <row r="41" spans="1:8">
      <c r="B41" s="497"/>
      <c r="E41" s="504"/>
      <c r="F41" s="504"/>
      <c r="G41" s="504"/>
      <c r="H41" s="465"/>
    </row>
    <row r="42" spans="1:8">
      <c r="B42" s="497" t="s">
        <v>163</v>
      </c>
      <c r="E42" s="504"/>
      <c r="F42" s="504"/>
      <c r="G42" s="504"/>
      <c r="H42" s="465"/>
    </row>
    <row r="43" spans="1:8">
      <c r="A43" s="495">
        <v>25</v>
      </c>
      <c r="B43" s="497" t="s">
        <v>222</v>
      </c>
      <c r="E43" s="502">
        <f>F43+G43</f>
        <v>38</v>
      </c>
      <c r="F43" s="502">
        <f>ROUND(F40*0.35,0)</f>
        <v>38</v>
      </c>
      <c r="G43" s="502">
        <f>ROUND(G40*0.35,0)</f>
        <v>0</v>
      </c>
      <c r="H43" s="465" t="str">
        <f>IF(E43=F43+G43," ","ERROR")</f>
        <v xml:space="preserve"> </v>
      </c>
    </row>
    <row r="44" spans="1:8">
      <c r="A44" s="495">
        <v>26</v>
      </c>
      <c r="B44" s="497" t="s">
        <v>165</v>
      </c>
      <c r="E44" s="502"/>
      <c r="F44" s="502"/>
      <c r="G44" s="502"/>
      <c r="H44" s="465" t="str">
        <f>IF(E44=F44+G44," ","ERROR")</f>
        <v xml:space="preserve"> </v>
      </c>
    </row>
    <row r="45" spans="1:8" ht="12.75">
      <c r="A45"/>
      <c r="B45"/>
      <c r="C45"/>
      <c r="D45"/>
      <c r="E45" s="913"/>
      <c r="F45" s="913"/>
      <c r="G45" s="913"/>
      <c r="H45" s="465" t="str">
        <f>IF(E45=F45+G45," ","ERROR")</f>
        <v xml:space="preserve"> </v>
      </c>
    </row>
    <row r="46" spans="1:8">
      <c r="A46" s="259"/>
      <c r="B46" s="262"/>
      <c r="C46" s="256"/>
      <c r="D46" s="256"/>
      <c r="E46" s="269"/>
      <c r="F46" s="269"/>
      <c r="G46" s="269"/>
      <c r="H46" s="465"/>
    </row>
    <row r="47" spans="1:8" s="500" customFormat="1">
      <c r="A47" s="263">
        <v>27</v>
      </c>
      <c r="B47" s="264" t="s">
        <v>113</v>
      </c>
      <c r="C47" s="265"/>
      <c r="D47" s="265"/>
      <c r="E47" s="273">
        <f>E40-SUM(E43:E44)</f>
        <v>70</v>
      </c>
      <c r="F47" s="273">
        <f>F40-SUM(F43:F44)</f>
        <v>70</v>
      </c>
      <c r="G47" s="273">
        <f>G40-SUM(G43:G44)</f>
        <v>0</v>
      </c>
      <c r="H47" s="465" t="str">
        <f>IF(E47=F47+G47," ","ERROR")</f>
        <v xml:space="preserve"> </v>
      </c>
    </row>
    <row r="48" spans="1:8">
      <c r="A48" s="259"/>
      <c r="H48" s="465"/>
    </row>
    <row r="49" spans="1:8">
      <c r="A49" s="259"/>
      <c r="B49" s="497" t="s">
        <v>114</v>
      </c>
      <c r="H49" s="465"/>
    </row>
    <row r="50" spans="1:8">
      <c r="A50" s="259"/>
      <c r="B50" s="497" t="s">
        <v>115</v>
      </c>
      <c r="H50" s="465"/>
    </row>
    <row r="51" spans="1:8" s="500" customFormat="1">
      <c r="A51" s="263">
        <v>28</v>
      </c>
      <c r="B51" s="499" t="s">
        <v>167</v>
      </c>
      <c r="E51" s="501"/>
      <c r="F51" s="501"/>
      <c r="G51" s="501"/>
      <c r="H51" s="465" t="str">
        <f t="shared" ref="H51:H61" si="1">IF(E51=F51+G51," ","ERROR")</f>
        <v xml:space="preserve"> </v>
      </c>
    </row>
    <row r="52" spans="1:8">
      <c r="A52" s="259">
        <v>29</v>
      </c>
      <c r="B52" s="497" t="s">
        <v>168</v>
      </c>
      <c r="E52" s="502"/>
      <c r="F52" s="502"/>
      <c r="G52" s="502"/>
      <c r="H52" s="465" t="str">
        <f t="shared" si="1"/>
        <v xml:space="preserve"> </v>
      </c>
    </row>
    <row r="53" spans="1:8">
      <c r="A53" s="259">
        <v>30</v>
      </c>
      <c r="B53" s="497" t="s">
        <v>169</v>
      </c>
      <c r="E53" s="502"/>
      <c r="F53" s="502"/>
      <c r="G53" s="502"/>
      <c r="H53" s="465" t="str">
        <f t="shared" si="1"/>
        <v xml:space="preserve"> </v>
      </c>
    </row>
    <row r="54" spans="1:8">
      <c r="A54" s="259">
        <v>31</v>
      </c>
      <c r="B54" s="497" t="s">
        <v>170</v>
      </c>
      <c r="E54" s="502"/>
      <c r="F54" s="502"/>
      <c r="G54" s="502"/>
      <c r="H54" s="465" t="str">
        <f t="shared" si="1"/>
        <v xml:space="preserve"> </v>
      </c>
    </row>
    <row r="55" spans="1:8">
      <c r="A55" s="259">
        <v>32</v>
      </c>
      <c r="B55" s="497" t="s">
        <v>171</v>
      </c>
      <c r="E55" s="508"/>
      <c r="F55" s="508"/>
      <c r="G55" s="508"/>
      <c r="H55" s="465" t="str">
        <f t="shared" si="1"/>
        <v xml:space="preserve"> </v>
      </c>
    </row>
    <row r="56" spans="1:8">
      <c r="A56" s="259">
        <v>33</v>
      </c>
      <c r="B56" s="497" t="s">
        <v>172</v>
      </c>
      <c r="E56" s="504">
        <f>E51+E52+E53+E54+E55</f>
        <v>0</v>
      </c>
      <c r="F56" s="504">
        <f>F51+F52+F53+F54+F55</f>
        <v>0</v>
      </c>
      <c r="G56" s="504">
        <f>G51+G52+G53+G54+G55</f>
        <v>0</v>
      </c>
      <c r="H56" s="465" t="str">
        <f t="shared" si="1"/>
        <v xml:space="preserve"> </v>
      </c>
    </row>
    <row r="57" spans="1:8">
      <c r="A57" s="259">
        <v>34</v>
      </c>
      <c r="B57" s="497" t="s">
        <v>121</v>
      </c>
      <c r="E57" s="502"/>
      <c r="F57" s="502"/>
      <c r="G57" s="502"/>
      <c r="H57" s="465" t="str">
        <f t="shared" si="1"/>
        <v xml:space="preserve"> </v>
      </c>
    </row>
    <row r="58" spans="1:8">
      <c r="A58" s="259">
        <v>35</v>
      </c>
      <c r="B58" s="497" t="s">
        <v>122</v>
      </c>
      <c r="E58" s="508"/>
      <c r="F58" s="508"/>
      <c r="G58" s="508"/>
      <c r="H58" s="465" t="str">
        <f t="shared" si="1"/>
        <v xml:space="preserve"> </v>
      </c>
    </row>
    <row r="59" spans="1:8">
      <c r="A59" s="259">
        <v>36</v>
      </c>
      <c r="B59" s="497" t="s">
        <v>173</v>
      </c>
      <c r="E59" s="504">
        <f>E57+E58</f>
        <v>0</v>
      </c>
      <c r="F59" s="504">
        <f>F57+F58</f>
        <v>0</v>
      </c>
      <c r="G59" s="504">
        <f>G57+G58</f>
        <v>0</v>
      </c>
      <c r="H59" s="465" t="str">
        <f t="shared" si="1"/>
        <v xml:space="preserve"> </v>
      </c>
    </row>
    <row r="60" spans="1:8">
      <c r="A60" s="259">
        <v>37</v>
      </c>
      <c r="B60" s="497" t="s">
        <v>124</v>
      </c>
      <c r="E60" s="502"/>
      <c r="F60" s="502"/>
      <c r="G60" s="502"/>
      <c r="H60" s="465" t="str">
        <f t="shared" si="1"/>
        <v xml:space="preserve"> </v>
      </c>
    </row>
    <row r="61" spans="1:8">
      <c r="A61" s="259">
        <v>38</v>
      </c>
      <c r="B61" s="497" t="s">
        <v>125</v>
      </c>
      <c r="E61" s="508"/>
      <c r="F61" s="508"/>
      <c r="G61" s="508"/>
      <c r="H61" s="465" t="str">
        <f t="shared" si="1"/>
        <v xml:space="preserve"> </v>
      </c>
    </row>
    <row r="62" spans="1:8">
      <c r="A62" s="259"/>
      <c r="H62" s="465"/>
    </row>
    <row r="63" spans="1:8" s="500" customFormat="1" ht="12.75" thickBot="1">
      <c r="A63" s="263">
        <v>39</v>
      </c>
      <c r="B63" s="499" t="s">
        <v>126</v>
      </c>
      <c r="E63" s="510">
        <f>E56-E59+E60+E61</f>
        <v>0</v>
      </c>
      <c r="F63" s="510">
        <f>F56-F59+F60+F61</f>
        <v>0</v>
      </c>
      <c r="G63" s="510">
        <f>G56-G59+G60+G61</f>
        <v>0</v>
      </c>
      <c r="H63" s="465" t="str">
        <f>IF(E63=F63+G63," ","ERROR")</f>
        <v xml:space="preserve"> </v>
      </c>
    </row>
    <row r="64" spans="1:8" ht="12.75" thickTop="1"/>
    <row r="65" spans="1:8">
      <c r="A65" s="491" t="str">
        <f>Inputs!$D$6</f>
        <v>AVISTA UTILITIES</v>
      </c>
      <c r="B65" s="491"/>
      <c r="C65" s="491"/>
      <c r="D65" s="511"/>
      <c r="E65" s="512"/>
      <c r="F65" s="513"/>
      <c r="G65" s="511"/>
      <c r="H65" s="477"/>
    </row>
    <row r="66" spans="1:8">
      <c r="A66" s="491" t="s">
        <v>225</v>
      </c>
      <c r="B66" s="491"/>
      <c r="C66" s="491"/>
      <c r="D66" s="511"/>
      <c r="E66" s="512"/>
      <c r="F66" s="513"/>
      <c r="G66" s="511"/>
      <c r="H66" s="477"/>
    </row>
    <row r="67" spans="1:8">
      <c r="A67" s="491" t="str">
        <f>A3</f>
        <v>TWELVE MONTHS ENDED SEPTEMBER 30, 2008</v>
      </c>
      <c r="B67" s="491"/>
      <c r="C67" s="491"/>
      <c r="D67" s="511"/>
      <c r="E67" s="512"/>
      <c r="F67" s="514" t="str">
        <f>E2</f>
        <v>UNCOLLECTIBLE</v>
      </c>
      <c r="G67" s="511"/>
      <c r="H67" s="477"/>
    </row>
    <row r="68" spans="1:8">
      <c r="A68" s="491" t="s">
        <v>226</v>
      </c>
      <c r="B68" s="491"/>
      <c r="C68" s="491"/>
      <c r="D68" s="511"/>
      <c r="E68" s="512"/>
      <c r="F68" s="514" t="str">
        <f>E3</f>
        <v>EXPENSE</v>
      </c>
      <c r="G68" s="511"/>
      <c r="H68" s="477"/>
    </row>
    <row r="69" spans="1:8">
      <c r="B69" s="511"/>
      <c r="C69" s="511"/>
      <c r="D69" s="511"/>
      <c r="E69" s="515"/>
      <c r="F69" s="516" t="str">
        <f>E4</f>
        <v>ELECTRIC</v>
      </c>
      <c r="G69" s="517"/>
      <c r="H69" s="482"/>
    </row>
    <row r="70" spans="1:8">
      <c r="B70" s="511"/>
      <c r="C70" s="511"/>
      <c r="D70" s="511"/>
      <c r="E70" s="512"/>
      <c r="F70" s="514"/>
      <c r="G70" s="511"/>
      <c r="H70" s="477"/>
    </row>
    <row r="71" spans="1:8">
      <c r="B71" s="518" t="s">
        <v>134</v>
      </c>
      <c r="C71" s="517"/>
      <c r="D71" s="511"/>
      <c r="E71" s="512"/>
      <c r="F71" s="516" t="s">
        <v>128</v>
      </c>
      <c r="G71" s="511"/>
      <c r="H71" s="477"/>
    </row>
    <row r="72" spans="1:8">
      <c r="B72" s="497" t="s">
        <v>85</v>
      </c>
      <c r="C72" s="511"/>
      <c r="D72" s="511"/>
      <c r="E72" s="511"/>
      <c r="F72" s="513"/>
      <c r="G72" s="511"/>
      <c r="H72" s="476"/>
    </row>
    <row r="73" spans="1:8">
      <c r="B73" s="499" t="s">
        <v>86</v>
      </c>
      <c r="C73" s="511"/>
      <c r="D73" s="511"/>
      <c r="E73" s="511"/>
      <c r="F73" s="509">
        <f>G8</f>
        <v>0</v>
      </c>
      <c r="G73" s="511"/>
      <c r="H73" s="476"/>
    </row>
    <row r="74" spans="1:8">
      <c r="B74" s="497" t="s">
        <v>87</v>
      </c>
      <c r="C74" s="511"/>
      <c r="D74" s="511"/>
      <c r="E74" s="511"/>
      <c r="F74" s="504">
        <f>G9</f>
        <v>0</v>
      </c>
      <c r="G74" s="511"/>
      <c r="H74" s="476"/>
    </row>
    <row r="75" spans="1:8">
      <c r="B75" s="497" t="s">
        <v>150</v>
      </c>
      <c r="C75" s="511"/>
      <c r="D75" s="511"/>
      <c r="E75" s="511"/>
      <c r="F75" s="507">
        <f>G10</f>
        <v>0</v>
      </c>
      <c r="G75" s="511"/>
      <c r="H75" s="476"/>
    </row>
    <row r="76" spans="1:8">
      <c r="B76" s="497" t="s">
        <v>151</v>
      </c>
      <c r="C76" s="511"/>
      <c r="D76" s="511"/>
      <c r="E76" s="511"/>
      <c r="F76" s="504">
        <f>SUM(F73:F75)</f>
        <v>0</v>
      </c>
      <c r="G76" s="511"/>
      <c r="H76" s="476"/>
    </row>
    <row r="77" spans="1:8">
      <c r="B77" s="497" t="s">
        <v>90</v>
      </c>
      <c r="C77" s="511"/>
      <c r="D77" s="511"/>
      <c r="E77" s="511"/>
      <c r="F77" s="507">
        <f>G12</f>
        <v>0</v>
      </c>
      <c r="G77" s="511"/>
      <c r="H77" s="476"/>
    </row>
    <row r="78" spans="1:8">
      <c r="B78" s="497" t="s">
        <v>152</v>
      </c>
      <c r="C78" s="511"/>
      <c r="D78" s="511"/>
      <c r="E78" s="511"/>
      <c r="F78" s="504">
        <f>F76+F77</f>
        <v>0</v>
      </c>
      <c r="G78" s="511"/>
      <c r="H78" s="476"/>
    </row>
    <row r="79" spans="1:8">
      <c r="C79" s="511"/>
      <c r="D79" s="511"/>
      <c r="E79" s="511"/>
      <c r="F79" s="504"/>
      <c r="G79" s="511"/>
      <c r="H79" s="476"/>
    </row>
    <row r="80" spans="1:8">
      <c r="B80" s="497" t="s">
        <v>92</v>
      </c>
      <c r="C80" s="511"/>
      <c r="D80" s="511"/>
      <c r="E80" s="511"/>
      <c r="F80" s="504"/>
      <c r="G80" s="511"/>
      <c r="H80" s="476"/>
    </row>
    <row r="81" spans="1:8">
      <c r="B81" s="497" t="s">
        <v>93</v>
      </c>
      <c r="C81" s="511"/>
      <c r="D81" s="511"/>
      <c r="E81" s="511"/>
      <c r="F81" s="504"/>
      <c r="G81" s="511"/>
      <c r="H81" s="476"/>
    </row>
    <row r="82" spans="1:8">
      <c r="B82" s="497" t="s">
        <v>153</v>
      </c>
      <c r="C82" s="511"/>
      <c r="D82" s="511"/>
      <c r="E82" s="511"/>
      <c r="F82" s="504">
        <f>G17</f>
        <v>0</v>
      </c>
      <c r="G82" s="511"/>
      <c r="H82" s="476"/>
    </row>
    <row r="83" spans="1:8">
      <c r="B83" s="497" t="s">
        <v>154</v>
      </c>
      <c r="C83" s="511"/>
      <c r="D83" s="511"/>
      <c r="E83" s="511"/>
      <c r="F83" s="504">
        <f>G18</f>
        <v>0</v>
      </c>
      <c r="G83" s="511"/>
      <c r="H83" s="476"/>
    </row>
    <row r="84" spans="1:8">
      <c r="B84" s="497" t="s">
        <v>155</v>
      </c>
      <c r="C84" s="511"/>
      <c r="D84" s="511"/>
      <c r="E84" s="511"/>
      <c r="F84" s="504">
        <f>G19</f>
        <v>0</v>
      </c>
      <c r="G84" s="511"/>
      <c r="H84" s="476"/>
    </row>
    <row r="85" spans="1:8">
      <c r="B85" s="497" t="s">
        <v>156</v>
      </c>
      <c r="C85" s="511"/>
      <c r="D85" s="511"/>
      <c r="E85" s="511"/>
      <c r="F85" s="507">
        <f>G20</f>
        <v>0</v>
      </c>
      <c r="G85" s="511"/>
      <c r="H85" s="476"/>
    </row>
    <row r="86" spans="1:8">
      <c r="B86" s="497" t="s">
        <v>157</v>
      </c>
      <c r="C86" s="511"/>
      <c r="D86" s="511"/>
      <c r="E86" s="511"/>
      <c r="F86" s="504">
        <f>SUM(F82:F85)</f>
        <v>0</v>
      </c>
      <c r="G86" s="511"/>
      <c r="H86" s="476"/>
    </row>
    <row r="87" spans="1:8">
      <c r="C87" s="511"/>
      <c r="D87" s="511"/>
      <c r="E87" s="511"/>
      <c r="F87" s="504"/>
      <c r="G87" s="511"/>
      <c r="H87" s="476"/>
    </row>
    <row r="88" spans="1:8">
      <c r="B88" s="497" t="s">
        <v>98</v>
      </c>
      <c r="C88" s="511"/>
      <c r="D88" s="511"/>
      <c r="E88" s="511"/>
      <c r="F88" s="504"/>
      <c r="G88" s="511"/>
      <c r="H88" s="476"/>
    </row>
    <row r="89" spans="1:8">
      <c r="B89" s="497" t="s">
        <v>153</v>
      </c>
      <c r="C89" s="511"/>
      <c r="D89" s="511"/>
      <c r="E89" s="511"/>
      <c r="F89" s="504">
        <f>G24</f>
        <v>0</v>
      </c>
      <c r="G89" s="511"/>
      <c r="H89" s="476"/>
    </row>
    <row r="90" spans="1:8">
      <c r="B90" s="497" t="s">
        <v>158</v>
      </c>
      <c r="C90" s="511"/>
      <c r="D90" s="511"/>
      <c r="E90" s="511"/>
      <c r="F90" s="504">
        <f>G25</f>
        <v>0</v>
      </c>
      <c r="G90" s="511"/>
      <c r="H90" s="476"/>
    </row>
    <row r="91" spans="1:8">
      <c r="A91" s="492"/>
      <c r="B91" s="497" t="s">
        <v>156</v>
      </c>
      <c r="C91" s="511"/>
      <c r="D91" s="511"/>
      <c r="E91" s="511"/>
      <c r="F91" s="519">
        <v>0</v>
      </c>
      <c r="G91" s="511"/>
      <c r="H91" s="476"/>
    </row>
    <row r="92" spans="1:8">
      <c r="A92" s="492"/>
      <c r="B92" s="497" t="s">
        <v>159</v>
      </c>
      <c r="C92" s="511"/>
      <c r="D92" s="511"/>
      <c r="E92" s="511"/>
      <c r="F92" s="503">
        <f>SUM(F89:F91)</f>
        <v>0</v>
      </c>
      <c r="G92" s="511"/>
      <c r="H92" s="476"/>
    </row>
    <row r="93" spans="1:8">
      <c r="A93" s="492"/>
      <c r="C93" s="511"/>
      <c r="D93" s="511"/>
      <c r="E93" s="511"/>
      <c r="F93" s="504"/>
      <c r="G93" s="511"/>
      <c r="H93" s="476"/>
    </row>
    <row r="94" spans="1:8">
      <c r="A94" s="492"/>
      <c r="B94" s="497" t="s">
        <v>101</v>
      </c>
      <c r="C94" s="511"/>
      <c r="D94" s="511"/>
      <c r="E94" s="511"/>
      <c r="F94" s="504">
        <f>G29</f>
        <v>0</v>
      </c>
      <c r="G94" s="511"/>
      <c r="H94" s="476"/>
    </row>
    <row r="95" spans="1:8">
      <c r="A95" s="492"/>
      <c r="B95" s="497" t="s">
        <v>102</v>
      </c>
      <c r="C95" s="511"/>
      <c r="D95" s="511"/>
      <c r="E95" s="511"/>
      <c r="F95" s="504">
        <f>G30</f>
        <v>0</v>
      </c>
      <c r="G95" s="511"/>
      <c r="H95" s="476"/>
    </row>
    <row r="96" spans="1:8">
      <c r="A96" s="492"/>
      <c r="B96" s="497" t="s">
        <v>160</v>
      </c>
      <c r="C96" s="511"/>
      <c r="D96" s="511"/>
      <c r="E96" s="511"/>
      <c r="F96" s="504">
        <f>G31</f>
        <v>0</v>
      </c>
      <c r="G96" s="511"/>
      <c r="H96" s="476"/>
    </row>
    <row r="97" spans="1:8">
      <c r="A97" s="492"/>
      <c r="C97" s="511"/>
      <c r="D97" s="511"/>
      <c r="E97" s="511"/>
      <c r="F97" s="504"/>
      <c r="G97" s="511"/>
      <c r="H97" s="476"/>
    </row>
    <row r="98" spans="1:8">
      <c r="A98" s="492"/>
      <c r="B98" s="497" t="s">
        <v>104</v>
      </c>
      <c r="C98" s="511"/>
      <c r="D98" s="511"/>
      <c r="E98" s="511"/>
      <c r="F98" s="504"/>
      <c r="G98" s="511"/>
      <c r="H98" s="476"/>
    </row>
    <row r="99" spans="1:8">
      <c r="A99" s="492"/>
      <c r="B99" s="497" t="s">
        <v>153</v>
      </c>
      <c r="C99" s="511"/>
      <c r="D99" s="511"/>
      <c r="E99" s="511"/>
      <c r="F99" s="504">
        <f>G34</f>
        <v>0</v>
      </c>
      <c r="G99" s="511"/>
      <c r="H99" s="476"/>
    </row>
    <row r="100" spans="1:8">
      <c r="A100" s="492"/>
      <c r="B100" s="497" t="s">
        <v>158</v>
      </c>
      <c r="C100" s="511"/>
      <c r="D100" s="511"/>
      <c r="E100" s="511"/>
      <c r="F100" s="504">
        <f>G35</f>
        <v>0</v>
      </c>
      <c r="G100" s="511"/>
      <c r="H100" s="476"/>
    </row>
    <row r="101" spans="1:8">
      <c r="A101" s="492"/>
      <c r="B101" s="497" t="s">
        <v>156</v>
      </c>
      <c r="C101" s="511"/>
      <c r="D101" s="511"/>
      <c r="E101" s="511"/>
      <c r="F101" s="507">
        <f>G36</f>
        <v>0</v>
      </c>
      <c r="G101" s="511"/>
      <c r="H101" s="476"/>
    </row>
    <row r="102" spans="1:8">
      <c r="A102" s="492"/>
      <c r="B102" s="497" t="s">
        <v>161</v>
      </c>
      <c r="C102" s="511"/>
      <c r="D102" s="511"/>
      <c r="E102" s="511"/>
      <c r="F102" s="504">
        <f>F99+F100+F101</f>
        <v>0</v>
      </c>
      <c r="G102" s="511"/>
      <c r="H102" s="476"/>
    </row>
    <row r="103" spans="1:8">
      <c r="A103" s="492"/>
      <c r="B103" s="511"/>
      <c r="C103" s="511"/>
      <c r="D103" s="511"/>
      <c r="E103" s="511"/>
      <c r="F103" s="504"/>
      <c r="G103" s="511"/>
      <c r="H103" s="476"/>
    </row>
    <row r="104" spans="1:8">
      <c r="A104" s="492"/>
      <c r="B104" s="511" t="s">
        <v>106</v>
      </c>
      <c r="C104" s="511"/>
      <c r="D104" s="511"/>
      <c r="E104" s="511"/>
      <c r="F104" s="506">
        <f>F86+F92+F94+F95+F96+F102</f>
        <v>0</v>
      </c>
      <c r="G104" s="511"/>
      <c r="H104" s="476"/>
    </row>
    <row r="105" spans="1:8">
      <c r="A105" s="492"/>
      <c r="B105" s="511"/>
      <c r="C105" s="511"/>
      <c r="D105" s="511"/>
      <c r="E105" s="511"/>
      <c r="F105" s="504"/>
      <c r="G105" s="511"/>
      <c r="H105" s="476"/>
    </row>
    <row r="106" spans="1:8">
      <c r="A106" s="492"/>
      <c r="B106" s="511" t="s">
        <v>227</v>
      </c>
      <c r="C106" s="511"/>
      <c r="D106" s="511"/>
      <c r="E106" s="511"/>
      <c r="F106" s="507">
        <f>F78-F104</f>
        <v>0</v>
      </c>
      <c r="G106" s="511"/>
      <c r="H106" s="476"/>
    </row>
    <row r="107" spans="1:8">
      <c r="A107" s="492"/>
      <c r="B107" s="511"/>
      <c r="C107" s="511"/>
      <c r="D107" s="511"/>
      <c r="E107" s="511"/>
      <c r="F107" s="504"/>
      <c r="G107" s="511"/>
      <c r="H107" s="476"/>
    </row>
    <row r="108" spans="1:8">
      <c r="A108" s="492"/>
      <c r="B108" s="511" t="s">
        <v>228</v>
      </c>
      <c r="C108" s="511"/>
      <c r="D108" s="511"/>
      <c r="E108" s="512"/>
      <c r="F108" s="504"/>
      <c r="G108" s="511"/>
      <c r="H108" s="476"/>
    </row>
    <row r="109" spans="1:8" ht="12.75" thickBot="1">
      <c r="A109" s="492"/>
      <c r="B109" s="520" t="s">
        <v>229</v>
      </c>
      <c r="C109" s="521">
        <f>Inputs!$D$4</f>
        <v>1.2215999999999999E-2</v>
      </c>
      <c r="D109" s="511"/>
      <c r="E109" s="512"/>
      <c r="F109" s="510">
        <f>ROUND(F106*C109,0)</f>
        <v>0</v>
      </c>
      <c r="G109" s="511"/>
      <c r="H109" s="476"/>
    </row>
    <row r="110" spans="1:8" ht="12.75" thickTop="1">
      <c r="A110" s="492"/>
      <c r="B110" s="511"/>
      <c r="C110" s="511"/>
      <c r="D110" s="511"/>
      <c r="E110" s="512"/>
      <c r="F110" s="513"/>
      <c r="G110" s="511"/>
      <c r="H110" s="476"/>
    </row>
  </sheetData>
  <customSheetViews>
    <customSheetView guid="{A15D1962-B049-11D2-8670-0000832CEEE8}" scale="75" showPageBreaks="1" showRuler="0" topLeftCell="A48">
      <selection activeCell="A67" sqref="A67"/>
      <rowBreaks count="1" manualBreakCount="1">
        <brk id="65" max="65535" man="1"/>
      </rowBreaks>
      <colBreaks count="3" manualBreakCount="3">
        <brk id="8" max="1048575" man="1"/>
        <brk id="16" max="1048575" man="1"/>
        <brk id="24" max="1048575" man="1"/>
      </colBreaks>
      <pageMargins left="1" right="1" top="0.5" bottom="0.5" header="0.5" footer="0.5"/>
      <printOptions horizontalCentered="1"/>
      <pageSetup scale="83" orientation="portrait" horizontalDpi="300" verticalDpi="300" r:id="rId1"/>
      <headerFooter alignWithMargins="0"/>
    </customSheetView>
    <customSheetView guid="{6E1B8C45-B07F-11D2-B0DC-0000832CDFF0}" scale="75" showPageBreaks="1" printArea="1" showRuler="0" topLeftCell="A48">
      <selection activeCell="A67" sqref="A67"/>
      <rowBreaks count="1" manualBreakCount="1">
        <brk id="65" max="65535" man="1"/>
      </rowBreaks>
      <colBreaks count="1" manualBreakCount="1">
        <brk id="8" max="1048575" man="1"/>
      </colBreaks>
      <pageMargins left="1" right="1" top="0.5" bottom="0.5" header="0.5" footer="0.5"/>
      <printOptions horizontalCentered="1"/>
      <pageSetup scale="83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1" top="0.5" bottom="0.5" header="0.5" footer="0.5"/>
  <pageSetup scale="90" orientation="portrait" horizontalDpi="300" verticalDpi="300" r:id="rId3"/>
  <headerFooter alignWithMargins="0"/>
  <rowBreaks count="1" manualBreakCount="1">
    <brk id="65" max="65535" man="1"/>
  </rowBreaks>
  <colBreaks count="1" manualBreakCount="1">
    <brk id="7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H110"/>
  <sheetViews>
    <sheetView topLeftCell="A16" workbookViewId="0">
      <selection activeCell="I46" sqref="I46"/>
    </sheetView>
  </sheetViews>
  <sheetFormatPr defaultColWidth="12.42578125" defaultRowHeight="12"/>
  <cols>
    <col min="1" max="1" width="6.42578125" style="525" customWidth="1"/>
    <col min="2" max="2" width="26.140625" style="524" customWidth="1"/>
    <col min="3" max="3" width="12.42578125" style="524" customWidth="1"/>
    <col min="4" max="4" width="6.7109375" style="524" customWidth="1"/>
    <col min="5" max="16384" width="12.42578125" style="524"/>
  </cols>
  <sheetData>
    <row r="1" spans="1:8">
      <c r="A1" s="522" t="str">
        <f>Inputs!$D$6</f>
        <v>AVISTA UTILITIES</v>
      </c>
      <c r="B1" s="523"/>
      <c r="C1" s="522"/>
    </row>
    <row r="2" spans="1:8">
      <c r="A2" s="522" t="s">
        <v>142</v>
      </c>
      <c r="B2" s="523"/>
      <c r="C2" s="522"/>
      <c r="E2" s="522"/>
      <c r="F2" s="525" t="s">
        <v>248</v>
      </c>
      <c r="G2" s="522"/>
    </row>
    <row r="3" spans="1:8">
      <c r="A3" s="523" t="str">
        <f>WAElec09_08!$A$4</f>
        <v>TWELVE MONTHS ENDED SEPTEMBER 30, 2008</v>
      </c>
      <c r="B3" s="523"/>
      <c r="C3" s="522"/>
      <c r="E3" s="522"/>
      <c r="F3" s="525" t="s">
        <v>242</v>
      </c>
      <c r="G3" s="522"/>
    </row>
    <row r="4" spans="1:8">
      <c r="A4" s="522" t="s">
        <v>1</v>
      </c>
      <c r="B4" s="523"/>
      <c r="C4" s="522"/>
      <c r="E4" s="526"/>
      <c r="F4" s="527" t="s">
        <v>145</v>
      </c>
      <c r="G4" s="528"/>
    </row>
    <row r="5" spans="1:8">
      <c r="A5" s="525" t="s">
        <v>14</v>
      </c>
    </row>
    <row r="6" spans="1:8" s="525" customFormat="1">
      <c r="A6" s="525" t="s">
        <v>146</v>
      </c>
      <c r="B6" s="529" t="s">
        <v>36</v>
      </c>
      <c r="C6" s="529"/>
      <c r="E6" s="529" t="s">
        <v>147</v>
      </c>
      <c r="F6" s="529" t="s">
        <v>148</v>
      </c>
      <c r="G6" s="529" t="s">
        <v>128</v>
      </c>
      <c r="H6" s="530" t="s">
        <v>149</v>
      </c>
    </row>
    <row r="7" spans="1:8">
      <c r="B7" s="531" t="s">
        <v>85</v>
      </c>
    </row>
    <row r="8" spans="1:8" s="534" customFormat="1">
      <c r="A8" s="532">
        <v>1</v>
      </c>
      <c r="B8" s="533" t="s">
        <v>86</v>
      </c>
      <c r="E8" s="535">
        <f>F8+G8</f>
        <v>0</v>
      </c>
      <c r="F8" s="535"/>
      <c r="G8" s="535"/>
      <c r="H8" s="534" t="str">
        <f t="shared" ref="H8:H13" si="0">IF(E8=F8+G8," ","ERROR")</f>
        <v xml:space="preserve"> </v>
      </c>
    </row>
    <row r="9" spans="1:8">
      <c r="A9" s="525">
        <v>2</v>
      </c>
      <c r="B9" s="531" t="s">
        <v>87</v>
      </c>
      <c r="E9" s="536"/>
      <c r="F9" s="536"/>
      <c r="G9" s="536"/>
      <c r="H9" s="534" t="str">
        <f t="shared" si="0"/>
        <v xml:space="preserve"> </v>
      </c>
    </row>
    <row r="10" spans="1:8">
      <c r="A10" s="525">
        <v>3</v>
      </c>
      <c r="B10" s="531" t="s">
        <v>150</v>
      </c>
      <c r="E10" s="536"/>
      <c r="F10" s="536"/>
      <c r="G10" s="536"/>
      <c r="H10" s="534" t="str">
        <f t="shared" si="0"/>
        <v xml:space="preserve"> </v>
      </c>
    </row>
    <row r="11" spans="1:8">
      <c r="A11" s="525">
        <v>4</v>
      </c>
      <c r="B11" s="531" t="s">
        <v>151</v>
      </c>
      <c r="E11" s="537">
        <f>E8+E9+E10</f>
        <v>0</v>
      </c>
      <c r="F11" s="537">
        <f>F8+F9+F10</f>
        <v>0</v>
      </c>
      <c r="G11" s="537">
        <f>G8+G9+G10</f>
        <v>0</v>
      </c>
      <c r="H11" s="534" t="str">
        <f t="shared" si="0"/>
        <v xml:space="preserve"> </v>
      </c>
    </row>
    <row r="12" spans="1:8">
      <c r="A12" s="525">
        <v>5</v>
      </c>
      <c r="B12" s="531" t="s">
        <v>90</v>
      </c>
      <c r="E12" s="536"/>
      <c r="F12" s="536"/>
      <c r="G12" s="536"/>
      <c r="H12" s="534" t="str">
        <f t="shared" si="0"/>
        <v xml:space="preserve"> </v>
      </c>
    </row>
    <row r="13" spans="1:8">
      <c r="A13" s="525">
        <v>6</v>
      </c>
      <c r="B13" s="531" t="s">
        <v>152</v>
      </c>
      <c r="E13" s="537">
        <f>E11+E12</f>
        <v>0</v>
      </c>
      <c r="F13" s="537">
        <f>F11+F12</f>
        <v>0</v>
      </c>
      <c r="G13" s="537">
        <f>G11+G12</f>
        <v>0</v>
      </c>
      <c r="H13" s="534" t="str">
        <f t="shared" si="0"/>
        <v xml:space="preserve"> </v>
      </c>
    </row>
    <row r="14" spans="1:8">
      <c r="E14" s="538"/>
      <c r="F14" s="538"/>
      <c r="G14" s="538"/>
      <c r="H14" s="534"/>
    </row>
    <row r="15" spans="1:8">
      <c r="B15" s="531" t="s">
        <v>92</v>
      </c>
      <c r="E15" s="538"/>
      <c r="F15" s="538"/>
      <c r="G15" s="538"/>
      <c r="H15" s="534"/>
    </row>
    <row r="16" spans="1:8">
      <c r="B16" s="531" t="s">
        <v>93</v>
      </c>
      <c r="E16" s="538"/>
      <c r="F16" s="538"/>
      <c r="G16" s="538"/>
      <c r="H16" s="534"/>
    </row>
    <row r="17" spans="1:8">
      <c r="A17" s="525">
        <v>7</v>
      </c>
      <c r="B17" s="531" t="s">
        <v>153</v>
      </c>
      <c r="E17" s="536"/>
      <c r="F17" s="536"/>
      <c r="G17" s="536"/>
      <c r="H17" s="534" t="str">
        <f>IF(E17=F17+G17," ","ERROR")</f>
        <v xml:space="preserve"> </v>
      </c>
    </row>
    <row r="18" spans="1:8">
      <c r="A18" s="525">
        <v>8</v>
      </c>
      <c r="B18" s="531" t="s">
        <v>154</v>
      </c>
      <c r="E18" s="536"/>
      <c r="F18" s="536"/>
      <c r="G18" s="536"/>
      <c r="H18" s="534" t="str">
        <f>IF(E18=F18+G18," ","ERROR")</f>
        <v xml:space="preserve"> </v>
      </c>
    </row>
    <row r="19" spans="1:8">
      <c r="A19" s="525">
        <v>9</v>
      </c>
      <c r="B19" s="531" t="s">
        <v>155</v>
      </c>
      <c r="E19" s="536"/>
      <c r="F19" s="536"/>
      <c r="G19" s="536"/>
      <c r="H19" s="534" t="str">
        <f>IF(E19=F19+G19," ","ERROR")</f>
        <v xml:space="preserve"> </v>
      </c>
    </row>
    <row r="20" spans="1:8">
      <c r="A20" s="525">
        <v>10</v>
      </c>
      <c r="B20" s="531" t="s">
        <v>156</v>
      </c>
      <c r="E20" s="536"/>
      <c r="F20" s="536"/>
      <c r="G20" s="536"/>
      <c r="H20" s="534" t="str">
        <f>IF(E20=F20+G20," ","ERROR")</f>
        <v xml:space="preserve"> </v>
      </c>
    </row>
    <row r="21" spans="1:8">
      <c r="A21" s="525">
        <v>11</v>
      </c>
      <c r="B21" s="531" t="s">
        <v>157</v>
      </c>
      <c r="E21" s="537">
        <f>E17+E18+E19+E20</f>
        <v>0</v>
      </c>
      <c r="F21" s="537">
        <f>F17+F18+F19+F20</f>
        <v>0</v>
      </c>
      <c r="G21" s="537">
        <f>G17+G18+G19+G20</f>
        <v>0</v>
      </c>
      <c r="H21" s="534" t="str">
        <f>IF(E21=F21+G21," ","ERROR")</f>
        <v xml:space="preserve"> </v>
      </c>
    </row>
    <row r="22" spans="1:8">
      <c r="E22" s="538"/>
      <c r="F22" s="538"/>
      <c r="G22" s="538"/>
      <c r="H22" s="534"/>
    </row>
    <row r="23" spans="1:8">
      <c r="B23" s="531" t="s">
        <v>98</v>
      </c>
      <c r="E23" s="538"/>
      <c r="F23" s="538"/>
      <c r="G23" s="538"/>
      <c r="H23" s="534"/>
    </row>
    <row r="24" spans="1:8">
      <c r="A24" s="525">
        <v>12</v>
      </c>
      <c r="B24" s="531" t="s">
        <v>153</v>
      </c>
      <c r="E24" s="536"/>
      <c r="F24" s="536"/>
      <c r="G24" s="536"/>
      <c r="H24" s="534" t="str">
        <f>IF(E24=F24+G24," ","ERROR")</f>
        <v xml:space="preserve"> </v>
      </c>
    </row>
    <row r="25" spans="1:8">
      <c r="A25" s="525">
        <v>13</v>
      </c>
      <c r="B25" s="531" t="s">
        <v>158</v>
      </c>
      <c r="E25" s="536"/>
      <c r="F25" s="536"/>
      <c r="G25" s="536"/>
      <c r="H25" s="534" t="str">
        <f>IF(E25=F25+G25," ","ERROR")</f>
        <v xml:space="preserve"> </v>
      </c>
    </row>
    <row r="26" spans="1:8">
      <c r="A26" s="525">
        <v>14</v>
      </c>
      <c r="B26" s="531" t="s">
        <v>156</v>
      </c>
      <c r="E26" s="536">
        <f>F26+G26</f>
        <v>0</v>
      </c>
      <c r="F26" s="536"/>
      <c r="G26" s="1070">
        <f>0+F109</f>
        <v>0</v>
      </c>
      <c r="H26" s="534" t="str">
        <f>IF(E26=F26+G26," ","ERROR")</f>
        <v xml:space="preserve"> </v>
      </c>
    </row>
    <row r="27" spans="1:8">
      <c r="A27" s="525">
        <v>15</v>
      </c>
      <c r="B27" s="531" t="s">
        <v>159</v>
      </c>
      <c r="E27" s="537">
        <f>E24+E25+E26</f>
        <v>0</v>
      </c>
      <c r="F27" s="537">
        <f>F24+F25+F26</f>
        <v>0</v>
      </c>
      <c r="G27" s="537">
        <f>G24+G25+G26</f>
        <v>0</v>
      </c>
      <c r="H27" s="534" t="str">
        <f>IF(E27=F27+G27," ","ERROR")</f>
        <v xml:space="preserve"> </v>
      </c>
    </row>
    <row r="28" spans="1:8">
      <c r="E28" s="538"/>
      <c r="F28" s="538"/>
      <c r="G28" s="538"/>
      <c r="H28" s="534"/>
    </row>
    <row r="29" spans="1:8">
      <c r="A29" s="525">
        <v>16</v>
      </c>
      <c r="B29" s="531" t="s">
        <v>101</v>
      </c>
      <c r="E29" s="536"/>
      <c r="F29" s="536"/>
      <c r="G29" s="536"/>
      <c r="H29" s="534" t="str">
        <f>IF(E29=F29+G29," ","ERROR")</f>
        <v xml:space="preserve"> </v>
      </c>
    </row>
    <row r="30" spans="1:8">
      <c r="A30" s="525">
        <v>17</v>
      </c>
      <c r="B30" s="531" t="s">
        <v>102</v>
      </c>
      <c r="E30" s="536"/>
      <c r="F30" s="536"/>
      <c r="G30" s="536"/>
      <c r="H30" s="534" t="str">
        <f>IF(E30=F30+G30," ","ERROR")</f>
        <v xml:space="preserve"> </v>
      </c>
    </row>
    <row r="31" spans="1:8">
      <c r="A31" s="525">
        <v>18</v>
      </c>
      <c r="B31" s="531" t="s">
        <v>160</v>
      </c>
      <c r="E31" s="536"/>
      <c r="F31" s="536"/>
      <c r="G31" s="536"/>
      <c r="H31" s="534" t="str">
        <f>IF(E31=F31+G31," ","ERROR")</f>
        <v xml:space="preserve"> </v>
      </c>
    </row>
    <row r="32" spans="1:8">
      <c r="E32" s="538"/>
      <c r="F32" s="538"/>
      <c r="G32" s="538"/>
      <c r="H32" s="534"/>
    </row>
    <row r="33" spans="1:8">
      <c r="B33" s="531" t="s">
        <v>104</v>
      </c>
      <c r="E33" s="538"/>
      <c r="F33" s="538"/>
      <c r="G33" s="538"/>
      <c r="H33" s="534"/>
    </row>
    <row r="34" spans="1:8">
      <c r="A34" s="525">
        <v>19</v>
      </c>
      <c r="B34" s="531" t="s">
        <v>153</v>
      </c>
      <c r="E34" s="536">
        <f>SUM(F34:G34)</f>
        <v>80</v>
      </c>
      <c r="F34" s="536">
        <v>80</v>
      </c>
      <c r="G34" s="536">
        <v>0</v>
      </c>
      <c r="H34" s="534" t="str">
        <f>IF(E34=F34+G34," ","ERROR")</f>
        <v xml:space="preserve"> </v>
      </c>
    </row>
    <row r="35" spans="1:8">
      <c r="A35" s="525">
        <v>20</v>
      </c>
      <c r="B35" s="531" t="s">
        <v>158</v>
      </c>
      <c r="E35" s="536"/>
      <c r="F35" s="536"/>
      <c r="G35" s="536"/>
      <c r="H35" s="534" t="str">
        <f>IF(E35=F35+G35," ","ERROR")</f>
        <v xml:space="preserve"> </v>
      </c>
    </row>
    <row r="36" spans="1:8">
      <c r="A36" s="525">
        <v>21</v>
      </c>
      <c r="B36" s="531" t="s">
        <v>156</v>
      </c>
      <c r="E36" s="536"/>
      <c r="F36" s="536"/>
      <c r="G36" s="536"/>
      <c r="H36" s="534" t="str">
        <f>IF(E36=F36+G36," ","ERROR")</f>
        <v xml:space="preserve"> </v>
      </c>
    </row>
    <row r="37" spans="1:8">
      <c r="A37" s="525">
        <v>22</v>
      </c>
      <c r="B37" s="531" t="s">
        <v>161</v>
      </c>
      <c r="E37" s="539">
        <f>E34+E35+E36</f>
        <v>80</v>
      </c>
      <c r="F37" s="539">
        <f>F34+F35+F36</f>
        <v>80</v>
      </c>
      <c r="G37" s="539">
        <f>G34+G35+G36</f>
        <v>0</v>
      </c>
      <c r="H37" s="534" t="str">
        <f>IF(E37=F37+G37," ","ERROR")</f>
        <v xml:space="preserve"> </v>
      </c>
    </row>
    <row r="38" spans="1:8">
      <c r="A38" s="525">
        <v>23</v>
      </c>
      <c r="B38" s="531" t="s">
        <v>106</v>
      </c>
      <c r="E38" s="540">
        <f>E21+E27+E29+E30+E31+E37</f>
        <v>80</v>
      </c>
      <c r="F38" s="540">
        <f>F21+F27+F29+F30+F31+F37</f>
        <v>80</v>
      </c>
      <c r="G38" s="540">
        <f>G21+G27+G29+G30+G31+G37</f>
        <v>0</v>
      </c>
      <c r="H38" s="534" t="str">
        <f>IF(E38=F38+G38," ","ERROR")</f>
        <v xml:space="preserve"> </v>
      </c>
    </row>
    <row r="39" spans="1:8">
      <c r="E39" s="538"/>
      <c r="F39" s="538"/>
      <c r="G39" s="538"/>
      <c r="H39" s="534"/>
    </row>
    <row r="40" spans="1:8">
      <c r="A40" s="525">
        <v>24</v>
      </c>
      <c r="B40" s="531" t="s">
        <v>162</v>
      </c>
      <c r="E40" s="538">
        <f>E13-E38</f>
        <v>-80</v>
      </c>
      <c r="F40" s="538">
        <f>F13-F38</f>
        <v>-80</v>
      </c>
      <c r="G40" s="538">
        <f>G13-G38</f>
        <v>0</v>
      </c>
      <c r="H40" s="534" t="str">
        <f>IF(E40=F40+G40," ","ERROR")</f>
        <v xml:space="preserve"> </v>
      </c>
    </row>
    <row r="41" spans="1:8">
      <c r="B41" s="531"/>
      <c r="E41" s="538"/>
      <c r="F41" s="538"/>
      <c r="G41" s="538"/>
      <c r="H41" s="534"/>
    </row>
    <row r="42" spans="1:8">
      <c r="B42" s="531" t="s">
        <v>163</v>
      </c>
      <c r="E42" s="538"/>
      <c r="F42" s="538"/>
      <c r="G42" s="538"/>
      <c r="H42" s="534"/>
    </row>
    <row r="43" spans="1:8">
      <c r="A43" s="525">
        <v>25</v>
      </c>
      <c r="B43" s="531" t="s">
        <v>164</v>
      </c>
      <c r="D43" s="541">
        <v>0.35</v>
      </c>
      <c r="E43" s="536">
        <f>F43+G43</f>
        <v>-28</v>
      </c>
      <c r="F43" s="536">
        <f>ROUND(F40*D43,0)</f>
        <v>-28</v>
      </c>
      <c r="G43" s="536">
        <f>ROUND(G40*D43,0)</f>
        <v>0</v>
      </c>
      <c r="H43" s="534" t="str">
        <f>IF(E43=F43+G43," ","ERROR")</f>
        <v xml:space="preserve"> </v>
      </c>
    </row>
    <row r="44" spans="1:8">
      <c r="A44" s="525">
        <v>26</v>
      </c>
      <c r="B44" s="531" t="s">
        <v>165</v>
      </c>
      <c r="E44" s="536"/>
      <c r="F44" s="536"/>
      <c r="G44" s="536"/>
      <c r="H44" s="534" t="str">
        <f>IF(E44=F44+G44," ","ERROR")</f>
        <v xml:space="preserve"> </v>
      </c>
    </row>
    <row r="45" spans="1:8" ht="12.75">
      <c r="A45"/>
      <c r="B45"/>
      <c r="C45"/>
      <c r="D45"/>
      <c r="E45" s="913"/>
      <c r="F45" s="913"/>
      <c r="G45" s="913"/>
      <c r="H45" s="534" t="str">
        <f>IF(E45=F45+G45," ","ERROR")</f>
        <v xml:space="preserve"> </v>
      </c>
    </row>
    <row r="46" spans="1:8">
      <c r="A46" s="259"/>
      <c r="B46" s="262"/>
      <c r="C46" s="256"/>
      <c r="D46" s="256"/>
      <c r="E46" s="269"/>
      <c r="F46" s="269"/>
      <c r="G46" s="269"/>
      <c r="H46" s="534"/>
    </row>
    <row r="47" spans="1:8" s="534" customFormat="1">
      <c r="A47" s="263">
        <v>27</v>
      </c>
      <c r="B47" s="264" t="s">
        <v>113</v>
      </c>
      <c r="C47" s="265"/>
      <c r="D47" s="265"/>
      <c r="E47" s="273">
        <f>E40-SUM(E43:E44)</f>
        <v>-52</v>
      </c>
      <c r="F47" s="273">
        <f>F40-SUM(F43:F44)</f>
        <v>-52</v>
      </c>
      <c r="G47" s="273">
        <f>G40-SUM(G43:G44)</f>
        <v>0</v>
      </c>
      <c r="H47" s="534" t="str">
        <f>IF(E47=F47+G47," ","ERROR")</f>
        <v xml:space="preserve"> </v>
      </c>
    </row>
    <row r="48" spans="1:8">
      <c r="A48" s="259"/>
      <c r="H48" s="534"/>
    </row>
    <row r="49" spans="1:8">
      <c r="A49" s="259"/>
      <c r="B49" s="531" t="s">
        <v>114</v>
      </c>
      <c r="H49" s="534"/>
    </row>
    <row r="50" spans="1:8">
      <c r="A50" s="259"/>
      <c r="B50" s="531" t="s">
        <v>115</v>
      </c>
      <c r="H50" s="534"/>
    </row>
    <row r="51" spans="1:8" s="534" customFormat="1">
      <c r="A51" s="263">
        <v>28</v>
      </c>
      <c r="B51" s="533" t="s">
        <v>167</v>
      </c>
      <c r="E51" s="535"/>
      <c r="F51" s="535"/>
      <c r="G51" s="535"/>
      <c r="H51" s="534" t="str">
        <f t="shared" ref="H51:H61" si="1">IF(E51=F51+G51," ","ERROR")</f>
        <v xml:space="preserve"> </v>
      </c>
    </row>
    <row r="52" spans="1:8">
      <c r="A52" s="259">
        <v>29</v>
      </c>
      <c r="B52" s="531" t="s">
        <v>168</v>
      </c>
      <c r="E52" s="536"/>
      <c r="F52" s="536"/>
      <c r="G52" s="536"/>
      <c r="H52" s="534" t="str">
        <f t="shared" si="1"/>
        <v xml:space="preserve"> </v>
      </c>
    </row>
    <row r="53" spans="1:8">
      <c r="A53" s="259">
        <v>30</v>
      </c>
      <c r="B53" s="531" t="s">
        <v>169</v>
      </c>
      <c r="E53" s="536"/>
      <c r="F53" s="536"/>
      <c r="G53" s="536"/>
      <c r="H53" s="534" t="str">
        <f t="shared" si="1"/>
        <v xml:space="preserve"> </v>
      </c>
    </row>
    <row r="54" spans="1:8">
      <c r="A54" s="259">
        <v>31</v>
      </c>
      <c r="B54" s="531" t="s">
        <v>170</v>
      </c>
      <c r="E54" s="536"/>
      <c r="F54" s="536"/>
      <c r="G54" s="536"/>
      <c r="H54" s="534" t="str">
        <f t="shared" si="1"/>
        <v xml:space="preserve"> </v>
      </c>
    </row>
    <row r="55" spans="1:8">
      <c r="A55" s="259">
        <v>32</v>
      </c>
      <c r="B55" s="531" t="s">
        <v>171</v>
      </c>
      <c r="E55" s="542"/>
      <c r="F55" s="542"/>
      <c r="G55" s="542"/>
      <c r="H55" s="534" t="str">
        <f t="shared" si="1"/>
        <v xml:space="preserve"> </v>
      </c>
    </row>
    <row r="56" spans="1:8">
      <c r="A56" s="259">
        <v>33</v>
      </c>
      <c r="B56" s="531" t="s">
        <v>172</v>
      </c>
      <c r="E56" s="538">
        <f>E51+E52+E53+E54+E55</f>
        <v>0</v>
      </c>
      <c r="F56" s="538">
        <f>F51+F52+F53+F54+F55</f>
        <v>0</v>
      </c>
      <c r="G56" s="538">
        <f>G51+G52+G53+G54+G55</f>
        <v>0</v>
      </c>
      <c r="H56" s="534" t="str">
        <f t="shared" si="1"/>
        <v xml:space="preserve"> </v>
      </c>
    </row>
    <row r="57" spans="1:8">
      <c r="A57" s="259">
        <v>34</v>
      </c>
      <c r="B57" s="531" t="s">
        <v>121</v>
      </c>
      <c r="E57" s="536"/>
      <c r="F57" s="536"/>
      <c r="G57" s="536"/>
      <c r="H57" s="534" t="str">
        <f t="shared" si="1"/>
        <v xml:space="preserve"> </v>
      </c>
    </row>
    <row r="58" spans="1:8">
      <c r="A58" s="259">
        <v>35</v>
      </c>
      <c r="B58" s="531" t="s">
        <v>122</v>
      </c>
      <c r="E58" s="542"/>
      <c r="F58" s="542"/>
      <c r="G58" s="542"/>
      <c r="H58" s="534" t="str">
        <f t="shared" si="1"/>
        <v xml:space="preserve"> </v>
      </c>
    </row>
    <row r="59" spans="1:8">
      <c r="A59" s="259">
        <v>36</v>
      </c>
      <c r="B59" s="531" t="s">
        <v>173</v>
      </c>
      <c r="E59" s="538">
        <f>E57+E58</f>
        <v>0</v>
      </c>
      <c r="F59" s="538">
        <f>F57+F58</f>
        <v>0</v>
      </c>
      <c r="G59" s="538">
        <f>G57+G58</f>
        <v>0</v>
      </c>
      <c r="H59" s="534" t="str">
        <f t="shared" si="1"/>
        <v xml:space="preserve"> </v>
      </c>
    </row>
    <row r="60" spans="1:8">
      <c r="A60" s="259">
        <v>37</v>
      </c>
      <c r="B60" s="531" t="s">
        <v>124</v>
      </c>
      <c r="E60" s="536"/>
      <c r="F60" s="536"/>
      <c r="G60" s="536"/>
      <c r="H60" s="534" t="str">
        <f t="shared" si="1"/>
        <v xml:space="preserve"> </v>
      </c>
    </row>
    <row r="61" spans="1:8">
      <c r="A61" s="259">
        <v>38</v>
      </c>
      <c r="B61" s="531" t="s">
        <v>125</v>
      </c>
      <c r="E61" s="542"/>
      <c r="F61" s="542"/>
      <c r="G61" s="542"/>
      <c r="H61" s="534" t="str">
        <f t="shared" si="1"/>
        <v xml:space="preserve"> </v>
      </c>
    </row>
    <row r="62" spans="1:8" ht="9" customHeight="1">
      <c r="A62" s="259"/>
      <c r="H62" s="534"/>
    </row>
    <row r="63" spans="1:8" s="534" customFormat="1" ht="12.75" thickBot="1">
      <c r="A63" s="263">
        <v>39</v>
      </c>
      <c r="B63" s="533" t="s">
        <v>126</v>
      </c>
      <c r="E63" s="543">
        <f>E56-E59+E60+E61</f>
        <v>0</v>
      </c>
      <c r="F63" s="543">
        <f>F56-F59+F60+F61</f>
        <v>0</v>
      </c>
      <c r="G63" s="543">
        <f>G56-G59+G60+G61</f>
        <v>0</v>
      </c>
      <c r="H63" s="534" t="str">
        <f>IF(E63=F63+G63," ","ERROR")</f>
        <v xml:space="preserve"> </v>
      </c>
    </row>
    <row r="64" spans="1:8" ht="12.75" thickTop="1"/>
    <row r="65" spans="1:8">
      <c r="A65" s="523" t="str">
        <f>Inputs!$D$6</f>
        <v>AVISTA UTILITIES</v>
      </c>
      <c r="B65" s="523"/>
      <c r="C65" s="523"/>
      <c r="D65" s="544"/>
      <c r="E65" s="545"/>
      <c r="F65" s="544"/>
      <c r="G65" s="546"/>
      <c r="H65" s="545"/>
    </row>
    <row r="66" spans="1:8">
      <c r="A66" s="523" t="s">
        <v>225</v>
      </c>
      <c r="B66" s="523"/>
      <c r="C66" s="523"/>
      <c r="D66" s="544"/>
      <c r="E66" s="545"/>
      <c r="F66" s="544"/>
      <c r="G66" s="546"/>
      <c r="H66" s="545"/>
    </row>
    <row r="67" spans="1:8">
      <c r="A67" s="523" t="str">
        <f>A3</f>
        <v>TWELVE MONTHS ENDED SEPTEMBER 30, 2008</v>
      </c>
      <c r="B67" s="523"/>
      <c r="C67" s="523"/>
      <c r="D67" s="544"/>
      <c r="E67" s="545"/>
      <c r="F67" s="547" t="str">
        <f>F2</f>
        <v>REGULATORY EXPENSE</v>
      </c>
      <c r="G67" s="544"/>
      <c r="H67" s="545"/>
    </row>
    <row r="68" spans="1:8">
      <c r="A68" s="523" t="s">
        <v>226</v>
      </c>
      <c r="B68" s="523"/>
      <c r="C68" s="523"/>
      <c r="D68" s="544"/>
      <c r="E68" s="545"/>
      <c r="F68" s="547" t="str">
        <f>F3</f>
        <v>ADJUSTMENT</v>
      </c>
      <c r="G68" s="544"/>
      <c r="H68" s="545"/>
    </row>
    <row r="69" spans="1:8">
      <c r="B69" s="544"/>
      <c r="C69" s="544"/>
      <c r="D69" s="544"/>
      <c r="E69" s="548"/>
      <c r="F69" s="549" t="str">
        <f>F4</f>
        <v>ELECTRIC</v>
      </c>
      <c r="G69" s="544"/>
      <c r="H69" s="550"/>
    </row>
    <row r="70" spans="1:8">
      <c r="B70" s="544"/>
      <c r="C70" s="544"/>
      <c r="D70" s="544"/>
      <c r="E70" s="545"/>
      <c r="F70" s="547"/>
      <c r="G70" s="551"/>
      <c r="H70" s="545"/>
    </row>
    <row r="71" spans="1:8">
      <c r="B71" s="552" t="s">
        <v>134</v>
      </c>
      <c r="C71" s="553"/>
      <c r="D71" s="544"/>
      <c r="E71" s="545"/>
      <c r="F71" s="549" t="s">
        <v>128</v>
      </c>
      <c r="G71" s="544"/>
      <c r="H71" s="545"/>
    </row>
    <row r="72" spans="1:8">
      <c r="B72" s="531" t="s">
        <v>85</v>
      </c>
      <c r="C72" s="544"/>
      <c r="D72" s="544"/>
      <c r="E72" s="544"/>
      <c r="F72" s="546"/>
      <c r="G72" s="544"/>
      <c r="H72" s="544"/>
    </row>
    <row r="73" spans="1:8">
      <c r="B73" s="533" t="s">
        <v>86</v>
      </c>
      <c r="C73" s="544"/>
      <c r="D73" s="544"/>
      <c r="E73" s="544"/>
      <c r="F73" s="554">
        <f>G8</f>
        <v>0</v>
      </c>
      <c r="G73" s="544"/>
      <c r="H73" s="544"/>
    </row>
    <row r="74" spans="1:8">
      <c r="B74" s="531" t="s">
        <v>87</v>
      </c>
      <c r="C74" s="544"/>
      <c r="D74" s="544"/>
      <c r="E74" s="544"/>
      <c r="F74" s="538">
        <f>G9</f>
        <v>0</v>
      </c>
      <c r="G74" s="544"/>
      <c r="H74" s="544"/>
    </row>
    <row r="75" spans="1:8">
      <c r="B75" s="531" t="s">
        <v>150</v>
      </c>
      <c r="C75" s="544"/>
      <c r="D75" s="544"/>
      <c r="E75" s="544"/>
      <c r="F75" s="540">
        <f>G10</f>
        <v>0</v>
      </c>
      <c r="G75" s="544"/>
      <c r="H75" s="544"/>
    </row>
    <row r="76" spans="1:8">
      <c r="B76" s="531" t="s">
        <v>151</v>
      </c>
      <c r="C76" s="544"/>
      <c r="D76" s="544"/>
      <c r="E76" s="544"/>
      <c r="F76" s="538">
        <f>SUM(F73:F75)</f>
        <v>0</v>
      </c>
      <c r="G76" s="544"/>
      <c r="H76" s="544"/>
    </row>
    <row r="77" spans="1:8">
      <c r="B77" s="531" t="s">
        <v>90</v>
      </c>
      <c r="C77" s="544"/>
      <c r="D77" s="544"/>
      <c r="E77" s="544"/>
      <c r="F77" s="540">
        <f>G12</f>
        <v>0</v>
      </c>
      <c r="G77" s="544"/>
      <c r="H77" s="544"/>
    </row>
    <row r="78" spans="1:8">
      <c r="B78" s="531" t="s">
        <v>152</v>
      </c>
      <c r="C78" s="544"/>
      <c r="D78" s="544"/>
      <c r="E78" s="544"/>
      <c r="F78" s="538">
        <f>F76+F77</f>
        <v>0</v>
      </c>
      <c r="G78" s="544"/>
      <c r="H78" s="544"/>
    </row>
    <row r="79" spans="1:8">
      <c r="C79" s="544"/>
      <c r="D79" s="544"/>
      <c r="E79" s="544"/>
      <c r="F79" s="538"/>
      <c r="G79" s="544"/>
      <c r="H79" s="544"/>
    </row>
    <row r="80" spans="1:8">
      <c r="B80" s="531" t="s">
        <v>92</v>
      </c>
      <c r="C80" s="544"/>
      <c r="D80" s="544"/>
      <c r="E80" s="544"/>
      <c r="F80" s="538"/>
      <c r="G80" s="544"/>
      <c r="H80" s="544"/>
    </row>
    <row r="81" spans="1:8">
      <c r="B81" s="531" t="s">
        <v>93</v>
      </c>
      <c r="C81" s="544"/>
      <c r="D81" s="544"/>
      <c r="E81" s="544"/>
      <c r="F81" s="538"/>
      <c r="G81" s="544"/>
      <c r="H81" s="544"/>
    </row>
    <row r="82" spans="1:8">
      <c r="B82" s="531" t="s">
        <v>153</v>
      </c>
      <c r="C82" s="544"/>
      <c r="D82" s="544"/>
      <c r="E82" s="544"/>
      <c r="F82" s="538">
        <f>G17</f>
        <v>0</v>
      </c>
      <c r="G82" s="544"/>
      <c r="H82" s="544"/>
    </row>
    <row r="83" spans="1:8">
      <c r="B83" s="531" t="s">
        <v>154</v>
      </c>
      <c r="C83" s="544"/>
      <c r="D83" s="544"/>
      <c r="E83" s="544"/>
      <c r="F83" s="538">
        <f>G18</f>
        <v>0</v>
      </c>
      <c r="G83" s="544"/>
      <c r="H83" s="544"/>
    </row>
    <row r="84" spans="1:8">
      <c r="B84" s="531" t="s">
        <v>155</v>
      </c>
      <c r="C84" s="544"/>
      <c r="D84" s="544"/>
      <c r="E84" s="544"/>
      <c r="F84" s="538">
        <f>G19</f>
        <v>0</v>
      </c>
      <c r="G84" s="544"/>
      <c r="H84" s="544"/>
    </row>
    <row r="85" spans="1:8">
      <c r="B85" s="531" t="s">
        <v>156</v>
      </c>
      <c r="C85" s="544"/>
      <c r="D85" s="544"/>
      <c r="E85" s="544"/>
      <c r="F85" s="540">
        <f>G20</f>
        <v>0</v>
      </c>
      <c r="G85" s="544"/>
      <c r="H85" s="544"/>
    </row>
    <row r="86" spans="1:8">
      <c r="B86" s="531" t="s">
        <v>157</v>
      </c>
      <c r="C86" s="544"/>
      <c r="D86" s="544"/>
      <c r="E86" s="544"/>
      <c r="F86" s="538">
        <f>SUM(F82:F85)</f>
        <v>0</v>
      </c>
      <c r="G86" s="544"/>
      <c r="H86" s="544"/>
    </row>
    <row r="87" spans="1:8">
      <c r="C87" s="544"/>
      <c r="D87" s="544"/>
      <c r="E87" s="544"/>
      <c r="F87" s="538"/>
      <c r="G87" s="544"/>
      <c r="H87" s="544"/>
    </row>
    <row r="88" spans="1:8">
      <c r="B88" s="531" t="s">
        <v>98</v>
      </c>
      <c r="C88" s="544"/>
      <c r="D88" s="544"/>
      <c r="E88" s="544"/>
      <c r="F88" s="538"/>
      <c r="G88" s="544"/>
      <c r="H88" s="544"/>
    </row>
    <row r="89" spans="1:8">
      <c r="B89" s="531" t="s">
        <v>153</v>
      </c>
      <c r="C89" s="544"/>
      <c r="D89" s="544"/>
      <c r="E89" s="544"/>
      <c r="F89" s="538">
        <f>G24</f>
        <v>0</v>
      </c>
      <c r="G89" s="544"/>
      <c r="H89" s="544"/>
    </row>
    <row r="90" spans="1:8">
      <c r="B90" s="531" t="s">
        <v>158</v>
      </c>
      <c r="C90" s="544"/>
      <c r="D90" s="544"/>
      <c r="E90" s="544"/>
      <c r="F90" s="538">
        <f>G25</f>
        <v>0</v>
      </c>
      <c r="G90" s="544"/>
      <c r="H90" s="544"/>
    </row>
    <row r="91" spans="1:8">
      <c r="A91" s="524"/>
      <c r="B91" s="531" t="s">
        <v>156</v>
      </c>
      <c r="C91" s="544"/>
      <c r="D91" s="544"/>
      <c r="E91" s="544"/>
      <c r="F91" s="538"/>
      <c r="G91" s="544"/>
      <c r="H91" s="544"/>
    </row>
    <row r="92" spans="1:8">
      <c r="A92" s="524"/>
      <c r="B92" s="531" t="s">
        <v>159</v>
      </c>
      <c r="C92" s="544"/>
      <c r="D92" s="544"/>
      <c r="E92" s="544"/>
      <c r="F92" s="537">
        <f>SUM(F89:F91)</f>
        <v>0</v>
      </c>
      <c r="G92" s="544"/>
      <c r="H92" s="544"/>
    </row>
    <row r="93" spans="1:8">
      <c r="A93" s="524"/>
      <c r="C93" s="544"/>
      <c r="D93" s="544"/>
      <c r="E93" s="544"/>
      <c r="F93" s="538"/>
      <c r="G93" s="544"/>
      <c r="H93" s="544"/>
    </row>
    <row r="94" spans="1:8">
      <c r="A94" s="524"/>
      <c r="B94" s="531" t="s">
        <v>101</v>
      </c>
      <c r="C94" s="544"/>
      <c r="D94" s="544"/>
      <c r="E94" s="544"/>
      <c r="F94" s="538">
        <f>G29</f>
        <v>0</v>
      </c>
      <c r="G94" s="544"/>
      <c r="H94" s="544"/>
    </row>
    <row r="95" spans="1:8">
      <c r="A95" s="524"/>
      <c r="B95" s="531" t="s">
        <v>102</v>
      </c>
      <c r="C95" s="544"/>
      <c r="D95" s="544"/>
      <c r="E95" s="544"/>
      <c r="F95" s="538">
        <f>G30</f>
        <v>0</v>
      </c>
      <c r="G95" s="544"/>
      <c r="H95" s="544"/>
    </row>
    <row r="96" spans="1:8">
      <c r="A96" s="524"/>
      <c r="B96" s="531" t="s">
        <v>160</v>
      </c>
      <c r="C96" s="544"/>
      <c r="D96" s="544"/>
      <c r="E96" s="544"/>
      <c r="F96" s="538">
        <f>G31</f>
        <v>0</v>
      </c>
      <c r="G96" s="544"/>
      <c r="H96" s="544"/>
    </row>
    <row r="97" spans="1:8">
      <c r="A97" s="524"/>
      <c r="C97" s="544"/>
      <c r="D97" s="544"/>
      <c r="E97" s="544"/>
      <c r="F97" s="538"/>
      <c r="G97" s="544"/>
      <c r="H97" s="544"/>
    </row>
    <row r="98" spans="1:8">
      <c r="A98" s="524"/>
      <c r="B98" s="531" t="s">
        <v>104</v>
      </c>
      <c r="C98" s="544"/>
      <c r="D98" s="544"/>
      <c r="E98" s="544"/>
      <c r="F98" s="538"/>
      <c r="G98" s="544"/>
      <c r="H98" s="544"/>
    </row>
    <row r="99" spans="1:8">
      <c r="A99" s="524"/>
      <c r="B99" s="531" t="s">
        <v>153</v>
      </c>
      <c r="C99" s="544"/>
      <c r="D99" s="544"/>
      <c r="E99" s="544"/>
      <c r="F99" s="538">
        <f>G34</f>
        <v>0</v>
      </c>
      <c r="G99" s="544"/>
      <c r="H99" s="544"/>
    </row>
    <row r="100" spans="1:8">
      <c r="A100" s="524"/>
      <c r="B100" s="531" t="s">
        <v>158</v>
      </c>
      <c r="C100" s="544"/>
      <c r="D100" s="544"/>
      <c r="E100" s="544"/>
      <c r="F100" s="538">
        <f>G35</f>
        <v>0</v>
      </c>
      <c r="G100" s="544"/>
      <c r="H100" s="544"/>
    </row>
    <row r="101" spans="1:8">
      <c r="A101" s="524"/>
      <c r="B101" s="531" t="s">
        <v>156</v>
      </c>
      <c r="C101" s="544"/>
      <c r="D101" s="544"/>
      <c r="E101" s="544"/>
      <c r="F101" s="540">
        <f>G36</f>
        <v>0</v>
      </c>
      <c r="G101" s="544"/>
      <c r="H101" s="544"/>
    </row>
    <row r="102" spans="1:8">
      <c r="A102" s="524"/>
      <c r="B102" s="531" t="s">
        <v>161</v>
      </c>
      <c r="C102" s="544"/>
      <c r="D102" s="544"/>
      <c r="E102" s="544"/>
      <c r="F102" s="538">
        <f>F99+F100+F101</f>
        <v>0</v>
      </c>
      <c r="G102" s="544"/>
      <c r="H102" s="544"/>
    </row>
    <row r="103" spans="1:8">
      <c r="A103" s="524"/>
      <c r="B103" s="544"/>
      <c r="C103" s="544"/>
      <c r="D103" s="544"/>
      <c r="E103" s="544"/>
      <c r="F103" s="538"/>
      <c r="G103" s="544"/>
      <c r="H103" s="544"/>
    </row>
    <row r="104" spans="1:8">
      <c r="A104" s="524"/>
      <c r="B104" s="544" t="s">
        <v>106</v>
      </c>
      <c r="C104" s="544"/>
      <c r="D104" s="544"/>
      <c r="E104" s="544"/>
      <c r="F104" s="539">
        <f>F86+F92+F94+F95+F96+F102</f>
        <v>0</v>
      </c>
      <c r="G104" s="544"/>
      <c r="H104" s="544"/>
    </row>
    <row r="105" spans="1:8">
      <c r="A105" s="524"/>
      <c r="B105" s="544"/>
      <c r="C105" s="544"/>
      <c r="D105" s="544"/>
      <c r="E105" s="544"/>
      <c r="F105" s="538"/>
      <c r="G105" s="544"/>
      <c r="H105" s="544"/>
    </row>
    <row r="106" spans="1:8">
      <c r="A106" s="524"/>
      <c r="B106" s="544" t="s">
        <v>227</v>
      </c>
      <c r="C106" s="544"/>
      <c r="D106" s="544"/>
      <c r="E106" s="544"/>
      <c r="F106" s="540">
        <f>F78-F104</f>
        <v>0</v>
      </c>
      <c r="G106" s="544"/>
      <c r="H106" s="544"/>
    </row>
    <row r="107" spans="1:8">
      <c r="A107" s="524"/>
      <c r="B107" s="544"/>
      <c r="C107" s="544"/>
      <c r="D107" s="544"/>
      <c r="E107" s="544"/>
      <c r="F107" s="538"/>
      <c r="G107" s="544"/>
      <c r="H107" s="544"/>
    </row>
    <row r="108" spans="1:8">
      <c r="A108" s="524"/>
      <c r="B108" s="544" t="s">
        <v>228</v>
      </c>
      <c r="C108" s="544"/>
      <c r="D108" s="544"/>
      <c r="E108" s="545"/>
      <c r="F108" s="538"/>
      <c r="G108" s="544"/>
      <c r="H108" s="544"/>
    </row>
    <row r="109" spans="1:8" ht="12.75" thickBot="1">
      <c r="A109" s="524"/>
      <c r="B109" s="555" t="s">
        <v>229</v>
      </c>
      <c r="C109" s="1069">
        <f>Inputs!$D$4</f>
        <v>1.2215999999999999E-2</v>
      </c>
      <c r="D109" s="544"/>
      <c r="E109" s="545"/>
      <c r="F109" s="556">
        <f>ROUND(F106*C109,0)</f>
        <v>0</v>
      </c>
      <c r="G109" s="544"/>
      <c r="H109" s="544"/>
    </row>
    <row r="110" spans="1:8" ht="12.75" thickTop="1">
      <c r="A110" s="524"/>
      <c r="B110" s="544"/>
      <c r="C110" s="544"/>
      <c r="D110" s="544"/>
      <c r="E110" s="545"/>
      <c r="F110" s="544"/>
      <c r="G110" s="546"/>
      <c r="H110" s="544"/>
    </row>
  </sheetData>
  <customSheetViews>
    <customSheetView guid="{A15D1962-B049-11D2-8670-0000832CEEE8}" showPageBreaks="1" showRuler="0" topLeftCell="A56">
      <selection activeCell="A67" sqref="A67"/>
      <rowBreaks count="1" manualBreakCount="1">
        <brk id="65" max="65535" man="1"/>
      </rowBreaks>
      <pageMargins left="1" right="1" top="0.5" bottom="0.5" header="0.5" footer="0.5"/>
      <printOptions horizontalCentered="1"/>
      <pageSetup scale="83" orientation="portrait" horizontalDpi="300" verticalDpi="300" r:id="rId1"/>
      <headerFooter alignWithMargins="0"/>
    </customSheetView>
    <customSheetView guid="{6E1B8C45-B07F-11D2-B0DC-0000832CDFF0}" showPageBreaks="1" printArea="1" showRuler="0" topLeftCell="A56">
      <selection activeCell="A67" sqref="A67"/>
      <rowBreaks count="1" manualBreakCount="1">
        <brk id="65" max="65535" man="1"/>
      </rowBreaks>
      <pageMargins left="1" right="1" top="0.5" bottom="0.5" header="0.5" footer="0.5"/>
      <printOptions horizontalCentered="1"/>
      <pageSetup scale="83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1" top="0.5" bottom="0.5" header="0.5" footer="0.5"/>
  <pageSetup scale="90" orientation="portrait" horizontalDpi="300" verticalDpi="300" r:id="rId3"/>
  <headerFooter alignWithMargins="0"/>
  <rowBreaks count="1" manualBreakCount="1">
    <brk id="65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H127"/>
  <sheetViews>
    <sheetView workbookViewId="0">
      <selection activeCell="F31" sqref="F31"/>
    </sheetView>
  </sheetViews>
  <sheetFormatPr defaultRowHeight="12.75"/>
  <cols>
    <col min="1" max="1" width="5.5703125" style="565" customWidth="1"/>
    <col min="2" max="2" width="26.140625" style="559" customWidth="1"/>
    <col min="3" max="3" width="12.42578125" style="559" customWidth="1"/>
    <col min="4" max="4" width="6.7109375" style="559" customWidth="1"/>
    <col min="5" max="8" width="12.42578125" style="559" customWidth="1"/>
    <col min="9" max="16384" width="9.140625" style="560"/>
  </cols>
  <sheetData>
    <row r="1" spans="1:8" ht="12" customHeight="1">
      <c r="A1" s="557" t="str">
        <f>Inputs!$D$6</f>
        <v>AVISTA UTILITIES</v>
      </c>
      <c r="B1" s="558"/>
      <c r="C1" s="557"/>
    </row>
    <row r="2" spans="1:8" ht="12" customHeight="1">
      <c r="A2" s="557" t="s">
        <v>142</v>
      </c>
      <c r="B2" s="558"/>
      <c r="C2" s="557"/>
      <c r="E2" s="557"/>
      <c r="F2" s="561" t="s">
        <v>249</v>
      </c>
      <c r="G2" s="557"/>
    </row>
    <row r="3" spans="1:8" ht="12" customHeight="1">
      <c r="A3" s="558" t="str">
        <f>WAElec09_08!$A$4</f>
        <v>TWELVE MONTHS ENDED SEPTEMBER 30, 2008</v>
      </c>
      <c r="B3" s="558"/>
      <c r="C3" s="557"/>
      <c r="E3" s="557"/>
      <c r="F3" s="561" t="s">
        <v>250</v>
      </c>
      <c r="G3" s="557"/>
    </row>
    <row r="4" spans="1:8" ht="12" customHeight="1">
      <c r="A4" s="557" t="s">
        <v>1</v>
      </c>
      <c r="B4" s="558"/>
      <c r="C4" s="557"/>
      <c r="E4" s="562"/>
      <c r="F4" s="563" t="s">
        <v>145</v>
      </c>
      <c r="G4" s="564"/>
    </row>
    <row r="5" spans="1:8" ht="12" customHeight="1">
      <c r="A5" s="565" t="s">
        <v>14</v>
      </c>
    </row>
    <row r="6" spans="1:8" ht="12" customHeight="1">
      <c r="A6" s="565" t="s">
        <v>146</v>
      </c>
      <c r="B6" s="566" t="s">
        <v>36</v>
      </c>
      <c r="C6" s="566"/>
      <c r="D6" s="565"/>
      <c r="E6" s="566" t="s">
        <v>147</v>
      </c>
      <c r="F6" s="566" t="s">
        <v>148</v>
      </c>
      <c r="G6" s="566" t="s">
        <v>128</v>
      </c>
      <c r="H6" s="567" t="s">
        <v>149</v>
      </c>
    </row>
    <row r="7" spans="1:8" ht="12" customHeight="1">
      <c r="B7" s="568" t="s">
        <v>85</v>
      </c>
    </row>
    <row r="8" spans="1:8" ht="12" customHeight="1">
      <c r="A8" s="569">
        <v>1</v>
      </c>
      <c r="B8" s="570" t="s">
        <v>86</v>
      </c>
      <c r="C8" s="571"/>
      <c r="D8" s="571"/>
      <c r="E8" s="572">
        <f>F8+G8</f>
        <v>0</v>
      </c>
      <c r="F8" s="572"/>
      <c r="G8" s="572"/>
      <c r="H8" s="571" t="str">
        <f t="shared" ref="H8:H13" si="0">IF(E8=F8+G8," ","ERROR")</f>
        <v xml:space="preserve"> </v>
      </c>
    </row>
    <row r="9" spans="1:8" ht="12" customHeight="1">
      <c r="A9" s="565">
        <v>2</v>
      </c>
      <c r="B9" s="568" t="s">
        <v>87</v>
      </c>
      <c r="E9" s="573"/>
      <c r="F9" s="573"/>
      <c r="G9" s="573"/>
      <c r="H9" s="571" t="str">
        <f t="shared" si="0"/>
        <v xml:space="preserve"> </v>
      </c>
    </row>
    <row r="10" spans="1:8" ht="12" customHeight="1">
      <c r="A10" s="565">
        <v>3</v>
      </c>
      <c r="B10" s="568" t="s">
        <v>150</v>
      </c>
      <c r="E10" s="573">
        <f>F10+G10</f>
        <v>0</v>
      </c>
      <c r="F10" s="573"/>
      <c r="G10" s="573"/>
      <c r="H10" s="571" t="str">
        <f t="shared" si="0"/>
        <v xml:space="preserve"> </v>
      </c>
    </row>
    <row r="11" spans="1:8" ht="12" customHeight="1">
      <c r="A11" s="565">
        <v>4</v>
      </c>
      <c r="B11" s="568" t="s">
        <v>151</v>
      </c>
      <c r="E11" s="574">
        <f>E8+E9+E10</f>
        <v>0</v>
      </c>
      <c r="F11" s="574">
        <f>F8+F9+F10</f>
        <v>0</v>
      </c>
      <c r="G11" s="574">
        <f>G8+G9+G10</f>
        <v>0</v>
      </c>
      <c r="H11" s="571" t="str">
        <f t="shared" si="0"/>
        <v xml:space="preserve"> </v>
      </c>
    </row>
    <row r="12" spans="1:8" ht="12" customHeight="1">
      <c r="A12" s="565">
        <v>5</v>
      </c>
      <c r="B12" s="568" t="s">
        <v>90</v>
      </c>
      <c r="E12" s="573"/>
      <c r="F12" s="573"/>
      <c r="G12" s="573"/>
      <c r="H12" s="571" t="str">
        <f t="shared" si="0"/>
        <v xml:space="preserve"> </v>
      </c>
    </row>
    <row r="13" spans="1:8" ht="12" customHeight="1">
      <c r="A13" s="565">
        <v>6</v>
      </c>
      <c r="B13" s="568" t="s">
        <v>152</v>
      </c>
      <c r="E13" s="574">
        <f>E11+E12</f>
        <v>0</v>
      </c>
      <c r="F13" s="574">
        <f>F11+F12</f>
        <v>0</v>
      </c>
      <c r="G13" s="574">
        <f>G11+G12</f>
        <v>0</v>
      </c>
      <c r="H13" s="571" t="str">
        <f t="shared" si="0"/>
        <v xml:space="preserve"> </v>
      </c>
    </row>
    <row r="14" spans="1:8" ht="12" customHeight="1">
      <c r="E14" s="575"/>
      <c r="F14" s="575"/>
      <c r="G14" s="575"/>
      <c r="H14" s="571"/>
    </row>
    <row r="15" spans="1:8" ht="12" customHeight="1">
      <c r="B15" s="568" t="s">
        <v>92</v>
      </c>
      <c r="E15" s="575"/>
      <c r="F15" s="575"/>
      <c r="G15" s="575"/>
      <c r="H15" s="571"/>
    </row>
    <row r="16" spans="1:8" ht="12" customHeight="1">
      <c r="B16" s="568" t="s">
        <v>93</v>
      </c>
      <c r="E16" s="575"/>
      <c r="F16" s="575"/>
      <c r="G16" s="575"/>
      <c r="H16" s="571"/>
    </row>
    <row r="17" spans="1:8" ht="12" customHeight="1">
      <c r="A17" s="565">
        <v>7</v>
      </c>
      <c r="B17" s="568" t="s">
        <v>153</v>
      </c>
      <c r="E17" s="573"/>
      <c r="F17" s="573"/>
      <c r="G17" s="573"/>
      <c r="H17" s="571" t="str">
        <f>IF(E17=F17+G17," ","ERROR")</f>
        <v xml:space="preserve"> </v>
      </c>
    </row>
    <row r="18" spans="1:8" ht="12" customHeight="1">
      <c r="A18" s="565">
        <v>8</v>
      </c>
      <c r="B18" s="568" t="s">
        <v>154</v>
      </c>
      <c r="E18" s="573"/>
      <c r="F18" s="573"/>
      <c r="G18" s="573"/>
      <c r="H18" s="571" t="str">
        <f>IF(E18=F18+G18," ","ERROR")</f>
        <v xml:space="preserve"> </v>
      </c>
    </row>
    <row r="19" spans="1:8" ht="12" customHeight="1">
      <c r="A19" s="565">
        <v>9</v>
      </c>
      <c r="B19" s="568" t="s">
        <v>155</v>
      </c>
      <c r="E19" s="573"/>
      <c r="F19" s="573"/>
      <c r="G19" s="573"/>
      <c r="H19" s="571" t="str">
        <f>IF(E19=F19+G19," ","ERROR")</f>
        <v xml:space="preserve"> </v>
      </c>
    </row>
    <row r="20" spans="1:8" ht="12" customHeight="1">
      <c r="A20" s="565">
        <v>10</v>
      </c>
      <c r="B20" s="568" t="s">
        <v>156</v>
      </c>
      <c r="E20" s="573"/>
      <c r="F20" s="573"/>
      <c r="G20" s="573"/>
      <c r="H20" s="571" t="str">
        <f>IF(E20=F20+G20," ","ERROR")</f>
        <v xml:space="preserve"> </v>
      </c>
    </row>
    <row r="21" spans="1:8" ht="12" customHeight="1">
      <c r="A21" s="565">
        <v>11</v>
      </c>
      <c r="B21" s="568" t="s">
        <v>157</v>
      </c>
      <c r="E21" s="574">
        <f>E17+E18+E19+E20</f>
        <v>0</v>
      </c>
      <c r="F21" s="574">
        <f>F17+F18+F19+F20</f>
        <v>0</v>
      </c>
      <c r="G21" s="574">
        <f>G17+G18+G19+G20</f>
        <v>0</v>
      </c>
      <c r="H21" s="571" t="str">
        <f>IF(E21=F21+G21," ","ERROR")</f>
        <v xml:space="preserve"> </v>
      </c>
    </row>
    <row r="22" spans="1:8" ht="12" customHeight="1">
      <c r="E22" s="575"/>
      <c r="F22" s="575"/>
      <c r="G22" s="575"/>
      <c r="H22" s="571"/>
    </row>
    <row r="23" spans="1:8" ht="12" customHeight="1">
      <c r="B23" s="568" t="s">
        <v>98</v>
      </c>
      <c r="E23" s="575"/>
      <c r="F23" s="575"/>
      <c r="G23" s="575"/>
      <c r="H23" s="571"/>
    </row>
    <row r="24" spans="1:8" ht="12" customHeight="1">
      <c r="A24" s="565">
        <v>12</v>
      </c>
      <c r="B24" s="568" t="s">
        <v>153</v>
      </c>
      <c r="E24" s="573"/>
      <c r="F24" s="573"/>
      <c r="G24" s="573"/>
      <c r="H24" s="571" t="str">
        <f>IF(E24=F24+G24," ","ERROR")</f>
        <v xml:space="preserve"> </v>
      </c>
    </row>
    <row r="25" spans="1:8" ht="12" customHeight="1">
      <c r="A25" s="565">
        <v>13</v>
      </c>
      <c r="B25" s="568" t="s">
        <v>158</v>
      </c>
      <c r="E25" s="573"/>
      <c r="F25" s="573"/>
      <c r="G25" s="573"/>
      <c r="H25" s="571" t="str">
        <f>IF(E25=F25+G25," ","ERROR")</f>
        <v xml:space="preserve"> </v>
      </c>
    </row>
    <row r="26" spans="1:8" ht="12" customHeight="1">
      <c r="A26" s="565">
        <v>14</v>
      </c>
      <c r="B26" s="568" t="s">
        <v>156</v>
      </c>
      <c r="E26" s="573">
        <f>F26+G26</f>
        <v>0</v>
      </c>
      <c r="F26" s="573"/>
      <c r="G26" s="576">
        <f>F109</f>
        <v>0</v>
      </c>
      <c r="H26" s="571" t="str">
        <f>IF(E26=F26+G26," ","ERROR")</f>
        <v xml:space="preserve"> </v>
      </c>
    </row>
    <row r="27" spans="1:8" ht="12" customHeight="1">
      <c r="A27" s="565">
        <v>15</v>
      </c>
      <c r="B27" s="568" t="s">
        <v>159</v>
      </c>
      <c r="E27" s="574">
        <f>E24+E25+E26</f>
        <v>0</v>
      </c>
      <c r="F27" s="574">
        <f>F24+F25+F26</f>
        <v>0</v>
      </c>
      <c r="G27" s="574">
        <f>G24+G25+G26</f>
        <v>0</v>
      </c>
      <c r="H27" s="571" t="str">
        <f>IF(E27=F27+G27," ","ERROR")</f>
        <v xml:space="preserve"> </v>
      </c>
    </row>
    <row r="28" spans="1:8" ht="12" customHeight="1">
      <c r="E28" s="575"/>
      <c r="F28" s="575"/>
      <c r="G28" s="575"/>
      <c r="H28" s="571"/>
    </row>
    <row r="29" spans="1:8" ht="12" customHeight="1">
      <c r="A29" s="565">
        <v>16</v>
      </c>
      <c r="B29" s="568" t="s">
        <v>101</v>
      </c>
      <c r="E29" s="573">
        <f>F29+G29</f>
        <v>0</v>
      </c>
      <c r="F29" s="573"/>
      <c r="G29" s="573"/>
      <c r="H29" s="571" t="str">
        <f>IF(E29=F29+G29," ","ERROR")</f>
        <v xml:space="preserve"> </v>
      </c>
    </row>
    <row r="30" spans="1:8" ht="12" customHeight="1">
      <c r="A30" s="565">
        <v>17</v>
      </c>
      <c r="B30" s="568" t="s">
        <v>102</v>
      </c>
      <c r="E30" s="573"/>
      <c r="F30" s="573"/>
      <c r="G30" s="573"/>
      <c r="H30" s="571" t="str">
        <f>IF(E30=F30+G30," ","ERROR")</f>
        <v xml:space="preserve"> </v>
      </c>
    </row>
    <row r="31" spans="1:8" ht="12" customHeight="1">
      <c r="A31" s="565">
        <v>18</v>
      </c>
      <c r="B31" s="568" t="s">
        <v>160</v>
      </c>
      <c r="E31" s="573"/>
      <c r="F31" s="573"/>
      <c r="G31" s="573"/>
      <c r="H31" s="571" t="str">
        <f>IF(E31=F31+G31," ","ERROR")</f>
        <v xml:space="preserve"> </v>
      </c>
    </row>
    <row r="32" spans="1:8" ht="12" customHeight="1">
      <c r="E32" s="575"/>
      <c r="F32" s="575"/>
      <c r="G32" s="575"/>
      <c r="H32" s="571"/>
    </row>
    <row r="33" spans="1:8" ht="12" customHeight="1">
      <c r="B33" s="568" t="s">
        <v>104</v>
      </c>
      <c r="E33" s="575"/>
      <c r="F33" s="575"/>
      <c r="G33" s="575"/>
      <c r="H33" s="571"/>
    </row>
    <row r="34" spans="1:8" ht="12" customHeight="1">
      <c r="A34" s="565">
        <v>19</v>
      </c>
      <c r="B34" s="568" t="s">
        <v>153</v>
      </c>
      <c r="E34" s="573">
        <f>SUM(F34:G34)</f>
        <v>86</v>
      </c>
      <c r="F34" s="575">
        <v>86</v>
      </c>
      <c r="G34" s="575">
        <v>0</v>
      </c>
      <c r="H34" s="571" t="str">
        <f>IF(E34=F34+G34," ","ERROR")</f>
        <v xml:space="preserve"> </v>
      </c>
    </row>
    <row r="35" spans="1:8" ht="12" customHeight="1">
      <c r="A35" s="565">
        <v>20</v>
      </c>
      <c r="B35" s="568" t="s">
        <v>158</v>
      </c>
      <c r="E35" s="573"/>
      <c r="F35" s="573"/>
      <c r="G35" s="573"/>
      <c r="H35" s="571" t="str">
        <f>IF(E35=F35+G35," ","ERROR")</f>
        <v xml:space="preserve"> </v>
      </c>
    </row>
    <row r="36" spans="1:8" ht="12" customHeight="1">
      <c r="A36" s="565">
        <v>21</v>
      </c>
      <c r="B36" s="568" t="s">
        <v>156</v>
      </c>
      <c r="E36" s="573"/>
      <c r="F36" s="573"/>
      <c r="G36" s="573"/>
      <c r="H36" s="571" t="str">
        <f>IF(E36=F36+G36," ","ERROR")</f>
        <v xml:space="preserve"> </v>
      </c>
    </row>
    <row r="37" spans="1:8" ht="12" customHeight="1">
      <c r="A37" s="565">
        <v>22</v>
      </c>
      <c r="B37" s="568" t="s">
        <v>161</v>
      </c>
      <c r="E37" s="577">
        <f>E34+E35+E36</f>
        <v>86</v>
      </c>
      <c r="F37" s="577">
        <f>F34+F35+F36</f>
        <v>86</v>
      </c>
      <c r="G37" s="577">
        <f>G34+G35+G36</f>
        <v>0</v>
      </c>
      <c r="H37" s="571" t="str">
        <f>IF(E37=F37+G37," ","ERROR")</f>
        <v xml:space="preserve"> </v>
      </c>
    </row>
    <row r="38" spans="1:8" ht="12" customHeight="1">
      <c r="A38" s="565">
        <v>23</v>
      </c>
      <c r="B38" s="568" t="s">
        <v>106</v>
      </c>
      <c r="E38" s="578">
        <f>E21+E27+E29+E30+E31+E37</f>
        <v>86</v>
      </c>
      <c r="F38" s="578">
        <f>F21+F27+F29+F30+F31+F37</f>
        <v>86</v>
      </c>
      <c r="G38" s="578">
        <f>G21+G27+G29+G30+G31+G37</f>
        <v>0</v>
      </c>
      <c r="H38" s="571" t="str">
        <f>IF(E38=F38+G38," ","ERROR")</f>
        <v xml:space="preserve"> </v>
      </c>
    </row>
    <row r="39" spans="1:8" ht="12" customHeight="1">
      <c r="E39" s="575"/>
      <c r="F39" s="575"/>
      <c r="G39" s="575"/>
      <c r="H39" s="571"/>
    </row>
    <row r="40" spans="1:8" ht="12" customHeight="1">
      <c r="A40" s="565">
        <v>24</v>
      </c>
      <c r="B40" s="568" t="s">
        <v>162</v>
      </c>
      <c r="E40" s="575">
        <f>E13-E38</f>
        <v>-86</v>
      </c>
      <c r="F40" s="575">
        <f>F13-F38</f>
        <v>-86</v>
      </c>
      <c r="G40" s="575">
        <f>G13-G38</f>
        <v>0</v>
      </c>
      <c r="H40" s="571" t="str">
        <f>IF(E40=F40+G40," ","ERROR")</f>
        <v xml:space="preserve"> </v>
      </c>
    </row>
    <row r="41" spans="1:8" ht="12" customHeight="1">
      <c r="B41" s="568"/>
      <c r="E41" s="575"/>
      <c r="F41" s="575"/>
      <c r="G41" s="575"/>
      <c r="H41" s="571"/>
    </row>
    <row r="42" spans="1:8" ht="12" customHeight="1">
      <c r="B42" s="568" t="s">
        <v>163</v>
      </c>
      <c r="E42" s="575"/>
      <c r="F42" s="575"/>
      <c r="G42" s="575"/>
      <c r="H42" s="571"/>
    </row>
    <row r="43" spans="1:8" ht="12" customHeight="1">
      <c r="A43" s="565">
        <v>25</v>
      </c>
      <c r="B43" s="568" t="s">
        <v>164</v>
      </c>
      <c r="D43" s="579">
        <v>0.35</v>
      </c>
      <c r="E43" s="573">
        <f>F43+G43</f>
        <v>-30</v>
      </c>
      <c r="F43" s="573">
        <f>ROUND(F40*D43,0)</f>
        <v>-30</v>
      </c>
      <c r="G43" s="573">
        <f>ROUND(G40*D43,0)</f>
        <v>0</v>
      </c>
      <c r="H43" s="571" t="str">
        <f>IF(E43=F43+G43," ","ERROR")</f>
        <v xml:space="preserve"> </v>
      </c>
    </row>
    <row r="44" spans="1:8" ht="12" customHeight="1">
      <c r="A44" s="565">
        <v>26</v>
      </c>
      <c r="B44" s="568" t="s">
        <v>165</v>
      </c>
      <c r="E44" s="573"/>
      <c r="F44" s="573"/>
      <c r="G44" s="573"/>
      <c r="H44" s="571" t="str">
        <f>IF(E44=F44+G44," ","ERROR")</f>
        <v xml:space="preserve"> </v>
      </c>
    </row>
    <row r="45" spans="1:8" ht="12" customHeight="1">
      <c r="A45"/>
      <c r="B45"/>
      <c r="C45"/>
      <c r="D45"/>
      <c r="E45" s="913"/>
      <c r="F45" s="913"/>
      <c r="G45" s="913"/>
      <c r="H45" s="571" t="str">
        <f>IF(E45=F45+G45," ","ERROR")</f>
        <v xml:space="preserve"> </v>
      </c>
    </row>
    <row r="46" spans="1:8" ht="12" customHeight="1">
      <c r="A46" s="259"/>
      <c r="B46" s="262"/>
      <c r="C46" s="256"/>
      <c r="D46" s="256"/>
      <c r="E46" s="269"/>
      <c r="F46" s="269"/>
      <c r="G46" s="269"/>
      <c r="H46" s="571"/>
    </row>
    <row r="47" spans="1:8" ht="12" customHeight="1">
      <c r="A47" s="263">
        <v>27</v>
      </c>
      <c r="B47" s="264" t="s">
        <v>113</v>
      </c>
      <c r="C47" s="265"/>
      <c r="D47" s="265"/>
      <c r="E47" s="273">
        <f>E40-SUM(E43:E44)</f>
        <v>-56</v>
      </c>
      <c r="F47" s="273">
        <f>F40-SUM(F43:F44)</f>
        <v>-56</v>
      </c>
      <c r="G47" s="273">
        <f>G40-SUM(G43:G44)</f>
        <v>0</v>
      </c>
      <c r="H47" s="571" t="str">
        <f>IF(E47=F47+G47," ","ERROR")</f>
        <v xml:space="preserve"> </v>
      </c>
    </row>
    <row r="48" spans="1:8" ht="12" customHeight="1">
      <c r="A48" s="259"/>
      <c r="H48" s="571"/>
    </row>
    <row r="49" spans="1:8" ht="12" customHeight="1">
      <c r="A49" s="259"/>
      <c r="B49" s="568" t="s">
        <v>114</v>
      </c>
      <c r="H49" s="571"/>
    </row>
    <row r="50" spans="1:8" ht="12" customHeight="1">
      <c r="A50" s="259"/>
      <c r="B50" s="568" t="s">
        <v>115</v>
      </c>
      <c r="H50" s="571"/>
    </row>
    <row r="51" spans="1:8" ht="12" customHeight="1">
      <c r="A51" s="263">
        <v>28</v>
      </c>
      <c r="B51" s="570" t="s">
        <v>167</v>
      </c>
      <c r="C51" s="571"/>
      <c r="D51" s="571"/>
      <c r="E51" s="572"/>
      <c r="F51" s="572"/>
      <c r="G51" s="572"/>
      <c r="H51" s="571" t="str">
        <f t="shared" ref="H51:H61" si="1">IF(E51=F51+G51," ","ERROR")</f>
        <v xml:space="preserve"> </v>
      </c>
    </row>
    <row r="52" spans="1:8" ht="12" customHeight="1">
      <c r="A52" s="259">
        <v>29</v>
      </c>
      <c r="B52" s="568" t="s">
        <v>168</v>
      </c>
      <c r="E52" s="573"/>
      <c r="F52" s="573"/>
      <c r="G52" s="573"/>
      <c r="H52" s="571" t="str">
        <f t="shared" si="1"/>
        <v xml:space="preserve"> </v>
      </c>
    </row>
    <row r="53" spans="1:8" ht="12" customHeight="1">
      <c r="A53" s="259">
        <v>30</v>
      </c>
      <c r="B53" s="568" t="s">
        <v>169</v>
      </c>
      <c r="E53" s="573"/>
      <c r="F53" s="573"/>
      <c r="G53" s="573"/>
      <c r="H53" s="571" t="str">
        <f t="shared" si="1"/>
        <v xml:space="preserve"> </v>
      </c>
    </row>
    <row r="54" spans="1:8" ht="12" customHeight="1">
      <c r="A54" s="259">
        <v>31</v>
      </c>
      <c r="B54" s="568" t="s">
        <v>170</v>
      </c>
      <c r="E54" s="573"/>
      <c r="F54" s="573"/>
      <c r="G54" s="573"/>
      <c r="H54" s="571" t="str">
        <f t="shared" si="1"/>
        <v xml:space="preserve"> </v>
      </c>
    </row>
    <row r="55" spans="1:8" ht="12" customHeight="1">
      <c r="A55" s="259">
        <v>32</v>
      </c>
      <c r="B55" s="568" t="s">
        <v>171</v>
      </c>
      <c r="E55" s="580"/>
      <c r="F55" s="580"/>
      <c r="G55" s="580"/>
      <c r="H55" s="571" t="str">
        <f t="shared" si="1"/>
        <v xml:space="preserve"> </v>
      </c>
    </row>
    <row r="56" spans="1:8" ht="12" customHeight="1">
      <c r="A56" s="259">
        <v>33</v>
      </c>
      <c r="B56" s="568" t="s">
        <v>172</v>
      </c>
      <c r="E56" s="575">
        <f>E51+E52+E53+E54+E55</f>
        <v>0</v>
      </c>
      <c r="F56" s="575">
        <f>F51+F52+F53+F54+F55</f>
        <v>0</v>
      </c>
      <c r="G56" s="575">
        <f>G51+G52+G53+G54+G55</f>
        <v>0</v>
      </c>
      <c r="H56" s="571" t="str">
        <f t="shared" si="1"/>
        <v xml:space="preserve"> </v>
      </c>
    </row>
    <row r="57" spans="1:8" ht="12" customHeight="1">
      <c r="A57" s="259">
        <v>34</v>
      </c>
      <c r="B57" s="568" t="s">
        <v>121</v>
      </c>
      <c r="E57" s="573"/>
      <c r="F57" s="573"/>
      <c r="G57" s="573"/>
      <c r="H57" s="571" t="str">
        <f t="shared" si="1"/>
        <v xml:space="preserve"> </v>
      </c>
    </row>
    <row r="58" spans="1:8" ht="12" customHeight="1">
      <c r="A58" s="259">
        <v>35</v>
      </c>
      <c r="B58" s="568" t="s">
        <v>122</v>
      </c>
      <c r="E58" s="580"/>
      <c r="F58" s="580"/>
      <c r="G58" s="580"/>
      <c r="H58" s="571" t="str">
        <f t="shared" si="1"/>
        <v xml:space="preserve"> </v>
      </c>
    </row>
    <row r="59" spans="1:8" ht="12" customHeight="1">
      <c r="A59" s="259">
        <v>36</v>
      </c>
      <c r="B59" s="568" t="s">
        <v>173</v>
      </c>
      <c r="E59" s="575">
        <f>E57+E58</f>
        <v>0</v>
      </c>
      <c r="F59" s="575">
        <f>F57+F58</f>
        <v>0</v>
      </c>
      <c r="G59" s="575">
        <f>G57+G58</f>
        <v>0</v>
      </c>
      <c r="H59" s="571" t="str">
        <f t="shared" si="1"/>
        <v xml:space="preserve"> </v>
      </c>
    </row>
    <row r="60" spans="1:8" ht="12" customHeight="1">
      <c r="A60" s="259">
        <v>37</v>
      </c>
      <c r="B60" s="568" t="s">
        <v>124</v>
      </c>
      <c r="E60" s="573"/>
      <c r="F60" s="573"/>
      <c r="G60" s="573"/>
      <c r="H60" s="571" t="str">
        <f t="shared" si="1"/>
        <v xml:space="preserve"> </v>
      </c>
    </row>
    <row r="61" spans="1:8" ht="12" customHeight="1">
      <c r="A61" s="259">
        <v>38</v>
      </c>
      <c r="B61" s="568" t="s">
        <v>125</v>
      </c>
      <c r="E61" s="580"/>
      <c r="F61" s="580"/>
      <c r="G61" s="580"/>
      <c r="H61" s="571" t="str">
        <f t="shared" si="1"/>
        <v xml:space="preserve"> </v>
      </c>
    </row>
    <row r="62" spans="1:8" ht="12" customHeight="1">
      <c r="A62" s="259"/>
      <c r="H62" s="571"/>
    </row>
    <row r="63" spans="1:8" ht="12" customHeight="1" thickBot="1">
      <c r="A63" s="263">
        <v>39</v>
      </c>
      <c r="B63" s="570" t="s">
        <v>126</v>
      </c>
      <c r="C63" s="571"/>
      <c r="D63" s="571"/>
      <c r="E63" s="581">
        <f>E56-E59+E60+E61</f>
        <v>0</v>
      </c>
      <c r="F63" s="581">
        <f>F56-F59+F60+F61</f>
        <v>0</v>
      </c>
      <c r="G63" s="581">
        <f>G56-G59+G60+G61</f>
        <v>0</v>
      </c>
      <c r="H63" s="571" t="str">
        <f>IF(E63=F63+G63," ","ERROR")</f>
        <v xml:space="preserve"> </v>
      </c>
    </row>
    <row r="64" spans="1:8" ht="12" customHeight="1" thickTop="1"/>
    <row r="65" spans="1:8" ht="12" customHeight="1">
      <c r="A65" s="558" t="str">
        <f>Inputs!$D$6</f>
        <v>AVISTA UTILITIES</v>
      </c>
      <c r="B65" s="558"/>
      <c r="C65" s="558"/>
      <c r="D65" s="582"/>
      <c r="E65" s="583"/>
      <c r="F65" s="582"/>
      <c r="G65" s="584"/>
      <c r="H65" s="583"/>
    </row>
    <row r="66" spans="1:8" ht="12" customHeight="1">
      <c r="A66" s="558" t="s">
        <v>225</v>
      </c>
      <c r="B66" s="558"/>
      <c r="C66" s="558"/>
      <c r="D66" s="582"/>
      <c r="E66" s="583"/>
      <c r="F66" s="582"/>
      <c r="G66" s="584"/>
      <c r="H66" s="583"/>
    </row>
    <row r="67" spans="1:8" ht="12" customHeight="1">
      <c r="A67" s="558" t="str">
        <f>A3</f>
        <v>TWELVE MONTHS ENDED SEPTEMBER 30, 2008</v>
      </c>
      <c r="B67" s="558"/>
      <c r="C67" s="558"/>
      <c r="D67" s="582"/>
      <c r="E67" s="583"/>
      <c r="F67" s="561" t="str">
        <f>F2</f>
        <v>INJURIES</v>
      </c>
      <c r="G67" s="582"/>
      <c r="H67" s="583"/>
    </row>
    <row r="68" spans="1:8" ht="12" customHeight="1">
      <c r="A68" s="558" t="s">
        <v>226</v>
      </c>
      <c r="B68" s="558"/>
      <c r="C68" s="558"/>
      <c r="D68" s="582"/>
      <c r="E68" s="583"/>
      <c r="F68" s="561" t="str">
        <f>F3</f>
        <v>AND DAMAGES</v>
      </c>
      <c r="G68" s="582"/>
      <c r="H68" s="583"/>
    </row>
    <row r="69" spans="1:8" ht="12" customHeight="1">
      <c r="B69" s="582"/>
      <c r="C69" s="582"/>
      <c r="D69" s="582"/>
      <c r="E69" s="585"/>
      <c r="F69" s="586" t="str">
        <f>F4</f>
        <v>ELECTRIC</v>
      </c>
      <c r="G69" s="582"/>
      <c r="H69" s="587"/>
    </row>
    <row r="70" spans="1:8" ht="12" customHeight="1">
      <c r="B70" s="582"/>
      <c r="C70" s="582"/>
      <c r="D70" s="582"/>
      <c r="E70" s="583"/>
      <c r="F70" s="561"/>
      <c r="G70" s="588"/>
      <c r="H70" s="583"/>
    </row>
    <row r="71" spans="1:8" ht="12" customHeight="1">
      <c r="B71" s="589" t="s">
        <v>134</v>
      </c>
      <c r="C71" s="590"/>
      <c r="D71" s="582"/>
      <c r="E71" s="583"/>
      <c r="F71" s="586" t="s">
        <v>128</v>
      </c>
      <c r="G71" s="582"/>
      <c r="H71" s="583"/>
    </row>
    <row r="72" spans="1:8" ht="12" customHeight="1">
      <c r="B72" s="568" t="s">
        <v>85</v>
      </c>
      <c r="C72" s="582"/>
      <c r="D72" s="582"/>
      <c r="E72" s="582"/>
      <c r="F72" s="584"/>
      <c r="G72" s="582"/>
      <c r="H72" s="582"/>
    </row>
    <row r="73" spans="1:8" ht="12" customHeight="1">
      <c r="B73" s="570" t="s">
        <v>86</v>
      </c>
      <c r="C73" s="582"/>
      <c r="D73" s="582"/>
      <c r="E73" s="582"/>
      <c r="F73" s="591">
        <f>G8</f>
        <v>0</v>
      </c>
      <c r="G73" s="582"/>
      <c r="H73" s="582"/>
    </row>
    <row r="74" spans="1:8" ht="12" customHeight="1">
      <c r="B74" s="568" t="s">
        <v>87</v>
      </c>
      <c r="C74" s="582"/>
      <c r="D74" s="582"/>
      <c r="E74" s="582"/>
      <c r="F74" s="575">
        <f>G9</f>
        <v>0</v>
      </c>
      <c r="G74" s="582"/>
      <c r="H74" s="582"/>
    </row>
    <row r="75" spans="1:8" ht="12" customHeight="1">
      <c r="B75" s="568" t="s">
        <v>150</v>
      </c>
      <c r="C75" s="582"/>
      <c r="D75" s="582"/>
      <c r="E75" s="582"/>
      <c r="F75" s="578">
        <f>G10</f>
        <v>0</v>
      </c>
      <c r="G75" s="582"/>
      <c r="H75" s="582"/>
    </row>
    <row r="76" spans="1:8" ht="12" customHeight="1">
      <c r="B76" s="568" t="s">
        <v>151</v>
      </c>
      <c r="C76" s="582"/>
      <c r="D76" s="582"/>
      <c r="E76" s="582"/>
      <c r="F76" s="575">
        <f>SUM(F73:F75)</f>
        <v>0</v>
      </c>
      <c r="G76" s="582"/>
      <c r="H76" s="582"/>
    </row>
    <row r="77" spans="1:8" ht="12" customHeight="1">
      <c r="B77" s="568" t="s">
        <v>90</v>
      </c>
      <c r="C77" s="582"/>
      <c r="D77" s="582"/>
      <c r="E77" s="582"/>
      <c r="F77" s="578">
        <f>G12</f>
        <v>0</v>
      </c>
      <c r="G77" s="582"/>
      <c r="H77" s="582"/>
    </row>
    <row r="78" spans="1:8" ht="12" customHeight="1">
      <c r="B78" s="568" t="s">
        <v>152</v>
      </c>
      <c r="C78" s="582"/>
      <c r="D78" s="582"/>
      <c r="E78" s="582"/>
      <c r="F78" s="575">
        <f>F76+F77</f>
        <v>0</v>
      </c>
      <c r="G78" s="582"/>
      <c r="H78" s="582"/>
    </row>
    <row r="79" spans="1:8" ht="12" customHeight="1">
      <c r="C79" s="582"/>
      <c r="D79" s="582"/>
      <c r="E79" s="582"/>
      <c r="F79" s="575"/>
      <c r="G79" s="582"/>
      <c r="H79" s="582"/>
    </row>
    <row r="80" spans="1:8" ht="12" customHeight="1">
      <c r="B80" s="568" t="s">
        <v>92</v>
      </c>
      <c r="C80" s="582"/>
      <c r="D80" s="582"/>
      <c r="E80" s="582"/>
      <c r="F80" s="575"/>
      <c r="G80" s="582"/>
      <c r="H80" s="582"/>
    </row>
    <row r="81" spans="1:8" ht="12" customHeight="1">
      <c r="B81" s="568" t="s">
        <v>93</v>
      </c>
      <c r="C81" s="582"/>
      <c r="D81" s="582"/>
      <c r="E81" s="582"/>
      <c r="F81" s="575"/>
      <c r="G81" s="582"/>
      <c r="H81" s="582"/>
    </row>
    <row r="82" spans="1:8" ht="12" customHeight="1">
      <c r="B82" s="568" t="s">
        <v>153</v>
      </c>
      <c r="C82" s="582"/>
      <c r="D82" s="582"/>
      <c r="E82" s="582"/>
      <c r="F82" s="575">
        <f>G17</f>
        <v>0</v>
      </c>
      <c r="G82" s="582"/>
      <c r="H82" s="582"/>
    </row>
    <row r="83" spans="1:8" ht="12" customHeight="1">
      <c r="B83" s="568" t="s">
        <v>154</v>
      </c>
      <c r="C83" s="582"/>
      <c r="D83" s="582"/>
      <c r="E83" s="582"/>
      <c r="F83" s="575">
        <f>G18</f>
        <v>0</v>
      </c>
      <c r="G83" s="582"/>
      <c r="H83" s="582"/>
    </row>
    <row r="84" spans="1:8" ht="12" customHeight="1">
      <c r="B84" s="568" t="s">
        <v>155</v>
      </c>
      <c r="C84" s="582"/>
      <c r="D84" s="582"/>
      <c r="E84" s="582"/>
      <c r="F84" s="575">
        <f>G19</f>
        <v>0</v>
      </c>
      <c r="G84" s="582"/>
      <c r="H84" s="582"/>
    </row>
    <row r="85" spans="1:8" ht="12" customHeight="1">
      <c r="B85" s="568" t="s">
        <v>156</v>
      </c>
      <c r="C85" s="582"/>
      <c r="D85" s="582"/>
      <c r="E85" s="582"/>
      <c r="F85" s="578">
        <f>G20</f>
        <v>0</v>
      </c>
      <c r="G85" s="582"/>
      <c r="H85" s="582"/>
    </row>
    <row r="86" spans="1:8" ht="12" customHeight="1">
      <c r="B86" s="568" t="s">
        <v>157</v>
      </c>
      <c r="C86" s="582"/>
      <c r="D86" s="582"/>
      <c r="E86" s="582"/>
      <c r="F86" s="575">
        <f>SUM(F82:F85)</f>
        <v>0</v>
      </c>
      <c r="G86" s="582"/>
      <c r="H86" s="582"/>
    </row>
    <row r="87" spans="1:8" ht="12" customHeight="1">
      <c r="C87" s="582"/>
      <c r="D87" s="582"/>
      <c r="E87" s="582"/>
      <c r="F87" s="575"/>
      <c r="G87" s="582"/>
      <c r="H87" s="582"/>
    </row>
    <row r="88" spans="1:8" ht="12" customHeight="1">
      <c r="B88" s="568" t="s">
        <v>98</v>
      </c>
      <c r="C88" s="582"/>
      <c r="D88" s="582"/>
      <c r="E88" s="582"/>
      <c r="F88" s="575"/>
      <c r="G88" s="582"/>
      <c r="H88" s="582"/>
    </row>
    <row r="89" spans="1:8" ht="12" customHeight="1">
      <c r="B89" s="568" t="s">
        <v>153</v>
      </c>
      <c r="C89" s="582"/>
      <c r="D89" s="582"/>
      <c r="E89" s="582"/>
      <c r="F89" s="575">
        <f>G24</f>
        <v>0</v>
      </c>
      <c r="G89" s="582"/>
      <c r="H89" s="582"/>
    </row>
    <row r="90" spans="1:8" ht="12" customHeight="1">
      <c r="B90" s="568" t="s">
        <v>158</v>
      </c>
      <c r="C90" s="582"/>
      <c r="D90" s="582"/>
      <c r="E90" s="582"/>
      <c r="F90" s="575">
        <f>G25</f>
        <v>0</v>
      </c>
      <c r="G90" s="582"/>
      <c r="H90" s="582"/>
    </row>
    <row r="91" spans="1:8" ht="12" customHeight="1">
      <c r="A91" s="559"/>
      <c r="B91" s="568" t="s">
        <v>156</v>
      </c>
      <c r="C91" s="582"/>
      <c r="D91" s="582"/>
      <c r="E91" s="582"/>
      <c r="F91" s="575"/>
      <c r="G91" s="582"/>
      <c r="H91" s="582"/>
    </row>
    <row r="92" spans="1:8" ht="12" customHeight="1">
      <c r="A92" s="559"/>
      <c r="B92" s="568" t="s">
        <v>159</v>
      </c>
      <c r="C92" s="582"/>
      <c r="D92" s="582"/>
      <c r="E92" s="582"/>
      <c r="F92" s="574">
        <f>SUM(F89:F91)</f>
        <v>0</v>
      </c>
      <c r="G92" s="582"/>
      <c r="H92" s="582"/>
    </row>
    <row r="93" spans="1:8" ht="12" customHeight="1">
      <c r="A93" s="559"/>
      <c r="C93" s="582"/>
      <c r="D93" s="582"/>
      <c r="E93" s="582"/>
      <c r="F93" s="575"/>
      <c r="G93" s="582"/>
      <c r="H93" s="582"/>
    </row>
    <row r="94" spans="1:8" ht="12" customHeight="1">
      <c r="A94" s="559"/>
      <c r="B94" s="568" t="s">
        <v>101</v>
      </c>
      <c r="C94" s="582"/>
      <c r="D94" s="582"/>
      <c r="E94" s="582"/>
      <c r="F94" s="575">
        <f>G29</f>
        <v>0</v>
      </c>
      <c r="G94" s="582"/>
      <c r="H94" s="582"/>
    </row>
    <row r="95" spans="1:8" ht="12" customHeight="1">
      <c r="A95" s="559"/>
      <c r="B95" s="568" t="s">
        <v>102</v>
      </c>
      <c r="C95" s="582"/>
      <c r="D95" s="582"/>
      <c r="E95" s="582"/>
      <c r="F95" s="575">
        <f>G30</f>
        <v>0</v>
      </c>
      <c r="G95" s="582"/>
      <c r="H95" s="582"/>
    </row>
    <row r="96" spans="1:8" ht="12" customHeight="1">
      <c r="A96" s="559"/>
      <c r="B96" s="568" t="s">
        <v>160</v>
      </c>
      <c r="C96" s="582"/>
      <c r="D96" s="582"/>
      <c r="E96" s="582"/>
      <c r="F96" s="575">
        <f>G31</f>
        <v>0</v>
      </c>
      <c r="G96" s="582"/>
      <c r="H96" s="582"/>
    </row>
    <row r="97" spans="1:8" ht="12" customHeight="1">
      <c r="A97" s="559"/>
      <c r="C97" s="582"/>
      <c r="D97" s="582"/>
      <c r="E97" s="582"/>
      <c r="F97" s="575"/>
      <c r="G97" s="582"/>
      <c r="H97" s="582"/>
    </row>
    <row r="98" spans="1:8" ht="12" customHeight="1">
      <c r="A98" s="559"/>
      <c r="B98" s="568" t="s">
        <v>104</v>
      </c>
      <c r="C98" s="582"/>
      <c r="D98" s="582"/>
      <c r="E98" s="582"/>
      <c r="F98" s="575"/>
      <c r="G98" s="582"/>
      <c r="H98" s="582"/>
    </row>
    <row r="99" spans="1:8" ht="12" customHeight="1">
      <c r="A99" s="559"/>
      <c r="B99" s="568" t="s">
        <v>153</v>
      </c>
      <c r="C99" s="582"/>
      <c r="D99" s="582"/>
      <c r="E99" s="582"/>
      <c r="F99" s="575">
        <f>G34</f>
        <v>0</v>
      </c>
      <c r="G99" s="582"/>
      <c r="H99" s="582"/>
    </row>
    <row r="100" spans="1:8" ht="12" customHeight="1">
      <c r="A100" s="559"/>
      <c r="B100" s="568" t="s">
        <v>158</v>
      </c>
      <c r="C100" s="582"/>
      <c r="D100" s="582"/>
      <c r="E100" s="582"/>
      <c r="F100" s="575">
        <f>G35</f>
        <v>0</v>
      </c>
      <c r="G100" s="582"/>
      <c r="H100" s="582"/>
    </row>
    <row r="101" spans="1:8" ht="12" customHeight="1">
      <c r="A101" s="559"/>
      <c r="B101" s="568" t="s">
        <v>156</v>
      </c>
      <c r="C101" s="582"/>
      <c r="D101" s="582"/>
      <c r="E101" s="582"/>
      <c r="F101" s="578">
        <f>G36</f>
        <v>0</v>
      </c>
      <c r="G101" s="582"/>
      <c r="H101" s="582"/>
    </row>
    <row r="102" spans="1:8" ht="12" customHeight="1">
      <c r="A102" s="559"/>
      <c r="B102" s="568" t="s">
        <v>161</v>
      </c>
      <c r="C102" s="582"/>
      <c r="D102" s="582"/>
      <c r="E102" s="582"/>
      <c r="F102" s="575">
        <f>F99+F100+F101</f>
        <v>0</v>
      </c>
      <c r="G102" s="582"/>
      <c r="H102" s="582"/>
    </row>
    <row r="103" spans="1:8" ht="12" customHeight="1">
      <c r="A103" s="559"/>
      <c r="B103" s="582"/>
      <c r="C103" s="582"/>
      <c r="D103" s="582"/>
      <c r="E103" s="582"/>
      <c r="F103" s="575"/>
      <c r="G103" s="582"/>
      <c r="H103" s="582"/>
    </row>
    <row r="104" spans="1:8" ht="12" customHeight="1">
      <c r="A104" s="559"/>
      <c r="B104" s="582" t="s">
        <v>106</v>
      </c>
      <c r="C104" s="582"/>
      <c r="D104" s="582"/>
      <c r="E104" s="582"/>
      <c r="F104" s="577">
        <f>F86+F92+F94+F95+F96+F102</f>
        <v>0</v>
      </c>
      <c r="G104" s="582"/>
      <c r="H104" s="582"/>
    </row>
    <row r="105" spans="1:8" ht="12" customHeight="1">
      <c r="A105" s="559"/>
      <c r="B105" s="582"/>
      <c r="C105" s="582"/>
      <c r="D105" s="582"/>
      <c r="E105" s="582"/>
      <c r="F105" s="575"/>
      <c r="G105" s="582"/>
      <c r="H105" s="582"/>
    </row>
    <row r="106" spans="1:8" ht="12" customHeight="1">
      <c r="A106" s="559"/>
      <c r="B106" s="582" t="s">
        <v>227</v>
      </c>
      <c r="C106" s="582"/>
      <c r="D106" s="582"/>
      <c r="E106" s="582"/>
      <c r="F106" s="578">
        <f>F78-F104</f>
        <v>0</v>
      </c>
      <c r="G106" s="582"/>
      <c r="H106" s="582"/>
    </row>
    <row r="107" spans="1:8" ht="12" customHeight="1">
      <c r="A107" s="559"/>
      <c r="B107" s="582"/>
      <c r="C107" s="582"/>
      <c r="D107" s="582"/>
      <c r="E107" s="582"/>
      <c r="F107" s="575"/>
      <c r="G107" s="582"/>
      <c r="H107" s="582"/>
    </row>
    <row r="108" spans="1:8" ht="12" customHeight="1">
      <c r="A108" s="559"/>
      <c r="B108" s="582" t="s">
        <v>228</v>
      </c>
      <c r="C108" s="582"/>
      <c r="D108" s="582"/>
      <c r="E108" s="583"/>
      <c r="F108" s="575"/>
      <c r="G108" s="582"/>
      <c r="H108" s="582"/>
    </row>
    <row r="109" spans="1:8" ht="12" customHeight="1" thickBot="1">
      <c r="A109" s="559"/>
      <c r="B109" s="592" t="s">
        <v>229</v>
      </c>
      <c r="C109" s="593">
        <f>Inputs!$D$4</f>
        <v>1.2215999999999999E-2</v>
      </c>
      <c r="D109" s="582"/>
      <c r="E109" s="583"/>
      <c r="F109" s="594">
        <f>ROUND(F106*C109,0)</f>
        <v>0</v>
      </c>
      <c r="G109" s="582"/>
      <c r="H109" s="582"/>
    </row>
    <row r="110" spans="1:8" ht="12" customHeight="1" thickTop="1">
      <c r="A110" s="559"/>
      <c r="B110" s="582"/>
      <c r="C110" s="582"/>
      <c r="D110" s="582"/>
      <c r="E110" s="583"/>
      <c r="F110" s="582"/>
      <c r="G110" s="584"/>
      <c r="H110" s="582"/>
    </row>
    <row r="111" spans="1:8" ht="12" customHeight="1"/>
    <row r="112" spans="1:8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</sheetData>
  <customSheetViews>
    <customSheetView guid="{A15D1962-B049-11D2-8670-0000832CEEE8}" showRuler="0" topLeftCell="A56">
      <selection activeCell="A67" sqref="A67"/>
      <pageMargins left="0.75" right="0.75" top="0.5" bottom="0.5" header="0.5" footer="0.5"/>
      <pageSetup scale="88" orientation="portrait" horizontalDpi="4294967292" verticalDpi="0" r:id="rId1"/>
      <headerFooter alignWithMargins="0"/>
    </customSheetView>
    <customSheetView guid="{6E1B8C45-B07F-11D2-B0DC-0000832CDFF0}" showPageBreaks="1" showRuler="0" topLeftCell="A15">
      <selection activeCell="G43" sqref="G43"/>
      <pageMargins left="0.75" right="0.75" top="0.5" bottom="0.5" header="0.5" footer="0.5"/>
      <pageSetup scale="88" orientation="portrait" horizontalDpi="4294967292" verticalDpi="0" r:id="rId2"/>
      <headerFooter alignWithMargins="0"/>
    </customSheetView>
  </customSheetViews>
  <phoneticPr fontId="0" type="noConversion"/>
  <pageMargins left="1" right="0.75" top="0.5" bottom="0.5" header="0.5" footer="0.5"/>
  <pageSetup scale="90" orientation="portrait" horizontalDpi="4294967292" r:id="rId3"/>
  <headerFooter alignWithMargins="0"/>
  <rowBreaks count="1" manualBreakCount="1"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5"/>
  <dimension ref="A1:AB62"/>
  <sheetViews>
    <sheetView tabSelected="1" topLeftCell="I1" zoomScale="75" zoomScaleNormal="75" workbookViewId="0">
      <selection activeCell="J29" sqref="J29"/>
    </sheetView>
  </sheetViews>
  <sheetFormatPr defaultRowHeight="12.75"/>
  <cols>
    <col min="1" max="1" width="6" style="2" customWidth="1"/>
    <col min="2" max="2" width="2.85546875" style="2" customWidth="1"/>
    <col min="3" max="3" width="42.140625" style="2" customWidth="1"/>
    <col min="4" max="4" width="4.7109375" style="2" customWidth="1"/>
    <col min="5" max="5" width="15.140625" style="2" customWidth="1"/>
    <col min="6" max="6" width="19.85546875" style="2" bestFit="1" customWidth="1"/>
    <col min="7" max="7" width="9.140625" style="669"/>
    <col min="8" max="8" width="8.5703125" style="669" customWidth="1"/>
    <col min="9" max="9" width="1.5703125" style="669" customWidth="1"/>
    <col min="10" max="10" width="27.42578125" style="669" customWidth="1"/>
    <col min="11" max="11" width="7.140625" style="669" customWidth="1"/>
    <col min="12" max="12" width="11.28515625" style="669" customWidth="1"/>
    <col min="13" max="13" width="5.28515625" style="669" customWidth="1"/>
    <col min="14" max="14" width="9.140625" style="669"/>
    <col min="15" max="15" width="3.28515625" style="669" customWidth="1"/>
    <col min="16" max="16" width="12" style="669" customWidth="1"/>
    <col min="17" max="17" width="15.140625" style="716" customWidth="1"/>
    <col min="18" max="18" width="11.28515625" style="669" customWidth="1"/>
    <col min="19" max="19" width="14.28515625" style="669" customWidth="1"/>
    <col min="20" max="20" width="53.42578125" style="669" customWidth="1"/>
    <col min="21" max="28" width="9.140625" style="669" hidden="1" customWidth="1"/>
    <col min="29" max="16384" width="9.140625" style="669"/>
  </cols>
  <sheetData>
    <row r="1" spans="1:27" s="69" customFormat="1" ht="12">
      <c r="A1" s="843" t="s">
        <v>261</v>
      </c>
      <c r="B1" s="843"/>
      <c r="C1" s="843"/>
      <c r="D1" s="843"/>
      <c r="E1" s="843"/>
      <c r="F1" s="843"/>
      <c r="Q1" s="1306"/>
    </row>
    <row r="2" spans="1:27" s="69" customFormat="1" ht="12">
      <c r="A2" s="843" t="s">
        <v>409</v>
      </c>
      <c r="B2" s="843"/>
      <c r="C2" s="843"/>
      <c r="D2" s="843"/>
      <c r="E2" s="843"/>
      <c r="F2" s="843"/>
      <c r="Q2" s="1306"/>
    </row>
    <row r="3" spans="1:27" s="69" customFormat="1" ht="12">
      <c r="A3" s="843" t="s">
        <v>395</v>
      </c>
      <c r="B3" s="843"/>
      <c r="C3" s="843"/>
      <c r="D3" s="843"/>
      <c r="E3" s="843"/>
      <c r="F3" s="843"/>
      <c r="Q3" s="1306"/>
    </row>
    <row r="4" spans="1:27" s="69" customFormat="1" ht="12">
      <c r="A4" s="843" t="str">
        <f>WAElec09_08!A4</f>
        <v>TWELVE MONTHS ENDED SEPTEMBER 30, 2008</v>
      </c>
      <c r="B4" s="843"/>
      <c r="C4" s="843"/>
      <c r="D4" s="843"/>
      <c r="E4" s="843"/>
      <c r="F4" s="843"/>
      <c r="Q4" s="1306"/>
    </row>
    <row r="5" spans="1:27">
      <c r="A5" s="69"/>
      <c r="B5" s="69"/>
      <c r="C5" s="69"/>
      <c r="D5" s="69"/>
      <c r="E5" s="844"/>
      <c r="F5" s="844"/>
    </row>
    <row r="6" spans="1:27">
      <c r="A6" s="845" t="s">
        <v>273</v>
      </c>
      <c r="B6" s="845"/>
      <c r="C6" s="845"/>
      <c r="D6" s="845"/>
      <c r="E6" s="845" t="s">
        <v>274</v>
      </c>
      <c r="F6" s="845"/>
    </row>
    <row r="7" spans="1:27" ht="13.5">
      <c r="A7" s="846" t="s">
        <v>35</v>
      </c>
      <c r="B7" s="845"/>
      <c r="C7" s="846" t="s">
        <v>134</v>
      </c>
      <c r="D7" s="844"/>
      <c r="E7" s="846" t="s">
        <v>277</v>
      </c>
      <c r="F7" s="844"/>
      <c r="P7" s="1299" t="s">
        <v>684</v>
      </c>
      <c r="Q7" s="1307"/>
    </row>
    <row r="8" spans="1:27" ht="13.5">
      <c r="A8" s="69"/>
      <c r="B8" s="69"/>
      <c r="C8" s="69"/>
      <c r="D8" s="69"/>
      <c r="E8" s="669"/>
      <c r="F8" s="669"/>
      <c r="H8" s="1142"/>
      <c r="I8" s="1142"/>
      <c r="J8" s="1142"/>
      <c r="K8" s="1142"/>
      <c r="L8" s="1143" t="s">
        <v>272</v>
      </c>
      <c r="M8" s="1144"/>
      <c r="N8" s="1144"/>
      <c r="O8" s="1148"/>
      <c r="P8" s="1026" t="s">
        <v>309</v>
      </c>
      <c r="Q8" s="1308"/>
      <c r="R8" s="1165" t="s">
        <v>308</v>
      </c>
      <c r="S8" s="1164"/>
      <c r="U8" s="1037" t="s">
        <v>552</v>
      </c>
      <c r="V8" s="834"/>
      <c r="W8" s="754" t="s">
        <v>309</v>
      </c>
      <c r="X8" s="34"/>
      <c r="Y8" s="726" t="s">
        <v>308</v>
      </c>
    </row>
    <row r="9" spans="1:27" ht="13.5">
      <c r="A9" s="847">
        <v>1</v>
      </c>
      <c r="B9" s="69"/>
      <c r="C9" s="69" t="s">
        <v>407</v>
      </c>
      <c r="D9" s="69"/>
      <c r="E9" s="673">
        <f>RevReq_Exh_WA!L12</f>
        <v>1007076</v>
      </c>
      <c r="F9" s="673"/>
      <c r="H9" s="1145" t="s">
        <v>273</v>
      </c>
      <c r="I9" s="1145"/>
      <c r="J9" s="1145"/>
      <c r="K9" s="1145"/>
      <c r="L9" s="1145" t="s">
        <v>274</v>
      </c>
      <c r="M9" s="1144"/>
      <c r="N9" s="1298"/>
      <c r="O9" s="1146"/>
      <c r="P9" s="1165" t="s">
        <v>275</v>
      </c>
      <c r="Q9" s="1309" t="s">
        <v>308</v>
      </c>
      <c r="R9" s="1165" t="s">
        <v>276</v>
      </c>
      <c r="S9" s="1164"/>
      <c r="U9" s="1038" t="s">
        <v>553</v>
      </c>
      <c r="V9" s="727"/>
      <c r="W9" s="726" t="s">
        <v>275</v>
      </c>
      <c r="X9" s="726" t="s">
        <v>308</v>
      </c>
      <c r="Y9" s="726" t="s">
        <v>276</v>
      </c>
    </row>
    <row r="10" spans="1:27" ht="13.5">
      <c r="A10" s="847"/>
      <c r="B10" s="69"/>
      <c r="C10" s="69"/>
      <c r="D10" s="69"/>
      <c r="E10" s="673"/>
      <c r="F10" s="673"/>
      <c r="H10" s="1143" t="s">
        <v>35</v>
      </c>
      <c r="I10" s="1145"/>
      <c r="J10" s="1143" t="s">
        <v>134</v>
      </c>
      <c r="K10" s="1146"/>
      <c r="L10" s="1143" t="s">
        <v>277</v>
      </c>
      <c r="M10" s="1144"/>
      <c r="N10" s="1143" t="s">
        <v>278</v>
      </c>
      <c r="O10" s="1146"/>
      <c r="P10" s="1166" t="s">
        <v>280</v>
      </c>
      <c r="Q10" s="1310" t="s">
        <v>281</v>
      </c>
      <c r="R10" s="1166" t="s">
        <v>281</v>
      </c>
      <c r="S10" s="1164"/>
      <c r="U10" s="725" t="s">
        <v>278</v>
      </c>
      <c r="V10" s="727"/>
      <c r="W10" s="725" t="s">
        <v>280</v>
      </c>
      <c r="X10" s="725" t="s">
        <v>281</v>
      </c>
      <c r="Y10" s="725" t="s">
        <v>281</v>
      </c>
    </row>
    <row r="11" spans="1:27">
      <c r="A11" s="847">
        <v>2</v>
      </c>
      <c r="B11" s="69"/>
      <c r="C11" s="69" t="s">
        <v>284</v>
      </c>
      <c r="D11" s="69"/>
      <c r="E11" s="1027">
        <f>RevReq_Exh_WA!L13</f>
        <v>8.249999999999999E-2</v>
      </c>
      <c r="F11" s="848"/>
      <c r="H11" s="1142"/>
      <c r="I11" s="1142"/>
      <c r="J11" s="1142"/>
      <c r="K11" s="1142"/>
      <c r="L11" s="1147"/>
      <c r="M11" s="1144"/>
      <c r="N11" s="1144"/>
      <c r="O11" s="1148"/>
      <c r="P11" s="1164"/>
      <c r="Q11" s="1308"/>
      <c r="R11" s="1164"/>
      <c r="S11" s="1026" t="s">
        <v>539</v>
      </c>
      <c r="U11" s="34"/>
      <c r="V11" s="834"/>
      <c r="W11" s="34"/>
      <c r="X11" s="34"/>
      <c r="Y11" s="34"/>
    </row>
    <row r="12" spans="1:27">
      <c r="A12" s="847"/>
      <c r="B12" s="69"/>
      <c r="C12" s="69"/>
      <c r="D12" s="69"/>
      <c r="E12" s="848"/>
      <c r="F12" s="848"/>
      <c r="H12" s="1149">
        <v>1</v>
      </c>
      <c r="I12" s="1142"/>
      <c r="J12" s="1142" t="s">
        <v>282</v>
      </c>
      <c r="K12" s="1142"/>
      <c r="L12" s="1150">
        <f>WAElec09_08!BD68</f>
        <v>1007076</v>
      </c>
      <c r="M12" s="1144"/>
      <c r="N12" s="1142" t="s">
        <v>554</v>
      </c>
      <c r="O12" s="1157"/>
      <c r="P12" s="1167">
        <f>100%-P16-P20</f>
        <v>0.53499999999999992</v>
      </c>
      <c r="Q12" s="1311">
        <v>6.5699999999999995E-2</v>
      </c>
      <c r="R12" s="1167">
        <f>ROUND(P12*Q12,4)</f>
        <v>3.5099999999999999E-2</v>
      </c>
      <c r="S12" s="1025">
        <f>SUM(R12:R16)</f>
        <v>3.5099999999999999E-2</v>
      </c>
      <c r="U12" s="724" t="s">
        <v>283</v>
      </c>
      <c r="V12" s="736"/>
      <c r="W12" s="755">
        <v>0.4415</v>
      </c>
      <c r="X12" s="755">
        <v>7.7499999999999999E-2</v>
      </c>
      <c r="Y12" s="755">
        <f>ROUND(W12*X12,4)</f>
        <v>3.4200000000000001E-2</v>
      </c>
    </row>
    <row r="13" spans="1:27">
      <c r="A13" s="847">
        <v>3</v>
      </c>
      <c r="B13" s="69"/>
      <c r="C13" s="69" t="s">
        <v>285</v>
      </c>
      <c r="D13" s="69"/>
      <c r="E13" s="673">
        <f>RevReq_Exh_WA!L14</f>
        <v>83084</v>
      </c>
      <c r="F13" s="673"/>
      <c r="H13" s="1149"/>
      <c r="I13" s="1142"/>
      <c r="J13" s="1142" t="s">
        <v>284</v>
      </c>
      <c r="K13" s="1142"/>
      <c r="L13" s="1159">
        <f>R25</f>
        <v>8.249999999999999E-2</v>
      </c>
      <c r="M13" s="1144"/>
      <c r="N13" s="1142"/>
      <c r="O13" s="1152"/>
      <c r="P13" s="1167"/>
      <c r="Q13" s="1311"/>
      <c r="R13" s="1167"/>
      <c r="S13" s="1164"/>
      <c r="U13" s="724"/>
      <c r="V13" s="835"/>
      <c r="W13" s="755"/>
      <c r="X13" s="755"/>
      <c r="Y13" s="755"/>
    </row>
    <row r="14" spans="1:27" ht="13.5">
      <c r="A14" s="847"/>
      <c r="B14" s="69"/>
      <c r="C14" s="69"/>
      <c r="D14" s="69"/>
      <c r="E14" s="673"/>
      <c r="F14" s="673"/>
      <c r="H14" s="1149">
        <v>2</v>
      </c>
      <c r="I14" s="1142"/>
      <c r="J14" s="1142" t="s">
        <v>285</v>
      </c>
      <c r="K14" s="1142"/>
      <c r="L14" s="1150">
        <f>ROUND(L12*L13,0)</f>
        <v>83084</v>
      </c>
      <c r="M14" s="1144"/>
      <c r="N14" s="1160"/>
      <c r="O14" s="1161"/>
      <c r="P14" s="1168"/>
      <c r="Q14" s="1312"/>
      <c r="R14" s="1168"/>
      <c r="S14" s="1164"/>
      <c r="U14" s="991" t="s">
        <v>286</v>
      </c>
      <c r="V14" s="992"/>
      <c r="W14" s="993">
        <v>3.39E-2</v>
      </c>
      <c r="X14" s="993">
        <v>7.0800000000000002E-2</v>
      </c>
      <c r="Y14" s="993">
        <f>ROUND(W14*X14,4)</f>
        <v>2.3999999999999998E-3</v>
      </c>
    </row>
    <row r="15" spans="1:27">
      <c r="A15" s="847">
        <v>4</v>
      </c>
      <c r="B15" s="69"/>
      <c r="C15" s="69" t="s">
        <v>289</v>
      </c>
      <c r="D15" s="69"/>
      <c r="E15" s="850">
        <f>WAElec09_08!BD52</f>
        <v>62841.878660000002</v>
      </c>
      <c r="F15" s="849"/>
      <c r="G15" s="1204"/>
      <c r="H15" s="1149"/>
      <c r="I15" s="1142"/>
      <c r="J15" s="1142"/>
      <c r="K15" s="1142"/>
      <c r="L15" s="1150"/>
      <c r="M15" s="1144"/>
      <c r="N15" s="1142"/>
      <c r="O15" s="1152"/>
      <c r="P15" s="1167"/>
      <c r="Q15" s="1311"/>
      <c r="R15" s="1167"/>
      <c r="S15" s="1169"/>
      <c r="T15" s="1044"/>
      <c r="U15" s="724"/>
      <c r="V15" s="835"/>
      <c r="W15" s="755"/>
      <c r="X15" s="755"/>
      <c r="Y15" s="755"/>
      <c r="Z15" s="1026" t="s">
        <v>539</v>
      </c>
      <c r="AA15" s="1026" t="s">
        <v>540</v>
      </c>
    </row>
    <row r="16" spans="1:27">
      <c r="A16" s="847"/>
      <c r="B16" s="69"/>
      <c r="C16" s="69"/>
      <c r="D16" s="69"/>
      <c r="E16" s="69"/>
      <c r="F16" s="69"/>
      <c r="H16" s="1149">
        <v>3</v>
      </c>
      <c r="I16" s="1142"/>
      <c r="J16" s="1142" t="s">
        <v>289</v>
      </c>
      <c r="K16" s="1142"/>
      <c r="L16" s="1153">
        <f>WAElec09_08!BD52</f>
        <v>62841.878660000002</v>
      </c>
      <c r="M16" s="1144"/>
      <c r="N16" s="1142" t="s">
        <v>287</v>
      </c>
      <c r="O16" s="1152"/>
      <c r="P16" s="1167">
        <v>0</v>
      </c>
      <c r="Q16" s="1311">
        <v>0</v>
      </c>
      <c r="R16" s="1167">
        <f>ROUND(P16*Q16,4)</f>
        <v>0</v>
      </c>
      <c r="S16" s="1169"/>
      <c r="T16" s="1045"/>
      <c r="U16" s="724" t="s">
        <v>287</v>
      </c>
      <c r="V16" s="835"/>
      <c r="W16" s="755">
        <f>P16</f>
        <v>0</v>
      </c>
      <c r="X16" s="755">
        <f>Q16</f>
        <v>0</v>
      </c>
      <c r="Y16" s="755">
        <f>ROUND(W16*X16,4)</f>
        <v>0</v>
      </c>
      <c r="Z16" s="1025">
        <f>SUM(Y12:Y16)</f>
        <v>3.6600000000000001E-2</v>
      </c>
      <c r="AA16" s="1025">
        <f>Y12+Y16</f>
        <v>3.4200000000000001E-2</v>
      </c>
    </row>
    <row r="17" spans="1:27">
      <c r="A17" s="847">
        <v>5</v>
      </c>
      <c r="B17" s="69"/>
      <c r="C17" s="69" t="s">
        <v>290</v>
      </c>
      <c r="D17" s="69"/>
      <c r="E17" s="673">
        <f>E13-E15</f>
        <v>20242.121339999998</v>
      </c>
      <c r="F17" s="673"/>
      <c r="G17" s="688"/>
      <c r="H17" s="1149"/>
      <c r="I17" s="1142"/>
      <c r="J17" s="1142"/>
      <c r="K17" s="1142"/>
      <c r="L17" s="1142"/>
      <c r="M17" s="1144"/>
      <c r="N17" s="1142"/>
      <c r="O17" s="1152"/>
      <c r="P17" s="1167"/>
      <c r="Q17" s="1311"/>
      <c r="R17" s="1167"/>
      <c r="S17" s="1164"/>
      <c r="U17" s="724"/>
      <c r="V17" s="835"/>
      <c r="W17" s="755"/>
      <c r="X17" s="755"/>
      <c r="Y17" s="755"/>
      <c r="AA17" s="1046"/>
    </row>
    <row r="18" spans="1:27">
      <c r="A18" s="847"/>
      <c r="B18" s="69"/>
      <c r="C18" s="69"/>
      <c r="D18" s="69"/>
      <c r="E18" s="69"/>
      <c r="F18" s="69"/>
      <c r="H18" s="1149">
        <v>4</v>
      </c>
      <c r="I18" s="1142"/>
      <c r="J18" s="1142" t="s">
        <v>290</v>
      </c>
      <c r="K18" s="1142"/>
      <c r="L18" s="1150">
        <f>L14-L16</f>
        <v>20242.121339999998</v>
      </c>
      <c r="M18" s="1144"/>
      <c r="N18" s="1162" t="s">
        <v>288</v>
      </c>
      <c r="O18" s="1152"/>
      <c r="P18" s="1167"/>
      <c r="Q18" s="1311"/>
      <c r="R18" s="1167">
        <v>0</v>
      </c>
      <c r="S18" s="1164"/>
      <c r="U18" s="69" t="s">
        <v>288</v>
      </c>
      <c r="V18" s="835"/>
      <c r="W18" s="755"/>
      <c r="X18" s="755"/>
      <c r="Y18" s="755">
        <v>0</v>
      </c>
    </row>
    <row r="19" spans="1:27">
      <c r="A19" s="847">
        <v>6</v>
      </c>
      <c r="B19" s="69"/>
      <c r="C19" s="69" t="s">
        <v>292</v>
      </c>
      <c r="D19" s="69"/>
      <c r="E19" s="69">
        <f>'ConverFac_Exh-WA'!E26</f>
        <v>0.62195249999999991</v>
      </c>
      <c r="F19" s="69"/>
      <c r="H19" s="1149"/>
      <c r="I19" s="1142"/>
      <c r="J19" s="1142"/>
      <c r="K19" s="1142"/>
      <c r="L19" s="1142"/>
      <c r="M19" s="1144"/>
      <c r="N19" s="1142"/>
      <c r="O19" s="1152"/>
      <c r="P19" s="1167"/>
      <c r="Q19" s="1311"/>
      <c r="R19" s="1167"/>
      <c r="S19" s="1164"/>
      <c r="U19" s="724"/>
      <c r="V19" s="835"/>
      <c r="W19" s="755"/>
      <c r="X19" s="755"/>
      <c r="Y19" s="755"/>
    </row>
    <row r="20" spans="1:27" ht="13.5" thickBot="1">
      <c r="A20" s="847"/>
      <c r="B20" s="69"/>
      <c r="C20" s="69"/>
      <c r="D20" s="69"/>
      <c r="E20" s="69"/>
      <c r="F20" s="69"/>
      <c r="H20" s="1149">
        <v>5</v>
      </c>
      <c r="I20" s="1142"/>
      <c r="J20" s="1142" t="s">
        <v>292</v>
      </c>
      <c r="K20" s="1142"/>
      <c r="L20" s="1163">
        <f>'ConverFac_Exh-WA'!E26</f>
        <v>0.62195249999999991</v>
      </c>
      <c r="M20" s="1144"/>
      <c r="N20" s="1142" t="s">
        <v>19</v>
      </c>
      <c r="O20" s="1152"/>
      <c r="P20" s="1167">
        <v>0.46500000000000002</v>
      </c>
      <c r="Q20" s="1311">
        <v>0.10199999999999999</v>
      </c>
      <c r="R20" s="1167">
        <f>ROUND(P20*Q20,4)</f>
        <v>4.7399999999999998E-2</v>
      </c>
      <c r="S20" s="1164"/>
      <c r="U20" s="724" t="s">
        <v>19</v>
      </c>
      <c r="V20" s="835"/>
      <c r="W20" s="755">
        <f>P20</f>
        <v>0.46500000000000002</v>
      </c>
      <c r="X20" s="755">
        <f>Q20</f>
        <v>0.10199999999999999</v>
      </c>
      <c r="Y20" s="755">
        <f>ROUND(W20*X20,4)</f>
        <v>4.7399999999999998E-2</v>
      </c>
    </row>
    <row r="21" spans="1:27" ht="13.5" thickBot="1">
      <c r="A21" s="847">
        <v>7</v>
      </c>
      <c r="B21" s="69"/>
      <c r="C21" s="69" t="s">
        <v>293</v>
      </c>
      <c r="D21" s="69"/>
      <c r="E21" s="851">
        <f>ROUND(E17/E19,0)</f>
        <v>32546</v>
      </c>
      <c r="F21" s="849"/>
      <c r="G21" s="688"/>
      <c r="H21" s="1149"/>
      <c r="I21" s="1142"/>
      <c r="J21" s="1142"/>
      <c r="K21" s="1142"/>
      <c r="L21" s="1142"/>
      <c r="M21" s="1144"/>
      <c r="N21" s="1142"/>
      <c r="O21" s="1152"/>
      <c r="P21" s="1170"/>
      <c r="Q21" s="1313"/>
      <c r="R21" s="1167"/>
      <c r="S21" s="1164"/>
      <c r="U21" s="724"/>
      <c r="V21" s="835"/>
      <c r="W21" s="730"/>
      <c r="X21" s="730"/>
      <c r="Y21" s="755"/>
    </row>
    <row r="22" spans="1:27" ht="13.5" thickBot="1">
      <c r="A22" s="847"/>
      <c r="B22" s="34"/>
      <c r="C22" s="69"/>
      <c r="D22" s="69"/>
      <c r="E22" s="69"/>
      <c r="F22" s="69"/>
      <c r="H22" s="1149">
        <v>6</v>
      </c>
      <c r="I22" s="1142"/>
      <c r="J22" s="1142" t="s">
        <v>293</v>
      </c>
      <c r="K22" s="1142"/>
      <c r="L22" s="1155">
        <f>ROUND(L18/L20,0)</f>
        <v>32546</v>
      </c>
      <c r="M22" s="1144"/>
      <c r="N22" s="1142"/>
      <c r="O22" s="1152"/>
      <c r="P22" s="1170"/>
      <c r="Q22" s="1313"/>
      <c r="R22" s="1167"/>
      <c r="S22" s="1164"/>
      <c r="U22" s="724"/>
      <c r="V22" s="835"/>
      <c r="W22" s="730"/>
      <c r="X22" s="730"/>
      <c r="Y22" s="755"/>
    </row>
    <row r="23" spans="1:27">
      <c r="A23" s="847">
        <v>8</v>
      </c>
      <c r="B23" s="34"/>
      <c r="C23" s="69" t="s">
        <v>294</v>
      </c>
      <c r="D23" s="69"/>
      <c r="E23" s="849">
        <f>RevReq_Exh_WA!L24</f>
        <v>390953</v>
      </c>
      <c r="F23" s="849"/>
      <c r="H23" s="1149"/>
      <c r="I23" s="1142"/>
      <c r="J23" s="1142"/>
      <c r="K23" s="1142"/>
      <c r="L23" s="1142"/>
      <c r="M23" s="1144"/>
      <c r="N23" s="1142"/>
      <c r="O23" s="1152"/>
      <c r="P23" s="1170"/>
      <c r="Q23" s="1313"/>
      <c r="R23" s="1167"/>
      <c r="S23" s="1164"/>
      <c r="U23" s="724"/>
      <c r="V23" s="835"/>
      <c r="W23" s="730"/>
      <c r="X23" s="730"/>
      <c r="Y23" s="755"/>
    </row>
    <row r="24" spans="1:27">
      <c r="A24" s="847"/>
      <c r="B24" s="34"/>
      <c r="C24" s="69"/>
      <c r="D24" s="69"/>
      <c r="E24" s="69"/>
      <c r="F24" s="69"/>
      <c r="H24" s="1149">
        <v>7</v>
      </c>
      <c r="I24" s="1142"/>
      <c r="J24" s="1142" t="s">
        <v>294</v>
      </c>
      <c r="K24" s="1142"/>
      <c r="L24" s="1157">
        <f>WAElec09_08!BD13+WAElec09_08!BD14</f>
        <v>390953</v>
      </c>
      <c r="M24" s="1144"/>
      <c r="N24" s="1142"/>
      <c r="O24" s="1152"/>
      <c r="P24" s="1170"/>
      <c r="Q24" s="1313"/>
      <c r="R24" s="1167"/>
      <c r="S24" s="1164"/>
      <c r="U24" s="724"/>
      <c r="V24" s="835"/>
      <c r="W24" s="730"/>
      <c r="X24" s="730"/>
      <c r="Y24" s="755"/>
    </row>
    <row r="25" spans="1:27" ht="13.5" thickBot="1">
      <c r="A25" s="847">
        <v>9</v>
      </c>
      <c r="B25" s="34"/>
      <c r="C25" s="69" t="s">
        <v>295</v>
      </c>
      <c r="D25" s="69"/>
      <c r="E25" s="852">
        <f>ROUND(E21/E23,4)</f>
        <v>8.3199999999999996E-2</v>
      </c>
      <c r="F25" s="853"/>
      <c r="H25" s="1142"/>
      <c r="I25" s="1142"/>
      <c r="J25" s="1142" t="s">
        <v>410</v>
      </c>
      <c r="K25" s="1142"/>
      <c r="L25" s="1142"/>
      <c r="M25" s="1144"/>
      <c r="N25" s="1142" t="s">
        <v>291</v>
      </c>
      <c r="O25" s="1157"/>
      <c r="P25" s="1171">
        <f>SUM(P12:P20)</f>
        <v>1</v>
      </c>
      <c r="Q25" s="1313"/>
      <c r="R25" s="1171">
        <f>SUM(R12:R20)</f>
        <v>8.249999999999999E-2</v>
      </c>
      <c r="S25" s="1164"/>
      <c r="U25" s="724" t="s">
        <v>291</v>
      </c>
      <c r="V25" s="736"/>
      <c r="W25" s="737">
        <f>SUM(W12:W20)</f>
        <v>0.94040000000000001</v>
      </c>
      <c r="X25" s="730"/>
      <c r="Y25" s="737">
        <f>SUM(Y12:Y20)</f>
        <v>8.3999999999999991E-2</v>
      </c>
    </row>
    <row r="26" spans="1:27" ht="14.25" thickTop="1" thickBot="1">
      <c r="H26" s="1149">
        <v>8</v>
      </c>
      <c r="I26" s="1142"/>
      <c r="J26" s="1142" t="s">
        <v>295</v>
      </c>
      <c r="K26" s="1142"/>
      <c r="L26" s="1158">
        <f>ROUND(L22/L24,4)</f>
        <v>8.3199999999999996E-2</v>
      </c>
      <c r="M26" s="1144"/>
      <c r="N26" s="1142"/>
      <c r="O26" s="1156"/>
      <c r="P26" s="1170"/>
      <c r="Q26" s="1314"/>
      <c r="R26" s="1164"/>
      <c r="S26" s="1164"/>
    </row>
    <row r="27" spans="1:27" ht="13.5" thickTop="1">
      <c r="H27" s="724"/>
      <c r="I27" s="724"/>
      <c r="J27" s="34"/>
      <c r="K27" s="34"/>
      <c r="L27" s="34"/>
      <c r="M27" s="34"/>
      <c r="N27" s="739"/>
      <c r="O27" s="733"/>
      <c r="P27" s="733"/>
      <c r="Q27" s="1315"/>
      <c r="R27" s="34"/>
      <c r="S27" s="34"/>
    </row>
    <row r="28" spans="1:27" ht="25.5">
      <c r="C28" s="1290"/>
      <c r="D28" s="1291"/>
      <c r="E28" s="1291"/>
      <c r="F28" s="1291"/>
      <c r="G28" s="1086"/>
      <c r="H28" s="1086"/>
      <c r="I28" s="1086"/>
      <c r="J28" s="1086"/>
    </row>
    <row r="29" spans="1:27" ht="15.75">
      <c r="H29" s="2"/>
      <c r="I29" s="2"/>
      <c r="J29" s="1348" t="s">
        <v>705</v>
      </c>
      <c r="K29" s="2"/>
      <c r="L29" s="2"/>
      <c r="M29" s="2"/>
      <c r="N29" s="2"/>
      <c r="O29" s="2"/>
      <c r="P29" s="2"/>
      <c r="Q29" s="1316"/>
      <c r="R29" s="2"/>
      <c r="S29" s="38"/>
    </row>
    <row r="30" spans="1:27" ht="13.5">
      <c r="H30" s="723"/>
      <c r="I30" s="723"/>
      <c r="J30" s="723"/>
      <c r="K30" s="723"/>
      <c r="L30" s="723"/>
      <c r="M30" s="33"/>
      <c r="N30" s="33"/>
      <c r="O30" s="33"/>
      <c r="P30" s="33"/>
      <c r="Q30" s="1317"/>
      <c r="R30" s="33"/>
      <c r="S30" s="40"/>
    </row>
    <row r="31" spans="1:27" ht="13.5" hidden="1">
      <c r="H31" s="724"/>
      <c r="I31" s="724"/>
      <c r="J31" s="724"/>
      <c r="K31" s="724"/>
      <c r="L31" s="725" t="s">
        <v>305</v>
      </c>
      <c r="M31" s="34"/>
      <c r="N31" s="34"/>
      <c r="O31" s="34"/>
      <c r="P31" s="34"/>
      <c r="Q31" s="711"/>
      <c r="R31" s="34"/>
      <c r="S31" s="41"/>
    </row>
    <row r="32" spans="1:27" ht="13.5" hidden="1">
      <c r="H32" s="726" t="s">
        <v>273</v>
      </c>
      <c r="I32" s="726"/>
      <c r="J32" s="726"/>
      <c r="K32" s="726"/>
      <c r="L32" s="726" t="s">
        <v>274</v>
      </c>
      <c r="M32" s="34"/>
      <c r="N32" s="726"/>
      <c r="O32" s="727"/>
      <c r="P32" s="726" t="s">
        <v>275</v>
      </c>
      <c r="Q32" s="1318"/>
      <c r="R32" s="726" t="s">
        <v>276</v>
      </c>
      <c r="S32" s="41"/>
    </row>
    <row r="33" spans="1:19" ht="13.5" hidden="1">
      <c r="A33" s="843" t="s">
        <v>261</v>
      </c>
      <c r="B33" s="843"/>
      <c r="C33" s="843"/>
      <c r="D33" s="843"/>
      <c r="E33" s="843"/>
      <c r="H33" s="725" t="s">
        <v>35</v>
      </c>
      <c r="I33" s="726"/>
      <c r="J33" s="725" t="s">
        <v>134</v>
      </c>
      <c r="K33" s="727"/>
      <c r="L33" s="725" t="s">
        <v>277</v>
      </c>
      <c r="M33" s="34"/>
      <c r="N33" s="725" t="s">
        <v>278</v>
      </c>
      <c r="O33" s="727"/>
      <c r="P33" s="725" t="s">
        <v>280</v>
      </c>
      <c r="Q33" s="1319" t="s">
        <v>281</v>
      </c>
      <c r="R33" s="725" t="s">
        <v>281</v>
      </c>
    </row>
    <row r="34" spans="1:19" hidden="1">
      <c r="A34" s="843" t="s">
        <v>409</v>
      </c>
      <c r="B34" s="843"/>
      <c r="C34" s="843"/>
      <c r="D34" s="843"/>
      <c r="E34" s="843"/>
      <c r="H34" s="724"/>
      <c r="I34" s="724"/>
      <c r="J34" s="724"/>
      <c r="K34" s="724"/>
      <c r="L34"/>
      <c r="M34" s="34"/>
      <c r="N34" s="34"/>
      <c r="O34" s="834"/>
      <c r="P34" s="34"/>
      <c r="Q34" s="711"/>
      <c r="R34" s="34"/>
      <c r="S34" s="1026" t="s">
        <v>540</v>
      </c>
    </row>
    <row r="35" spans="1:19" ht="13.5" hidden="1">
      <c r="A35" s="843" t="s">
        <v>627</v>
      </c>
      <c r="B35" s="843"/>
      <c r="C35" s="843"/>
      <c r="D35" s="843"/>
      <c r="E35" s="843"/>
      <c r="H35" s="728">
        <v>1</v>
      </c>
      <c r="I35" s="724"/>
      <c r="J35" s="724" t="s">
        <v>282</v>
      </c>
      <c r="K35" s="724"/>
      <c r="L35" s="729" t="e">
        <f>IDElec12_07!BA68</f>
        <v>#DIV/0!</v>
      </c>
      <c r="M35" s="34"/>
      <c r="N35" s="1119" t="s">
        <v>283</v>
      </c>
      <c r="O35" s="1120"/>
      <c r="P35" s="1121">
        <v>0.52059999999999995</v>
      </c>
      <c r="Q35" s="1320">
        <v>6.8400000000000002E-2</v>
      </c>
      <c r="R35" s="1126">
        <f>ROUND(P35*Q35,4)</f>
        <v>3.56E-2</v>
      </c>
      <c r="S35" s="1025">
        <f>R35</f>
        <v>3.56E-2</v>
      </c>
    </row>
    <row r="36" spans="1:19" hidden="1">
      <c r="A36" s="843"/>
      <c r="B36" s="843"/>
      <c r="C36" s="843" t="str">
        <f>A4</f>
        <v>TWELVE MONTHS ENDED SEPTEMBER 30, 2008</v>
      </c>
      <c r="D36" s="843"/>
      <c r="E36" s="843"/>
      <c r="H36" s="728"/>
      <c r="I36" s="724"/>
      <c r="J36" s="724" t="s">
        <v>284</v>
      </c>
      <c r="K36" s="724"/>
      <c r="L36" s="731">
        <f>R44</f>
        <v>8.7400000000000005E-2</v>
      </c>
      <c r="M36" s="34"/>
      <c r="N36" s="724"/>
      <c r="O36" s="835"/>
      <c r="P36" s="755"/>
      <c r="Q36" s="1321"/>
      <c r="R36" s="730"/>
    </row>
    <row r="37" spans="1:19" hidden="1">
      <c r="A37" s="69"/>
      <c r="B37" s="69"/>
      <c r="C37" s="69"/>
      <c r="D37" s="69"/>
      <c r="E37" s="844"/>
      <c r="H37" s="728">
        <v>2</v>
      </c>
      <c r="I37" s="724"/>
      <c r="J37" s="724" t="s">
        <v>285</v>
      </c>
      <c r="K37" s="724"/>
      <c r="L37" s="729" t="e">
        <f>ROUND(L35*L36,0)</f>
        <v>#DIV/0!</v>
      </c>
      <c r="M37" s="34"/>
      <c r="N37" s="724" t="s">
        <v>286</v>
      </c>
      <c r="O37" s="836"/>
      <c r="P37" s="755">
        <f>RevReq_Exh_WA!P14</f>
        <v>0</v>
      </c>
      <c r="Q37" s="1321">
        <f>RevReq_Exh_WA!Q14</f>
        <v>0</v>
      </c>
      <c r="R37" s="755">
        <f>ROUND(P37*Q37,4)</f>
        <v>0</v>
      </c>
      <c r="S37" s="41"/>
    </row>
    <row r="38" spans="1:19" hidden="1">
      <c r="A38" s="845" t="s">
        <v>273</v>
      </c>
      <c r="B38" s="845"/>
      <c r="C38" s="845"/>
      <c r="D38" s="845"/>
      <c r="E38" s="845" t="s">
        <v>274</v>
      </c>
      <c r="H38" s="728"/>
      <c r="I38" s="724"/>
      <c r="J38" s="724"/>
      <c r="K38" s="724"/>
      <c r="L38" s="729"/>
      <c r="M38" s="34"/>
      <c r="N38" s="724" t="s">
        <v>287</v>
      </c>
      <c r="O38" s="836"/>
      <c r="P38" s="755">
        <f>RevReq_Exh_WA!P16</f>
        <v>0</v>
      </c>
      <c r="Q38" s="1321">
        <f>RevReq_Exh_WA!Q16</f>
        <v>0</v>
      </c>
      <c r="R38" s="755">
        <f>ROUND(P38*Q38,4)</f>
        <v>0</v>
      </c>
      <c r="S38" s="41"/>
    </row>
    <row r="39" spans="1:19" hidden="1">
      <c r="A39" s="846" t="s">
        <v>35</v>
      </c>
      <c r="B39" s="845"/>
      <c r="C39" s="846" t="s">
        <v>134</v>
      </c>
      <c r="D39" s="844"/>
      <c r="E39" s="846" t="s">
        <v>277</v>
      </c>
      <c r="H39" s="728">
        <v>3</v>
      </c>
      <c r="I39" s="724"/>
      <c r="J39" s="724" t="s">
        <v>289</v>
      </c>
      <c r="K39" s="724"/>
      <c r="L39" s="732">
        <f>IDElec12_07!BA52</f>
        <v>43971</v>
      </c>
      <c r="M39" s="34"/>
      <c r="N39" s="724" t="s">
        <v>288</v>
      </c>
      <c r="O39" s="836"/>
      <c r="P39" s="755">
        <f>RevReq_Exh_WA!P17</f>
        <v>0</v>
      </c>
      <c r="Q39" s="1321">
        <f>RevReq_Exh_WA!Q17</f>
        <v>0</v>
      </c>
      <c r="R39" s="755">
        <f>ROUND(P39*Q39,4)</f>
        <v>0</v>
      </c>
      <c r="S39" s="41"/>
    </row>
    <row r="40" spans="1:19" hidden="1">
      <c r="A40" s="69"/>
      <c r="B40" s="69"/>
      <c r="C40" s="69"/>
      <c r="D40" s="69"/>
      <c r="E40" s="669"/>
      <c r="H40" s="728"/>
      <c r="I40" s="724"/>
      <c r="J40" s="724"/>
      <c r="K40" s="724"/>
      <c r="L40" s="724"/>
      <c r="M40" s="34"/>
      <c r="N40" s="724"/>
      <c r="O40" s="835"/>
      <c r="P40" s="755"/>
      <c r="Q40" s="1321"/>
      <c r="R40" s="730"/>
      <c r="S40" s="41"/>
    </row>
    <row r="41" spans="1:19" ht="13.5" hidden="1">
      <c r="A41" s="847">
        <v>1</v>
      </c>
      <c r="B41" s="69"/>
      <c r="C41" s="69" t="s">
        <v>407</v>
      </c>
      <c r="D41" s="69"/>
      <c r="E41" s="673" t="e">
        <f>RevReq_Exh_WA!L35</f>
        <v>#DIV/0!</v>
      </c>
      <c r="H41" s="728">
        <v>4</v>
      </c>
      <c r="I41" s="724"/>
      <c r="J41" s="724" t="s">
        <v>290</v>
      </c>
      <c r="K41" s="724"/>
      <c r="L41" s="729" t="e">
        <f>L37-L39</f>
        <v>#DIV/0!</v>
      </c>
      <c r="M41" s="34"/>
      <c r="N41" s="1119" t="s">
        <v>19</v>
      </c>
      <c r="O41" s="1120"/>
      <c r="P41" s="1121">
        <v>0.47939999999999999</v>
      </c>
      <c r="Q41" s="1320">
        <v>0.108</v>
      </c>
      <c r="R41" s="1121">
        <f>ROUND(P41*Q41,4)</f>
        <v>5.1799999999999999E-2</v>
      </c>
      <c r="S41" s="41"/>
    </row>
    <row r="42" spans="1:19" ht="13.5" hidden="1">
      <c r="A42" s="847"/>
      <c r="B42" s="69"/>
      <c r="C42" s="69"/>
      <c r="D42" s="69"/>
      <c r="E42" s="673"/>
      <c r="H42" s="728"/>
      <c r="I42" s="724"/>
      <c r="J42" s="724"/>
      <c r="K42" s="724"/>
      <c r="L42" s="724"/>
      <c r="M42" s="34"/>
      <c r="N42" s="1119"/>
      <c r="O42" s="1122"/>
      <c r="P42" s="1121"/>
      <c r="Q42" s="1320"/>
      <c r="R42" s="1123"/>
      <c r="S42" s="41"/>
    </row>
    <row r="43" spans="1:19" ht="13.5" hidden="1">
      <c r="A43" s="847">
        <v>2</v>
      </c>
      <c r="B43" s="69"/>
      <c r="C43" s="69" t="s">
        <v>284</v>
      </c>
      <c r="D43" s="69"/>
      <c r="E43" s="1027">
        <f>RevReq_Exh_WA!L36</f>
        <v>8.7400000000000005E-2</v>
      </c>
      <c r="G43" s="1104"/>
      <c r="H43" s="728">
        <v>5</v>
      </c>
      <c r="I43" s="724"/>
      <c r="J43" s="724" t="s">
        <v>292</v>
      </c>
      <c r="K43" s="724"/>
      <c r="L43" s="1105">
        <v>0.63956199999999996</v>
      </c>
      <c r="M43" s="34"/>
      <c r="N43" s="1119"/>
      <c r="O43" s="1122"/>
      <c r="P43" s="1121"/>
      <c r="Q43" s="1320"/>
      <c r="R43" s="1123"/>
      <c r="S43" s="41"/>
    </row>
    <row r="44" spans="1:19" ht="14.25" hidden="1" thickBot="1">
      <c r="A44" s="847"/>
      <c r="B44" s="69"/>
      <c r="C44" s="69"/>
      <c r="D44" s="69"/>
      <c r="E44" s="848"/>
      <c r="H44" s="728"/>
      <c r="I44" s="724"/>
      <c r="J44" s="724"/>
      <c r="K44" s="724"/>
      <c r="L44" s="724"/>
      <c r="M44" s="34"/>
      <c r="N44" s="1119" t="s">
        <v>291</v>
      </c>
      <c r="O44" s="1124"/>
      <c r="P44" s="1125">
        <f>SUM(P35:P41)</f>
        <v>1</v>
      </c>
      <c r="Q44" s="1320"/>
      <c r="R44" s="1125">
        <f>SUM(R35:R41)</f>
        <v>8.7400000000000005E-2</v>
      </c>
      <c r="S44" s="41"/>
    </row>
    <row r="45" spans="1:19" ht="14.25" hidden="1" thickTop="1" thickBot="1">
      <c r="A45" s="847">
        <v>3</v>
      </c>
      <c r="B45" s="69"/>
      <c r="C45" s="69" t="s">
        <v>285</v>
      </c>
      <c r="D45" s="69"/>
      <c r="E45" s="673" t="e">
        <f>RevReq_Exh_WA!L37</f>
        <v>#DIV/0!</v>
      </c>
      <c r="H45" s="728">
        <v>6</v>
      </c>
      <c r="I45" s="724"/>
      <c r="J45" s="724" t="s">
        <v>293</v>
      </c>
      <c r="K45" s="724"/>
      <c r="L45" s="734" t="e">
        <f>ROUND(L41/L43,0)</f>
        <v>#DIV/0!</v>
      </c>
      <c r="M45" s="34"/>
      <c r="N45" s="724"/>
      <c r="O45" s="733"/>
      <c r="P45" s="730"/>
      <c r="Q45" s="1315"/>
      <c r="R45" s="34"/>
      <c r="S45" s="41"/>
    </row>
    <row r="46" spans="1:19" hidden="1">
      <c r="A46" s="847"/>
      <c r="B46" s="69"/>
      <c r="C46" s="69"/>
      <c r="D46" s="69"/>
      <c r="E46" s="673"/>
      <c r="H46" s="728"/>
      <c r="I46" s="724"/>
      <c r="J46" s="724"/>
      <c r="K46" s="724"/>
      <c r="L46" s="724"/>
      <c r="M46" s="34"/>
      <c r="N46" s="739"/>
      <c r="O46" s="733"/>
      <c r="P46" s="733"/>
      <c r="Q46" s="1315"/>
      <c r="R46" s="34"/>
      <c r="S46" s="41"/>
    </row>
    <row r="47" spans="1:19" hidden="1">
      <c r="A47" s="847">
        <v>4</v>
      </c>
      <c r="B47" s="69"/>
      <c r="C47" s="69" t="s">
        <v>289</v>
      </c>
      <c r="D47" s="69"/>
      <c r="E47" s="850">
        <f>IDElec12_07!BA52</f>
        <v>43971</v>
      </c>
      <c r="H47" s="728">
        <v>7</v>
      </c>
      <c r="I47" s="724"/>
      <c r="J47" s="724" t="s">
        <v>294</v>
      </c>
      <c r="K47" s="724"/>
      <c r="L47" s="736">
        <f>IDElec12_07!BA13+IDElec12_07!BA14</f>
        <v>211113</v>
      </c>
      <c r="M47" s="34"/>
      <c r="S47" s="41"/>
    </row>
    <row r="48" spans="1:19" hidden="1">
      <c r="A48" s="847"/>
      <c r="B48" s="69"/>
      <c r="C48" s="69"/>
      <c r="D48" s="69"/>
      <c r="E48" s="69"/>
      <c r="H48" s="724"/>
      <c r="I48" s="724"/>
      <c r="J48" s="724"/>
      <c r="K48" s="724"/>
      <c r="L48" s="724"/>
      <c r="M48" s="34"/>
      <c r="S48" s="41"/>
    </row>
    <row r="49" spans="1:19" ht="13.5" hidden="1" thickBot="1">
      <c r="A49" s="847">
        <v>5</v>
      </c>
      <c r="B49" s="69"/>
      <c r="C49" s="69" t="s">
        <v>290</v>
      </c>
      <c r="D49" s="69"/>
      <c r="E49" s="673" t="e">
        <f>E45-E47</f>
        <v>#DIV/0!</v>
      </c>
      <c r="H49" s="728">
        <v>8</v>
      </c>
      <c r="I49" s="724"/>
      <c r="J49" s="724" t="s">
        <v>295</v>
      </c>
      <c r="K49" s="724"/>
      <c r="L49" s="737" t="e">
        <f>ROUND(L45/L47,4)</f>
        <v>#DIV/0!</v>
      </c>
      <c r="M49" s="34"/>
      <c r="S49" s="41"/>
    </row>
    <row r="50" spans="1:19" ht="13.5" hidden="1" thickTop="1">
      <c r="A50" s="847"/>
      <c r="B50" s="69"/>
      <c r="C50" s="69"/>
      <c r="D50" s="69"/>
      <c r="E50" s="69"/>
      <c r="H50" s="724"/>
      <c r="I50" s="724"/>
      <c r="J50" s="34"/>
      <c r="K50" s="34"/>
      <c r="L50" s="34"/>
      <c r="M50" s="34"/>
      <c r="S50" s="41"/>
    </row>
    <row r="51" spans="1:19" hidden="1">
      <c r="A51" s="847">
        <v>6</v>
      </c>
      <c r="B51" s="69"/>
      <c r="C51" s="69" t="s">
        <v>292</v>
      </c>
      <c r="D51" s="69"/>
      <c r="E51" s="69">
        <f>'ConverFac_Exh-ID'!E23</f>
        <v>0.63956230000000003</v>
      </c>
    </row>
    <row r="52" spans="1:19" ht="13.5" hidden="1" thickBot="1">
      <c r="A52" s="847"/>
      <c r="B52" s="69"/>
      <c r="C52" s="69"/>
      <c r="D52" s="69"/>
      <c r="E52" s="69"/>
    </row>
    <row r="53" spans="1:19" ht="13.5" hidden="1" thickBot="1">
      <c r="A53" s="847">
        <v>7</v>
      </c>
      <c r="B53" s="69"/>
      <c r="C53" s="69" t="s">
        <v>293</v>
      </c>
      <c r="D53" s="69"/>
      <c r="E53" s="851" t="e">
        <f>ROUND(E49/E51,0)</f>
        <v>#DIV/0!</v>
      </c>
    </row>
    <row r="54" spans="1:19" hidden="1">
      <c r="A54" s="847"/>
      <c r="B54" s="34"/>
      <c r="C54" s="69"/>
      <c r="D54" s="69"/>
      <c r="E54" s="69"/>
    </row>
    <row r="55" spans="1:19" hidden="1">
      <c r="A55" s="847">
        <v>8</v>
      </c>
      <c r="B55" s="34"/>
      <c r="C55" s="69" t="s">
        <v>294</v>
      </c>
      <c r="D55" s="69"/>
      <c r="E55" s="849">
        <f>IDElec12_07!BA13+IDElec12_07!BA14</f>
        <v>211113</v>
      </c>
    </row>
    <row r="56" spans="1:19" hidden="1">
      <c r="A56" s="847"/>
      <c r="B56" s="34"/>
      <c r="C56" s="69"/>
      <c r="D56" s="69"/>
      <c r="E56" s="69"/>
    </row>
    <row r="57" spans="1:19" ht="13.5" hidden="1" thickBot="1">
      <c r="A57" s="847">
        <v>9</v>
      </c>
      <c r="B57" s="34"/>
      <c r="C57" s="69" t="s">
        <v>295</v>
      </c>
      <c r="D57" s="69"/>
      <c r="E57" s="852" t="e">
        <f>ROUND(E53/E55,4)</f>
        <v>#DIV/0!</v>
      </c>
    </row>
    <row r="58" spans="1:19" ht="13.5" hidden="1" thickTop="1"/>
    <row r="59" spans="1:19" hidden="1"/>
    <row r="60" spans="1:19" hidden="1"/>
    <row r="61" spans="1:19" hidden="1"/>
    <row r="62" spans="1:19" hidden="1"/>
  </sheetData>
  <phoneticPr fontId="0" type="noConversion"/>
  <pageMargins left="0.75" right="0.51" top="0.75" bottom="0.5" header="0.5" footer="0.5"/>
  <pageSetup scale="75" firstPageNumber="4" fitToWidth="2" orientation="portrait" useFirstPageNumber="1" horizontalDpi="300" verticalDpi="300" r:id="rId1"/>
  <headerFooter alignWithMargins="0">
    <oddHeader xml:space="preserve">&amp;RExhibit No. ____(EMA-2) </oddHeader>
    <oddFooter xml:space="preserve">&amp;RPage 2 of 11               </oddFooter>
  </headerFooter>
  <rowBreaks count="1" manualBreakCount="1">
    <brk id="31" max="16383" man="1"/>
  </rowBreaks>
  <colBreaks count="1" manualBreakCount="1">
    <brk id="12" min="30" max="49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H111"/>
  <sheetViews>
    <sheetView workbookViewId="0">
      <selection activeCell="A50" sqref="A50"/>
    </sheetView>
  </sheetViews>
  <sheetFormatPr defaultColWidth="12.42578125" defaultRowHeight="12"/>
  <cols>
    <col min="1" max="1" width="5.5703125" style="600" customWidth="1"/>
    <col min="2" max="2" width="31.28515625" style="597" customWidth="1"/>
    <col min="3" max="3" width="12.42578125" style="597" customWidth="1"/>
    <col min="4" max="4" width="6.7109375" style="597" customWidth="1"/>
    <col min="5" max="6" width="12.42578125" style="597" customWidth="1"/>
    <col min="7" max="7" width="11.7109375" style="597" customWidth="1"/>
    <col min="8" max="8" width="12.42578125" style="559" customWidth="1"/>
    <col min="9" max="16384" width="12.42578125" style="597"/>
  </cols>
  <sheetData>
    <row r="1" spans="1:8">
      <c r="A1" s="595" t="str">
        <f>Inputs!$D$6</f>
        <v>AVISTA UTILITIES</v>
      </c>
      <c r="B1" s="596"/>
      <c r="C1" s="595"/>
      <c r="F1" s="600" t="s">
        <v>610</v>
      </c>
    </row>
    <row r="2" spans="1:8">
      <c r="A2" s="595" t="s">
        <v>142</v>
      </c>
      <c r="B2" s="596"/>
      <c r="C2" s="595"/>
      <c r="F2" s="595" t="s">
        <v>251</v>
      </c>
    </row>
    <row r="3" spans="1:8">
      <c r="A3" s="596" t="str">
        <f>WAElec09_08!$A$4</f>
        <v>TWELVE MONTHS ENDED SEPTEMBER 30, 2008</v>
      </c>
      <c r="B3" s="596"/>
      <c r="C3" s="595"/>
      <c r="E3" s="595" t="s">
        <v>252</v>
      </c>
      <c r="F3" s="595"/>
      <c r="G3" s="595"/>
    </row>
    <row r="4" spans="1:8">
      <c r="A4" s="595" t="s">
        <v>1</v>
      </c>
      <c r="B4" s="596"/>
      <c r="C4" s="595"/>
      <c r="E4" s="598" t="s">
        <v>145</v>
      </c>
      <c r="F4" s="598"/>
      <c r="G4" s="599"/>
    </row>
    <row r="5" spans="1:8">
      <c r="A5" s="600" t="s">
        <v>14</v>
      </c>
    </row>
    <row r="6" spans="1:8" s="600" customFormat="1">
      <c r="A6" s="600" t="s">
        <v>146</v>
      </c>
      <c r="B6" s="602" t="s">
        <v>36</v>
      </c>
      <c r="C6" s="602"/>
      <c r="E6" s="602" t="s">
        <v>147</v>
      </c>
      <c r="F6" s="602" t="s">
        <v>148</v>
      </c>
      <c r="G6" s="602" t="s">
        <v>128</v>
      </c>
      <c r="H6" s="567" t="s">
        <v>149</v>
      </c>
    </row>
    <row r="7" spans="1:8">
      <c r="B7" s="604" t="s">
        <v>85</v>
      </c>
    </row>
    <row r="8" spans="1:8" s="607" customFormat="1">
      <c r="A8" s="605">
        <v>1</v>
      </c>
      <c r="B8" s="606" t="s">
        <v>86</v>
      </c>
      <c r="E8" s="608">
        <f>F8+G8</f>
        <v>0</v>
      </c>
      <c r="F8" s="608"/>
      <c r="G8" s="608"/>
      <c r="H8" s="571" t="str">
        <f t="shared" ref="H8:H13" si="0">IF(E8=F8+G8," ","ERROR")</f>
        <v xml:space="preserve"> </v>
      </c>
    </row>
    <row r="9" spans="1:8">
      <c r="A9" s="600">
        <v>2</v>
      </c>
      <c r="B9" s="604" t="s">
        <v>87</v>
      </c>
      <c r="E9" s="609"/>
      <c r="F9" s="609"/>
      <c r="G9" s="609"/>
      <c r="H9" s="571" t="str">
        <f t="shared" si="0"/>
        <v xml:space="preserve"> </v>
      </c>
    </row>
    <row r="10" spans="1:8">
      <c r="A10" s="600">
        <v>3</v>
      </c>
      <c r="B10" s="604" t="s">
        <v>150</v>
      </c>
      <c r="E10" s="609"/>
      <c r="F10" s="609"/>
      <c r="G10" s="609"/>
      <c r="H10" s="571" t="str">
        <f t="shared" si="0"/>
        <v xml:space="preserve"> </v>
      </c>
    </row>
    <row r="11" spans="1:8">
      <c r="A11" s="600">
        <v>4</v>
      </c>
      <c r="B11" s="604" t="s">
        <v>151</v>
      </c>
      <c r="E11" s="610">
        <f>E8+E9+E10</f>
        <v>0</v>
      </c>
      <c r="F11" s="610">
        <f>F8+F9+F10</f>
        <v>0</v>
      </c>
      <c r="G11" s="610">
        <f>G8+G9+G10</f>
        <v>0</v>
      </c>
      <c r="H11" s="571" t="str">
        <f t="shared" si="0"/>
        <v xml:space="preserve"> </v>
      </c>
    </row>
    <row r="12" spans="1:8">
      <c r="A12" s="600">
        <v>5</v>
      </c>
      <c r="B12" s="604" t="s">
        <v>90</v>
      </c>
      <c r="E12" s="609"/>
      <c r="F12" s="609"/>
      <c r="G12" s="609"/>
      <c r="H12" s="571" t="str">
        <f t="shared" si="0"/>
        <v xml:space="preserve"> </v>
      </c>
    </row>
    <row r="13" spans="1:8">
      <c r="A13" s="600">
        <v>6</v>
      </c>
      <c r="B13" s="604" t="s">
        <v>152</v>
      </c>
      <c r="E13" s="610">
        <f>E11+E12</f>
        <v>0</v>
      </c>
      <c r="F13" s="610">
        <f>F11+F12</f>
        <v>0</v>
      </c>
      <c r="G13" s="610">
        <f>G11+G12</f>
        <v>0</v>
      </c>
      <c r="H13" s="571" t="str">
        <f t="shared" si="0"/>
        <v xml:space="preserve"> </v>
      </c>
    </row>
    <row r="14" spans="1:8">
      <c r="E14" s="612"/>
      <c r="F14" s="612"/>
      <c r="G14" s="612"/>
      <c r="H14" s="571"/>
    </row>
    <row r="15" spans="1:8">
      <c r="B15" s="604" t="s">
        <v>92</v>
      </c>
      <c r="E15" s="612"/>
      <c r="F15" s="612"/>
      <c r="G15" s="612"/>
      <c r="H15" s="571"/>
    </row>
    <row r="16" spans="1:8">
      <c r="B16" s="604" t="s">
        <v>93</v>
      </c>
      <c r="E16" s="612"/>
      <c r="F16" s="612"/>
      <c r="G16" s="612"/>
      <c r="H16" s="571"/>
    </row>
    <row r="17" spans="1:8">
      <c r="A17" s="600">
        <v>7</v>
      </c>
      <c r="B17" s="604" t="s">
        <v>153</v>
      </c>
      <c r="E17" s="609"/>
      <c r="F17" s="609"/>
      <c r="G17" s="609"/>
      <c r="H17" s="571" t="str">
        <f>IF(E17=F17+G17," ","ERROR")</f>
        <v xml:space="preserve"> </v>
      </c>
    </row>
    <row r="18" spans="1:8">
      <c r="A18" s="600">
        <v>8</v>
      </c>
      <c r="B18" s="604" t="s">
        <v>154</v>
      </c>
      <c r="E18" s="609"/>
      <c r="F18" s="609"/>
      <c r="G18" s="609"/>
      <c r="H18" s="571" t="str">
        <f>IF(E18=F18+G18," ","ERROR")</f>
        <v xml:space="preserve"> </v>
      </c>
    </row>
    <row r="19" spans="1:8">
      <c r="A19" s="600">
        <v>9</v>
      </c>
      <c r="B19" s="604" t="s">
        <v>155</v>
      </c>
      <c r="E19" s="609"/>
      <c r="F19" s="609"/>
      <c r="G19" s="609"/>
      <c r="H19" s="571" t="str">
        <f>IF(E19=F19+G19," ","ERROR")</f>
        <v xml:space="preserve"> </v>
      </c>
    </row>
    <row r="20" spans="1:8">
      <c r="A20" s="600">
        <v>10</v>
      </c>
      <c r="B20" s="604" t="s">
        <v>156</v>
      </c>
      <c r="E20" s="609"/>
      <c r="F20" s="609"/>
      <c r="G20" s="609"/>
      <c r="H20" s="571" t="str">
        <f>IF(E20=F20+G20," ","ERROR")</f>
        <v xml:space="preserve"> </v>
      </c>
    </row>
    <row r="21" spans="1:8">
      <c r="A21" s="600">
        <v>11</v>
      </c>
      <c r="B21" s="604" t="s">
        <v>157</v>
      </c>
      <c r="E21" s="610">
        <f>E17+E18+E19+E20</f>
        <v>0</v>
      </c>
      <c r="F21" s="610">
        <f>F17+F18+F19+F20</f>
        <v>0</v>
      </c>
      <c r="G21" s="610">
        <f>G17+G18+G19+G20</f>
        <v>0</v>
      </c>
      <c r="H21" s="571" t="str">
        <f>IF(E21=F21+G21," ","ERROR")</f>
        <v xml:space="preserve"> </v>
      </c>
    </row>
    <row r="22" spans="1:8">
      <c r="E22" s="612"/>
      <c r="F22" s="612"/>
      <c r="G22" s="612"/>
      <c r="H22" s="571"/>
    </row>
    <row r="23" spans="1:8">
      <c r="B23" s="604" t="s">
        <v>98</v>
      </c>
      <c r="E23" s="612"/>
      <c r="F23" s="612"/>
      <c r="G23" s="612"/>
      <c r="H23" s="571"/>
    </row>
    <row r="24" spans="1:8">
      <c r="A24" s="600">
        <v>12</v>
      </c>
      <c r="B24" s="604" t="s">
        <v>153</v>
      </c>
      <c r="E24" s="609"/>
      <c r="F24" s="609"/>
      <c r="G24" s="609"/>
      <c r="H24" s="571" t="str">
        <f>IF(E24=F24+G24," ","ERROR")</f>
        <v xml:space="preserve"> </v>
      </c>
    </row>
    <row r="25" spans="1:8">
      <c r="A25" s="600">
        <v>13</v>
      </c>
      <c r="B25" s="604" t="s">
        <v>158</v>
      </c>
      <c r="E25" s="609"/>
      <c r="F25" s="609"/>
      <c r="G25" s="609"/>
      <c r="H25" s="571" t="str">
        <f>IF(E25=F25+G25," ","ERROR")</f>
        <v xml:space="preserve"> </v>
      </c>
    </row>
    <row r="26" spans="1:8">
      <c r="A26" s="600">
        <v>14</v>
      </c>
      <c r="B26" s="604" t="s">
        <v>156</v>
      </c>
      <c r="E26" s="609">
        <f>F26+G26</f>
        <v>0</v>
      </c>
      <c r="F26" s="609"/>
      <c r="G26" s="609">
        <f>G109</f>
        <v>0</v>
      </c>
      <c r="H26" s="571" t="str">
        <f>IF(E26=F26+G26," ","ERROR")</f>
        <v xml:space="preserve"> </v>
      </c>
    </row>
    <row r="27" spans="1:8">
      <c r="A27" s="600">
        <v>15</v>
      </c>
      <c r="B27" s="604" t="s">
        <v>159</v>
      </c>
      <c r="E27" s="610">
        <f>E24+E25+E26</f>
        <v>0</v>
      </c>
      <c r="F27" s="610">
        <f>F24+F25+F26</f>
        <v>0</v>
      </c>
      <c r="G27" s="610">
        <f>G24+G25+G26</f>
        <v>0</v>
      </c>
      <c r="H27" s="571" t="str">
        <f>IF(E27=F27+G27," ","ERROR")</f>
        <v xml:space="preserve"> </v>
      </c>
    </row>
    <row r="28" spans="1:8">
      <c r="E28" s="612"/>
      <c r="F28" s="612"/>
      <c r="G28" s="612"/>
      <c r="H28" s="571"/>
    </row>
    <row r="29" spans="1:8">
      <c r="A29" s="600">
        <v>16</v>
      </c>
      <c r="B29" s="604" t="s">
        <v>101</v>
      </c>
      <c r="E29" s="609"/>
      <c r="F29" s="609"/>
      <c r="G29" s="609"/>
      <c r="H29" s="571" t="str">
        <f>IF(E29=F29+G29," ","ERROR")</f>
        <v xml:space="preserve"> </v>
      </c>
    </row>
    <row r="30" spans="1:8">
      <c r="A30" s="600">
        <v>17</v>
      </c>
      <c r="B30" s="604" t="s">
        <v>102</v>
      </c>
      <c r="E30" s="609"/>
      <c r="F30" s="609"/>
      <c r="G30" s="609"/>
      <c r="H30" s="571" t="str">
        <f>IF(E30=F30+G30," ","ERROR")</f>
        <v xml:space="preserve"> </v>
      </c>
    </row>
    <row r="31" spans="1:8">
      <c r="A31" s="600">
        <v>18</v>
      </c>
      <c r="B31" s="604" t="s">
        <v>160</v>
      </c>
      <c r="E31" s="609"/>
      <c r="F31" s="609"/>
      <c r="G31" s="609"/>
      <c r="H31" s="571" t="str">
        <f>IF(E31=F31+G31," ","ERROR")</f>
        <v xml:space="preserve"> </v>
      </c>
    </row>
    <row r="32" spans="1:8">
      <c r="E32" s="612"/>
      <c r="F32" s="612"/>
      <c r="G32" s="612"/>
      <c r="H32" s="571"/>
    </row>
    <row r="33" spans="1:8">
      <c r="B33" s="604" t="s">
        <v>104</v>
      </c>
      <c r="E33" s="612"/>
      <c r="F33" s="612"/>
      <c r="G33" s="612"/>
      <c r="H33" s="571"/>
    </row>
    <row r="34" spans="1:8">
      <c r="A34" s="600">
        <v>19</v>
      </c>
      <c r="B34" s="604" t="s">
        <v>153</v>
      </c>
      <c r="E34" s="609"/>
      <c r="F34" s="609"/>
      <c r="G34" s="609"/>
      <c r="H34" s="571" t="str">
        <f>IF(E34=F34+G34," ","ERROR")</f>
        <v xml:space="preserve"> </v>
      </c>
    </row>
    <row r="35" spans="1:8">
      <c r="A35" s="600">
        <v>20</v>
      </c>
      <c r="B35" s="604" t="s">
        <v>158</v>
      </c>
      <c r="E35" s="609"/>
      <c r="F35" s="609"/>
      <c r="G35" s="609"/>
      <c r="H35" s="571" t="str">
        <f>IF(E35=F35+G35," ","ERROR")</f>
        <v xml:space="preserve"> </v>
      </c>
    </row>
    <row r="36" spans="1:8">
      <c r="A36" s="600">
        <v>21</v>
      </c>
      <c r="B36" s="604" t="s">
        <v>156</v>
      </c>
      <c r="E36" s="609"/>
      <c r="F36" s="609"/>
      <c r="G36" s="609"/>
      <c r="H36" s="571" t="str">
        <f>IF(E36=F36+G36," ","ERROR")</f>
        <v xml:space="preserve"> </v>
      </c>
    </row>
    <row r="37" spans="1:8">
      <c r="A37" s="600">
        <v>22</v>
      </c>
      <c r="B37" s="604" t="s">
        <v>161</v>
      </c>
      <c r="E37" s="613">
        <f>E34+E35+E36</f>
        <v>0</v>
      </c>
      <c r="F37" s="613">
        <f>F34+F35+F36</f>
        <v>0</v>
      </c>
      <c r="G37" s="613">
        <f>G34+G35+G36</f>
        <v>0</v>
      </c>
      <c r="H37" s="571" t="str">
        <f>IF(E37=F37+G37," ","ERROR")</f>
        <v xml:space="preserve"> </v>
      </c>
    </row>
    <row r="38" spans="1:8">
      <c r="A38" s="600">
        <v>23</v>
      </c>
      <c r="B38" s="604" t="s">
        <v>106</v>
      </c>
      <c r="E38" s="614">
        <f>E21+E27+E29+E30+E31+E37</f>
        <v>0</v>
      </c>
      <c r="F38" s="614">
        <f>F21+F27+F29+F30+F31+F37</f>
        <v>0</v>
      </c>
      <c r="G38" s="614">
        <f>G21+G27+G29+G30+G31+G37</f>
        <v>0</v>
      </c>
      <c r="H38" s="571" t="str">
        <f>IF(E38=F38+G38," ","ERROR")</f>
        <v xml:space="preserve"> </v>
      </c>
    </row>
    <row r="39" spans="1:8">
      <c r="E39" s="612"/>
      <c r="F39" s="612"/>
      <c r="G39" s="612"/>
      <c r="H39" s="571"/>
    </row>
    <row r="40" spans="1:8">
      <c r="A40" s="600">
        <v>24</v>
      </c>
      <c r="B40" s="604" t="s">
        <v>162</v>
      </c>
      <c r="E40" s="612">
        <f>E13-E38</f>
        <v>0</v>
      </c>
      <c r="F40" s="612">
        <f>F13-F38</f>
        <v>0</v>
      </c>
      <c r="G40" s="612">
        <f>G13-G38</f>
        <v>0</v>
      </c>
      <c r="H40" s="571" t="str">
        <f>IF(E40=F40+G40," ","ERROR")</f>
        <v xml:space="preserve"> </v>
      </c>
    </row>
    <row r="41" spans="1:8">
      <c r="B41" s="604"/>
      <c r="E41" s="612"/>
      <c r="F41" s="612"/>
      <c r="G41" s="612"/>
      <c r="H41" s="571"/>
    </row>
    <row r="42" spans="1:8">
      <c r="B42" s="604" t="s">
        <v>163</v>
      </c>
      <c r="E42" s="612"/>
      <c r="F42" s="612"/>
      <c r="G42" s="612"/>
      <c r="H42" s="571"/>
    </row>
    <row r="43" spans="1:8">
      <c r="A43" s="600">
        <v>25</v>
      </c>
      <c r="B43" s="604" t="s">
        <v>222</v>
      </c>
      <c r="E43" s="609">
        <f>F43+G43</f>
        <v>1715</v>
      </c>
      <c r="F43" s="609">
        <f>8+1707</f>
        <v>1715</v>
      </c>
      <c r="G43" s="609">
        <v>0</v>
      </c>
      <c r="H43" s="571" t="str">
        <f>IF(E43=F43+G43," ","ERROR")</f>
        <v xml:space="preserve"> </v>
      </c>
    </row>
    <row r="44" spans="1:8">
      <c r="A44" s="600">
        <v>26</v>
      </c>
      <c r="B44" s="604" t="s">
        <v>165</v>
      </c>
      <c r="E44" s="609">
        <f>F44+G44</f>
        <v>36</v>
      </c>
      <c r="F44" s="609">
        <v>36</v>
      </c>
      <c r="G44" s="609">
        <v>0</v>
      </c>
      <c r="H44" s="571" t="str">
        <f>IF(E44=F44+G44," ","ERROR")</f>
        <v xml:space="preserve"> </v>
      </c>
    </row>
    <row r="45" spans="1:8" ht="12.75">
      <c r="B45" s="604"/>
      <c r="C45"/>
      <c r="D45"/>
      <c r="E45" s="615"/>
      <c r="F45" s="615"/>
      <c r="G45" s="615"/>
      <c r="H45" s="571" t="str">
        <f>IF(E45=F45+G45," ","ERROR")</f>
        <v xml:space="preserve"> </v>
      </c>
    </row>
    <row r="46" spans="1:8">
      <c r="A46" s="259"/>
      <c r="B46" s="262"/>
      <c r="C46" s="256"/>
      <c r="D46" s="256"/>
      <c r="E46" s="269"/>
      <c r="F46" s="269"/>
      <c r="G46" s="269"/>
      <c r="H46" s="571"/>
    </row>
    <row r="47" spans="1:8" s="607" customFormat="1">
      <c r="A47" s="263">
        <v>27</v>
      </c>
      <c r="B47" s="264" t="s">
        <v>113</v>
      </c>
      <c r="C47" s="265"/>
      <c r="D47" s="265"/>
      <c r="E47" s="273">
        <f>E40-SUM(E43:E45)</f>
        <v>-1751</v>
      </c>
      <c r="F47" s="273">
        <f>F40-SUM(F43:F45)</f>
        <v>-1751</v>
      </c>
      <c r="G47" s="273">
        <f>G40-SUM(G43:G45)</f>
        <v>0</v>
      </c>
      <c r="H47" s="571" t="str">
        <f>IF(E47=F47+G47," ","ERROR")</f>
        <v xml:space="preserve"> </v>
      </c>
    </row>
    <row r="48" spans="1:8">
      <c r="A48" s="259"/>
      <c r="H48" s="571"/>
    </row>
    <row r="49" spans="1:8" ht="12.75" customHeight="1">
      <c r="A49" s="259"/>
      <c r="B49" s="604" t="s">
        <v>114</v>
      </c>
      <c r="H49" s="571"/>
    </row>
    <row r="50" spans="1:8">
      <c r="A50" s="259"/>
      <c r="B50" s="604" t="s">
        <v>115</v>
      </c>
      <c r="H50" s="571"/>
    </row>
    <row r="51" spans="1:8" s="607" customFormat="1">
      <c r="A51" s="263">
        <v>28</v>
      </c>
      <c r="B51" s="606" t="s">
        <v>167</v>
      </c>
      <c r="E51" s="608"/>
      <c r="F51" s="608"/>
      <c r="G51" s="608"/>
      <c r="H51" s="571" t="str">
        <f t="shared" ref="H51:H61" si="1">IF(E51=F51+G51," ","ERROR")</f>
        <v xml:space="preserve"> </v>
      </c>
    </row>
    <row r="52" spans="1:8">
      <c r="A52" s="259">
        <v>29</v>
      </c>
      <c r="B52" s="604" t="s">
        <v>168</v>
      </c>
      <c r="E52" s="609"/>
      <c r="F52" s="609"/>
      <c r="G52" s="609"/>
      <c r="H52" s="571" t="str">
        <f t="shared" si="1"/>
        <v xml:space="preserve"> </v>
      </c>
    </row>
    <row r="53" spans="1:8">
      <c r="A53" s="259">
        <v>30</v>
      </c>
      <c r="B53" s="604" t="s">
        <v>169</v>
      </c>
      <c r="E53" s="609"/>
      <c r="F53" s="609"/>
      <c r="G53" s="609"/>
      <c r="H53" s="571" t="str">
        <f t="shared" si="1"/>
        <v xml:space="preserve"> </v>
      </c>
    </row>
    <row r="54" spans="1:8">
      <c r="A54" s="259">
        <v>31</v>
      </c>
      <c r="B54" s="604" t="s">
        <v>170</v>
      </c>
      <c r="E54" s="609"/>
      <c r="F54" s="609"/>
      <c r="G54" s="609"/>
      <c r="H54" s="571" t="str">
        <f t="shared" si="1"/>
        <v xml:space="preserve"> </v>
      </c>
    </row>
    <row r="55" spans="1:8">
      <c r="A55" s="259">
        <v>32</v>
      </c>
      <c r="B55" s="604" t="s">
        <v>171</v>
      </c>
      <c r="E55" s="615"/>
      <c r="F55" s="615"/>
      <c r="G55" s="615"/>
      <c r="H55" s="571" t="str">
        <f t="shared" si="1"/>
        <v xml:space="preserve"> </v>
      </c>
    </row>
    <row r="56" spans="1:8">
      <c r="A56" s="259">
        <v>33</v>
      </c>
      <c r="B56" s="604" t="s">
        <v>172</v>
      </c>
      <c r="E56" s="612">
        <f>E51+E52+E53+E54+E55</f>
        <v>0</v>
      </c>
      <c r="F56" s="612">
        <f>F51+F52+F53+F54+F55</f>
        <v>0</v>
      </c>
      <c r="G56" s="612">
        <f>G51+G52+G53+G54+G55</f>
        <v>0</v>
      </c>
      <c r="H56" s="571" t="str">
        <f t="shared" si="1"/>
        <v xml:space="preserve"> </v>
      </c>
    </row>
    <row r="57" spans="1:8">
      <c r="A57" s="259">
        <v>34</v>
      </c>
      <c r="B57" s="604" t="s">
        <v>121</v>
      </c>
      <c r="E57" s="609"/>
      <c r="F57" s="609"/>
      <c r="G57" s="609"/>
      <c r="H57" s="571" t="str">
        <f t="shared" si="1"/>
        <v xml:space="preserve"> </v>
      </c>
    </row>
    <row r="58" spans="1:8">
      <c r="A58" s="259">
        <v>35</v>
      </c>
      <c r="B58" s="604" t="s">
        <v>122</v>
      </c>
      <c r="E58" s="615"/>
      <c r="F58" s="615"/>
      <c r="G58" s="615"/>
      <c r="H58" s="571" t="str">
        <f t="shared" si="1"/>
        <v xml:space="preserve"> </v>
      </c>
    </row>
    <row r="59" spans="1:8">
      <c r="A59" s="259">
        <v>36</v>
      </c>
      <c r="B59" s="604" t="s">
        <v>173</v>
      </c>
      <c r="E59" s="612">
        <f>E57+E58</f>
        <v>0</v>
      </c>
      <c r="F59" s="612">
        <f>F57+F58</f>
        <v>0</v>
      </c>
      <c r="G59" s="612">
        <f>G57+G58</f>
        <v>0</v>
      </c>
      <c r="H59" s="571" t="str">
        <f t="shared" si="1"/>
        <v xml:space="preserve"> </v>
      </c>
    </row>
    <row r="60" spans="1:8">
      <c r="A60" s="259">
        <v>37</v>
      </c>
      <c r="B60" s="604" t="s">
        <v>124</v>
      </c>
      <c r="E60" s="609"/>
      <c r="F60" s="609"/>
      <c r="G60" s="609"/>
      <c r="H60" s="571" t="str">
        <f t="shared" si="1"/>
        <v xml:space="preserve"> </v>
      </c>
    </row>
    <row r="61" spans="1:8">
      <c r="A61" s="259">
        <v>38</v>
      </c>
      <c r="B61" s="604" t="s">
        <v>125</v>
      </c>
      <c r="E61" s="615"/>
      <c r="F61" s="615"/>
      <c r="G61" s="615"/>
      <c r="H61" s="571" t="str">
        <f t="shared" si="1"/>
        <v xml:space="preserve"> </v>
      </c>
    </row>
    <row r="62" spans="1:8">
      <c r="A62" s="259"/>
      <c r="H62" s="571"/>
    </row>
    <row r="63" spans="1:8" s="607" customFormat="1" ht="12.75" thickBot="1">
      <c r="A63" s="263">
        <v>39</v>
      </c>
      <c r="B63" s="606" t="s">
        <v>126</v>
      </c>
      <c r="E63" s="617">
        <f>E56-E59+E60+E61</f>
        <v>0</v>
      </c>
      <c r="F63" s="617">
        <f>F56-F59+F60+F61</f>
        <v>0</v>
      </c>
      <c r="G63" s="617">
        <f>G56-G59+G60+G61</f>
        <v>0</v>
      </c>
      <c r="H63" s="571" t="str">
        <f>IF(E63=F63+G63," ","ERROR")</f>
        <v xml:space="preserve"> </v>
      </c>
    </row>
    <row r="64" spans="1:8" ht="12.75" thickTop="1">
      <c r="A64" s="603"/>
      <c r="B64" s="601"/>
      <c r="C64" s="601"/>
      <c r="D64" s="601"/>
      <c r="E64" s="601"/>
      <c r="F64" s="601"/>
      <c r="G64" s="601"/>
    </row>
    <row r="65" spans="1:8">
      <c r="A65" s="618"/>
      <c r="B65" s="618"/>
      <c r="C65" s="618"/>
      <c r="D65" s="619"/>
      <c r="E65" s="620"/>
      <c r="F65" s="619"/>
      <c r="G65" s="621"/>
      <c r="H65" s="583"/>
    </row>
    <row r="66" spans="1:8">
      <c r="A66" s="618"/>
      <c r="B66" s="618"/>
      <c r="C66" s="618"/>
      <c r="D66" s="619"/>
      <c r="E66" s="620"/>
      <c r="F66" s="619"/>
      <c r="G66" s="621"/>
      <c r="H66" s="583"/>
    </row>
    <row r="67" spans="1:8">
      <c r="A67" s="618"/>
      <c r="B67" s="618"/>
      <c r="C67" s="618"/>
      <c r="D67" s="619"/>
      <c r="E67" s="620"/>
      <c r="F67" s="619"/>
      <c r="G67" s="622"/>
      <c r="H67" s="583"/>
    </row>
    <row r="68" spans="1:8">
      <c r="A68" s="618"/>
      <c r="B68" s="618"/>
      <c r="C68" s="618"/>
      <c r="D68" s="619"/>
      <c r="E68" s="620"/>
      <c r="F68" s="619"/>
      <c r="G68" s="622"/>
      <c r="H68" s="583"/>
    </row>
    <row r="69" spans="1:8">
      <c r="A69" s="603"/>
      <c r="B69" s="619"/>
      <c r="C69" s="619"/>
      <c r="D69" s="619"/>
      <c r="E69" s="620"/>
      <c r="F69" s="619"/>
      <c r="G69" s="622"/>
      <c r="H69" s="587"/>
    </row>
    <row r="70" spans="1:8">
      <c r="A70" s="603"/>
      <c r="B70" s="619"/>
      <c r="C70" s="619"/>
      <c r="D70" s="619"/>
      <c r="E70" s="620"/>
      <c r="F70" s="619"/>
      <c r="G70" s="622"/>
      <c r="H70" s="583"/>
    </row>
    <row r="71" spans="1:8">
      <c r="A71" s="603"/>
      <c r="B71" s="623"/>
      <c r="C71" s="619"/>
      <c r="D71" s="619"/>
      <c r="E71" s="620"/>
      <c r="F71" s="619"/>
      <c r="G71" s="622"/>
      <c r="H71" s="583"/>
    </row>
    <row r="72" spans="1:8">
      <c r="A72" s="603"/>
      <c r="B72" s="624"/>
      <c r="C72" s="619"/>
      <c r="D72" s="619"/>
      <c r="E72" s="619"/>
      <c r="F72" s="619"/>
      <c r="G72" s="621"/>
      <c r="H72" s="582"/>
    </row>
    <row r="73" spans="1:8">
      <c r="A73" s="603"/>
      <c r="B73" s="625"/>
      <c r="C73" s="619"/>
      <c r="D73" s="619"/>
      <c r="E73" s="619"/>
      <c r="F73" s="619"/>
      <c r="G73" s="616"/>
      <c r="H73" s="582"/>
    </row>
    <row r="74" spans="1:8">
      <c r="A74" s="603"/>
      <c r="B74" s="624"/>
      <c r="C74" s="619"/>
      <c r="D74" s="619"/>
      <c r="E74" s="619"/>
      <c r="F74" s="619"/>
      <c r="G74" s="611"/>
      <c r="H74" s="582"/>
    </row>
    <row r="75" spans="1:8">
      <c r="A75" s="603"/>
      <c r="B75" s="624"/>
      <c r="C75" s="619"/>
      <c r="D75" s="619"/>
      <c r="E75" s="619"/>
      <c r="F75" s="619"/>
      <c r="G75" s="611"/>
      <c r="H75" s="582"/>
    </row>
    <row r="76" spans="1:8">
      <c r="A76" s="603"/>
      <c r="B76" s="624"/>
      <c r="C76" s="619"/>
      <c r="D76" s="619"/>
      <c r="E76" s="619"/>
      <c r="F76" s="619"/>
      <c r="G76" s="611"/>
      <c r="H76" s="582"/>
    </row>
    <row r="77" spans="1:8">
      <c r="A77" s="603"/>
      <c r="B77" s="624"/>
      <c r="C77" s="619"/>
      <c r="D77" s="619"/>
      <c r="E77" s="619"/>
      <c r="F77" s="619"/>
      <c r="G77" s="611"/>
      <c r="H77" s="582"/>
    </row>
    <row r="78" spans="1:8">
      <c r="A78" s="603"/>
      <c r="B78" s="624"/>
      <c r="C78" s="619"/>
      <c r="D78" s="619"/>
      <c r="E78" s="619"/>
      <c r="F78" s="619"/>
      <c r="G78" s="611"/>
      <c r="H78" s="582"/>
    </row>
    <row r="79" spans="1:8">
      <c r="A79" s="603"/>
      <c r="B79" s="601"/>
      <c r="C79" s="619"/>
      <c r="D79" s="619"/>
      <c r="E79" s="619"/>
      <c r="F79" s="619"/>
      <c r="G79" s="611"/>
      <c r="H79" s="582"/>
    </row>
    <row r="80" spans="1:8">
      <c r="A80" s="603"/>
      <c r="B80" s="624"/>
      <c r="C80" s="619"/>
      <c r="D80" s="619"/>
      <c r="E80" s="619"/>
      <c r="F80" s="619"/>
      <c r="G80" s="611"/>
      <c r="H80" s="582"/>
    </row>
    <row r="81" spans="1:8">
      <c r="A81" s="603"/>
      <c r="B81" s="624"/>
      <c r="C81" s="619"/>
      <c r="D81" s="619"/>
      <c r="E81" s="619"/>
      <c r="F81" s="619"/>
      <c r="G81" s="611"/>
      <c r="H81" s="582"/>
    </row>
    <row r="82" spans="1:8">
      <c r="A82" s="603"/>
      <c r="B82" s="624"/>
      <c r="C82" s="619"/>
      <c r="D82" s="619"/>
      <c r="E82" s="619"/>
      <c r="F82" s="619"/>
      <c r="G82" s="611"/>
      <c r="H82" s="582"/>
    </row>
    <row r="83" spans="1:8">
      <c r="A83" s="603"/>
      <c r="B83" s="624"/>
      <c r="C83" s="619"/>
      <c r="D83" s="619"/>
      <c r="E83" s="619"/>
      <c r="F83" s="619"/>
      <c r="G83" s="611"/>
      <c r="H83" s="582"/>
    </row>
    <row r="84" spans="1:8">
      <c r="A84" s="603"/>
      <c r="B84" s="624"/>
      <c r="C84" s="619"/>
      <c r="D84" s="619"/>
      <c r="E84" s="619"/>
      <c r="F84" s="619"/>
      <c r="G84" s="611"/>
      <c r="H84" s="582"/>
    </row>
    <row r="85" spans="1:8">
      <c r="A85" s="603"/>
      <c r="B85" s="624"/>
      <c r="C85" s="619"/>
      <c r="D85" s="619"/>
      <c r="E85" s="619"/>
      <c r="F85" s="619"/>
      <c r="G85" s="611"/>
      <c r="H85" s="582"/>
    </row>
    <row r="86" spans="1:8">
      <c r="A86" s="603"/>
      <c r="B86" s="624"/>
      <c r="C86" s="619"/>
      <c r="D86" s="619"/>
      <c r="E86" s="619"/>
      <c r="F86" s="619"/>
      <c r="G86" s="611"/>
      <c r="H86" s="582"/>
    </row>
    <row r="87" spans="1:8">
      <c r="A87" s="603"/>
      <c r="B87" s="601"/>
      <c r="C87" s="619"/>
      <c r="D87" s="619"/>
      <c r="E87" s="619"/>
      <c r="F87" s="619"/>
      <c r="G87" s="611"/>
      <c r="H87" s="582"/>
    </row>
    <row r="88" spans="1:8">
      <c r="A88" s="603"/>
      <c r="B88" s="624"/>
      <c r="C88" s="619"/>
      <c r="D88" s="619"/>
      <c r="E88" s="619"/>
      <c r="F88" s="619"/>
      <c r="G88" s="611"/>
      <c r="H88" s="582"/>
    </row>
    <row r="89" spans="1:8">
      <c r="A89" s="603"/>
      <c r="B89" s="624"/>
      <c r="C89" s="619"/>
      <c r="D89" s="619"/>
      <c r="E89" s="619"/>
      <c r="F89" s="619"/>
      <c r="G89" s="611"/>
      <c r="H89" s="582"/>
    </row>
    <row r="90" spans="1:8">
      <c r="A90" s="603"/>
      <c r="B90" s="624"/>
      <c r="C90" s="619"/>
      <c r="D90" s="619"/>
      <c r="E90" s="619"/>
      <c r="F90" s="619"/>
      <c r="G90" s="611"/>
      <c r="H90" s="582"/>
    </row>
    <row r="91" spans="1:8">
      <c r="A91" s="601"/>
      <c r="B91" s="624"/>
      <c r="C91" s="619"/>
      <c r="D91" s="619"/>
      <c r="E91" s="619"/>
      <c r="F91" s="619"/>
      <c r="G91" s="611"/>
      <c r="H91" s="582"/>
    </row>
    <row r="92" spans="1:8">
      <c r="A92" s="601"/>
      <c r="B92" s="624"/>
      <c r="C92" s="619"/>
      <c r="D92" s="619"/>
      <c r="E92" s="619"/>
      <c r="F92" s="619"/>
      <c r="G92" s="611"/>
      <c r="H92" s="582"/>
    </row>
    <row r="93" spans="1:8">
      <c r="A93" s="601"/>
      <c r="B93" s="601"/>
      <c r="C93" s="619"/>
      <c r="D93" s="619"/>
      <c r="E93" s="619"/>
      <c r="F93" s="619"/>
      <c r="G93" s="611"/>
      <c r="H93" s="582"/>
    </row>
    <row r="94" spans="1:8">
      <c r="A94" s="601"/>
      <c r="B94" s="624"/>
      <c r="C94" s="619"/>
      <c r="D94" s="619"/>
      <c r="E94" s="619"/>
      <c r="F94" s="619"/>
      <c r="G94" s="611"/>
      <c r="H94" s="582"/>
    </row>
    <row r="95" spans="1:8">
      <c r="A95" s="601"/>
      <c r="B95" s="624"/>
      <c r="C95" s="619"/>
      <c r="D95" s="619"/>
      <c r="E95" s="619"/>
      <c r="F95" s="619"/>
      <c r="G95" s="611"/>
      <c r="H95" s="582"/>
    </row>
    <row r="96" spans="1:8">
      <c r="A96" s="601"/>
      <c r="B96" s="624"/>
      <c r="C96" s="619"/>
      <c r="D96" s="619"/>
      <c r="E96" s="619"/>
      <c r="F96" s="619"/>
      <c r="G96" s="611"/>
      <c r="H96" s="582"/>
    </row>
    <row r="97" spans="1:8">
      <c r="A97" s="601"/>
      <c r="B97" s="601"/>
      <c r="C97" s="619"/>
      <c r="D97" s="619"/>
      <c r="E97" s="619"/>
      <c r="F97" s="619"/>
      <c r="G97" s="611"/>
      <c r="H97" s="582"/>
    </row>
    <row r="98" spans="1:8">
      <c r="A98" s="601"/>
      <c r="B98" s="624"/>
      <c r="C98" s="619"/>
      <c r="D98" s="619"/>
      <c r="E98" s="619"/>
      <c r="F98" s="619"/>
      <c r="G98" s="611"/>
      <c r="H98" s="582"/>
    </row>
    <row r="99" spans="1:8">
      <c r="A99" s="601"/>
      <c r="B99" s="624"/>
      <c r="C99" s="619"/>
      <c r="D99" s="619"/>
      <c r="E99" s="619"/>
      <c r="F99" s="619"/>
      <c r="G99" s="611"/>
      <c r="H99" s="582"/>
    </row>
    <row r="100" spans="1:8">
      <c r="A100" s="601"/>
      <c r="B100" s="624"/>
      <c r="C100" s="619"/>
      <c r="D100" s="619"/>
      <c r="E100" s="619"/>
      <c r="F100" s="619"/>
      <c r="G100" s="611"/>
      <c r="H100" s="582"/>
    </row>
    <row r="101" spans="1:8">
      <c r="A101" s="601"/>
      <c r="B101" s="624"/>
      <c r="C101" s="619"/>
      <c r="D101" s="619"/>
      <c r="E101" s="619"/>
      <c r="F101" s="619"/>
      <c r="G101" s="611"/>
      <c r="H101" s="582"/>
    </row>
    <row r="102" spans="1:8">
      <c r="A102" s="601"/>
      <c r="B102" s="624"/>
      <c r="C102" s="619"/>
      <c r="D102" s="619"/>
      <c r="E102" s="619"/>
      <c r="F102" s="619"/>
      <c r="G102" s="611"/>
      <c r="H102" s="582"/>
    </row>
    <row r="103" spans="1:8">
      <c r="A103" s="601"/>
      <c r="B103" s="619"/>
      <c r="C103" s="619"/>
      <c r="D103" s="619"/>
      <c r="E103" s="619"/>
      <c r="F103" s="619"/>
      <c r="G103" s="611"/>
      <c r="H103" s="582"/>
    </row>
    <row r="104" spans="1:8">
      <c r="A104" s="601"/>
      <c r="B104" s="619"/>
      <c r="C104" s="619"/>
      <c r="D104" s="619"/>
      <c r="E104" s="619"/>
      <c r="F104" s="619"/>
      <c r="G104" s="611"/>
      <c r="H104" s="582"/>
    </row>
    <row r="105" spans="1:8">
      <c r="A105" s="601"/>
      <c r="B105" s="619"/>
      <c r="C105" s="619"/>
      <c r="D105" s="619"/>
      <c r="E105" s="619"/>
      <c r="F105" s="619"/>
      <c r="G105" s="611"/>
      <c r="H105" s="582"/>
    </row>
    <row r="106" spans="1:8">
      <c r="A106" s="601"/>
      <c r="B106" s="619"/>
      <c r="C106" s="619"/>
      <c r="D106" s="619"/>
      <c r="E106" s="619"/>
      <c r="F106" s="619"/>
      <c r="G106" s="611"/>
      <c r="H106" s="582"/>
    </row>
    <row r="107" spans="1:8">
      <c r="A107" s="601"/>
      <c r="B107" s="619"/>
      <c r="C107" s="619"/>
      <c r="D107" s="619"/>
      <c r="E107" s="619"/>
      <c r="F107" s="619"/>
      <c r="G107" s="611"/>
      <c r="H107" s="582"/>
    </row>
    <row r="108" spans="1:8">
      <c r="A108" s="601"/>
      <c r="B108" s="619"/>
      <c r="C108" s="619"/>
      <c r="D108" s="619"/>
      <c r="E108" s="620"/>
      <c r="F108" s="619"/>
      <c r="G108" s="611"/>
      <c r="H108" s="582"/>
    </row>
    <row r="109" spans="1:8">
      <c r="A109" s="601"/>
      <c r="B109" s="623"/>
      <c r="C109" s="626"/>
      <c r="D109" s="619"/>
      <c r="E109" s="620"/>
      <c r="F109" s="619"/>
      <c r="G109" s="616"/>
      <c r="H109" s="582"/>
    </row>
    <row r="110" spans="1:8">
      <c r="A110" s="601"/>
      <c r="B110" s="619"/>
      <c r="C110" s="619"/>
      <c r="D110" s="619"/>
      <c r="E110" s="620"/>
      <c r="F110" s="619"/>
      <c r="G110" s="621"/>
      <c r="H110" s="582"/>
    </row>
    <row r="111" spans="1:8">
      <c r="A111" s="603"/>
      <c r="B111" s="601"/>
      <c r="C111" s="601"/>
      <c r="D111" s="601"/>
      <c r="E111" s="601"/>
      <c r="F111" s="601"/>
      <c r="G111" s="601"/>
    </row>
  </sheetData>
  <customSheetViews>
    <customSheetView guid="{A15D1962-B049-11D2-8670-0000832CEEE8}" showPageBreaks="1" fitToPage="1" showRuler="0" topLeftCell="A58">
      <rowBreaks count="1" manualBreakCount="1">
        <brk id="65" max="65535" man="1"/>
      </rowBreaks>
      <colBreaks count="3" manualBreakCount="3">
        <brk id="8" max="1048575" man="1"/>
        <brk id="9" max="1048575" man="1"/>
        <brk id="18" max="1048575" man="1"/>
      </colBreaks>
      <pageMargins left="1" right="1" top="0.5" bottom="0.5" header="0.5" footer="0.5"/>
      <printOptions horizontalCentered="1"/>
      <pageSetup scale="73" orientation="portrait" horizontalDpi="300" verticalDpi="300" r:id="rId1"/>
      <headerFooter alignWithMargins="0"/>
    </customSheetView>
    <customSheetView guid="{6E1B8C45-B07F-11D2-B0DC-0000832CDFF0}" showPageBreaks="1" fitToPage="1" printArea="1" hiddenColumns="1" showRuler="0">
      <selection activeCell="F43" sqref="F43:G44"/>
      <rowBreaks count="1" manualBreakCount="1">
        <brk id="65" max="65535" man="1"/>
      </rowBreaks>
      <colBreaks count="1" manualBreakCount="1">
        <brk id="8" max="1048575" man="1"/>
      </colBreaks>
      <pageMargins left="1" right="1" top="0.5" bottom="0.5" header="0.5" footer="0.5"/>
      <printOptions horizontalCentered="1"/>
      <pageSetup scale="84" orientation="portrait" horizontalDpi="300" verticalDpi="300" r:id="rId2"/>
      <headerFooter alignWithMargins="0"/>
    </customSheetView>
  </customSheetViews>
  <phoneticPr fontId="0" type="noConversion"/>
  <printOptions horizontalCentered="1"/>
  <pageMargins left="0.75" right="0.75" top="0.5" bottom="0.5" header="0.5" footer="0.5"/>
  <pageSetup scale="90" orientation="portrait" horizontalDpi="300" verticalDpi="300" r:id="rId3"/>
  <headerFooter alignWithMargins="0"/>
  <rowBreaks count="1" manualBreakCount="1">
    <brk id="65" max="65535" man="1"/>
  </rowBreaks>
  <colBreaks count="1" manualBreakCount="1">
    <brk id="7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/>
  <dimension ref="A1:H64"/>
  <sheetViews>
    <sheetView workbookViewId="0">
      <selection activeCell="F45" sqref="F45"/>
    </sheetView>
  </sheetViews>
  <sheetFormatPr defaultColWidth="12.42578125" defaultRowHeight="12"/>
  <cols>
    <col min="1" max="1" width="5.5703125" style="47" customWidth="1"/>
    <col min="2" max="2" width="26.140625" style="44" customWidth="1"/>
    <col min="3" max="3" width="12.42578125" style="44" customWidth="1"/>
    <col min="4" max="4" width="6.7109375" style="44" customWidth="1"/>
    <col min="5" max="16384" width="12.42578125" style="44"/>
  </cols>
  <sheetData>
    <row r="1" spans="1:8">
      <c r="A1" s="42" t="str">
        <f>Inputs!$D$6</f>
        <v>AVISTA UTILITIES</v>
      </c>
      <c r="B1" s="43"/>
      <c r="C1" s="42"/>
    </row>
    <row r="2" spans="1:8">
      <c r="A2" s="42" t="s">
        <v>142</v>
      </c>
      <c r="B2" s="43"/>
      <c r="C2" s="42"/>
      <c r="E2" s="42"/>
      <c r="F2" s="47" t="s">
        <v>266</v>
      </c>
      <c r="G2" s="42"/>
    </row>
    <row r="3" spans="1:8">
      <c r="A3" s="43" t="str">
        <f>WAElec09_08!$A$4</f>
        <v>TWELVE MONTHS ENDED SEPTEMBER 30, 2008</v>
      </c>
      <c r="B3" s="43"/>
      <c r="C3" s="42"/>
      <c r="E3" s="42"/>
      <c r="F3" s="47" t="s">
        <v>267</v>
      </c>
      <c r="G3" s="42"/>
    </row>
    <row r="4" spans="1:8">
      <c r="A4" s="42" t="s">
        <v>1</v>
      </c>
      <c r="B4" s="43"/>
      <c r="C4" s="42"/>
      <c r="E4" s="45"/>
      <c r="F4" s="670" t="s">
        <v>145</v>
      </c>
      <c r="G4" s="46"/>
    </row>
    <row r="5" spans="1:8">
      <c r="A5" s="47" t="s">
        <v>14</v>
      </c>
    </row>
    <row r="6" spans="1:8" s="47" customFormat="1">
      <c r="A6" s="47" t="s">
        <v>146</v>
      </c>
      <c r="B6" s="48" t="s">
        <v>36</v>
      </c>
      <c r="C6" s="48"/>
      <c r="E6" s="48" t="s">
        <v>147</v>
      </c>
      <c r="F6" s="48" t="s">
        <v>148</v>
      </c>
      <c r="G6" s="48" t="s">
        <v>128</v>
      </c>
      <c r="H6" s="49" t="s">
        <v>149</v>
      </c>
    </row>
    <row r="7" spans="1:8">
      <c r="B7" s="50" t="s">
        <v>85</v>
      </c>
    </row>
    <row r="8" spans="1:8" s="53" customFormat="1">
      <c r="A8" s="51">
        <v>1</v>
      </c>
      <c r="B8" s="52" t="s">
        <v>86</v>
      </c>
      <c r="E8" s="54">
        <f>F8+G8</f>
        <v>-32702</v>
      </c>
      <c r="F8" s="54">
        <v>-32702</v>
      </c>
      <c r="G8" s="54"/>
      <c r="H8" s="53" t="str">
        <f t="shared" ref="H8:H13" si="0">IF(E8=F8+G8," ","ERROR")</f>
        <v xml:space="preserve"> </v>
      </c>
    </row>
    <row r="9" spans="1:8">
      <c r="A9" s="47">
        <v>2</v>
      </c>
      <c r="B9" s="50" t="s">
        <v>87</v>
      </c>
      <c r="E9" s="55"/>
      <c r="F9" s="55"/>
      <c r="G9" s="55"/>
      <c r="H9" s="53" t="str">
        <f t="shared" si="0"/>
        <v xml:space="preserve"> </v>
      </c>
    </row>
    <row r="10" spans="1:8">
      <c r="A10" s="47">
        <v>3</v>
      </c>
      <c r="B10" s="50" t="s">
        <v>150</v>
      </c>
      <c r="E10" s="55">
        <f>F10+G10</f>
        <v>0</v>
      </c>
      <c r="F10" s="55"/>
      <c r="G10" s="55"/>
      <c r="H10" s="53" t="str">
        <f t="shared" si="0"/>
        <v xml:space="preserve"> </v>
      </c>
    </row>
    <row r="11" spans="1:8">
      <c r="A11" s="47">
        <v>4</v>
      </c>
      <c r="B11" s="50" t="s">
        <v>151</v>
      </c>
      <c r="E11" s="56">
        <f>E8+E9+E10</f>
        <v>-32702</v>
      </c>
      <c r="F11" s="56">
        <f>F8+F9+F10</f>
        <v>-32702</v>
      </c>
      <c r="G11" s="56">
        <f>G8+G9+G10</f>
        <v>0</v>
      </c>
      <c r="H11" s="53" t="str">
        <f t="shared" si="0"/>
        <v xml:space="preserve"> </v>
      </c>
    </row>
    <row r="12" spans="1:8">
      <c r="A12" s="47">
        <v>5</v>
      </c>
      <c r="B12" s="50" t="s">
        <v>90</v>
      </c>
      <c r="E12" s="55"/>
      <c r="F12" s="55"/>
      <c r="G12" s="55"/>
      <c r="H12" s="53" t="str">
        <f t="shared" si="0"/>
        <v xml:space="preserve"> </v>
      </c>
    </row>
    <row r="13" spans="1:8">
      <c r="A13" s="47">
        <v>6</v>
      </c>
      <c r="B13" s="50" t="s">
        <v>152</v>
      </c>
      <c r="E13" s="56">
        <f>E11+E12</f>
        <v>-32702</v>
      </c>
      <c r="F13" s="56">
        <f>F11+F12</f>
        <v>-32702</v>
      </c>
      <c r="G13" s="56">
        <f>G11+G12</f>
        <v>0</v>
      </c>
      <c r="H13" s="53" t="str">
        <f t="shared" si="0"/>
        <v xml:space="preserve"> </v>
      </c>
    </row>
    <row r="14" spans="1:8">
      <c r="E14" s="58"/>
      <c r="F14" s="58"/>
      <c r="G14" s="58"/>
      <c r="H14" s="53"/>
    </row>
    <row r="15" spans="1:8">
      <c r="B15" s="50" t="s">
        <v>92</v>
      </c>
      <c r="E15" s="58"/>
      <c r="F15" s="58"/>
      <c r="G15" s="58"/>
      <c r="H15" s="53"/>
    </row>
    <row r="16" spans="1:8">
      <c r="B16" s="50" t="s">
        <v>93</v>
      </c>
      <c r="E16" s="58"/>
      <c r="F16" s="58"/>
      <c r="G16" s="58"/>
      <c r="H16" s="53"/>
    </row>
    <row r="17" spans="1:8">
      <c r="A17" s="47">
        <v>7</v>
      </c>
      <c r="B17" s="50" t="s">
        <v>153</v>
      </c>
      <c r="E17" s="55">
        <f>F17+G17</f>
        <v>-17668</v>
      </c>
      <c r="F17" s="55">
        <v>-17668</v>
      </c>
      <c r="G17" s="55"/>
      <c r="H17" s="53" t="str">
        <f>IF(E17=F17+G17," ","ERROR")</f>
        <v xml:space="preserve"> </v>
      </c>
    </row>
    <row r="18" spans="1:8">
      <c r="A18" s="47">
        <v>8</v>
      </c>
      <c r="B18" s="50" t="s">
        <v>154</v>
      </c>
      <c r="E18" s="55">
        <f>F18+G18</f>
        <v>0</v>
      </c>
      <c r="F18" s="55">
        <v>0</v>
      </c>
      <c r="G18" s="55">
        <v>0</v>
      </c>
      <c r="H18" s="53" t="str">
        <f>IF(E18=F18+G18," ","ERROR")</f>
        <v xml:space="preserve"> </v>
      </c>
    </row>
    <row r="19" spans="1:8">
      <c r="A19" s="47">
        <v>9</v>
      </c>
      <c r="B19" s="50" t="s">
        <v>155</v>
      </c>
      <c r="E19" s="55"/>
      <c r="F19" s="55"/>
      <c r="G19" s="55"/>
      <c r="H19" s="53" t="str">
        <f>IF(E19=F19+G19," ","ERROR")</f>
        <v xml:space="preserve"> </v>
      </c>
    </row>
    <row r="20" spans="1:8">
      <c r="A20" s="47">
        <v>10</v>
      </c>
      <c r="B20" s="50" t="s">
        <v>156</v>
      </c>
      <c r="E20" s="55"/>
      <c r="F20" s="55"/>
      <c r="G20" s="55"/>
      <c r="H20" s="53" t="str">
        <f>IF(E20=F20+G20," ","ERROR")</f>
        <v xml:space="preserve"> </v>
      </c>
    </row>
    <row r="21" spans="1:8">
      <c r="A21" s="47">
        <v>11</v>
      </c>
      <c r="B21" s="50" t="s">
        <v>157</v>
      </c>
      <c r="E21" s="56">
        <f>E17+E18+E19+E20</f>
        <v>-17668</v>
      </c>
      <c r="F21" s="56">
        <f>F17+F18+F19+F20</f>
        <v>-17668</v>
      </c>
      <c r="G21" s="56">
        <f>G17+G18+G19+G20</f>
        <v>0</v>
      </c>
      <c r="H21" s="53" t="str">
        <f>IF(E21=F21+G21," ","ERROR")</f>
        <v xml:space="preserve"> </v>
      </c>
    </row>
    <row r="22" spans="1:8">
      <c r="E22" s="58"/>
      <c r="F22" s="58"/>
      <c r="G22" s="58"/>
      <c r="H22" s="53"/>
    </row>
    <row r="23" spans="1:8">
      <c r="B23" s="50" t="s">
        <v>98</v>
      </c>
      <c r="E23" s="58"/>
      <c r="F23" s="58"/>
      <c r="G23" s="58"/>
      <c r="H23" s="53"/>
    </row>
    <row r="24" spans="1:8">
      <c r="A24" s="47">
        <v>12</v>
      </c>
      <c r="B24" s="50" t="s">
        <v>153</v>
      </c>
      <c r="E24" s="55"/>
      <c r="F24" s="55"/>
      <c r="G24" s="55"/>
      <c r="H24" s="53" t="str">
        <f>IF(E24=F24+G24," ","ERROR")</f>
        <v xml:space="preserve"> </v>
      </c>
    </row>
    <row r="25" spans="1:8">
      <c r="A25" s="47">
        <v>13</v>
      </c>
      <c r="B25" s="50" t="s">
        <v>158</v>
      </c>
      <c r="E25" s="55"/>
      <c r="F25" s="55"/>
      <c r="G25" s="55"/>
      <c r="H25" s="53" t="str">
        <f>IF(E25=F25+G25," ","ERROR")</f>
        <v xml:space="preserve"> </v>
      </c>
    </row>
    <row r="26" spans="1:8">
      <c r="A26" s="47">
        <v>14</v>
      </c>
      <c r="B26" s="50" t="s">
        <v>156</v>
      </c>
      <c r="E26" s="55">
        <f>F26+G26</f>
        <v>-1262</v>
      </c>
      <c r="F26" s="55">
        <v>-1262</v>
      </c>
      <c r="G26" s="55">
        <v>0</v>
      </c>
      <c r="H26" s="53" t="str">
        <f>IF(E26=F26+G26," ","ERROR")</f>
        <v xml:space="preserve"> </v>
      </c>
    </row>
    <row r="27" spans="1:8">
      <c r="A27" s="47">
        <v>15</v>
      </c>
      <c r="B27" s="50" t="s">
        <v>159</v>
      </c>
      <c r="E27" s="56">
        <f>E24+E25+E26</f>
        <v>-1262</v>
      </c>
      <c r="F27" s="56">
        <f>F24+F25+F26</f>
        <v>-1262</v>
      </c>
      <c r="G27" s="56">
        <f>G24+G25+G26</f>
        <v>0</v>
      </c>
      <c r="H27" s="53" t="str">
        <f>IF(E27=F27+G27," ","ERROR")</f>
        <v xml:space="preserve"> </v>
      </c>
    </row>
    <row r="28" spans="1:8">
      <c r="E28" s="58"/>
      <c r="F28" s="58"/>
      <c r="G28" s="58"/>
      <c r="H28" s="53"/>
    </row>
    <row r="29" spans="1:8">
      <c r="A29" s="47">
        <v>16</v>
      </c>
      <c r="B29" s="50" t="s">
        <v>101</v>
      </c>
      <c r="E29" s="55">
        <f>F29+G29</f>
        <v>-104</v>
      </c>
      <c r="F29" s="55">
        <v>-104</v>
      </c>
      <c r="G29" s="55"/>
      <c r="H29" s="53" t="str">
        <f>IF(E29=F29+G29," ","ERROR")</f>
        <v xml:space="preserve"> </v>
      </c>
    </row>
    <row r="30" spans="1:8">
      <c r="A30" s="47">
        <v>17</v>
      </c>
      <c r="B30" s="50" t="s">
        <v>102</v>
      </c>
      <c r="E30" s="55"/>
      <c r="F30" s="55"/>
      <c r="G30" s="55"/>
      <c r="H30" s="53" t="str">
        <f>IF(E30=F30+G30," ","ERROR")</f>
        <v xml:space="preserve"> </v>
      </c>
    </row>
    <row r="31" spans="1:8">
      <c r="A31" s="47">
        <v>18</v>
      </c>
      <c r="B31" s="50" t="s">
        <v>160</v>
      </c>
      <c r="E31" s="55"/>
      <c r="F31" s="55"/>
      <c r="G31" s="55"/>
      <c r="H31" s="53" t="str">
        <f>IF(E31=F31+G31," ","ERROR")</f>
        <v xml:space="preserve"> </v>
      </c>
    </row>
    <row r="32" spans="1:8">
      <c r="E32" s="58"/>
      <c r="F32" s="58"/>
      <c r="G32" s="58"/>
      <c r="H32" s="53"/>
    </row>
    <row r="33" spans="1:8">
      <c r="B33" s="50" t="s">
        <v>104</v>
      </c>
      <c r="E33" s="58"/>
      <c r="F33" s="58"/>
      <c r="G33" s="58"/>
      <c r="H33" s="53"/>
    </row>
    <row r="34" spans="1:8">
      <c r="A34" s="47">
        <v>19</v>
      </c>
      <c r="B34" s="50" t="s">
        <v>153</v>
      </c>
      <c r="E34" s="55">
        <f>SUM(F34:G34)</f>
        <v>-62</v>
      </c>
      <c r="F34" s="55">
        <v>-62</v>
      </c>
      <c r="G34" s="55"/>
      <c r="H34" s="53" t="str">
        <f>IF(E34=F34+G34," ","ERROR")</f>
        <v xml:space="preserve"> </v>
      </c>
    </row>
    <row r="35" spans="1:8">
      <c r="A35" s="47">
        <v>20</v>
      </c>
      <c r="B35" s="50" t="s">
        <v>158</v>
      </c>
      <c r="E35" s="55"/>
      <c r="F35" s="55"/>
      <c r="G35" s="55"/>
      <c r="H35" s="53" t="str">
        <f>IF(E35=F35+G35," ","ERROR")</f>
        <v xml:space="preserve"> </v>
      </c>
    </row>
    <row r="36" spans="1:8">
      <c r="A36" s="47">
        <v>21</v>
      </c>
      <c r="B36" s="50" t="s">
        <v>156</v>
      </c>
      <c r="E36" s="55"/>
      <c r="F36" s="55"/>
      <c r="G36" s="55"/>
      <c r="H36" s="53" t="str">
        <f>IF(E36=F36+G36," ","ERROR")</f>
        <v xml:space="preserve"> </v>
      </c>
    </row>
    <row r="37" spans="1:8">
      <c r="A37" s="47">
        <v>22</v>
      </c>
      <c r="B37" s="50" t="s">
        <v>161</v>
      </c>
      <c r="E37" s="60">
        <f>E34+E35+E36</f>
        <v>-62</v>
      </c>
      <c r="F37" s="60">
        <f>F34+F35+F36</f>
        <v>-62</v>
      </c>
      <c r="G37" s="60">
        <f>G34+G35+G36</f>
        <v>0</v>
      </c>
      <c r="H37" s="53" t="str">
        <f>IF(E37=F37+G37," ","ERROR")</f>
        <v xml:space="preserve"> </v>
      </c>
    </row>
    <row r="38" spans="1:8">
      <c r="A38" s="47">
        <v>23</v>
      </c>
      <c r="B38" s="50" t="s">
        <v>106</v>
      </c>
      <c r="E38" s="61">
        <f>E21+E27+E29+E30+E31+E37</f>
        <v>-19096</v>
      </c>
      <c r="F38" s="61">
        <f>F21+F27+F29+F30+F31+F37</f>
        <v>-19096</v>
      </c>
      <c r="G38" s="61">
        <f>G21+G27+G29+G30+G31+G37</f>
        <v>0</v>
      </c>
      <c r="H38" s="53" t="str">
        <f>IF(E38=F38+G38," ","ERROR")</f>
        <v xml:space="preserve"> </v>
      </c>
    </row>
    <row r="39" spans="1:8">
      <c r="E39" s="58"/>
      <c r="F39" s="58"/>
      <c r="G39" s="58"/>
      <c r="H39" s="53"/>
    </row>
    <row r="40" spans="1:8">
      <c r="A40" s="47">
        <v>24</v>
      </c>
      <c r="B40" s="50" t="s">
        <v>162</v>
      </c>
      <c r="E40" s="58">
        <f>E13-E38</f>
        <v>-13606</v>
      </c>
      <c r="F40" s="58">
        <f>F13-F38</f>
        <v>-13606</v>
      </c>
      <c r="G40" s="58">
        <f>G13-G38</f>
        <v>0</v>
      </c>
      <c r="H40" s="53" t="str">
        <f>IF(E40=F40+G40," ","ERROR")</f>
        <v xml:space="preserve"> </v>
      </c>
    </row>
    <row r="41" spans="1:8">
      <c r="B41" s="50"/>
      <c r="E41" s="58"/>
      <c r="F41" s="58"/>
      <c r="G41" s="58"/>
      <c r="H41" s="53"/>
    </row>
    <row r="42" spans="1:8">
      <c r="B42" s="50" t="s">
        <v>163</v>
      </c>
      <c r="E42" s="58"/>
      <c r="F42" s="58"/>
      <c r="G42" s="58"/>
      <c r="H42" s="53"/>
    </row>
    <row r="43" spans="1:8">
      <c r="A43" s="47">
        <v>25</v>
      </c>
      <c r="B43" s="50" t="s">
        <v>164</v>
      </c>
      <c r="D43" s="62">
        <v>0.35</v>
      </c>
      <c r="E43" s="55">
        <f>F43+G43</f>
        <v>-10946</v>
      </c>
      <c r="F43" s="55">
        <v>-10946</v>
      </c>
      <c r="G43" s="55"/>
      <c r="H43" s="53" t="str">
        <f>IF(E43=F43+G43," ","ERROR")</f>
        <v xml:space="preserve"> </v>
      </c>
    </row>
    <row r="44" spans="1:8">
      <c r="A44" s="47">
        <v>26</v>
      </c>
      <c r="B44" s="50" t="s">
        <v>165</v>
      </c>
      <c r="E44" s="55">
        <f>F44+G44</f>
        <v>6184</v>
      </c>
      <c r="F44" s="55">
        <v>6184</v>
      </c>
      <c r="G44" s="55"/>
      <c r="H44" s="53" t="str">
        <f>IF(E44=F44+G44," ","ERROR")</f>
        <v xml:space="preserve"> </v>
      </c>
    </row>
    <row r="45" spans="1:8" ht="12.75">
      <c r="A45"/>
      <c r="B45"/>
      <c r="C45"/>
      <c r="D45"/>
      <c r="E45" s="913"/>
      <c r="F45" s="913"/>
      <c r="G45" s="913"/>
      <c r="H45" s="53" t="str">
        <f>IF(E45=F45+G45," ","ERROR")</f>
        <v xml:space="preserve"> </v>
      </c>
    </row>
    <row r="46" spans="1:8">
      <c r="A46" s="259"/>
      <c r="B46" s="262"/>
      <c r="C46" s="256"/>
      <c r="D46" s="256"/>
      <c r="E46" s="269"/>
      <c r="F46" s="269"/>
      <c r="G46" s="269"/>
      <c r="H46" s="53"/>
    </row>
    <row r="47" spans="1:8" s="53" customFormat="1">
      <c r="A47" s="263">
        <v>27</v>
      </c>
      <c r="B47" s="264" t="s">
        <v>113</v>
      </c>
      <c r="C47" s="265"/>
      <c r="D47" s="265"/>
      <c r="E47" s="273">
        <f>E40-SUM(E43:E44)</f>
        <v>-8844</v>
      </c>
      <c r="F47" s="273">
        <f>F40-SUM(F43:F44)</f>
        <v>-8844</v>
      </c>
      <c r="G47" s="273">
        <f>G40-SUM(G43:G44)</f>
        <v>0</v>
      </c>
      <c r="H47" s="53" t="str">
        <f>IF(E47=F47+G47," ","ERROR")</f>
        <v xml:space="preserve"> </v>
      </c>
    </row>
    <row r="48" spans="1:8">
      <c r="A48" s="259"/>
      <c r="H48" s="53"/>
    </row>
    <row r="49" spans="1:8">
      <c r="A49" s="259"/>
      <c r="B49" s="50" t="s">
        <v>114</v>
      </c>
      <c r="H49" s="53"/>
    </row>
    <row r="50" spans="1:8">
      <c r="A50" s="259"/>
      <c r="B50" s="50" t="s">
        <v>115</v>
      </c>
      <c r="H50" s="53"/>
    </row>
    <row r="51" spans="1:8" s="53" customFormat="1">
      <c r="A51" s="263">
        <v>28</v>
      </c>
      <c r="B51" s="52" t="s">
        <v>167</v>
      </c>
      <c r="E51" s="54"/>
      <c r="F51" s="54"/>
      <c r="G51" s="54"/>
      <c r="H51" s="53" t="str">
        <f t="shared" ref="H51:H61" si="1">IF(E51=F51+G51," ","ERROR")</f>
        <v xml:space="preserve"> </v>
      </c>
    </row>
    <row r="52" spans="1:8">
      <c r="A52" s="259">
        <v>29</v>
      </c>
      <c r="B52" s="50" t="s">
        <v>168</v>
      </c>
      <c r="E52" s="55"/>
      <c r="F52" s="55"/>
      <c r="G52" s="55"/>
      <c r="H52" s="53" t="str">
        <f t="shared" si="1"/>
        <v xml:space="preserve"> </v>
      </c>
    </row>
    <row r="53" spans="1:8">
      <c r="A53" s="259">
        <v>30</v>
      </c>
      <c r="B53" s="50" t="s">
        <v>169</v>
      </c>
      <c r="E53" s="55"/>
      <c r="F53" s="55"/>
      <c r="G53" s="55"/>
      <c r="H53" s="53" t="str">
        <f t="shared" si="1"/>
        <v xml:space="preserve"> </v>
      </c>
    </row>
    <row r="54" spans="1:8">
      <c r="A54" s="259">
        <v>31</v>
      </c>
      <c r="B54" s="50" t="s">
        <v>170</v>
      </c>
      <c r="E54" s="55"/>
      <c r="F54" s="55"/>
      <c r="G54" s="55"/>
      <c r="H54" s="53" t="str">
        <f t="shared" si="1"/>
        <v xml:space="preserve"> </v>
      </c>
    </row>
    <row r="55" spans="1:8">
      <c r="A55" s="259">
        <v>32</v>
      </c>
      <c r="B55" s="50" t="s">
        <v>171</v>
      </c>
      <c r="E55" s="59"/>
      <c r="F55" s="59"/>
      <c r="G55" s="59"/>
      <c r="H55" s="53" t="str">
        <f t="shared" si="1"/>
        <v xml:space="preserve"> </v>
      </c>
    </row>
    <row r="56" spans="1:8">
      <c r="A56" s="259">
        <v>33</v>
      </c>
      <c r="B56" s="50" t="s">
        <v>172</v>
      </c>
      <c r="E56" s="58">
        <f>E51+E52+E53+E54+E55</f>
        <v>0</v>
      </c>
      <c r="F56" s="58">
        <f>F51+F52+F53+F54+F55</f>
        <v>0</v>
      </c>
      <c r="G56" s="58">
        <f>G51+G52+G53+G54+G55</f>
        <v>0</v>
      </c>
      <c r="H56" s="53" t="str">
        <f t="shared" si="1"/>
        <v xml:space="preserve"> </v>
      </c>
    </row>
    <row r="57" spans="1:8">
      <c r="A57" s="259">
        <v>34</v>
      </c>
      <c r="B57" s="50" t="s">
        <v>121</v>
      </c>
      <c r="E57" s="55"/>
      <c r="F57" s="55"/>
      <c r="G57" s="55"/>
      <c r="H57" s="53" t="str">
        <f t="shared" si="1"/>
        <v xml:space="preserve"> </v>
      </c>
    </row>
    <row r="58" spans="1:8">
      <c r="A58" s="259">
        <v>35</v>
      </c>
      <c r="B58" s="50" t="s">
        <v>122</v>
      </c>
      <c r="E58" s="59"/>
      <c r="F58" s="59"/>
      <c r="G58" s="59"/>
      <c r="H58" s="53" t="str">
        <f t="shared" si="1"/>
        <v xml:space="preserve"> </v>
      </c>
    </row>
    <row r="59" spans="1:8">
      <c r="A59" s="259">
        <v>36</v>
      </c>
      <c r="B59" s="50" t="s">
        <v>173</v>
      </c>
      <c r="E59" s="58">
        <f>E57+E58</f>
        <v>0</v>
      </c>
      <c r="F59" s="58">
        <f>F57+F58</f>
        <v>0</v>
      </c>
      <c r="G59" s="58">
        <f>G57+G58</f>
        <v>0</v>
      </c>
      <c r="H59" s="53" t="str">
        <f t="shared" si="1"/>
        <v xml:space="preserve"> </v>
      </c>
    </row>
    <row r="60" spans="1:8">
      <c r="A60" s="259">
        <v>37</v>
      </c>
      <c r="B60" s="50" t="s">
        <v>124</v>
      </c>
      <c r="E60" s="55"/>
      <c r="F60" s="55"/>
      <c r="G60" s="55"/>
      <c r="H60" s="53" t="str">
        <f t="shared" si="1"/>
        <v xml:space="preserve"> </v>
      </c>
    </row>
    <row r="61" spans="1:8">
      <c r="A61" s="259">
        <v>38</v>
      </c>
      <c r="B61" s="50" t="s">
        <v>125</v>
      </c>
      <c r="E61" s="59"/>
      <c r="F61" s="59"/>
      <c r="G61" s="59"/>
      <c r="H61" s="53" t="str">
        <f t="shared" si="1"/>
        <v xml:space="preserve"> </v>
      </c>
    </row>
    <row r="62" spans="1:8" ht="9" customHeight="1">
      <c r="A62" s="259"/>
      <c r="H62" s="53"/>
    </row>
    <row r="63" spans="1:8" s="53" customFormat="1" ht="12.75" thickBot="1">
      <c r="A63" s="263">
        <v>39</v>
      </c>
      <c r="B63" s="52" t="s">
        <v>126</v>
      </c>
      <c r="E63" s="63">
        <f>E56-E59+E60+E61</f>
        <v>0</v>
      </c>
      <c r="F63" s="63">
        <f>F56-F59+F60+F61</f>
        <v>0</v>
      </c>
      <c r="G63" s="63">
        <f>G56-G59+G60+G61</f>
        <v>0</v>
      </c>
      <c r="H63" s="53" t="str">
        <f>IF(E63=F63+G63," ","ERROR")</f>
        <v xml:space="preserve"> </v>
      </c>
    </row>
    <row r="64" spans="1:8" ht="12.75" thickTop="1"/>
  </sheetData>
  <customSheetViews>
    <customSheetView guid="{A15D1962-B049-11D2-8670-0000832CEEE8}" showPageBreaks="1" showRuler="0" topLeftCell="A58">
      <selection activeCell="A70" sqref="A70"/>
      <pageMargins left="0.75" right="0.75" top="0.5" bottom="0.5" header="0.5" footer="0.5"/>
      <pageSetup scale="85" orientation="portrait" horizontalDpi="4294967292" verticalDpi="0" r:id="rId1"/>
      <headerFooter alignWithMargins="0"/>
    </customSheetView>
    <customSheetView guid="{6E1B8C45-B07F-11D2-B0DC-0000832CDFF0}" showPageBreaks="1" printArea="1" showRuler="0" topLeftCell="A58">
      <selection activeCell="A70" sqref="A70"/>
      <pageMargins left="0.75" right="0.75" top="0.5" bottom="0.5" header="0.5" footer="0.5"/>
      <pageSetup scale="85" orientation="portrait" horizontalDpi="4294967292" verticalDpi="0" r:id="rId2"/>
      <headerFooter alignWithMargins="0"/>
    </customSheetView>
  </customSheetViews>
  <phoneticPr fontId="0" type="noConversion"/>
  <pageMargins left="1" right="0.75" top="0.75" bottom="0.5" header="0.5" footer="0.5"/>
  <pageSetup scale="90" orientation="portrait" horizontalDpi="4294967292" r:id="rId3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/>
  <dimension ref="A1:H110"/>
  <sheetViews>
    <sheetView topLeftCell="A70" zoomScaleNormal="100" workbookViewId="0">
      <selection activeCell="J75" sqref="J75:J76"/>
    </sheetView>
  </sheetViews>
  <sheetFormatPr defaultColWidth="12.42578125" defaultRowHeight="12"/>
  <cols>
    <col min="1" max="1" width="5.5703125" style="329" customWidth="1"/>
    <col min="2" max="2" width="26.140625" style="328" customWidth="1"/>
    <col min="3" max="3" width="12.42578125" style="328" customWidth="1"/>
    <col min="4" max="4" width="6.7109375" style="328" customWidth="1"/>
    <col min="5" max="16384" width="12.42578125" style="328"/>
  </cols>
  <sheetData>
    <row r="1" spans="1:8">
      <c r="A1" s="326" t="str">
        <f>Inputs!$D$6</f>
        <v>AVISTA UTILITIES</v>
      </c>
      <c r="B1" s="327"/>
      <c r="C1" s="326"/>
    </row>
    <row r="2" spans="1:8">
      <c r="A2" s="326" t="s">
        <v>142</v>
      </c>
      <c r="B2" s="327"/>
      <c r="C2" s="326"/>
      <c r="E2" s="326"/>
      <c r="F2" s="329" t="s">
        <v>271</v>
      </c>
      <c r="G2" s="326"/>
    </row>
    <row r="3" spans="1:8">
      <c r="A3" s="327" t="str">
        <f>WAElec09_08!$A$4</f>
        <v>TWELVE MONTHS ENDED SEPTEMBER 30, 2008</v>
      </c>
      <c r="B3" s="327"/>
      <c r="C3" s="326"/>
      <c r="E3" s="326"/>
      <c r="F3" s="329" t="s">
        <v>263</v>
      </c>
      <c r="G3" s="326"/>
    </row>
    <row r="4" spans="1:8">
      <c r="A4" s="326" t="s">
        <v>1</v>
      </c>
      <c r="B4" s="327"/>
      <c r="C4" s="326"/>
      <c r="E4" s="330"/>
      <c r="F4" s="331" t="s">
        <v>145</v>
      </c>
      <c r="G4" s="332"/>
    </row>
    <row r="5" spans="1:8">
      <c r="A5" s="329" t="s">
        <v>14</v>
      </c>
    </row>
    <row r="6" spans="1:8" s="329" customFormat="1">
      <c r="A6" s="329" t="s">
        <v>146</v>
      </c>
      <c r="B6" s="333" t="s">
        <v>36</v>
      </c>
      <c r="C6" s="333"/>
      <c r="E6" s="333" t="s">
        <v>147</v>
      </c>
      <c r="F6" s="333" t="s">
        <v>148</v>
      </c>
      <c r="G6" s="333" t="s">
        <v>128</v>
      </c>
      <c r="H6" s="334" t="s">
        <v>149</v>
      </c>
    </row>
    <row r="7" spans="1:8">
      <c r="B7" s="335" t="s">
        <v>85</v>
      </c>
    </row>
    <row r="8" spans="1:8" s="338" customFormat="1">
      <c r="A8" s="336">
        <v>1</v>
      </c>
      <c r="B8" s="337" t="s">
        <v>86</v>
      </c>
      <c r="E8" s="339">
        <f>F8+G8</f>
        <v>0</v>
      </c>
      <c r="F8" s="339"/>
      <c r="G8" s="339"/>
      <c r="H8" s="338" t="str">
        <f t="shared" ref="H8:H13" si="0">IF(E8=F8+G8," ","ERROR")</f>
        <v xml:space="preserve"> </v>
      </c>
    </row>
    <row r="9" spans="1:8">
      <c r="A9" s="329">
        <v>2</v>
      </c>
      <c r="B9" s="335" t="s">
        <v>87</v>
      </c>
      <c r="E9" s="340"/>
      <c r="F9" s="340"/>
      <c r="G9" s="340"/>
      <c r="H9" s="338" t="str">
        <f t="shared" si="0"/>
        <v xml:space="preserve"> </v>
      </c>
    </row>
    <row r="10" spans="1:8">
      <c r="A10" s="329">
        <v>3</v>
      </c>
      <c r="B10" s="335" t="s">
        <v>150</v>
      </c>
      <c r="E10" s="340">
        <f>F10+G10</f>
        <v>0</v>
      </c>
      <c r="F10" s="340"/>
      <c r="G10" s="340"/>
      <c r="H10" s="338" t="str">
        <f t="shared" si="0"/>
        <v xml:space="preserve"> </v>
      </c>
    </row>
    <row r="11" spans="1:8">
      <c r="A11" s="329">
        <v>4</v>
      </c>
      <c r="B11" s="335" t="s">
        <v>151</v>
      </c>
      <c r="E11" s="341">
        <f>E8+E9+E10</f>
        <v>0</v>
      </c>
      <c r="F11" s="341">
        <f>F8+F9+F10</f>
        <v>0</v>
      </c>
      <c r="G11" s="341">
        <f>G8+G9+G10</f>
        <v>0</v>
      </c>
      <c r="H11" s="338" t="str">
        <f t="shared" si="0"/>
        <v xml:space="preserve"> </v>
      </c>
    </row>
    <row r="12" spans="1:8">
      <c r="A12" s="329">
        <v>5</v>
      </c>
      <c r="B12" s="335" t="s">
        <v>90</v>
      </c>
      <c r="E12" s="340"/>
      <c r="F12" s="340"/>
      <c r="G12" s="340"/>
      <c r="H12" s="338" t="str">
        <f t="shared" si="0"/>
        <v xml:space="preserve"> </v>
      </c>
    </row>
    <row r="13" spans="1:8">
      <c r="A13" s="329">
        <v>6</v>
      </c>
      <c r="B13" s="335" t="s">
        <v>152</v>
      </c>
      <c r="E13" s="341">
        <f>E11+E12</f>
        <v>0</v>
      </c>
      <c r="F13" s="341">
        <f>F11+F12</f>
        <v>0</v>
      </c>
      <c r="G13" s="341">
        <f>G11+G12</f>
        <v>0</v>
      </c>
      <c r="H13" s="338" t="str">
        <f t="shared" si="0"/>
        <v xml:space="preserve"> </v>
      </c>
    </row>
    <row r="14" spans="1:8">
      <c r="E14" s="342"/>
      <c r="F14" s="342"/>
      <c r="G14" s="342"/>
      <c r="H14" s="338"/>
    </row>
    <row r="15" spans="1:8">
      <c r="B15" s="335" t="s">
        <v>92</v>
      </c>
      <c r="E15" s="342"/>
      <c r="F15" s="342"/>
      <c r="G15" s="342"/>
      <c r="H15" s="338"/>
    </row>
    <row r="16" spans="1:8">
      <c r="B16" s="335" t="s">
        <v>93</v>
      </c>
      <c r="E16" s="342"/>
      <c r="F16" s="342"/>
      <c r="G16" s="342"/>
      <c r="H16" s="338"/>
    </row>
    <row r="17" spans="1:8">
      <c r="A17" s="329">
        <v>7</v>
      </c>
      <c r="B17" s="335" t="s">
        <v>153</v>
      </c>
      <c r="E17" s="340">
        <f>F17+G17</f>
        <v>9</v>
      </c>
      <c r="F17" s="340">
        <v>9</v>
      </c>
      <c r="G17" s="340">
        <v>0</v>
      </c>
      <c r="H17" s="338" t="str">
        <f>IF(E17=F17+G17," ","ERROR")</f>
        <v xml:space="preserve"> </v>
      </c>
    </row>
    <row r="18" spans="1:8">
      <c r="A18" s="329">
        <v>8</v>
      </c>
      <c r="B18" s="335" t="s">
        <v>154</v>
      </c>
      <c r="E18" s="340"/>
      <c r="F18" s="340"/>
      <c r="G18" s="340"/>
      <c r="H18" s="338" t="str">
        <f>IF(E18=F18+G18," ","ERROR")</f>
        <v xml:space="preserve"> </v>
      </c>
    </row>
    <row r="19" spans="1:8">
      <c r="A19" s="329">
        <v>9</v>
      </c>
      <c r="B19" s="335" t="s">
        <v>155</v>
      </c>
      <c r="E19" s="340"/>
      <c r="F19" s="340"/>
      <c r="G19" s="340"/>
      <c r="H19" s="338" t="str">
        <f>IF(E19=F19+G19," ","ERROR")</f>
        <v xml:space="preserve"> </v>
      </c>
    </row>
    <row r="20" spans="1:8">
      <c r="A20" s="329">
        <v>10</v>
      </c>
      <c r="B20" s="335" t="s">
        <v>156</v>
      </c>
      <c r="E20" s="340"/>
      <c r="F20" s="340"/>
      <c r="G20" s="340"/>
      <c r="H20" s="338" t="str">
        <f>IF(E20=F20+G20," ","ERROR")</f>
        <v xml:space="preserve"> </v>
      </c>
    </row>
    <row r="21" spans="1:8">
      <c r="A21" s="329">
        <v>11</v>
      </c>
      <c r="B21" s="335" t="s">
        <v>157</v>
      </c>
      <c r="E21" s="341">
        <f>E17+E18+E19+E20</f>
        <v>9</v>
      </c>
      <c r="F21" s="341">
        <f>F17+F18+F19+F20</f>
        <v>9</v>
      </c>
      <c r="G21" s="341">
        <f>G17+G18+G19+G20</f>
        <v>0</v>
      </c>
      <c r="H21" s="338" t="str">
        <f>IF(E21=F21+G21," ","ERROR")</f>
        <v xml:space="preserve"> </v>
      </c>
    </row>
    <row r="22" spans="1:8">
      <c r="E22" s="342"/>
      <c r="F22" s="342"/>
      <c r="G22" s="342"/>
      <c r="H22" s="338"/>
    </row>
    <row r="23" spans="1:8">
      <c r="B23" s="335" t="s">
        <v>98</v>
      </c>
      <c r="E23" s="342"/>
      <c r="F23" s="342"/>
      <c r="G23" s="342"/>
      <c r="H23" s="338"/>
    </row>
    <row r="24" spans="1:8">
      <c r="A24" s="329">
        <v>12</v>
      </c>
      <c r="B24" s="335" t="s">
        <v>153</v>
      </c>
      <c r="E24" s="340"/>
      <c r="F24" s="340"/>
      <c r="G24" s="340"/>
      <c r="H24" s="338" t="str">
        <f>IF(E24=F24+G24," ","ERROR")</f>
        <v xml:space="preserve"> </v>
      </c>
    </row>
    <row r="25" spans="1:8">
      <c r="A25" s="329">
        <v>13</v>
      </c>
      <c r="B25" s="335" t="s">
        <v>158</v>
      </c>
      <c r="E25" s="340"/>
      <c r="F25" s="340"/>
      <c r="G25" s="340"/>
      <c r="H25" s="338" t="str">
        <f>IF(E25=F25+G25," ","ERROR")</f>
        <v xml:space="preserve"> </v>
      </c>
    </row>
    <row r="26" spans="1:8">
      <c r="A26" s="329">
        <v>14</v>
      </c>
      <c r="B26" s="335" t="s">
        <v>156</v>
      </c>
      <c r="E26" s="340">
        <f>F26+G26</f>
        <v>0</v>
      </c>
      <c r="F26" s="340"/>
      <c r="G26" s="343">
        <f>F109</f>
        <v>0</v>
      </c>
      <c r="H26" s="338" t="str">
        <f>IF(E26=F26+G26," ","ERROR")</f>
        <v xml:space="preserve"> </v>
      </c>
    </row>
    <row r="27" spans="1:8">
      <c r="A27" s="329">
        <v>15</v>
      </c>
      <c r="B27" s="335" t="s">
        <v>159</v>
      </c>
      <c r="E27" s="341">
        <f>E24+E25+E26</f>
        <v>0</v>
      </c>
      <c r="F27" s="341">
        <f>F24+F25+F26</f>
        <v>0</v>
      </c>
      <c r="G27" s="341">
        <f>G24+G25+G26</f>
        <v>0</v>
      </c>
      <c r="H27" s="338" t="str">
        <f>IF(E27=F27+G27," ","ERROR")</f>
        <v xml:space="preserve"> </v>
      </c>
    </row>
    <row r="28" spans="1:8">
      <c r="E28" s="342"/>
      <c r="F28" s="342"/>
      <c r="G28" s="342"/>
      <c r="H28" s="338"/>
    </row>
    <row r="29" spans="1:8">
      <c r="A29" s="329">
        <v>16</v>
      </c>
      <c r="B29" s="335" t="s">
        <v>101</v>
      </c>
      <c r="E29" s="340"/>
      <c r="F29" s="340"/>
      <c r="G29" s="340"/>
      <c r="H29" s="338" t="str">
        <f>IF(E29=F29+G29," ","ERROR")</f>
        <v xml:space="preserve"> </v>
      </c>
    </row>
    <row r="30" spans="1:8">
      <c r="A30" s="329">
        <v>17</v>
      </c>
      <c r="B30" s="335" t="s">
        <v>102</v>
      </c>
      <c r="E30" s="340"/>
      <c r="F30" s="340"/>
      <c r="G30" s="340"/>
      <c r="H30" s="338" t="str">
        <f>IF(E30=F30+G30," ","ERROR")</f>
        <v xml:space="preserve"> </v>
      </c>
    </row>
    <row r="31" spans="1:8">
      <c r="A31" s="329">
        <v>18</v>
      </c>
      <c r="B31" s="335" t="s">
        <v>160</v>
      </c>
      <c r="E31" s="340"/>
      <c r="F31" s="340"/>
      <c r="G31" s="340"/>
      <c r="H31" s="338" t="str">
        <f>IF(E31=F31+G31," ","ERROR")</f>
        <v xml:space="preserve"> </v>
      </c>
    </row>
    <row r="32" spans="1:8">
      <c r="E32" s="342"/>
      <c r="F32" s="342"/>
      <c r="G32" s="342"/>
      <c r="H32" s="338"/>
    </row>
    <row r="33" spans="1:8">
      <c r="B33" s="335" t="s">
        <v>104</v>
      </c>
      <c r="E33" s="342"/>
      <c r="F33" s="342"/>
      <c r="G33" s="342"/>
      <c r="H33" s="338"/>
    </row>
    <row r="34" spans="1:8">
      <c r="A34" s="329">
        <v>19</v>
      </c>
      <c r="B34" s="335" t="s">
        <v>153</v>
      </c>
      <c r="E34" s="340"/>
      <c r="F34" s="342"/>
      <c r="G34" s="342"/>
      <c r="H34" s="338" t="str">
        <f>IF(E34=F34+G34," ","ERROR")</f>
        <v xml:space="preserve"> </v>
      </c>
    </row>
    <row r="35" spans="1:8">
      <c r="A35" s="329">
        <v>20</v>
      </c>
      <c r="B35" s="335" t="s">
        <v>158</v>
      </c>
      <c r="E35" s="340"/>
      <c r="F35" s="340"/>
      <c r="G35" s="340"/>
      <c r="H35" s="338" t="str">
        <f>IF(E35=F35+G35," ","ERROR")</f>
        <v xml:space="preserve"> </v>
      </c>
    </row>
    <row r="36" spans="1:8">
      <c r="A36" s="329">
        <v>21</v>
      </c>
      <c r="B36" s="335" t="s">
        <v>156</v>
      </c>
      <c r="E36" s="340"/>
      <c r="F36" s="340"/>
      <c r="G36" s="340"/>
      <c r="H36" s="338" t="str">
        <f>IF(E36=F36+G36," ","ERROR")</f>
        <v xml:space="preserve"> </v>
      </c>
    </row>
    <row r="37" spans="1:8">
      <c r="A37" s="329">
        <v>22</v>
      </c>
      <c r="B37" s="335" t="s">
        <v>161</v>
      </c>
      <c r="E37" s="344">
        <f>E34+E35+E36</f>
        <v>0</v>
      </c>
      <c r="F37" s="344">
        <f>F34+F35+F36</f>
        <v>0</v>
      </c>
      <c r="G37" s="344">
        <f>G34+G35+G36</f>
        <v>0</v>
      </c>
      <c r="H37" s="338" t="str">
        <f>IF(E37=F37+G37," ","ERROR")</f>
        <v xml:space="preserve"> </v>
      </c>
    </row>
    <row r="38" spans="1:8">
      <c r="A38" s="329">
        <v>23</v>
      </c>
      <c r="B38" s="335" t="s">
        <v>106</v>
      </c>
      <c r="E38" s="345">
        <f>E21+E27+E29+E30+E31+E37</f>
        <v>9</v>
      </c>
      <c r="F38" s="345">
        <f>F21+F27+F29+F30+F31+F37</f>
        <v>9</v>
      </c>
      <c r="G38" s="345">
        <f>G21+G27+G29+G30+G31+G37</f>
        <v>0</v>
      </c>
      <c r="H38" s="338" t="str">
        <f>IF(E38=F38+G38," ","ERROR")</f>
        <v xml:space="preserve"> </v>
      </c>
    </row>
    <row r="39" spans="1:8">
      <c r="E39" s="342"/>
      <c r="F39" s="342"/>
      <c r="G39" s="342"/>
      <c r="H39" s="338"/>
    </row>
    <row r="40" spans="1:8">
      <c r="A40" s="329">
        <v>24</v>
      </c>
      <c r="B40" s="335" t="s">
        <v>162</v>
      </c>
      <c r="E40" s="342">
        <f>E13-E38</f>
        <v>-9</v>
      </c>
      <c r="F40" s="342">
        <f>F13-F38</f>
        <v>-9</v>
      </c>
      <c r="G40" s="342">
        <f>G13-G38</f>
        <v>0</v>
      </c>
      <c r="H40" s="338" t="str">
        <f>IF(E40=F40+G40," ","ERROR")</f>
        <v xml:space="preserve"> </v>
      </c>
    </row>
    <row r="41" spans="1:8">
      <c r="B41" s="335"/>
      <c r="E41" s="342"/>
      <c r="F41" s="342"/>
      <c r="G41" s="342"/>
      <c r="H41" s="338"/>
    </row>
    <row r="42" spans="1:8">
      <c r="B42" s="335" t="s">
        <v>163</v>
      </c>
      <c r="E42" s="342"/>
      <c r="F42" s="342"/>
      <c r="G42" s="342"/>
      <c r="H42" s="338"/>
    </row>
    <row r="43" spans="1:8">
      <c r="A43" s="329">
        <v>25</v>
      </c>
      <c r="B43" s="335" t="s">
        <v>164</v>
      </c>
      <c r="D43" s="346">
        <v>0.35</v>
      </c>
      <c r="E43" s="340">
        <f>F43+G43</f>
        <v>-3</v>
      </c>
      <c r="F43" s="340">
        <f>ROUND(F40*D43,0)</f>
        <v>-3</v>
      </c>
      <c r="G43" s="340">
        <f>ROUND(G40*D43,0)</f>
        <v>0</v>
      </c>
      <c r="H43" s="338" t="str">
        <f>IF(E43=F43+G43," ","ERROR")</f>
        <v xml:space="preserve"> </v>
      </c>
    </row>
    <row r="44" spans="1:8">
      <c r="A44" s="329">
        <v>26</v>
      </c>
      <c r="B44" s="335" t="s">
        <v>165</v>
      </c>
      <c r="E44" s="340"/>
      <c r="F44" s="340"/>
      <c r="G44" s="340"/>
      <c r="H44" s="338" t="str">
        <f>IF(E44=F44+G44," ","ERROR")</f>
        <v xml:space="preserve"> </v>
      </c>
    </row>
    <row r="45" spans="1:8" ht="12.75">
      <c r="A45"/>
      <c r="B45"/>
      <c r="C45"/>
      <c r="D45"/>
      <c r="E45" s="913"/>
      <c r="F45" s="913"/>
      <c r="G45" s="913"/>
      <c r="H45" s="338" t="str">
        <f>IF(E45=F45+G45," ","ERROR")</f>
        <v xml:space="preserve"> </v>
      </c>
    </row>
    <row r="46" spans="1:8">
      <c r="A46" s="259"/>
      <c r="B46" s="262"/>
      <c r="C46" s="256"/>
      <c r="D46" s="256"/>
      <c r="E46" s="269"/>
      <c r="F46" s="269"/>
      <c r="G46" s="269"/>
      <c r="H46" s="338"/>
    </row>
    <row r="47" spans="1:8" s="338" customFormat="1">
      <c r="A47" s="263">
        <v>27</v>
      </c>
      <c r="B47" s="264" t="s">
        <v>113</v>
      </c>
      <c r="C47" s="265"/>
      <c r="D47" s="265"/>
      <c r="E47" s="273">
        <f>E40-SUM(E43:E44)</f>
        <v>-6</v>
      </c>
      <c r="F47" s="273">
        <f>F40-SUM(F43:F44)</f>
        <v>-6</v>
      </c>
      <c r="G47" s="273">
        <f>G40-SUM(G43:G44)</f>
        <v>0</v>
      </c>
      <c r="H47" s="338" t="str">
        <f>IF(E47=F47+G47," ","ERROR")</f>
        <v xml:space="preserve"> </v>
      </c>
    </row>
    <row r="48" spans="1:8">
      <c r="A48" s="259"/>
      <c r="H48" s="338"/>
    </row>
    <row r="49" spans="1:8">
      <c r="A49" s="259"/>
      <c r="B49" s="335" t="s">
        <v>114</v>
      </c>
      <c r="H49" s="338"/>
    </row>
    <row r="50" spans="1:8">
      <c r="A50" s="259"/>
      <c r="B50" s="335" t="s">
        <v>115</v>
      </c>
      <c r="H50" s="338"/>
    </row>
    <row r="51" spans="1:8" s="338" customFormat="1">
      <c r="A51" s="263">
        <v>28</v>
      </c>
      <c r="B51" s="337" t="s">
        <v>167</v>
      </c>
      <c r="E51" s="339"/>
      <c r="F51" s="339"/>
      <c r="G51" s="339"/>
      <c r="H51" s="338" t="str">
        <f t="shared" ref="H51:H61" si="1">IF(E51=F51+G51," ","ERROR")</f>
        <v xml:space="preserve"> </v>
      </c>
    </row>
    <row r="52" spans="1:8">
      <c r="A52" s="259">
        <v>29</v>
      </c>
      <c r="B52" s="335" t="s">
        <v>168</v>
      </c>
      <c r="E52" s="340"/>
      <c r="F52" s="340"/>
      <c r="G52" s="340"/>
      <c r="H52" s="338" t="str">
        <f t="shared" si="1"/>
        <v xml:space="preserve"> </v>
      </c>
    </row>
    <row r="53" spans="1:8">
      <c r="A53" s="259">
        <v>30</v>
      </c>
      <c r="B53" s="335" t="s">
        <v>169</v>
      </c>
      <c r="E53" s="340"/>
      <c r="F53" s="340"/>
      <c r="G53" s="340"/>
      <c r="H53" s="338" t="str">
        <f t="shared" si="1"/>
        <v xml:space="preserve"> </v>
      </c>
    </row>
    <row r="54" spans="1:8">
      <c r="A54" s="259">
        <v>31</v>
      </c>
      <c r="B54" s="335" t="s">
        <v>170</v>
      </c>
      <c r="E54" s="340"/>
      <c r="F54" s="340"/>
      <c r="G54" s="340"/>
      <c r="H54" s="338" t="str">
        <f t="shared" si="1"/>
        <v xml:space="preserve"> </v>
      </c>
    </row>
    <row r="55" spans="1:8">
      <c r="A55" s="259">
        <v>32</v>
      </c>
      <c r="B55" s="335" t="s">
        <v>171</v>
      </c>
      <c r="E55" s="347"/>
      <c r="F55" s="347"/>
      <c r="G55" s="347"/>
      <c r="H55" s="338" t="str">
        <f t="shared" si="1"/>
        <v xml:space="preserve"> </v>
      </c>
    </row>
    <row r="56" spans="1:8">
      <c r="A56" s="259">
        <v>33</v>
      </c>
      <c r="B56" s="335" t="s">
        <v>172</v>
      </c>
      <c r="E56" s="342">
        <f>E51+E52+E53+E54+E55</f>
        <v>0</v>
      </c>
      <c r="F56" s="342">
        <f>F51+F52+F53+F54+F55</f>
        <v>0</v>
      </c>
      <c r="G56" s="342">
        <f>G51+G52+G53+G54+G55</f>
        <v>0</v>
      </c>
      <c r="H56" s="338" t="str">
        <f t="shared" si="1"/>
        <v xml:space="preserve"> </v>
      </c>
    </row>
    <row r="57" spans="1:8">
      <c r="A57" s="259">
        <v>34</v>
      </c>
      <c r="B57" s="335" t="s">
        <v>121</v>
      </c>
      <c r="E57" s="340"/>
      <c r="F57" s="340"/>
      <c r="G57" s="340"/>
      <c r="H57" s="338" t="str">
        <f t="shared" si="1"/>
        <v xml:space="preserve"> </v>
      </c>
    </row>
    <row r="58" spans="1:8">
      <c r="A58" s="259">
        <v>35</v>
      </c>
      <c r="B58" s="335" t="s">
        <v>122</v>
      </c>
      <c r="E58" s="347"/>
      <c r="F58" s="347"/>
      <c r="G58" s="347"/>
      <c r="H58" s="338" t="str">
        <f t="shared" si="1"/>
        <v xml:space="preserve"> </v>
      </c>
    </row>
    <row r="59" spans="1:8">
      <c r="A59" s="259">
        <v>36</v>
      </c>
      <c r="B59" s="335" t="s">
        <v>173</v>
      </c>
      <c r="E59" s="342">
        <f>E57+E58</f>
        <v>0</v>
      </c>
      <c r="F59" s="342">
        <f>F57+F58</f>
        <v>0</v>
      </c>
      <c r="G59" s="342">
        <f>G57+G58</f>
        <v>0</v>
      </c>
      <c r="H59" s="338" t="str">
        <f t="shared" si="1"/>
        <v xml:space="preserve"> </v>
      </c>
    </row>
    <row r="60" spans="1:8">
      <c r="A60" s="259">
        <v>37</v>
      </c>
      <c r="B60" s="335" t="s">
        <v>124</v>
      </c>
      <c r="E60" s="340"/>
      <c r="F60" s="340"/>
      <c r="G60" s="340"/>
      <c r="H60" s="338" t="str">
        <f t="shared" si="1"/>
        <v xml:space="preserve"> </v>
      </c>
    </row>
    <row r="61" spans="1:8">
      <c r="A61" s="259">
        <v>38</v>
      </c>
      <c r="B61" s="335" t="s">
        <v>125</v>
      </c>
      <c r="E61" s="347"/>
      <c r="F61" s="347"/>
      <c r="G61" s="347"/>
      <c r="H61" s="338" t="str">
        <f t="shared" si="1"/>
        <v xml:space="preserve"> </v>
      </c>
    </row>
    <row r="62" spans="1:8" ht="9" customHeight="1">
      <c r="A62" s="259"/>
      <c r="H62" s="338"/>
    </row>
    <row r="63" spans="1:8" s="338" customFormat="1" ht="12.75" thickBot="1">
      <c r="A63" s="263">
        <v>39</v>
      </c>
      <c r="B63" s="337" t="s">
        <v>126</v>
      </c>
      <c r="E63" s="348">
        <f>E56-E59+E60+E61</f>
        <v>0</v>
      </c>
      <c r="F63" s="348">
        <f>F56-F59+F60+F61</f>
        <v>0</v>
      </c>
      <c r="G63" s="348">
        <f>G56-G59+G60+G61</f>
        <v>0</v>
      </c>
      <c r="H63" s="338" t="str">
        <f>IF(E63=F63+G63," ","ERROR")</f>
        <v xml:space="preserve"> </v>
      </c>
    </row>
    <row r="64" spans="1:8" ht="12.75" thickTop="1"/>
    <row r="65" spans="1:8">
      <c r="A65" s="327" t="str">
        <f>Inputs!$D$6</f>
        <v>AVISTA UTILITIES</v>
      </c>
      <c r="B65" s="327"/>
      <c r="C65" s="327"/>
      <c r="D65" s="349"/>
      <c r="E65" s="350"/>
      <c r="F65" s="349"/>
      <c r="G65" s="351"/>
      <c r="H65" s="350"/>
    </row>
    <row r="66" spans="1:8">
      <c r="A66" s="327" t="s">
        <v>225</v>
      </c>
      <c r="B66" s="327"/>
      <c r="C66" s="327"/>
      <c r="D66" s="349"/>
      <c r="E66" s="350"/>
      <c r="F66" s="349"/>
      <c r="G66" s="351"/>
      <c r="H66" s="350"/>
    </row>
    <row r="67" spans="1:8">
      <c r="A67" s="327" t="str">
        <f>A3</f>
        <v>TWELVE MONTHS ENDED SEPTEMBER 30, 2008</v>
      </c>
      <c r="B67" s="327"/>
      <c r="C67" s="327"/>
      <c r="D67" s="349"/>
      <c r="E67" s="350"/>
      <c r="F67" s="352" t="str">
        <f>F2</f>
        <v>NEZ PERCE SETTLEMENT</v>
      </c>
      <c r="G67" s="349"/>
      <c r="H67" s="350"/>
    </row>
    <row r="68" spans="1:8">
      <c r="A68" s="327" t="s">
        <v>226</v>
      </c>
      <c r="B68" s="327"/>
      <c r="C68" s="327"/>
      <c r="D68" s="349"/>
      <c r="E68" s="350"/>
      <c r="F68" s="352" t="str">
        <f>F3</f>
        <v>ACCOUNTING ADJUSTMENT</v>
      </c>
      <c r="G68" s="349"/>
      <c r="H68" s="350"/>
    </row>
    <row r="69" spans="1:8">
      <c r="B69" s="349"/>
      <c r="C69" s="349"/>
      <c r="D69" s="349"/>
      <c r="E69" s="353"/>
      <c r="F69" s="354" t="str">
        <f>F4</f>
        <v>ELECTRIC</v>
      </c>
      <c r="G69" s="349"/>
      <c r="H69" s="355"/>
    </row>
    <row r="70" spans="1:8">
      <c r="B70" s="349"/>
      <c r="C70" s="349"/>
      <c r="D70" s="349"/>
      <c r="E70" s="350"/>
      <c r="F70" s="352"/>
      <c r="G70" s="356"/>
      <c r="H70" s="350"/>
    </row>
    <row r="71" spans="1:8">
      <c r="B71" s="357" t="s">
        <v>134</v>
      </c>
      <c r="C71" s="358"/>
      <c r="D71" s="349"/>
      <c r="E71" s="350"/>
      <c r="F71" s="354" t="s">
        <v>128</v>
      </c>
      <c r="G71" s="349"/>
      <c r="H71" s="350"/>
    </row>
    <row r="72" spans="1:8">
      <c r="B72" s="335" t="s">
        <v>85</v>
      </c>
      <c r="C72" s="349"/>
      <c r="D72" s="349"/>
      <c r="E72" s="349"/>
      <c r="F72" s="351"/>
      <c r="G72" s="349"/>
      <c r="H72" s="349"/>
    </row>
    <row r="73" spans="1:8">
      <c r="B73" s="337" t="s">
        <v>86</v>
      </c>
      <c r="C73" s="349"/>
      <c r="D73" s="349"/>
      <c r="E73" s="349"/>
      <c r="F73" s="359">
        <f>G8</f>
        <v>0</v>
      </c>
      <c r="G73" s="349"/>
      <c r="H73" s="349"/>
    </row>
    <row r="74" spans="1:8">
      <c r="B74" s="335" t="s">
        <v>87</v>
      </c>
      <c r="C74" s="349"/>
      <c r="D74" s="349"/>
      <c r="E74" s="349"/>
      <c r="F74" s="342">
        <f>G9</f>
        <v>0</v>
      </c>
      <c r="G74" s="349"/>
      <c r="H74" s="349"/>
    </row>
    <row r="75" spans="1:8">
      <c r="B75" s="335" t="s">
        <v>150</v>
      </c>
      <c r="C75" s="349"/>
      <c r="D75" s="349"/>
      <c r="E75" s="349"/>
      <c r="F75" s="345">
        <f>G10</f>
        <v>0</v>
      </c>
      <c r="G75" s="349"/>
      <c r="H75" s="349"/>
    </row>
    <row r="76" spans="1:8">
      <c r="B76" s="335" t="s">
        <v>151</v>
      </c>
      <c r="C76" s="349"/>
      <c r="D76" s="349"/>
      <c r="E76" s="349"/>
      <c r="F76" s="342">
        <f>SUM(F73:F75)</f>
        <v>0</v>
      </c>
      <c r="G76" s="349"/>
      <c r="H76" s="349"/>
    </row>
    <row r="77" spans="1:8">
      <c r="B77" s="335" t="s">
        <v>90</v>
      </c>
      <c r="C77" s="349"/>
      <c r="D77" s="349"/>
      <c r="E77" s="349"/>
      <c r="F77" s="345">
        <f>G12</f>
        <v>0</v>
      </c>
      <c r="G77" s="349"/>
      <c r="H77" s="349"/>
    </row>
    <row r="78" spans="1:8">
      <c r="B78" s="335" t="s">
        <v>152</v>
      </c>
      <c r="C78" s="349"/>
      <c r="D78" s="349"/>
      <c r="E78" s="349"/>
      <c r="F78" s="342">
        <f>F76+F77</f>
        <v>0</v>
      </c>
      <c r="G78" s="349"/>
      <c r="H78" s="349"/>
    </row>
    <row r="79" spans="1:8">
      <c r="C79" s="349"/>
      <c r="D79" s="349"/>
      <c r="E79" s="349"/>
      <c r="F79" s="342"/>
      <c r="G79" s="349"/>
      <c r="H79" s="349"/>
    </row>
    <row r="80" spans="1:8">
      <c r="B80" s="335" t="s">
        <v>92</v>
      </c>
      <c r="C80" s="349"/>
      <c r="D80" s="349"/>
      <c r="E80" s="349"/>
      <c r="F80" s="342"/>
      <c r="G80" s="349"/>
      <c r="H80" s="349"/>
    </row>
    <row r="81" spans="1:8">
      <c r="B81" s="335" t="s">
        <v>93</v>
      </c>
      <c r="C81" s="349"/>
      <c r="D81" s="349"/>
      <c r="E81" s="349"/>
      <c r="F81" s="342"/>
      <c r="G81" s="349"/>
      <c r="H81" s="349"/>
    </row>
    <row r="82" spans="1:8">
      <c r="B82" s="335" t="s">
        <v>153</v>
      </c>
      <c r="C82" s="349"/>
      <c r="D82" s="349"/>
      <c r="E82" s="349"/>
      <c r="F82" s="342">
        <f>G17</f>
        <v>0</v>
      </c>
      <c r="G82" s="349"/>
      <c r="H82" s="349"/>
    </row>
    <row r="83" spans="1:8">
      <c r="B83" s="335" t="s">
        <v>154</v>
      </c>
      <c r="C83" s="349"/>
      <c r="D83" s="349"/>
      <c r="E83" s="349"/>
      <c r="F83" s="342">
        <f>G18</f>
        <v>0</v>
      </c>
      <c r="G83" s="349"/>
      <c r="H83" s="349"/>
    </row>
    <row r="84" spans="1:8">
      <c r="B84" s="335" t="s">
        <v>155</v>
      </c>
      <c r="C84" s="349"/>
      <c r="D84" s="349"/>
      <c r="E84" s="349"/>
      <c r="F84" s="342">
        <f>G19</f>
        <v>0</v>
      </c>
      <c r="G84" s="349"/>
      <c r="H84" s="349"/>
    </row>
    <row r="85" spans="1:8">
      <c r="B85" s="335" t="s">
        <v>156</v>
      </c>
      <c r="C85" s="349"/>
      <c r="D85" s="349"/>
      <c r="E85" s="349"/>
      <c r="F85" s="345">
        <f>G20</f>
        <v>0</v>
      </c>
      <c r="G85" s="349"/>
      <c r="H85" s="349"/>
    </row>
    <row r="86" spans="1:8">
      <c r="B86" s="335" t="s">
        <v>157</v>
      </c>
      <c r="C86" s="349"/>
      <c r="D86" s="349"/>
      <c r="E86" s="349"/>
      <c r="F86" s="342">
        <f>SUM(F82:F85)</f>
        <v>0</v>
      </c>
      <c r="G86" s="349"/>
      <c r="H86" s="349"/>
    </row>
    <row r="87" spans="1:8">
      <c r="C87" s="349"/>
      <c r="D87" s="349"/>
      <c r="E87" s="349"/>
      <c r="F87" s="342"/>
      <c r="G87" s="349"/>
      <c r="H87" s="349"/>
    </row>
    <row r="88" spans="1:8">
      <c r="B88" s="335" t="s">
        <v>98</v>
      </c>
      <c r="C88" s="349"/>
      <c r="D88" s="349"/>
      <c r="E88" s="349"/>
      <c r="F88" s="342"/>
      <c r="G88" s="349"/>
      <c r="H88" s="349"/>
    </row>
    <row r="89" spans="1:8">
      <c r="B89" s="335" t="s">
        <v>153</v>
      </c>
      <c r="C89" s="349"/>
      <c r="D89" s="349"/>
      <c r="E89" s="349"/>
      <c r="F89" s="342">
        <f>G24</f>
        <v>0</v>
      </c>
      <c r="G89" s="349"/>
      <c r="H89" s="349"/>
    </row>
    <row r="90" spans="1:8">
      <c r="B90" s="335" t="s">
        <v>158</v>
      </c>
      <c r="C90" s="349"/>
      <c r="D90" s="349"/>
      <c r="E90" s="349"/>
      <c r="F90" s="342">
        <f>G25</f>
        <v>0</v>
      </c>
      <c r="G90" s="349"/>
      <c r="H90" s="349"/>
    </row>
    <row r="91" spans="1:8">
      <c r="A91" s="328"/>
      <c r="B91" s="335" t="s">
        <v>156</v>
      </c>
      <c r="C91" s="349"/>
      <c r="D91" s="349"/>
      <c r="E91" s="349"/>
      <c r="F91" s="342"/>
      <c r="G91" s="349"/>
      <c r="H91" s="349"/>
    </row>
    <row r="92" spans="1:8">
      <c r="A92" s="328"/>
      <c r="B92" s="335" t="s">
        <v>159</v>
      </c>
      <c r="C92" s="349"/>
      <c r="D92" s="349"/>
      <c r="E92" s="349"/>
      <c r="F92" s="341">
        <f>SUM(F89:F91)</f>
        <v>0</v>
      </c>
      <c r="G92" s="349"/>
      <c r="H92" s="349"/>
    </row>
    <row r="93" spans="1:8">
      <c r="A93" s="328"/>
      <c r="C93" s="349"/>
      <c r="D93" s="349"/>
      <c r="E93" s="349"/>
      <c r="F93" s="342"/>
      <c r="G93" s="349"/>
      <c r="H93" s="349"/>
    </row>
    <row r="94" spans="1:8">
      <c r="A94" s="328"/>
      <c r="B94" s="335" t="s">
        <v>101</v>
      </c>
      <c r="C94" s="349"/>
      <c r="D94" s="349"/>
      <c r="E94" s="349"/>
      <c r="F94" s="342">
        <f>G29</f>
        <v>0</v>
      </c>
      <c r="G94" s="349"/>
      <c r="H94" s="349"/>
    </row>
    <row r="95" spans="1:8">
      <c r="A95" s="328"/>
      <c r="B95" s="335" t="s">
        <v>102</v>
      </c>
      <c r="C95" s="349"/>
      <c r="D95" s="349"/>
      <c r="E95" s="349"/>
      <c r="F95" s="342">
        <f>G30</f>
        <v>0</v>
      </c>
      <c r="G95" s="349"/>
      <c r="H95" s="349"/>
    </row>
    <row r="96" spans="1:8">
      <c r="A96" s="328"/>
      <c r="B96" s="335" t="s">
        <v>160</v>
      </c>
      <c r="C96" s="349"/>
      <c r="D96" s="349"/>
      <c r="E96" s="349"/>
      <c r="F96" s="342">
        <f>G31</f>
        <v>0</v>
      </c>
      <c r="G96" s="349"/>
      <c r="H96" s="349"/>
    </row>
    <row r="97" spans="1:8">
      <c r="A97" s="328"/>
      <c r="C97" s="349"/>
      <c r="D97" s="349"/>
      <c r="E97" s="349"/>
      <c r="F97" s="342"/>
      <c r="G97" s="349"/>
      <c r="H97" s="349"/>
    </row>
    <row r="98" spans="1:8">
      <c r="A98" s="328"/>
      <c r="B98" s="335" t="s">
        <v>104</v>
      </c>
      <c r="C98" s="349"/>
      <c r="D98" s="349"/>
      <c r="E98" s="349"/>
      <c r="F98" s="342"/>
      <c r="G98" s="349"/>
      <c r="H98" s="349"/>
    </row>
    <row r="99" spans="1:8">
      <c r="A99" s="328"/>
      <c r="B99" s="335" t="s">
        <v>153</v>
      </c>
      <c r="C99" s="349"/>
      <c r="D99" s="349"/>
      <c r="E99" s="349"/>
      <c r="F99" s="342">
        <f>G34</f>
        <v>0</v>
      </c>
      <c r="G99" s="349"/>
      <c r="H99" s="349"/>
    </row>
    <row r="100" spans="1:8">
      <c r="A100" s="328"/>
      <c r="B100" s="335" t="s">
        <v>158</v>
      </c>
      <c r="C100" s="349"/>
      <c r="D100" s="349"/>
      <c r="E100" s="349"/>
      <c r="F100" s="342">
        <f>G35</f>
        <v>0</v>
      </c>
      <c r="G100" s="349"/>
      <c r="H100" s="349"/>
    </row>
    <row r="101" spans="1:8">
      <c r="A101" s="328"/>
      <c r="B101" s="335" t="s">
        <v>156</v>
      </c>
      <c r="C101" s="349"/>
      <c r="D101" s="349"/>
      <c r="E101" s="349"/>
      <c r="F101" s="345">
        <f>G36</f>
        <v>0</v>
      </c>
      <c r="G101" s="349"/>
      <c r="H101" s="349"/>
    </row>
    <row r="102" spans="1:8">
      <c r="A102" s="328"/>
      <c r="B102" s="335" t="s">
        <v>161</v>
      </c>
      <c r="C102" s="349"/>
      <c r="D102" s="349"/>
      <c r="E102" s="349"/>
      <c r="F102" s="342">
        <f>F99+F100+F101</f>
        <v>0</v>
      </c>
      <c r="G102" s="349"/>
      <c r="H102" s="349"/>
    </row>
    <row r="103" spans="1:8">
      <c r="A103" s="328"/>
      <c r="B103" s="349"/>
      <c r="C103" s="349"/>
      <c r="D103" s="349"/>
      <c r="E103" s="349"/>
      <c r="F103" s="342"/>
      <c r="G103" s="349"/>
      <c r="H103" s="349"/>
    </row>
    <row r="104" spans="1:8">
      <c r="A104" s="328"/>
      <c r="B104" s="349" t="s">
        <v>106</v>
      </c>
      <c r="C104" s="349"/>
      <c r="D104" s="349"/>
      <c r="E104" s="349"/>
      <c r="F104" s="344">
        <f>F86+F92+F94+F95+F96+F102</f>
        <v>0</v>
      </c>
      <c r="G104" s="349"/>
      <c r="H104" s="349"/>
    </row>
    <row r="105" spans="1:8">
      <c r="A105" s="328"/>
      <c r="B105" s="349"/>
      <c r="C105" s="349"/>
      <c r="D105" s="349"/>
      <c r="E105" s="349"/>
      <c r="F105" s="342"/>
      <c r="G105" s="349"/>
      <c r="H105" s="349"/>
    </row>
    <row r="106" spans="1:8">
      <c r="A106" s="328"/>
      <c r="B106" s="349" t="s">
        <v>227</v>
      </c>
      <c r="C106" s="349"/>
      <c r="D106" s="349"/>
      <c r="E106" s="349"/>
      <c r="F106" s="345">
        <f>F78-F104</f>
        <v>0</v>
      </c>
      <c r="G106" s="349"/>
      <c r="H106" s="349"/>
    </row>
    <row r="107" spans="1:8">
      <c r="A107" s="328"/>
      <c r="B107" s="349"/>
      <c r="C107" s="349"/>
      <c r="D107" s="349"/>
      <c r="E107" s="349"/>
      <c r="F107" s="342"/>
      <c r="G107" s="349"/>
      <c r="H107" s="349"/>
    </row>
    <row r="108" spans="1:8">
      <c r="A108" s="328"/>
      <c r="B108" s="349" t="s">
        <v>228</v>
      </c>
      <c r="C108" s="349"/>
      <c r="D108" s="349"/>
      <c r="E108" s="350"/>
      <c r="F108" s="342"/>
      <c r="G108" s="349"/>
      <c r="H108" s="349"/>
    </row>
    <row r="109" spans="1:8" ht="12.75" thickBot="1">
      <c r="A109" s="328"/>
      <c r="B109" s="360" t="s">
        <v>229</v>
      </c>
      <c r="C109" s="325">
        <f>Inputs!$D$4</f>
        <v>1.2215999999999999E-2</v>
      </c>
      <c r="D109" s="349"/>
      <c r="E109" s="350"/>
      <c r="F109" s="361">
        <f>ROUND(F106*C109,0)</f>
        <v>0</v>
      </c>
      <c r="G109" s="349"/>
      <c r="H109" s="349"/>
    </row>
    <row r="110" spans="1:8" ht="12.75" thickTop="1">
      <c r="A110" s="328"/>
      <c r="B110" s="349"/>
      <c r="C110" s="349"/>
      <c r="D110" s="349"/>
      <c r="E110" s="350"/>
      <c r="F110" s="349"/>
      <c r="G110" s="351"/>
      <c r="H110" s="349"/>
    </row>
  </sheetData>
  <phoneticPr fontId="0" type="noConversion"/>
  <printOptions horizontalCentered="1"/>
  <pageMargins left="1" right="1" top="0.5" bottom="0.5" header="0.5" footer="0.5"/>
  <pageSetup scale="90" orientation="portrait" horizontalDpi="300" verticalDpi="300" r:id="rId1"/>
  <headerFooter alignWithMargins="0"/>
  <rowBreaks count="1" manualBreakCount="1">
    <brk id="64" max="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60"/>
  <dimension ref="A1:H110"/>
  <sheetViews>
    <sheetView topLeftCell="A64" zoomScaleNormal="100" workbookViewId="0">
      <selection activeCell="F26" sqref="F26"/>
    </sheetView>
  </sheetViews>
  <sheetFormatPr defaultRowHeight="12.75"/>
  <cols>
    <col min="1" max="1" width="5.5703125" style="47" customWidth="1"/>
    <col min="2" max="2" width="26.140625" style="44" customWidth="1"/>
    <col min="3" max="3" width="12.42578125" style="44" customWidth="1"/>
    <col min="4" max="4" width="6.7109375" style="44" customWidth="1"/>
    <col min="5" max="8" width="12.42578125" style="44" customWidth="1"/>
  </cols>
  <sheetData>
    <row r="1" spans="1:8">
      <c r="A1" s="42" t="str">
        <f>Inputs!$D$6</f>
        <v>AVISTA UTILITIES</v>
      </c>
      <c r="B1" s="43"/>
      <c r="C1" s="42"/>
    </row>
    <row r="2" spans="1:8">
      <c r="A2" s="42" t="s">
        <v>142</v>
      </c>
      <c r="B2" s="43"/>
      <c r="C2" s="42"/>
      <c r="E2" s="42"/>
      <c r="F2" s="456"/>
      <c r="G2" s="42"/>
    </row>
    <row r="3" spans="1:8">
      <c r="A3" s="43" t="str">
        <f>WAElec09_08!$A$4</f>
        <v>TWELVE MONTHS ENDED SEPTEMBER 30, 2008</v>
      </c>
      <c r="B3" s="43"/>
      <c r="C3" s="42"/>
      <c r="E3" s="42"/>
      <c r="F3" s="47" t="s">
        <v>504</v>
      </c>
      <c r="G3" s="42"/>
    </row>
    <row r="4" spans="1:8">
      <c r="A4" s="42" t="s">
        <v>1</v>
      </c>
      <c r="B4" s="43"/>
      <c r="C4" s="42"/>
      <c r="E4" s="45"/>
      <c r="F4" s="670" t="s">
        <v>145</v>
      </c>
      <c r="G4" s="46"/>
    </row>
    <row r="5" spans="1:8">
      <c r="A5" s="47" t="s">
        <v>14</v>
      </c>
    </row>
    <row r="6" spans="1:8">
      <c r="A6" s="47" t="s">
        <v>146</v>
      </c>
      <c r="B6" s="48" t="s">
        <v>36</v>
      </c>
      <c r="C6" s="48"/>
      <c r="D6" s="47"/>
      <c r="E6" s="48" t="s">
        <v>147</v>
      </c>
      <c r="F6" s="48" t="s">
        <v>148</v>
      </c>
      <c r="G6" s="48" t="s">
        <v>128</v>
      </c>
      <c r="H6" s="49" t="s">
        <v>149</v>
      </c>
    </row>
    <row r="7" spans="1:8">
      <c r="B7" s="50" t="s">
        <v>85</v>
      </c>
    </row>
    <row r="8" spans="1:8">
      <c r="A8" s="51">
        <v>1</v>
      </c>
      <c r="B8" s="52" t="s">
        <v>86</v>
      </c>
      <c r="C8" s="53"/>
      <c r="D8" s="53"/>
      <c r="E8" s="54">
        <f>F8+G8</f>
        <v>0</v>
      </c>
      <c r="F8" s="54">
        <v>0</v>
      </c>
      <c r="G8" s="54">
        <v>0</v>
      </c>
      <c r="H8" s="53" t="str">
        <f t="shared" ref="H8:H13" si="0">IF(E8=F8+G8," ","ERROR")</f>
        <v xml:space="preserve"> </v>
      </c>
    </row>
    <row r="9" spans="1:8">
      <c r="A9" s="47">
        <v>2</v>
      </c>
      <c r="B9" s="50" t="s">
        <v>87</v>
      </c>
      <c r="E9" s="55"/>
      <c r="F9" s="55"/>
      <c r="G9" s="55"/>
      <c r="H9" s="53" t="str">
        <f t="shared" si="0"/>
        <v xml:space="preserve"> </v>
      </c>
    </row>
    <row r="10" spans="1:8">
      <c r="A10" s="47">
        <v>3</v>
      </c>
      <c r="B10" s="50" t="s">
        <v>150</v>
      </c>
      <c r="E10" s="55"/>
      <c r="F10" s="55"/>
      <c r="G10" s="55"/>
      <c r="H10" s="53" t="str">
        <f t="shared" si="0"/>
        <v xml:space="preserve"> </v>
      </c>
    </row>
    <row r="11" spans="1:8">
      <c r="A11" s="47">
        <v>4</v>
      </c>
      <c r="B11" s="50" t="s">
        <v>151</v>
      </c>
      <c r="E11" s="56">
        <f>E8+E9+E10</f>
        <v>0</v>
      </c>
      <c r="F11" s="56">
        <f>F8+F9+F10</f>
        <v>0</v>
      </c>
      <c r="G11" s="56">
        <f>G8+G9+G10</f>
        <v>0</v>
      </c>
      <c r="H11" s="53" t="str">
        <f t="shared" si="0"/>
        <v xml:space="preserve"> </v>
      </c>
    </row>
    <row r="12" spans="1:8">
      <c r="A12" s="47">
        <v>5</v>
      </c>
      <c r="B12" s="50" t="s">
        <v>90</v>
      </c>
      <c r="E12" s="55"/>
      <c r="F12" s="55"/>
      <c r="G12" s="55"/>
      <c r="H12" s="53" t="str">
        <f t="shared" si="0"/>
        <v xml:space="preserve"> </v>
      </c>
    </row>
    <row r="13" spans="1:8">
      <c r="A13" s="47">
        <v>6</v>
      </c>
      <c r="B13" s="50" t="s">
        <v>152</v>
      </c>
      <c r="E13" s="56">
        <f>E11+E12</f>
        <v>0</v>
      </c>
      <c r="F13" s="56">
        <f>F11+F12</f>
        <v>0</v>
      </c>
      <c r="G13" s="56">
        <f>G11+G12</f>
        <v>0</v>
      </c>
      <c r="H13" s="53" t="str">
        <f t="shared" si="0"/>
        <v xml:space="preserve"> </v>
      </c>
    </row>
    <row r="14" spans="1:8">
      <c r="E14" s="58"/>
      <c r="F14" s="58"/>
      <c r="G14" s="58"/>
      <c r="H14" s="53"/>
    </row>
    <row r="15" spans="1:8">
      <c r="B15" s="50" t="s">
        <v>92</v>
      </c>
      <c r="E15" s="58"/>
      <c r="F15" s="58"/>
      <c r="G15" s="58"/>
      <c r="H15" s="53"/>
    </row>
    <row r="16" spans="1:8">
      <c r="B16" s="50" t="s">
        <v>93</v>
      </c>
      <c r="E16" s="58"/>
      <c r="F16" s="58"/>
      <c r="G16" s="58"/>
      <c r="H16" s="53"/>
    </row>
    <row r="17" spans="1:8">
      <c r="A17" s="47">
        <v>7</v>
      </c>
      <c r="B17" s="50" t="s">
        <v>153</v>
      </c>
      <c r="E17" s="55">
        <f>F17+G17</f>
        <v>0</v>
      </c>
      <c r="F17" s="55">
        <v>0</v>
      </c>
      <c r="G17" s="55">
        <v>0</v>
      </c>
      <c r="H17" s="53" t="str">
        <f>IF(E17=F17+G17," ","ERROR")</f>
        <v xml:space="preserve"> </v>
      </c>
    </row>
    <row r="18" spans="1:8">
      <c r="A18" s="47">
        <v>8</v>
      </c>
      <c r="B18" s="50" t="s">
        <v>154</v>
      </c>
      <c r="E18" s="55"/>
      <c r="F18" s="55"/>
      <c r="G18" s="55"/>
      <c r="H18" s="53" t="str">
        <f>IF(E18=F18+G18," ","ERROR")</f>
        <v xml:space="preserve"> </v>
      </c>
    </row>
    <row r="19" spans="1:8">
      <c r="A19" s="47">
        <v>9</v>
      </c>
      <c r="B19" s="50" t="s">
        <v>155</v>
      </c>
      <c r="E19" s="55">
        <f>F19+G19</f>
        <v>0</v>
      </c>
      <c r="F19" s="55">
        <v>0</v>
      </c>
      <c r="G19" s="55"/>
      <c r="H19" s="53" t="str">
        <f>IF(E19=F19+G19," ","ERROR")</f>
        <v xml:space="preserve"> </v>
      </c>
    </row>
    <row r="20" spans="1:8">
      <c r="A20" s="47">
        <v>10</v>
      </c>
      <c r="B20" s="50" t="s">
        <v>156</v>
      </c>
      <c r="E20" s="55">
        <f>F20+G20</f>
        <v>0</v>
      </c>
      <c r="F20" s="55"/>
      <c r="G20" s="55"/>
      <c r="H20" s="53" t="str">
        <f>IF(E20=F20+G20," ","ERROR")</f>
        <v xml:space="preserve"> </v>
      </c>
    </row>
    <row r="21" spans="1:8">
      <c r="A21" s="47">
        <v>11</v>
      </c>
      <c r="B21" s="50" t="s">
        <v>157</v>
      </c>
      <c r="E21" s="56">
        <f>E17+E18+E19+E20</f>
        <v>0</v>
      </c>
      <c r="F21" s="56">
        <f>F17+F18+F19+F20</f>
        <v>0</v>
      </c>
      <c r="G21" s="56">
        <f>G17+G18+G19+G20</f>
        <v>0</v>
      </c>
      <c r="H21" s="53" t="str">
        <f>IF(E21=F21+G21," ","ERROR")</f>
        <v xml:space="preserve"> </v>
      </c>
    </row>
    <row r="22" spans="1:8">
      <c r="E22" s="58"/>
      <c r="F22" s="58"/>
      <c r="G22" s="58"/>
      <c r="H22" s="53"/>
    </row>
    <row r="23" spans="1:8">
      <c r="B23" s="50" t="s">
        <v>98</v>
      </c>
      <c r="E23" s="58"/>
      <c r="F23" s="58"/>
      <c r="G23" s="58"/>
      <c r="H23" s="53"/>
    </row>
    <row r="24" spans="1:8">
      <c r="A24" s="47">
        <v>12</v>
      </c>
      <c r="B24" s="50" t="s">
        <v>153</v>
      </c>
      <c r="E24" s="55">
        <f>F24+G24</f>
        <v>0</v>
      </c>
      <c r="F24" s="55">
        <v>0</v>
      </c>
      <c r="G24" s="55">
        <v>0</v>
      </c>
      <c r="H24" s="53" t="str">
        <f>IF(E24=F24+G24," ","ERROR")</f>
        <v xml:space="preserve"> </v>
      </c>
    </row>
    <row r="25" spans="1:8">
      <c r="A25" s="47">
        <v>13</v>
      </c>
      <c r="B25" s="50" t="s">
        <v>158</v>
      </c>
      <c r="E25" s="55">
        <f>F25+G25</f>
        <v>-122</v>
      </c>
      <c r="F25" s="55">
        <v>-122</v>
      </c>
      <c r="G25" s="55"/>
      <c r="H25" s="53" t="str">
        <f>IF(E25=F25+G25," ","ERROR")</f>
        <v xml:space="preserve"> </v>
      </c>
    </row>
    <row r="26" spans="1:8">
      <c r="A26" s="47">
        <v>14</v>
      </c>
      <c r="B26" s="50" t="s">
        <v>156</v>
      </c>
      <c r="E26" s="55">
        <f>F26+G26</f>
        <v>0</v>
      </c>
      <c r="F26" s="55">
        <v>0</v>
      </c>
      <c r="G26" s="916">
        <f>F109</f>
        <v>0</v>
      </c>
      <c r="H26" s="53" t="str">
        <f>IF(E26=F26+G26," ","ERROR")</f>
        <v xml:space="preserve"> </v>
      </c>
    </row>
    <row r="27" spans="1:8">
      <c r="A27" s="47">
        <v>15</v>
      </c>
      <c r="B27" s="50" t="s">
        <v>159</v>
      </c>
      <c r="E27" s="56">
        <f>E24+E25+E26</f>
        <v>-122</v>
      </c>
      <c r="F27" s="56">
        <f>F24+F25+F26</f>
        <v>-122</v>
      </c>
      <c r="G27" s="56">
        <f>G24+G25+G26</f>
        <v>0</v>
      </c>
      <c r="H27" s="53" t="str">
        <f>IF(E27=F27+G27," ","ERROR")</f>
        <v xml:space="preserve"> </v>
      </c>
    </row>
    <row r="28" spans="1:8">
      <c r="E28" s="58"/>
      <c r="F28" s="58"/>
      <c r="G28" s="58"/>
      <c r="H28" s="53"/>
    </row>
    <row r="29" spans="1:8">
      <c r="A29" s="47">
        <v>16</v>
      </c>
      <c r="B29" s="50" t="s">
        <v>101</v>
      </c>
      <c r="E29" s="55">
        <f>SUM(F29:G29)</f>
        <v>0</v>
      </c>
      <c r="F29" s="55">
        <v>0</v>
      </c>
      <c r="G29" s="55">
        <v>0</v>
      </c>
      <c r="H29" s="53" t="str">
        <f>IF(E29=F29+G29," ","ERROR")</f>
        <v xml:space="preserve"> </v>
      </c>
    </row>
    <row r="30" spans="1:8">
      <c r="A30" s="47">
        <v>17</v>
      </c>
      <c r="B30" s="50" t="s">
        <v>102</v>
      </c>
      <c r="E30" s="55">
        <f>SUM(F30:G30)</f>
        <v>0</v>
      </c>
      <c r="F30" s="55">
        <v>0</v>
      </c>
      <c r="G30" s="55">
        <v>0</v>
      </c>
      <c r="H30" s="53" t="str">
        <f>IF(E30=F30+G30," ","ERROR")</f>
        <v xml:space="preserve"> </v>
      </c>
    </row>
    <row r="31" spans="1:8">
      <c r="A31" s="47">
        <v>18</v>
      </c>
      <c r="B31" s="50" t="s">
        <v>160</v>
      </c>
      <c r="E31" s="55">
        <f>SUM(F31:G31)</f>
        <v>0</v>
      </c>
      <c r="F31" s="55">
        <v>0</v>
      </c>
      <c r="G31" s="55">
        <v>0</v>
      </c>
      <c r="H31" s="53" t="str">
        <f>IF(E31=F31+G31," ","ERROR")</f>
        <v xml:space="preserve"> </v>
      </c>
    </row>
    <row r="32" spans="1:8">
      <c r="E32" s="58"/>
      <c r="F32" s="58"/>
      <c r="G32" s="58"/>
      <c r="H32" s="53"/>
    </row>
    <row r="33" spans="1:8">
      <c r="B33" s="50" t="s">
        <v>104</v>
      </c>
      <c r="E33" s="58"/>
      <c r="F33" s="58"/>
      <c r="G33" s="58"/>
      <c r="H33" s="53"/>
    </row>
    <row r="34" spans="1:8">
      <c r="A34" s="47">
        <v>19</v>
      </c>
      <c r="B34" s="50" t="s">
        <v>153</v>
      </c>
      <c r="E34" s="55">
        <f>SUM(F34:G34)</f>
        <v>0</v>
      </c>
      <c r="F34" s="55">
        <v>0</v>
      </c>
      <c r="G34" s="55">
        <v>0</v>
      </c>
      <c r="H34" s="53" t="str">
        <f>IF(E34=F34+G34," ","ERROR")</f>
        <v xml:space="preserve"> </v>
      </c>
    </row>
    <row r="35" spans="1:8">
      <c r="A35" s="47">
        <v>20</v>
      </c>
      <c r="B35" s="50" t="s">
        <v>158</v>
      </c>
      <c r="E35" s="55"/>
      <c r="F35" s="55"/>
      <c r="G35" s="55"/>
      <c r="H35" s="53" t="str">
        <f>IF(E35=F35+G35," ","ERROR")</f>
        <v xml:space="preserve"> </v>
      </c>
    </row>
    <row r="36" spans="1:8">
      <c r="A36" s="47">
        <v>21</v>
      </c>
      <c r="B36" s="50" t="s">
        <v>156</v>
      </c>
      <c r="E36" s="55"/>
      <c r="F36" s="55"/>
      <c r="G36" s="55"/>
      <c r="H36" s="53" t="str">
        <f>IF(E36=F36+G36," ","ERROR")</f>
        <v xml:space="preserve"> </v>
      </c>
    </row>
    <row r="37" spans="1:8">
      <c r="A37" s="47">
        <v>22</v>
      </c>
      <c r="B37" s="50" t="s">
        <v>161</v>
      </c>
      <c r="E37" s="60">
        <f>E34+E35+E36</f>
        <v>0</v>
      </c>
      <c r="F37" s="60">
        <f>F34+F35+F36</f>
        <v>0</v>
      </c>
      <c r="G37" s="60">
        <f>G34+G35+G36</f>
        <v>0</v>
      </c>
      <c r="H37" s="53" t="str">
        <f>IF(E37=F37+G37," ","ERROR")</f>
        <v xml:space="preserve"> </v>
      </c>
    </row>
    <row r="38" spans="1:8">
      <c r="A38" s="47">
        <v>23</v>
      </c>
      <c r="B38" s="50" t="s">
        <v>106</v>
      </c>
      <c r="E38" s="61">
        <f>E21+E27+E29+E30+E31+E37</f>
        <v>-122</v>
      </c>
      <c r="F38" s="61">
        <f>F21+F27+F29+F30+F31+F37</f>
        <v>-122</v>
      </c>
      <c r="G38" s="61">
        <f>G21+G27+G29+G30+G31+G37</f>
        <v>0</v>
      </c>
      <c r="H38" s="53" t="str">
        <f>IF(E38=F38+G38," ","ERROR")</f>
        <v xml:space="preserve"> </v>
      </c>
    </row>
    <row r="39" spans="1:8">
      <c r="E39" s="58"/>
      <c r="F39" s="58"/>
      <c r="G39" s="58"/>
      <c r="H39" s="53"/>
    </row>
    <row r="40" spans="1:8">
      <c r="A40" s="47">
        <v>24</v>
      </c>
      <c r="B40" s="50" t="s">
        <v>162</v>
      </c>
      <c r="E40" s="58">
        <f>E13-E38</f>
        <v>122</v>
      </c>
      <c r="F40" s="58">
        <f>F13-F38</f>
        <v>122</v>
      </c>
      <c r="G40" s="58">
        <f>G13-G38</f>
        <v>0</v>
      </c>
      <c r="H40" s="53" t="str">
        <f>IF(E40=F40+G40," ","ERROR")</f>
        <v xml:space="preserve"> </v>
      </c>
    </row>
    <row r="41" spans="1:8">
      <c r="B41" s="50"/>
      <c r="E41" s="58"/>
      <c r="F41" s="58"/>
      <c r="G41" s="58"/>
      <c r="H41" s="53"/>
    </row>
    <row r="42" spans="1:8">
      <c r="B42" s="50" t="s">
        <v>163</v>
      </c>
      <c r="E42" s="58"/>
      <c r="F42" s="58"/>
      <c r="G42" s="58"/>
      <c r="H42" s="53"/>
    </row>
    <row r="43" spans="1:8">
      <c r="A43" s="47">
        <v>25</v>
      </c>
      <c r="B43" s="50" t="s">
        <v>164</v>
      </c>
      <c r="D43" s="62">
        <v>0.35</v>
      </c>
      <c r="E43" s="55">
        <f>F43+G43</f>
        <v>43</v>
      </c>
      <c r="F43" s="55">
        <f>ROUND(F40*D43,0)</f>
        <v>43</v>
      </c>
      <c r="G43" s="55">
        <f>ROUND(G40*D43,0)</f>
        <v>0</v>
      </c>
      <c r="H43" s="53" t="str">
        <f>IF(E43=F43+G43," ","ERROR")</f>
        <v xml:space="preserve"> </v>
      </c>
    </row>
    <row r="44" spans="1:8">
      <c r="A44" s="47">
        <v>26</v>
      </c>
      <c r="B44" s="50" t="s">
        <v>165</v>
      </c>
      <c r="E44" s="55"/>
      <c r="F44" s="55"/>
      <c r="G44" s="55"/>
      <c r="H44" s="53" t="str">
        <f>IF(E44=F44+G44," ","ERROR")</f>
        <v xml:space="preserve"> </v>
      </c>
    </row>
    <row r="45" spans="1:8">
      <c r="A45"/>
      <c r="B45"/>
      <c r="C45"/>
      <c r="D45"/>
      <c r="E45" s="913"/>
      <c r="F45" s="913"/>
      <c r="G45" s="913"/>
      <c r="H45" s="53" t="str">
        <f>IF(E45=F45+G45," ","ERROR")</f>
        <v xml:space="preserve"> </v>
      </c>
    </row>
    <row r="46" spans="1:8">
      <c r="A46" s="259"/>
      <c r="B46" s="262"/>
      <c r="C46" s="256"/>
      <c r="D46" s="256"/>
      <c r="E46" s="269"/>
      <c r="F46" s="269"/>
      <c r="G46" s="269"/>
      <c r="H46" s="53"/>
    </row>
    <row r="47" spans="1:8">
      <c r="A47" s="263">
        <v>27</v>
      </c>
      <c r="B47" s="264" t="s">
        <v>113</v>
      </c>
      <c r="C47" s="265"/>
      <c r="D47" s="265"/>
      <c r="E47" s="273">
        <f>E40-SUM(E43:E44)</f>
        <v>79</v>
      </c>
      <c r="F47" s="273">
        <f>F40-SUM(F43:F44)</f>
        <v>79</v>
      </c>
      <c r="G47" s="273">
        <f>G40-SUM(G43:G44)</f>
        <v>0</v>
      </c>
      <c r="H47" s="53" t="str">
        <f>IF(E47=F47+G47," ","ERROR")</f>
        <v xml:space="preserve"> </v>
      </c>
    </row>
    <row r="48" spans="1:8">
      <c r="A48" s="259"/>
      <c r="H48" s="53"/>
    </row>
    <row r="49" spans="1:8">
      <c r="A49" s="259"/>
      <c r="B49" s="50" t="s">
        <v>114</v>
      </c>
      <c r="H49" s="53"/>
    </row>
    <row r="50" spans="1:8">
      <c r="A50" s="259"/>
      <c r="B50" s="50" t="s">
        <v>115</v>
      </c>
      <c r="H50" s="53"/>
    </row>
    <row r="51" spans="1:8">
      <c r="A51" s="263">
        <v>28</v>
      </c>
      <c r="B51" s="52" t="s">
        <v>167</v>
      </c>
      <c r="C51" s="53"/>
      <c r="D51" s="53"/>
      <c r="E51" s="54"/>
      <c r="F51" s="54"/>
      <c r="G51" s="54"/>
      <c r="H51" s="53" t="str">
        <f t="shared" ref="H51:H61" si="1">IF(E51=F51+G51," ","ERROR")</f>
        <v xml:space="preserve"> </v>
      </c>
    </row>
    <row r="52" spans="1:8">
      <c r="A52" s="259">
        <v>29</v>
      </c>
      <c r="B52" s="50" t="s">
        <v>168</v>
      </c>
      <c r="E52" s="55">
        <f>F52+G52</f>
        <v>0</v>
      </c>
      <c r="F52" s="55"/>
      <c r="G52" s="55"/>
      <c r="H52" s="53" t="str">
        <f t="shared" si="1"/>
        <v xml:space="preserve"> </v>
      </c>
    </row>
    <row r="53" spans="1:8">
      <c r="A53" s="259">
        <v>30</v>
      </c>
      <c r="B53" s="50" t="s">
        <v>169</v>
      </c>
      <c r="E53" s="55"/>
      <c r="F53" s="55"/>
      <c r="G53" s="55"/>
      <c r="H53" s="53" t="str">
        <f t="shared" si="1"/>
        <v xml:space="preserve"> </v>
      </c>
    </row>
    <row r="54" spans="1:8">
      <c r="A54" s="259">
        <v>31</v>
      </c>
      <c r="B54" s="50" t="s">
        <v>170</v>
      </c>
      <c r="E54" s="55"/>
      <c r="F54" s="55"/>
      <c r="G54" s="55"/>
      <c r="H54" s="53" t="str">
        <f t="shared" si="1"/>
        <v xml:space="preserve"> </v>
      </c>
    </row>
    <row r="55" spans="1:8">
      <c r="A55" s="259">
        <v>32</v>
      </c>
      <c r="B55" s="50" t="s">
        <v>171</v>
      </c>
      <c r="E55" s="59"/>
      <c r="F55" s="59"/>
      <c r="G55" s="59"/>
      <c r="H55" s="53" t="str">
        <f t="shared" si="1"/>
        <v xml:space="preserve"> </v>
      </c>
    </row>
    <row r="56" spans="1:8">
      <c r="A56" s="259">
        <v>33</v>
      </c>
      <c r="B56" s="50" t="s">
        <v>172</v>
      </c>
      <c r="E56" s="58">
        <f>E51+E52+E53+E54+E55</f>
        <v>0</v>
      </c>
      <c r="F56" s="58">
        <f>F51+F52+F53+F54+F55</f>
        <v>0</v>
      </c>
      <c r="G56" s="58">
        <f>G51+G52+G53+G54+G55</f>
        <v>0</v>
      </c>
      <c r="H56" s="53" t="str">
        <f t="shared" si="1"/>
        <v xml:space="preserve"> </v>
      </c>
    </row>
    <row r="57" spans="1:8">
      <c r="A57" s="259">
        <v>34</v>
      </c>
      <c r="B57" s="50" t="s">
        <v>121</v>
      </c>
      <c r="E57" s="55">
        <f>F57+G57</f>
        <v>0</v>
      </c>
      <c r="F57" s="55"/>
      <c r="G57" s="55"/>
      <c r="H57" s="53" t="str">
        <f t="shared" si="1"/>
        <v xml:space="preserve"> </v>
      </c>
    </row>
    <row r="58" spans="1:8">
      <c r="A58" s="259">
        <v>35</v>
      </c>
      <c r="B58" s="50" t="s">
        <v>122</v>
      </c>
      <c r="E58" s="59"/>
      <c r="F58" s="59"/>
      <c r="G58" s="59"/>
      <c r="H58" s="53" t="str">
        <f t="shared" si="1"/>
        <v xml:space="preserve"> </v>
      </c>
    </row>
    <row r="59" spans="1:8">
      <c r="A59" s="259">
        <v>36</v>
      </c>
      <c r="B59" s="50" t="s">
        <v>173</v>
      </c>
      <c r="E59" s="58">
        <f>E57+E58</f>
        <v>0</v>
      </c>
      <c r="F59" s="58">
        <f>F57+F58</f>
        <v>0</v>
      </c>
      <c r="G59" s="58">
        <f>G57+G58</f>
        <v>0</v>
      </c>
      <c r="H59" s="53" t="str">
        <f t="shared" si="1"/>
        <v xml:space="preserve"> </v>
      </c>
    </row>
    <row r="60" spans="1:8">
      <c r="A60" s="259">
        <v>37</v>
      </c>
      <c r="B60" s="50" t="s">
        <v>124</v>
      </c>
      <c r="E60" s="55"/>
      <c r="F60" s="55"/>
      <c r="G60" s="55"/>
      <c r="H60" s="53" t="str">
        <f t="shared" si="1"/>
        <v xml:space="preserve"> </v>
      </c>
    </row>
    <row r="61" spans="1:8">
      <c r="A61" s="259">
        <v>38</v>
      </c>
      <c r="B61" s="50" t="s">
        <v>125</v>
      </c>
      <c r="E61" s="59">
        <f>F61+G61</f>
        <v>0</v>
      </c>
      <c r="F61" s="59"/>
      <c r="G61" s="59"/>
      <c r="H61" s="53" t="str">
        <f t="shared" si="1"/>
        <v xml:space="preserve"> </v>
      </c>
    </row>
    <row r="62" spans="1:8" ht="11.25" customHeight="1">
      <c r="A62" s="259"/>
      <c r="H62" s="53"/>
    </row>
    <row r="63" spans="1:8" ht="13.5" thickBot="1">
      <c r="A63" s="263">
        <v>39</v>
      </c>
      <c r="B63" s="52" t="s">
        <v>126</v>
      </c>
      <c r="C63" s="53"/>
      <c r="D63" s="53"/>
      <c r="E63" s="63">
        <f>E56-E59+E60+E61</f>
        <v>0</v>
      </c>
      <c r="F63" s="63">
        <f>F56-F59+F60+F61</f>
        <v>0</v>
      </c>
      <c r="G63" s="63">
        <f>G56-G59+G60+G61</f>
        <v>0</v>
      </c>
      <c r="H63" s="53" t="str">
        <f>IF(E63=F63+G63," ","ERROR")</f>
        <v xml:space="preserve"> </v>
      </c>
    </row>
    <row r="64" spans="1:8" ht="13.5" thickTop="1">
      <c r="A64" s="44"/>
      <c r="B64" s="69"/>
      <c r="C64" s="69"/>
      <c r="D64" s="69"/>
      <c r="E64" s="671"/>
      <c r="F64" s="672"/>
      <c r="G64" s="69"/>
      <c r="H64" s="69"/>
    </row>
    <row r="65" spans="1:7">
      <c r="A65" s="420" t="str">
        <f>Inputs!$D$6</f>
        <v>AVISTA UTILITIES</v>
      </c>
      <c r="B65" s="420"/>
      <c r="C65" s="420"/>
      <c r="D65" s="440"/>
      <c r="E65" s="441"/>
      <c r="F65" s="440"/>
      <c r="G65" s="442"/>
    </row>
    <row r="66" spans="1:7">
      <c r="A66" s="420" t="s">
        <v>225</v>
      </c>
      <c r="B66" s="420"/>
      <c r="C66" s="420"/>
      <c r="D66" s="440"/>
      <c r="E66" s="441"/>
      <c r="F66" s="440"/>
      <c r="G66" s="442"/>
    </row>
    <row r="67" spans="1:7">
      <c r="A67" s="420" t="str">
        <f>A3</f>
        <v>TWELVE MONTHS ENDED SEPTEMBER 30, 2008</v>
      </c>
      <c r="B67" s="420"/>
      <c r="C67" s="420"/>
      <c r="D67" s="440"/>
      <c r="E67" s="441"/>
      <c r="F67" s="443">
        <f>F2</f>
        <v>0</v>
      </c>
      <c r="G67" s="440"/>
    </row>
    <row r="68" spans="1:7">
      <c r="A68" s="420" t="s">
        <v>226</v>
      </c>
      <c r="B68" s="420"/>
      <c r="C68" s="420"/>
      <c r="D68" s="440"/>
      <c r="E68" s="441"/>
      <c r="F68" s="443" t="str">
        <f>F3</f>
        <v>NET GAINS &amp; LOSSES</v>
      </c>
      <c r="G68" s="440"/>
    </row>
    <row r="69" spans="1:7">
      <c r="A69" s="424"/>
      <c r="B69" s="440"/>
      <c r="C69" s="440"/>
      <c r="D69" s="440"/>
      <c r="E69" s="444"/>
      <c r="F69" s="445" t="str">
        <f>F4</f>
        <v>ELECTRIC</v>
      </c>
      <c r="G69" s="440"/>
    </row>
    <row r="70" spans="1:7">
      <c r="A70" s="424"/>
      <c r="B70" s="440"/>
      <c r="C70" s="440"/>
      <c r="D70" s="440"/>
      <c r="E70" s="441"/>
      <c r="F70" s="443"/>
      <c r="G70" s="447"/>
    </row>
    <row r="71" spans="1:7">
      <c r="A71" s="424"/>
      <c r="B71" s="448" t="s">
        <v>134</v>
      </c>
      <c r="C71" s="449"/>
      <c r="D71" s="440"/>
      <c r="E71" s="441"/>
      <c r="F71" s="445" t="s">
        <v>128</v>
      </c>
      <c r="G71" s="440"/>
    </row>
    <row r="72" spans="1:7">
      <c r="A72" s="424"/>
      <c r="B72" s="427" t="s">
        <v>85</v>
      </c>
      <c r="C72" s="440"/>
      <c r="D72" s="440"/>
      <c r="E72" s="440"/>
      <c r="F72" s="442"/>
      <c r="G72" s="440"/>
    </row>
    <row r="73" spans="1:7">
      <c r="A73" s="424"/>
      <c r="B73" s="429" t="s">
        <v>86</v>
      </c>
      <c r="C73" s="440"/>
      <c r="D73" s="440"/>
      <c r="E73" s="440"/>
      <c r="F73" s="450">
        <f>G8</f>
        <v>0</v>
      </c>
      <c r="G73" s="440"/>
    </row>
    <row r="74" spans="1:7">
      <c r="A74" s="424"/>
      <c r="B74" s="427" t="s">
        <v>87</v>
      </c>
      <c r="C74" s="440"/>
      <c r="D74" s="440"/>
      <c r="E74" s="440"/>
      <c r="F74" s="434">
        <f>G9</f>
        <v>0</v>
      </c>
      <c r="G74" s="440"/>
    </row>
    <row r="75" spans="1:7">
      <c r="A75" s="424"/>
      <c r="B75" s="427" t="s">
        <v>150</v>
      </c>
      <c r="C75" s="440"/>
      <c r="D75" s="440"/>
      <c r="E75" s="440"/>
      <c r="F75" s="436">
        <f>G10</f>
        <v>0</v>
      </c>
      <c r="G75" s="440"/>
    </row>
    <row r="76" spans="1:7">
      <c r="A76" s="424"/>
      <c r="B76" s="427" t="s">
        <v>151</v>
      </c>
      <c r="C76" s="440"/>
      <c r="D76" s="440"/>
      <c r="E76" s="440"/>
      <c r="F76" s="434">
        <f>SUM(F73:F75)</f>
        <v>0</v>
      </c>
      <c r="G76" s="440"/>
    </row>
    <row r="77" spans="1:7">
      <c r="A77" s="424"/>
      <c r="B77" s="427" t="s">
        <v>90</v>
      </c>
      <c r="C77" s="440"/>
      <c r="D77" s="440"/>
      <c r="E77" s="440"/>
      <c r="F77" s="436">
        <f>G12</f>
        <v>0</v>
      </c>
      <c r="G77" s="440"/>
    </row>
    <row r="78" spans="1:7">
      <c r="A78" s="424"/>
      <c r="B78" s="427" t="s">
        <v>152</v>
      </c>
      <c r="C78" s="440"/>
      <c r="D78" s="440"/>
      <c r="E78" s="440"/>
      <c r="F78" s="434">
        <f>F76+F77</f>
        <v>0</v>
      </c>
      <c r="G78" s="440"/>
    </row>
    <row r="79" spans="1:7">
      <c r="A79" s="424"/>
      <c r="B79" s="421"/>
      <c r="C79" s="440"/>
      <c r="D79" s="440"/>
      <c r="E79" s="440"/>
      <c r="F79" s="434"/>
      <c r="G79" s="440"/>
    </row>
    <row r="80" spans="1:7">
      <c r="A80" s="424"/>
      <c r="B80" s="427" t="s">
        <v>92</v>
      </c>
      <c r="C80" s="440"/>
      <c r="D80" s="440"/>
      <c r="E80" s="440"/>
      <c r="F80" s="434"/>
      <c r="G80" s="440"/>
    </row>
    <row r="81" spans="1:7">
      <c r="A81" s="424"/>
      <c r="B81" s="427" t="s">
        <v>93</v>
      </c>
      <c r="C81" s="440"/>
      <c r="D81" s="440"/>
      <c r="E81" s="440"/>
      <c r="F81" s="434"/>
      <c r="G81" s="440"/>
    </row>
    <row r="82" spans="1:7">
      <c r="A82" s="424"/>
      <c r="B82" s="427" t="s">
        <v>153</v>
      </c>
      <c r="C82" s="440"/>
      <c r="D82" s="440"/>
      <c r="E82" s="440"/>
      <c r="F82" s="434">
        <f>G17</f>
        <v>0</v>
      </c>
      <c r="G82" s="440"/>
    </row>
    <row r="83" spans="1:7">
      <c r="A83" s="424"/>
      <c r="B83" s="427" t="s">
        <v>154</v>
      </c>
      <c r="C83" s="440"/>
      <c r="D83" s="440"/>
      <c r="E83" s="440"/>
      <c r="F83" s="434">
        <f>G18</f>
        <v>0</v>
      </c>
      <c r="G83" s="440"/>
    </row>
    <row r="84" spans="1:7">
      <c r="A84" s="424"/>
      <c r="B84" s="427" t="s">
        <v>155</v>
      </c>
      <c r="C84" s="440"/>
      <c r="D84" s="440"/>
      <c r="E84" s="440"/>
      <c r="F84" s="434">
        <f>G19</f>
        <v>0</v>
      </c>
      <c r="G84" s="440"/>
    </row>
    <row r="85" spans="1:7">
      <c r="A85" s="424"/>
      <c r="B85" s="427" t="s">
        <v>156</v>
      </c>
      <c r="C85" s="440"/>
      <c r="D85" s="440"/>
      <c r="E85" s="440"/>
      <c r="F85" s="436">
        <f>G20</f>
        <v>0</v>
      </c>
      <c r="G85" s="440"/>
    </row>
    <row r="86" spans="1:7">
      <c r="A86" s="424"/>
      <c r="B86" s="427" t="s">
        <v>157</v>
      </c>
      <c r="C86" s="440"/>
      <c r="D86" s="440"/>
      <c r="E86" s="440"/>
      <c r="F86" s="434">
        <f>SUM(F82:F85)</f>
        <v>0</v>
      </c>
      <c r="G86" s="440"/>
    </row>
    <row r="87" spans="1:7">
      <c r="A87" s="424"/>
      <c r="B87" s="421"/>
      <c r="C87" s="440"/>
      <c r="D87" s="440"/>
      <c r="E87" s="440"/>
      <c r="F87" s="434"/>
      <c r="G87" s="440"/>
    </row>
    <row r="88" spans="1:7">
      <c r="A88" s="424"/>
      <c r="B88" s="427" t="s">
        <v>98</v>
      </c>
      <c r="C88" s="440"/>
      <c r="D88" s="440"/>
      <c r="E88" s="440"/>
      <c r="F88" s="434"/>
      <c r="G88" s="440"/>
    </row>
    <row r="89" spans="1:7">
      <c r="A89" s="424"/>
      <c r="B89" s="427" t="s">
        <v>153</v>
      </c>
      <c r="C89" s="440"/>
      <c r="D89" s="440"/>
      <c r="E89" s="440"/>
      <c r="F89" s="434">
        <f>G24</f>
        <v>0</v>
      </c>
      <c r="G89" s="440"/>
    </row>
    <row r="90" spans="1:7">
      <c r="A90" s="424"/>
      <c r="B90" s="427" t="s">
        <v>158</v>
      </c>
      <c r="C90" s="440"/>
      <c r="D90" s="440"/>
      <c r="E90" s="440"/>
      <c r="F90" s="434">
        <f>G25</f>
        <v>0</v>
      </c>
      <c r="G90" s="440"/>
    </row>
    <row r="91" spans="1:7">
      <c r="A91" s="421"/>
      <c r="B91" s="427" t="s">
        <v>156</v>
      </c>
      <c r="C91" s="440"/>
      <c r="D91" s="440"/>
      <c r="E91" s="440"/>
      <c r="F91" s="434"/>
      <c r="G91" s="440"/>
    </row>
    <row r="92" spans="1:7">
      <c r="A92" s="421"/>
      <c r="B92" s="427" t="s">
        <v>159</v>
      </c>
      <c r="C92" s="440"/>
      <c r="D92" s="440"/>
      <c r="E92" s="440"/>
      <c r="F92" s="433">
        <f>SUM(F89:F91)</f>
        <v>0</v>
      </c>
      <c r="G92" s="440"/>
    </row>
    <row r="93" spans="1:7">
      <c r="A93" s="421"/>
      <c r="B93" s="421"/>
      <c r="C93" s="440"/>
      <c r="D93" s="440"/>
      <c r="E93" s="440"/>
      <c r="F93" s="434"/>
      <c r="G93" s="440"/>
    </row>
    <row r="94" spans="1:7">
      <c r="A94" s="421"/>
      <c r="B94" s="427" t="s">
        <v>101</v>
      </c>
      <c r="C94" s="440"/>
      <c r="D94" s="440"/>
      <c r="E94" s="440"/>
      <c r="F94" s="434">
        <f>G29</f>
        <v>0</v>
      </c>
      <c r="G94" s="440"/>
    </row>
    <row r="95" spans="1:7">
      <c r="A95" s="421"/>
      <c r="B95" s="427" t="s">
        <v>102</v>
      </c>
      <c r="C95" s="440"/>
      <c r="D95" s="440"/>
      <c r="E95" s="440"/>
      <c r="F95" s="434">
        <f>G30</f>
        <v>0</v>
      </c>
      <c r="G95" s="440"/>
    </row>
    <row r="96" spans="1:7">
      <c r="A96" s="421"/>
      <c r="B96" s="427" t="s">
        <v>160</v>
      </c>
      <c r="C96" s="440"/>
      <c r="D96" s="440"/>
      <c r="E96" s="440"/>
      <c r="F96" s="434">
        <f>G31</f>
        <v>0</v>
      </c>
      <c r="G96" s="440"/>
    </row>
    <row r="97" spans="1:7">
      <c r="A97" s="421"/>
      <c r="B97" s="421"/>
      <c r="C97" s="440"/>
      <c r="D97" s="440"/>
      <c r="E97" s="440"/>
      <c r="F97" s="434"/>
      <c r="G97" s="440"/>
    </row>
    <row r="98" spans="1:7">
      <c r="A98" s="421"/>
      <c r="B98" s="427" t="s">
        <v>104</v>
      </c>
      <c r="C98" s="440"/>
      <c r="D98" s="440"/>
      <c r="E98" s="440"/>
      <c r="F98" s="434"/>
      <c r="G98" s="440"/>
    </row>
    <row r="99" spans="1:7">
      <c r="A99" s="421"/>
      <c r="B99" s="427" t="s">
        <v>153</v>
      </c>
      <c r="C99" s="440"/>
      <c r="D99" s="440"/>
      <c r="E99" s="440"/>
      <c r="F99" s="434">
        <f>G34</f>
        <v>0</v>
      </c>
      <c r="G99" s="440"/>
    </row>
    <row r="100" spans="1:7">
      <c r="A100" s="421"/>
      <c r="B100" s="427" t="s">
        <v>158</v>
      </c>
      <c r="C100" s="440"/>
      <c r="D100" s="440"/>
      <c r="E100" s="440"/>
      <c r="F100" s="434">
        <f>G35</f>
        <v>0</v>
      </c>
      <c r="G100" s="440"/>
    </row>
    <row r="101" spans="1:7">
      <c r="A101" s="421"/>
      <c r="B101" s="427" t="s">
        <v>156</v>
      </c>
      <c r="C101" s="440"/>
      <c r="D101" s="440"/>
      <c r="E101" s="440"/>
      <c r="F101" s="436">
        <f>G36</f>
        <v>0</v>
      </c>
      <c r="G101" s="440"/>
    </row>
    <row r="102" spans="1:7">
      <c r="A102" s="421"/>
      <c r="B102" s="427" t="s">
        <v>161</v>
      </c>
      <c r="C102" s="440"/>
      <c r="D102" s="440"/>
      <c r="E102" s="440"/>
      <c r="F102" s="434">
        <f>F99+F100+F101</f>
        <v>0</v>
      </c>
      <c r="G102" s="440"/>
    </row>
    <row r="103" spans="1:7">
      <c r="A103" s="421"/>
      <c r="B103" s="440"/>
      <c r="C103" s="440"/>
      <c r="D103" s="440"/>
      <c r="E103" s="440"/>
      <c r="F103" s="434"/>
      <c r="G103" s="440"/>
    </row>
    <row r="104" spans="1:7">
      <c r="A104" s="421"/>
      <c r="B104" s="440" t="s">
        <v>106</v>
      </c>
      <c r="C104" s="440"/>
      <c r="D104" s="440"/>
      <c r="E104" s="440"/>
      <c r="F104" s="435">
        <f>F86+F92+F94+F95+F96+F102</f>
        <v>0</v>
      </c>
      <c r="G104" s="440"/>
    </row>
    <row r="105" spans="1:7">
      <c r="A105" s="421"/>
      <c r="B105" s="440"/>
      <c r="C105" s="440"/>
      <c r="D105" s="440"/>
      <c r="E105" s="440"/>
      <c r="F105" s="434"/>
      <c r="G105" s="440"/>
    </row>
    <row r="106" spans="1:7">
      <c r="A106" s="421"/>
      <c r="B106" s="440" t="s">
        <v>227</v>
      </c>
      <c r="C106" s="440"/>
      <c r="D106" s="440"/>
      <c r="E106" s="440"/>
      <c r="F106" s="436">
        <f>F78-F104</f>
        <v>0</v>
      </c>
      <c r="G106" s="440"/>
    </row>
    <row r="107" spans="1:7">
      <c r="A107" s="421"/>
      <c r="B107" s="440"/>
      <c r="C107" s="440"/>
      <c r="D107" s="440"/>
      <c r="E107" s="440"/>
      <c r="F107" s="434"/>
      <c r="G107" s="440"/>
    </row>
    <row r="108" spans="1:7">
      <c r="A108" s="421"/>
      <c r="B108" s="440" t="s">
        <v>228</v>
      </c>
      <c r="C108" s="440"/>
      <c r="D108" s="440"/>
      <c r="E108" s="441"/>
      <c r="F108" s="434"/>
      <c r="G108" s="440"/>
    </row>
    <row r="109" spans="1:7" ht="13.5" thickBot="1">
      <c r="A109" s="421"/>
      <c r="B109" s="451" t="s">
        <v>229</v>
      </c>
      <c r="C109" s="452">
        <f>Inputs!$D$4</f>
        <v>1.2215999999999999E-2</v>
      </c>
      <c r="D109" s="440"/>
      <c r="E109" s="441"/>
      <c r="F109" s="439">
        <f>ROUND(F106*C109,0)</f>
        <v>0</v>
      </c>
      <c r="G109" s="440"/>
    </row>
    <row r="110" spans="1:7" ht="13.5" thickTop="1">
      <c r="A110" s="421"/>
      <c r="B110" s="440"/>
      <c r="C110" s="440"/>
      <c r="D110" s="440"/>
      <c r="E110" s="441"/>
      <c r="F110" s="442"/>
      <c r="G110" s="440"/>
    </row>
  </sheetData>
  <phoneticPr fontId="0" type="noConversion"/>
  <pageMargins left="1" right="1" top="0.5" bottom="0.25" header="0.5" footer="0.5"/>
  <pageSetup scale="9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1"/>
  <dimension ref="A1:H110"/>
  <sheetViews>
    <sheetView zoomScaleNormal="75" workbookViewId="0">
      <selection activeCell="K42" sqref="K42"/>
    </sheetView>
  </sheetViews>
  <sheetFormatPr defaultColWidth="12.42578125" defaultRowHeight="12"/>
  <cols>
    <col min="1" max="1" width="5.5703125" style="186" customWidth="1"/>
    <col min="2" max="2" width="26.140625" style="185" customWidth="1"/>
    <col min="3" max="3" width="12.42578125" style="185" customWidth="1"/>
    <col min="4" max="4" width="6.7109375" style="185" customWidth="1"/>
    <col min="5" max="16384" width="12.42578125" style="185"/>
  </cols>
  <sheetData>
    <row r="1" spans="1:8">
      <c r="A1" s="183" t="str">
        <f>Inputs!$D$6</f>
        <v>AVISTA UTILITIES</v>
      </c>
      <c r="B1" s="184"/>
      <c r="C1" s="183"/>
    </row>
    <row r="2" spans="1:8">
      <c r="A2" s="183" t="s">
        <v>142</v>
      </c>
      <c r="B2" s="184"/>
      <c r="C2" s="183"/>
      <c r="E2" s="183"/>
      <c r="F2" s="186" t="s">
        <v>243</v>
      </c>
      <c r="G2" s="183"/>
    </row>
    <row r="3" spans="1:8">
      <c r="A3" s="184" t="str">
        <f>WAElec09_08!$A$4</f>
        <v>TWELVE MONTHS ENDED SEPTEMBER 30, 2008</v>
      </c>
      <c r="B3" s="184"/>
      <c r="C3" s="183"/>
      <c r="E3" s="183"/>
      <c r="F3" s="186" t="s">
        <v>255</v>
      </c>
      <c r="G3" s="183"/>
    </row>
    <row r="4" spans="1:8">
      <c r="A4" s="183" t="s">
        <v>1</v>
      </c>
      <c r="B4" s="184"/>
      <c r="C4" s="183"/>
      <c r="E4" s="187"/>
      <c r="F4" s="188" t="s">
        <v>145</v>
      </c>
      <c r="G4" s="189"/>
    </row>
    <row r="5" spans="1:8">
      <c r="A5" s="186" t="s">
        <v>14</v>
      </c>
    </row>
    <row r="6" spans="1:8" s="186" customFormat="1">
      <c r="A6" s="186" t="s">
        <v>146</v>
      </c>
      <c r="B6" s="190" t="s">
        <v>36</v>
      </c>
      <c r="C6" s="190"/>
      <c r="E6" s="190" t="s">
        <v>147</v>
      </c>
      <c r="F6" s="190" t="s">
        <v>148</v>
      </c>
      <c r="G6" s="190" t="s">
        <v>128</v>
      </c>
      <c r="H6" s="191" t="s">
        <v>149</v>
      </c>
    </row>
    <row r="7" spans="1:8">
      <c r="B7" s="192" t="s">
        <v>85</v>
      </c>
    </row>
    <row r="8" spans="1:8" s="195" customFormat="1">
      <c r="A8" s="193">
        <v>1</v>
      </c>
      <c r="B8" s="194" t="s">
        <v>86</v>
      </c>
      <c r="E8" s="196">
        <f>F8+G8</f>
        <v>0</v>
      </c>
      <c r="F8" s="196"/>
      <c r="G8" s="196"/>
      <c r="H8" s="195" t="str">
        <f t="shared" ref="H8:H13" si="0">IF(E8=F8+G8," ","ERROR")</f>
        <v xml:space="preserve"> </v>
      </c>
    </row>
    <row r="9" spans="1:8">
      <c r="A9" s="186">
        <v>2</v>
      </c>
      <c r="B9" s="192" t="s">
        <v>87</v>
      </c>
      <c r="E9" s="197"/>
      <c r="F9" s="197"/>
      <c r="G9" s="197"/>
      <c r="H9" s="195" t="str">
        <f t="shared" si="0"/>
        <v xml:space="preserve"> </v>
      </c>
    </row>
    <row r="10" spans="1:8">
      <c r="A10" s="186">
        <v>3</v>
      </c>
      <c r="B10" s="192" t="s">
        <v>150</v>
      </c>
      <c r="E10" s="197"/>
      <c r="F10" s="197"/>
      <c r="G10" s="197"/>
      <c r="H10" s="195" t="str">
        <f t="shared" si="0"/>
        <v xml:space="preserve"> </v>
      </c>
    </row>
    <row r="11" spans="1:8">
      <c r="A11" s="186">
        <v>4</v>
      </c>
      <c r="B11" s="192" t="s">
        <v>151</v>
      </c>
      <c r="E11" s="198">
        <f>E8+E9+E10</f>
        <v>0</v>
      </c>
      <c r="F11" s="198">
        <f>F8+F9+F10</f>
        <v>0</v>
      </c>
      <c r="G11" s="198">
        <f>G8+G9+G10</f>
        <v>0</v>
      </c>
      <c r="H11" s="195" t="str">
        <f t="shared" si="0"/>
        <v xml:space="preserve"> </v>
      </c>
    </row>
    <row r="12" spans="1:8">
      <c r="A12" s="186">
        <v>5</v>
      </c>
      <c r="B12" s="192" t="s">
        <v>90</v>
      </c>
      <c r="E12" s="197"/>
      <c r="F12" s="197"/>
      <c r="G12" s="197"/>
      <c r="H12" s="195" t="str">
        <f t="shared" si="0"/>
        <v xml:space="preserve"> </v>
      </c>
    </row>
    <row r="13" spans="1:8">
      <c r="A13" s="186">
        <v>6</v>
      </c>
      <c r="B13" s="192" t="s">
        <v>152</v>
      </c>
      <c r="E13" s="198">
        <f>E11+E12</f>
        <v>0</v>
      </c>
      <c r="F13" s="198">
        <f>F11+F12</f>
        <v>0</v>
      </c>
      <c r="G13" s="198">
        <f>G11+G12</f>
        <v>0</v>
      </c>
      <c r="H13" s="195" t="str">
        <f t="shared" si="0"/>
        <v xml:space="preserve"> </v>
      </c>
    </row>
    <row r="14" spans="1:8">
      <c r="E14" s="199"/>
      <c r="F14" s="199"/>
      <c r="G14" s="199"/>
      <c r="H14" s="195"/>
    </row>
    <row r="15" spans="1:8">
      <c r="B15" s="192" t="s">
        <v>92</v>
      </c>
      <c r="E15" s="199"/>
      <c r="F15" s="199"/>
      <c r="G15" s="199"/>
      <c r="H15" s="195"/>
    </row>
    <row r="16" spans="1:8">
      <c r="B16" s="192" t="s">
        <v>93</v>
      </c>
      <c r="E16" s="199"/>
      <c r="F16" s="199"/>
      <c r="G16" s="199"/>
      <c r="H16" s="195"/>
    </row>
    <row r="17" spans="1:8">
      <c r="A17" s="186">
        <v>7</v>
      </c>
      <c r="B17" s="192" t="s">
        <v>153</v>
      </c>
      <c r="E17" s="197"/>
      <c r="F17" s="197"/>
      <c r="G17" s="197"/>
      <c r="H17" s="195" t="str">
        <f>IF(E17=F17+G17," ","ERROR")</f>
        <v xml:space="preserve"> </v>
      </c>
    </row>
    <row r="18" spans="1:8">
      <c r="A18" s="186">
        <v>8</v>
      </c>
      <c r="B18" s="192" t="s">
        <v>154</v>
      </c>
      <c r="E18" s="197"/>
      <c r="F18" s="197"/>
      <c r="G18" s="197"/>
      <c r="H18" s="195" t="str">
        <f>IF(E18=F18+G18," ","ERROR")</f>
        <v xml:space="preserve"> </v>
      </c>
    </row>
    <row r="19" spans="1:8">
      <c r="A19" s="186">
        <v>9</v>
      </c>
      <c r="B19" s="192" t="s">
        <v>155</v>
      </c>
      <c r="E19" s="197"/>
      <c r="F19" s="197"/>
      <c r="G19" s="197"/>
      <c r="H19" s="195" t="str">
        <f>IF(E19=F19+G19," ","ERROR")</f>
        <v xml:space="preserve"> </v>
      </c>
    </row>
    <row r="20" spans="1:8">
      <c r="A20" s="186">
        <v>10</v>
      </c>
      <c r="B20" s="192" t="s">
        <v>156</v>
      </c>
      <c r="E20" s="197"/>
      <c r="F20" s="197"/>
      <c r="G20" s="197"/>
      <c r="H20" s="195" t="str">
        <f>IF(E20=F20+G20," ","ERROR")</f>
        <v xml:space="preserve"> </v>
      </c>
    </row>
    <row r="21" spans="1:8">
      <c r="A21" s="186">
        <v>11</v>
      </c>
      <c r="B21" s="192" t="s">
        <v>157</v>
      </c>
      <c r="E21" s="198">
        <f>E17+E18+E19+E20</f>
        <v>0</v>
      </c>
      <c r="F21" s="198">
        <f>F17+F18+F19+F20</f>
        <v>0</v>
      </c>
      <c r="G21" s="198">
        <f>G17+G18+G19+G20</f>
        <v>0</v>
      </c>
      <c r="H21" s="195" t="str">
        <f>IF(E21=F21+G21," ","ERROR")</f>
        <v xml:space="preserve"> </v>
      </c>
    </row>
    <row r="22" spans="1:8">
      <c r="E22" s="199"/>
      <c r="F22" s="199"/>
      <c r="G22" s="199"/>
      <c r="H22" s="195"/>
    </row>
    <row r="23" spans="1:8">
      <c r="B23" s="192" t="s">
        <v>98</v>
      </c>
      <c r="E23" s="199"/>
      <c r="F23" s="199"/>
      <c r="G23" s="199"/>
      <c r="H23" s="195"/>
    </row>
    <row r="24" spans="1:8">
      <c r="A24" s="186">
        <v>12</v>
      </c>
      <c r="B24" s="192" t="s">
        <v>153</v>
      </c>
      <c r="E24" s="197"/>
      <c r="F24" s="197"/>
      <c r="G24" s="197"/>
      <c r="H24" s="195" t="str">
        <f>IF(E24=F24+G24," ","ERROR")</f>
        <v xml:space="preserve"> </v>
      </c>
    </row>
    <row r="25" spans="1:8">
      <c r="A25" s="186">
        <v>13</v>
      </c>
      <c r="B25" s="192" t="s">
        <v>158</v>
      </c>
      <c r="E25" s="197"/>
      <c r="F25" s="197"/>
      <c r="G25" s="197"/>
      <c r="H25" s="195" t="str">
        <f>IF(E25=F25+G25," ","ERROR")</f>
        <v xml:space="preserve"> </v>
      </c>
    </row>
    <row r="26" spans="1:8">
      <c r="A26" s="186">
        <v>14</v>
      </c>
      <c r="B26" s="192" t="s">
        <v>156</v>
      </c>
      <c r="E26" s="197">
        <f>F26+G26</f>
        <v>0</v>
      </c>
      <c r="F26" s="197"/>
      <c r="G26" s="197">
        <f>F109</f>
        <v>0</v>
      </c>
      <c r="H26" s="195" t="str">
        <f>IF(E26=F26+G26," ","ERROR")</f>
        <v xml:space="preserve"> </v>
      </c>
    </row>
    <row r="27" spans="1:8">
      <c r="A27" s="186">
        <v>15</v>
      </c>
      <c r="B27" s="192" t="s">
        <v>159</v>
      </c>
      <c r="E27" s="198">
        <f>E24+E25+E26</f>
        <v>0</v>
      </c>
      <c r="F27" s="198">
        <f>F24+F25+F26</f>
        <v>0</v>
      </c>
      <c r="G27" s="198">
        <f>G24+G25+G26</f>
        <v>0</v>
      </c>
      <c r="H27" s="195" t="str">
        <f>IF(E27=F27+G27," ","ERROR")</f>
        <v xml:space="preserve"> </v>
      </c>
    </row>
    <row r="28" spans="1:8">
      <c r="E28" s="199"/>
      <c r="F28" s="199"/>
      <c r="G28" s="199"/>
      <c r="H28" s="195"/>
    </row>
    <row r="29" spans="1:8">
      <c r="A29" s="186">
        <v>16</v>
      </c>
      <c r="B29" s="192" t="s">
        <v>101</v>
      </c>
      <c r="E29" s="197">
        <f>SUM(F29:G29)</f>
        <v>-516</v>
      </c>
      <c r="F29" s="197">
        <v>-516</v>
      </c>
      <c r="G29" s="197">
        <v>0</v>
      </c>
      <c r="H29" s="195" t="str">
        <f>IF(E29=F29+G29," ","ERROR")</f>
        <v xml:space="preserve"> </v>
      </c>
    </row>
    <row r="30" spans="1:8">
      <c r="A30" s="186">
        <v>17</v>
      </c>
      <c r="B30" s="192" t="s">
        <v>102</v>
      </c>
      <c r="E30" s="197"/>
      <c r="F30" s="197"/>
      <c r="G30" s="197"/>
      <c r="H30" s="195" t="str">
        <f>IF(E30=F30+G30," ","ERROR")</f>
        <v xml:space="preserve"> </v>
      </c>
    </row>
    <row r="31" spans="1:8">
      <c r="A31" s="186">
        <v>18</v>
      </c>
      <c r="B31" s="192" t="s">
        <v>160</v>
      </c>
      <c r="E31" s="197"/>
      <c r="F31" s="197"/>
      <c r="G31" s="197"/>
      <c r="H31" s="195" t="str">
        <f>IF(E31=F31+G31," ","ERROR")</f>
        <v xml:space="preserve"> </v>
      </c>
    </row>
    <row r="32" spans="1:8">
      <c r="E32" s="199"/>
      <c r="F32" s="199"/>
      <c r="G32" s="199"/>
      <c r="H32" s="195"/>
    </row>
    <row r="33" spans="1:8">
      <c r="B33" s="192" t="s">
        <v>104</v>
      </c>
      <c r="E33" s="199"/>
      <c r="F33" s="199"/>
      <c r="G33" s="199"/>
      <c r="H33" s="195"/>
    </row>
    <row r="34" spans="1:8">
      <c r="A34" s="186">
        <v>19</v>
      </c>
      <c r="B34" s="192" t="s">
        <v>153</v>
      </c>
      <c r="E34" s="197"/>
      <c r="F34" s="197"/>
      <c r="G34" s="197"/>
      <c r="H34" s="195" t="str">
        <f>IF(E34=F34+G34," ","ERROR")</f>
        <v xml:space="preserve"> </v>
      </c>
    </row>
    <row r="35" spans="1:8">
      <c r="A35" s="186">
        <v>20</v>
      </c>
      <c r="B35" s="192" t="s">
        <v>158</v>
      </c>
      <c r="E35" s="197"/>
      <c r="F35" s="197"/>
      <c r="G35" s="197"/>
      <c r="H35" s="195" t="str">
        <f>IF(E35=F35+G35," ","ERROR")</f>
        <v xml:space="preserve"> </v>
      </c>
    </row>
    <row r="36" spans="1:8">
      <c r="A36" s="186">
        <v>21</v>
      </c>
      <c r="B36" s="192" t="s">
        <v>156</v>
      </c>
      <c r="E36" s="197"/>
      <c r="F36" s="197"/>
      <c r="G36" s="197"/>
      <c r="H36" s="195" t="str">
        <f>IF(E36=F36+G36," ","ERROR")</f>
        <v xml:space="preserve"> </v>
      </c>
    </row>
    <row r="37" spans="1:8">
      <c r="A37" s="186">
        <v>22</v>
      </c>
      <c r="B37" s="192" t="s">
        <v>161</v>
      </c>
      <c r="E37" s="200">
        <f>E34+E35+E36</f>
        <v>0</v>
      </c>
      <c r="F37" s="200">
        <f>F34+F35+F36</f>
        <v>0</v>
      </c>
      <c r="G37" s="200">
        <f>G34+G35+G36</f>
        <v>0</v>
      </c>
      <c r="H37" s="195" t="str">
        <f>IF(E37=F37+G37," ","ERROR")</f>
        <v xml:space="preserve"> </v>
      </c>
    </row>
    <row r="38" spans="1:8">
      <c r="A38" s="186">
        <v>23</v>
      </c>
      <c r="B38" s="192" t="s">
        <v>106</v>
      </c>
      <c r="E38" s="201">
        <f>E21+E27+E29+E30+E31+E37</f>
        <v>-516</v>
      </c>
      <c r="F38" s="201">
        <f>F21+F27+F29+F30+F31+F37</f>
        <v>-516</v>
      </c>
      <c r="G38" s="201">
        <f>G21+G27+G29+G30+G31+G37</f>
        <v>0</v>
      </c>
      <c r="H38" s="195" t="str">
        <f>IF(E38=F38+G38," ","ERROR")</f>
        <v xml:space="preserve"> </v>
      </c>
    </row>
    <row r="39" spans="1:8">
      <c r="E39" s="199"/>
      <c r="F39" s="199"/>
      <c r="G39" s="199"/>
      <c r="H39" s="195"/>
    </row>
    <row r="40" spans="1:8">
      <c r="A40" s="186">
        <v>24</v>
      </c>
      <c r="B40" s="192" t="s">
        <v>162</v>
      </c>
      <c r="E40" s="199">
        <f>E13-E38</f>
        <v>516</v>
      </c>
      <c r="F40" s="199">
        <f>F13-F38</f>
        <v>516</v>
      </c>
      <c r="G40" s="199">
        <f>G13-G38</f>
        <v>0</v>
      </c>
      <c r="H40" s="195" t="str">
        <f>IF(E40=F40+G40," ","ERROR")</f>
        <v xml:space="preserve"> </v>
      </c>
    </row>
    <row r="41" spans="1:8">
      <c r="B41" s="192"/>
      <c r="E41" s="199"/>
      <c r="F41" s="199"/>
      <c r="G41" s="199"/>
      <c r="H41" s="195"/>
    </row>
    <row r="42" spans="1:8">
      <c r="B42" s="192" t="s">
        <v>163</v>
      </c>
      <c r="E42" s="199"/>
      <c r="F42" s="199"/>
      <c r="G42" s="199"/>
      <c r="H42" s="195"/>
    </row>
    <row r="43" spans="1:8">
      <c r="A43" s="186">
        <v>25</v>
      </c>
      <c r="B43" s="192" t="s">
        <v>164</v>
      </c>
      <c r="D43" s="202">
        <v>0.35</v>
      </c>
      <c r="E43" s="197">
        <f>F43+G43</f>
        <v>181</v>
      </c>
      <c r="F43" s="197">
        <f>ROUND(F40*D43,0)</f>
        <v>181</v>
      </c>
      <c r="G43" s="197">
        <f>ROUND(G40*D43,0)</f>
        <v>0</v>
      </c>
      <c r="H43" s="195" t="str">
        <f>IF(E43=F43+G43," ","ERROR")</f>
        <v xml:space="preserve"> </v>
      </c>
    </row>
    <row r="44" spans="1:8">
      <c r="A44" s="186">
        <v>26</v>
      </c>
      <c r="B44" s="192" t="s">
        <v>165</v>
      </c>
      <c r="E44" s="197"/>
      <c r="F44" s="197"/>
      <c r="G44" s="197"/>
      <c r="H44" s="195" t="str">
        <f>IF(E44=F44+G44," ","ERROR")</f>
        <v xml:space="preserve"> </v>
      </c>
    </row>
    <row r="45" spans="1:8" ht="12.75">
      <c r="A45"/>
      <c r="B45"/>
      <c r="C45"/>
      <c r="D45"/>
      <c r="E45" s="913"/>
      <c r="F45" s="913"/>
      <c r="G45" s="913"/>
      <c r="H45" s="195" t="str">
        <f>IF(E45=F45+G45," ","ERROR")</f>
        <v xml:space="preserve"> </v>
      </c>
    </row>
    <row r="46" spans="1:8">
      <c r="A46" s="259"/>
      <c r="B46" s="262"/>
      <c r="C46" s="256"/>
      <c r="D46" s="256"/>
      <c r="E46" s="269"/>
      <c r="F46" s="269"/>
      <c r="G46" s="269"/>
      <c r="H46" s="195"/>
    </row>
    <row r="47" spans="1:8" s="195" customFormat="1">
      <c r="A47" s="263">
        <v>27</v>
      </c>
      <c r="B47" s="264" t="s">
        <v>113</v>
      </c>
      <c r="C47" s="265"/>
      <c r="D47" s="265"/>
      <c r="E47" s="273">
        <f>E40-SUM(E43:E44)</f>
        <v>335</v>
      </c>
      <c r="F47" s="273">
        <f>F40-SUM(F43:F44)</f>
        <v>335</v>
      </c>
      <c r="G47" s="273">
        <f>G40-SUM(G43:G44)</f>
        <v>0</v>
      </c>
      <c r="H47" s="195" t="str">
        <f>IF(E47=F47+G47," ","ERROR")</f>
        <v xml:space="preserve"> </v>
      </c>
    </row>
    <row r="48" spans="1:8">
      <c r="A48" s="259"/>
      <c r="H48" s="195"/>
    </row>
    <row r="49" spans="1:8">
      <c r="A49" s="259"/>
      <c r="B49" s="192" t="s">
        <v>114</v>
      </c>
      <c r="H49" s="195"/>
    </row>
    <row r="50" spans="1:8">
      <c r="A50" s="259"/>
      <c r="B50" s="192" t="s">
        <v>115</v>
      </c>
      <c r="H50" s="195"/>
    </row>
    <row r="51" spans="1:8" s="195" customFormat="1">
      <c r="A51" s="263">
        <v>28</v>
      </c>
      <c r="B51" s="194" t="s">
        <v>167</v>
      </c>
      <c r="E51" s="196"/>
      <c r="F51" s="196"/>
      <c r="G51" s="196"/>
      <c r="H51" s="195" t="str">
        <f t="shared" ref="H51:H61" si="1">IF(E51=F51+G51," ","ERROR")</f>
        <v xml:space="preserve"> </v>
      </c>
    </row>
    <row r="52" spans="1:8">
      <c r="A52" s="259">
        <v>29</v>
      </c>
      <c r="B52" s="192" t="s">
        <v>168</v>
      </c>
      <c r="E52" s="197"/>
      <c r="F52" s="197"/>
      <c r="G52" s="197"/>
      <c r="H52" s="195" t="str">
        <f t="shared" si="1"/>
        <v xml:space="preserve"> </v>
      </c>
    </row>
    <row r="53" spans="1:8">
      <c r="A53" s="259">
        <v>30</v>
      </c>
      <c r="B53" s="192" t="s">
        <v>169</v>
      </c>
      <c r="E53" s="197"/>
      <c r="F53" s="197"/>
      <c r="G53" s="197"/>
      <c r="H53" s="195" t="str">
        <f t="shared" si="1"/>
        <v xml:space="preserve"> </v>
      </c>
    </row>
    <row r="54" spans="1:8">
      <c r="A54" s="259">
        <v>31</v>
      </c>
      <c r="B54" s="192" t="s">
        <v>170</v>
      </c>
      <c r="E54" s="197"/>
      <c r="F54" s="197"/>
      <c r="G54" s="197"/>
      <c r="H54" s="195" t="str">
        <f t="shared" si="1"/>
        <v xml:space="preserve"> </v>
      </c>
    </row>
    <row r="55" spans="1:8">
      <c r="A55" s="259">
        <v>32</v>
      </c>
      <c r="B55" s="192" t="s">
        <v>171</v>
      </c>
      <c r="E55" s="203"/>
      <c r="F55" s="203"/>
      <c r="G55" s="203"/>
      <c r="H55" s="195" t="str">
        <f t="shared" si="1"/>
        <v xml:space="preserve"> </v>
      </c>
    </row>
    <row r="56" spans="1:8">
      <c r="A56" s="259">
        <v>33</v>
      </c>
      <c r="B56" s="192" t="s">
        <v>172</v>
      </c>
      <c r="E56" s="199">
        <f>E51+E52+E53+E54+E55</f>
        <v>0</v>
      </c>
      <c r="F56" s="199">
        <f>F51+F52+F53+F54+F55</f>
        <v>0</v>
      </c>
      <c r="G56" s="199">
        <f>G51+G52+G53+G54+G55</f>
        <v>0</v>
      </c>
      <c r="H56" s="195" t="str">
        <f t="shared" si="1"/>
        <v xml:space="preserve"> </v>
      </c>
    </row>
    <row r="57" spans="1:8">
      <c r="A57" s="259">
        <v>34</v>
      </c>
      <c r="B57" s="192" t="s">
        <v>121</v>
      </c>
      <c r="E57" s="197"/>
      <c r="F57" s="197"/>
      <c r="G57" s="197"/>
      <c r="H57" s="195" t="str">
        <f t="shared" si="1"/>
        <v xml:space="preserve"> </v>
      </c>
    </row>
    <row r="58" spans="1:8">
      <c r="A58" s="259">
        <v>35</v>
      </c>
      <c r="B58" s="192" t="s">
        <v>122</v>
      </c>
      <c r="E58" s="203"/>
      <c r="F58" s="203"/>
      <c r="G58" s="203"/>
      <c r="H58" s="195" t="str">
        <f t="shared" si="1"/>
        <v xml:space="preserve"> </v>
      </c>
    </row>
    <row r="59" spans="1:8">
      <c r="A59" s="259">
        <v>36</v>
      </c>
      <c r="B59" s="192" t="s">
        <v>173</v>
      </c>
      <c r="E59" s="199">
        <f>E57+E58</f>
        <v>0</v>
      </c>
      <c r="F59" s="199">
        <f>F57+F58</f>
        <v>0</v>
      </c>
      <c r="G59" s="199">
        <f>G57+G58</f>
        <v>0</v>
      </c>
      <c r="H59" s="195" t="str">
        <f t="shared" si="1"/>
        <v xml:space="preserve"> </v>
      </c>
    </row>
    <row r="60" spans="1:8">
      <c r="A60" s="259">
        <v>37</v>
      </c>
      <c r="B60" s="192" t="s">
        <v>124</v>
      </c>
      <c r="E60" s="197"/>
      <c r="F60" s="197"/>
      <c r="G60" s="197"/>
      <c r="H60" s="195" t="str">
        <f t="shared" si="1"/>
        <v xml:space="preserve"> </v>
      </c>
    </row>
    <row r="61" spans="1:8">
      <c r="A61" s="259">
        <v>38</v>
      </c>
      <c r="B61" s="192" t="s">
        <v>125</v>
      </c>
      <c r="E61" s="203"/>
      <c r="F61" s="203"/>
      <c r="G61" s="203"/>
      <c r="H61" s="195" t="str">
        <f t="shared" si="1"/>
        <v xml:space="preserve"> </v>
      </c>
    </row>
    <row r="62" spans="1:8" ht="9" customHeight="1">
      <c r="A62" s="259"/>
      <c r="H62" s="195"/>
    </row>
    <row r="63" spans="1:8" s="195" customFormat="1" ht="12.75" thickBot="1">
      <c r="A63" s="263">
        <v>39</v>
      </c>
      <c r="B63" s="194" t="s">
        <v>126</v>
      </c>
      <c r="E63" s="204">
        <f>E56-E59+E60+E61</f>
        <v>0</v>
      </c>
      <c r="F63" s="204">
        <f>F56-F59+F60+F61</f>
        <v>0</v>
      </c>
      <c r="G63" s="204">
        <f>G56-G59+G60+G61</f>
        <v>0</v>
      </c>
      <c r="H63" s="195" t="str">
        <f>IF(E63=F63+G63," ","ERROR")</f>
        <v xml:space="preserve"> </v>
      </c>
    </row>
    <row r="64" spans="1:8" ht="12.75" thickTop="1">
      <c r="A64" s="205"/>
      <c r="B64" s="206"/>
      <c r="C64" s="206"/>
      <c r="D64" s="206"/>
      <c r="E64" s="206"/>
      <c r="F64" s="206"/>
      <c r="G64" s="206"/>
      <c r="H64" s="206"/>
    </row>
    <row r="65" spans="1:8" customFormat="1" ht="12.75">
      <c r="A65" s="420" t="str">
        <f>Inputs!$D$6</f>
        <v>AVISTA UTILITIES</v>
      </c>
      <c r="B65" s="420"/>
      <c r="C65" s="420"/>
      <c r="D65" s="440"/>
      <c r="E65" s="441"/>
      <c r="F65" s="440"/>
      <c r="G65" s="442"/>
      <c r="H65" s="44"/>
    </row>
    <row r="66" spans="1:8" customFormat="1" ht="12.75">
      <c r="A66" s="420" t="s">
        <v>225</v>
      </c>
      <c r="B66" s="420"/>
      <c r="C66" s="420"/>
      <c r="D66" s="440"/>
      <c r="E66" s="441"/>
      <c r="F66" s="440"/>
      <c r="G66" s="442"/>
      <c r="H66" s="44"/>
    </row>
    <row r="67" spans="1:8" customFormat="1" ht="12.75">
      <c r="A67" s="420" t="str">
        <f>A3</f>
        <v>TWELVE MONTHS ENDED SEPTEMBER 30, 2008</v>
      </c>
      <c r="B67" s="420"/>
      <c r="C67" s="420"/>
      <c r="D67" s="440"/>
      <c r="E67" s="441"/>
      <c r="F67" s="443" t="str">
        <f>F2</f>
        <v>ELIMINATE</v>
      </c>
      <c r="G67" s="440"/>
      <c r="H67" s="44"/>
    </row>
    <row r="68" spans="1:8" customFormat="1" ht="12.75">
      <c r="A68" s="420" t="s">
        <v>226</v>
      </c>
      <c r="B68" s="420"/>
      <c r="C68" s="420"/>
      <c r="D68" s="440"/>
      <c r="E68" s="441"/>
      <c r="F68" s="443" t="str">
        <f>F3</f>
        <v>A/R EXPENSES</v>
      </c>
      <c r="G68" s="440"/>
      <c r="H68" s="44"/>
    </row>
    <row r="69" spans="1:8" customFormat="1" ht="12.75">
      <c r="A69" s="424"/>
      <c r="B69" s="440"/>
      <c r="C69" s="440"/>
      <c r="D69" s="440"/>
      <c r="E69" s="444"/>
      <c r="F69" s="445" t="str">
        <f>F4</f>
        <v>ELECTRIC</v>
      </c>
      <c r="G69" s="440"/>
      <c r="H69" s="44"/>
    </row>
    <row r="70" spans="1:8" customFormat="1" ht="12.75">
      <c r="A70" s="424"/>
      <c r="B70" s="440"/>
      <c r="C70" s="440"/>
      <c r="D70" s="440"/>
      <c r="E70" s="441"/>
      <c r="F70" s="443"/>
      <c r="G70" s="447"/>
      <c r="H70" s="44"/>
    </row>
    <row r="71" spans="1:8" customFormat="1" ht="12.75">
      <c r="A71" s="424"/>
      <c r="B71" s="448" t="s">
        <v>134</v>
      </c>
      <c r="C71" s="449"/>
      <c r="D71" s="440"/>
      <c r="E71" s="441"/>
      <c r="F71" s="445" t="s">
        <v>128</v>
      </c>
      <c r="G71" s="440"/>
      <c r="H71" s="44"/>
    </row>
    <row r="72" spans="1:8" customFormat="1" ht="12.75">
      <c r="A72" s="424"/>
      <c r="B72" s="427" t="s">
        <v>85</v>
      </c>
      <c r="C72" s="440"/>
      <c r="D72" s="440"/>
      <c r="E72" s="440"/>
      <c r="F72" s="442"/>
      <c r="G72" s="440"/>
      <c r="H72" s="44"/>
    </row>
    <row r="73" spans="1:8" customFormat="1" ht="12.75">
      <c r="A73" s="424"/>
      <c r="B73" s="429" t="s">
        <v>86</v>
      </c>
      <c r="C73" s="440"/>
      <c r="D73" s="440"/>
      <c r="E73" s="440"/>
      <c r="F73" s="450">
        <f>G8</f>
        <v>0</v>
      </c>
      <c r="G73" s="440"/>
      <c r="H73" s="44"/>
    </row>
    <row r="74" spans="1:8" customFormat="1" ht="12.75">
      <c r="A74" s="424"/>
      <c r="B74" s="427" t="s">
        <v>87</v>
      </c>
      <c r="C74" s="440"/>
      <c r="D74" s="440"/>
      <c r="E74" s="440"/>
      <c r="F74" s="434">
        <f>G9</f>
        <v>0</v>
      </c>
      <c r="G74" s="440"/>
      <c r="H74" s="44"/>
    </row>
    <row r="75" spans="1:8" customFormat="1" ht="12.75">
      <c r="A75" s="424"/>
      <c r="B75" s="427" t="s">
        <v>150</v>
      </c>
      <c r="C75" s="440"/>
      <c r="D75" s="440"/>
      <c r="E75" s="440"/>
      <c r="F75" s="436">
        <f>G10</f>
        <v>0</v>
      </c>
      <c r="G75" s="440"/>
      <c r="H75" s="44"/>
    </row>
    <row r="76" spans="1:8" customFormat="1" ht="12.75">
      <c r="A76" s="424"/>
      <c r="B76" s="427" t="s">
        <v>151</v>
      </c>
      <c r="C76" s="440"/>
      <c r="D76" s="440"/>
      <c r="E76" s="440"/>
      <c r="F76" s="434">
        <f>SUM(F73:F75)</f>
        <v>0</v>
      </c>
      <c r="G76" s="440"/>
      <c r="H76" s="44"/>
    </row>
    <row r="77" spans="1:8" customFormat="1" ht="12.75">
      <c r="A77" s="424"/>
      <c r="B77" s="427" t="s">
        <v>90</v>
      </c>
      <c r="C77" s="440"/>
      <c r="D77" s="440"/>
      <c r="E77" s="440"/>
      <c r="F77" s="436">
        <f>G12</f>
        <v>0</v>
      </c>
      <c r="G77" s="440"/>
      <c r="H77" s="44"/>
    </row>
    <row r="78" spans="1:8" customFormat="1" ht="12.75">
      <c r="A78" s="424"/>
      <c r="B78" s="427" t="s">
        <v>152</v>
      </c>
      <c r="C78" s="440"/>
      <c r="D78" s="440"/>
      <c r="E78" s="440"/>
      <c r="F78" s="434">
        <f>F76+F77</f>
        <v>0</v>
      </c>
      <c r="G78" s="440"/>
      <c r="H78" s="44"/>
    </row>
    <row r="79" spans="1:8" customFormat="1" ht="12.75">
      <c r="A79" s="424"/>
      <c r="B79" s="421"/>
      <c r="C79" s="440"/>
      <c r="D79" s="440"/>
      <c r="E79" s="440"/>
      <c r="F79" s="434"/>
      <c r="G79" s="440"/>
      <c r="H79" s="44"/>
    </row>
    <row r="80" spans="1:8" customFormat="1" ht="12.75">
      <c r="A80" s="424"/>
      <c r="B80" s="427" t="s">
        <v>92</v>
      </c>
      <c r="C80" s="440"/>
      <c r="D80" s="440"/>
      <c r="E80" s="440"/>
      <c r="F80" s="434"/>
      <c r="G80" s="440"/>
      <c r="H80" s="44"/>
    </row>
    <row r="81" spans="1:8" customFormat="1" ht="12.75">
      <c r="A81" s="424"/>
      <c r="B81" s="427" t="s">
        <v>93</v>
      </c>
      <c r="C81" s="440"/>
      <c r="D81" s="440"/>
      <c r="E81" s="440"/>
      <c r="F81" s="434"/>
      <c r="G81" s="440"/>
      <c r="H81" s="44"/>
    </row>
    <row r="82" spans="1:8" customFormat="1" ht="12.75">
      <c r="A82" s="424"/>
      <c r="B82" s="427" t="s">
        <v>153</v>
      </c>
      <c r="C82" s="440"/>
      <c r="D82" s="440"/>
      <c r="E82" s="440"/>
      <c r="F82" s="434">
        <f>G17</f>
        <v>0</v>
      </c>
      <c r="G82" s="440"/>
      <c r="H82" s="44"/>
    </row>
    <row r="83" spans="1:8" customFormat="1" ht="12.75">
      <c r="A83" s="424"/>
      <c r="B83" s="427" t="s">
        <v>154</v>
      </c>
      <c r="C83" s="440"/>
      <c r="D83" s="440"/>
      <c r="E83" s="440"/>
      <c r="F83" s="434">
        <f>G18</f>
        <v>0</v>
      </c>
      <c r="G83" s="440"/>
      <c r="H83" s="44"/>
    </row>
    <row r="84" spans="1:8" customFormat="1" ht="12.75">
      <c r="A84" s="424"/>
      <c r="B84" s="427" t="s">
        <v>155</v>
      </c>
      <c r="C84" s="440"/>
      <c r="D84" s="440"/>
      <c r="E84" s="440"/>
      <c r="F84" s="434">
        <f>G19</f>
        <v>0</v>
      </c>
      <c r="G84" s="440"/>
      <c r="H84" s="44"/>
    </row>
    <row r="85" spans="1:8" customFormat="1" ht="12.75">
      <c r="A85" s="424"/>
      <c r="B85" s="427" t="s">
        <v>156</v>
      </c>
      <c r="C85" s="440"/>
      <c r="D85" s="440"/>
      <c r="E85" s="440"/>
      <c r="F85" s="436">
        <f>G20</f>
        <v>0</v>
      </c>
      <c r="G85" s="440"/>
      <c r="H85" s="44"/>
    </row>
    <row r="86" spans="1:8" customFormat="1" ht="12.75">
      <c r="A86" s="424"/>
      <c r="B86" s="427" t="s">
        <v>157</v>
      </c>
      <c r="C86" s="440"/>
      <c r="D86" s="440"/>
      <c r="E86" s="440"/>
      <c r="F86" s="434">
        <f>SUM(F82:F85)</f>
        <v>0</v>
      </c>
      <c r="G86" s="440"/>
      <c r="H86" s="44"/>
    </row>
    <row r="87" spans="1:8" customFormat="1" ht="12.75">
      <c r="A87" s="424"/>
      <c r="B87" s="421"/>
      <c r="C87" s="440"/>
      <c r="D87" s="440"/>
      <c r="E87" s="440"/>
      <c r="F87" s="434"/>
      <c r="G87" s="440"/>
      <c r="H87" s="44"/>
    </row>
    <row r="88" spans="1:8" customFormat="1" ht="12.75">
      <c r="A88" s="424"/>
      <c r="B88" s="427" t="s">
        <v>98</v>
      </c>
      <c r="C88" s="440"/>
      <c r="D88" s="440"/>
      <c r="E88" s="440"/>
      <c r="F88" s="434"/>
      <c r="G88" s="440"/>
      <c r="H88" s="44"/>
    </row>
    <row r="89" spans="1:8" customFormat="1" ht="12.75">
      <c r="A89" s="424"/>
      <c r="B89" s="427" t="s">
        <v>153</v>
      </c>
      <c r="C89" s="440"/>
      <c r="D89" s="440"/>
      <c r="E89" s="440"/>
      <c r="F89" s="434">
        <f>G24</f>
        <v>0</v>
      </c>
      <c r="G89" s="440"/>
      <c r="H89" s="44"/>
    </row>
    <row r="90" spans="1:8" customFormat="1" ht="12.75">
      <c r="A90" s="424"/>
      <c r="B90" s="427" t="s">
        <v>158</v>
      </c>
      <c r="C90" s="440"/>
      <c r="D90" s="440"/>
      <c r="E90" s="440"/>
      <c r="F90" s="434">
        <f>G25</f>
        <v>0</v>
      </c>
      <c r="G90" s="440"/>
      <c r="H90" s="44"/>
    </row>
    <row r="91" spans="1:8" customFormat="1" ht="12.75">
      <c r="A91" s="421"/>
      <c r="B91" s="427" t="s">
        <v>156</v>
      </c>
      <c r="C91" s="440"/>
      <c r="D91" s="440"/>
      <c r="E91" s="440"/>
      <c r="F91" s="434"/>
      <c r="G91" s="440"/>
      <c r="H91" s="44"/>
    </row>
    <row r="92" spans="1:8" customFormat="1" ht="12.75">
      <c r="A92" s="421"/>
      <c r="B92" s="427" t="s">
        <v>159</v>
      </c>
      <c r="C92" s="440"/>
      <c r="D92" s="440"/>
      <c r="E92" s="440"/>
      <c r="F92" s="433">
        <f>SUM(F89:F91)</f>
        <v>0</v>
      </c>
      <c r="G92" s="440"/>
      <c r="H92" s="44"/>
    </row>
    <row r="93" spans="1:8" customFormat="1" ht="12.75">
      <c r="A93" s="421"/>
      <c r="B93" s="421"/>
      <c r="C93" s="440"/>
      <c r="D93" s="440"/>
      <c r="E93" s="440"/>
      <c r="F93" s="434"/>
      <c r="G93" s="440"/>
      <c r="H93" s="44"/>
    </row>
    <row r="94" spans="1:8" customFormat="1" ht="12.75">
      <c r="A94" s="421"/>
      <c r="B94" s="427" t="s">
        <v>101</v>
      </c>
      <c r="C94" s="440"/>
      <c r="D94" s="440"/>
      <c r="E94" s="440"/>
      <c r="F94" s="434">
        <f>G29</f>
        <v>0</v>
      </c>
      <c r="G94" s="440"/>
      <c r="H94" s="44"/>
    </row>
    <row r="95" spans="1:8" customFormat="1" ht="12.75">
      <c r="A95" s="421"/>
      <c r="B95" s="427" t="s">
        <v>102</v>
      </c>
      <c r="C95" s="440"/>
      <c r="D95" s="440"/>
      <c r="E95" s="440"/>
      <c r="F95" s="434">
        <f>G30</f>
        <v>0</v>
      </c>
      <c r="G95" s="440"/>
      <c r="H95" s="44"/>
    </row>
    <row r="96" spans="1:8" customFormat="1" ht="12.75">
      <c r="A96" s="421"/>
      <c r="B96" s="427" t="s">
        <v>160</v>
      </c>
      <c r="C96" s="440"/>
      <c r="D96" s="440"/>
      <c r="E96" s="440"/>
      <c r="F96" s="434">
        <f>G31</f>
        <v>0</v>
      </c>
      <c r="G96" s="440"/>
      <c r="H96" s="44"/>
    </row>
    <row r="97" spans="1:8" customFormat="1" ht="12.75">
      <c r="A97" s="421"/>
      <c r="B97" s="421"/>
      <c r="C97" s="440"/>
      <c r="D97" s="440"/>
      <c r="E97" s="440"/>
      <c r="F97" s="434"/>
      <c r="G97" s="440"/>
      <c r="H97" s="44"/>
    </row>
    <row r="98" spans="1:8" customFormat="1" ht="12.75">
      <c r="A98" s="421"/>
      <c r="B98" s="427" t="s">
        <v>104</v>
      </c>
      <c r="C98" s="440"/>
      <c r="D98" s="440"/>
      <c r="E98" s="440"/>
      <c r="F98" s="434"/>
      <c r="G98" s="440"/>
      <c r="H98" s="44"/>
    </row>
    <row r="99" spans="1:8" customFormat="1" ht="12.75">
      <c r="A99" s="421"/>
      <c r="B99" s="427" t="s">
        <v>153</v>
      </c>
      <c r="C99" s="440"/>
      <c r="D99" s="440"/>
      <c r="E99" s="440"/>
      <c r="F99" s="434">
        <f>G34</f>
        <v>0</v>
      </c>
      <c r="G99" s="440"/>
      <c r="H99" s="44"/>
    </row>
    <row r="100" spans="1:8" customFormat="1" ht="12.75">
      <c r="A100" s="421"/>
      <c r="B100" s="427" t="s">
        <v>158</v>
      </c>
      <c r="C100" s="440"/>
      <c r="D100" s="440"/>
      <c r="E100" s="440"/>
      <c r="F100" s="434">
        <f>G35</f>
        <v>0</v>
      </c>
      <c r="G100" s="440"/>
      <c r="H100" s="44"/>
    </row>
    <row r="101" spans="1:8" customFormat="1" ht="12.75">
      <c r="A101" s="421"/>
      <c r="B101" s="427" t="s">
        <v>156</v>
      </c>
      <c r="C101" s="440"/>
      <c r="D101" s="440"/>
      <c r="E101" s="440"/>
      <c r="F101" s="436">
        <f>G36</f>
        <v>0</v>
      </c>
      <c r="G101" s="440"/>
      <c r="H101" s="44"/>
    </row>
    <row r="102" spans="1:8" customFormat="1" ht="12.75">
      <c r="A102" s="421"/>
      <c r="B102" s="427" t="s">
        <v>161</v>
      </c>
      <c r="C102" s="440"/>
      <c r="D102" s="440"/>
      <c r="E102" s="440"/>
      <c r="F102" s="434">
        <f>F99+F100+F101</f>
        <v>0</v>
      </c>
      <c r="G102" s="440"/>
      <c r="H102" s="44"/>
    </row>
    <row r="103" spans="1:8" customFormat="1" ht="12.75">
      <c r="A103" s="421"/>
      <c r="B103" s="440"/>
      <c r="C103" s="440"/>
      <c r="D103" s="440"/>
      <c r="E103" s="440"/>
      <c r="F103" s="434"/>
      <c r="G103" s="440"/>
      <c r="H103" s="44"/>
    </row>
    <row r="104" spans="1:8" customFormat="1" ht="12.75">
      <c r="A104" s="421"/>
      <c r="B104" s="440" t="s">
        <v>106</v>
      </c>
      <c r="C104" s="440"/>
      <c r="D104" s="440"/>
      <c r="E104" s="440"/>
      <c r="F104" s="435">
        <f>F86+F92+F94+F95+F96+F102</f>
        <v>0</v>
      </c>
      <c r="G104" s="440"/>
      <c r="H104" s="44"/>
    </row>
    <row r="105" spans="1:8" customFormat="1" ht="12.75">
      <c r="A105" s="421"/>
      <c r="B105" s="440"/>
      <c r="C105" s="440"/>
      <c r="D105" s="440"/>
      <c r="E105" s="440"/>
      <c r="F105" s="434"/>
      <c r="G105" s="440"/>
      <c r="H105" s="44"/>
    </row>
    <row r="106" spans="1:8" customFormat="1" ht="12.75">
      <c r="A106" s="421"/>
      <c r="B106" s="440" t="s">
        <v>227</v>
      </c>
      <c r="C106" s="440"/>
      <c r="D106" s="440"/>
      <c r="E106" s="440"/>
      <c r="F106" s="436">
        <f>F78-F104</f>
        <v>0</v>
      </c>
      <c r="G106" s="440"/>
      <c r="H106" s="44"/>
    </row>
    <row r="107" spans="1:8" customFormat="1" ht="12.75">
      <c r="A107" s="421"/>
      <c r="B107" s="440"/>
      <c r="C107" s="440"/>
      <c r="D107" s="440"/>
      <c r="E107" s="440"/>
      <c r="F107" s="434"/>
      <c r="G107" s="440"/>
      <c r="H107" s="44"/>
    </row>
    <row r="108" spans="1:8" customFormat="1" ht="12.75">
      <c r="A108" s="421"/>
      <c r="B108" s="440" t="s">
        <v>228</v>
      </c>
      <c r="C108" s="440"/>
      <c r="D108" s="440"/>
      <c r="E108" s="441"/>
      <c r="F108" s="434"/>
      <c r="G108" s="440"/>
      <c r="H108" s="44"/>
    </row>
    <row r="109" spans="1:8" customFormat="1" ht="13.5" thickBot="1">
      <c r="A109" s="421"/>
      <c r="B109" s="451" t="s">
        <v>229</v>
      </c>
      <c r="C109" s="452">
        <f>Inputs!$D$4</f>
        <v>1.2215999999999999E-2</v>
      </c>
      <c r="D109" s="440"/>
      <c r="E109" s="441"/>
      <c r="F109" s="439">
        <f>ROUND(F106*C109,0)</f>
        <v>0</v>
      </c>
      <c r="G109" s="440"/>
      <c r="H109" s="44"/>
    </row>
    <row r="110" spans="1:8" ht="12.75" thickTop="1">
      <c r="A110" s="206"/>
      <c r="B110" s="207"/>
      <c r="C110" s="207"/>
      <c r="D110" s="207"/>
      <c r="E110" s="208"/>
      <c r="F110" s="207"/>
      <c r="G110" s="209"/>
      <c r="H110" s="207"/>
    </row>
  </sheetData>
  <customSheetViews>
    <customSheetView guid="{A15D1962-B049-11D2-8670-0000832CEEE8}" scale="75" showPageBreaks="1" showRuler="0" topLeftCell="A46">
      <rowBreaks count="1" manualBreakCount="1">
        <brk id="65" max="65535" man="1"/>
      </rowBreaks>
      <colBreaks count="2" manualBreakCount="2">
        <brk id="8" max="1048575" man="1"/>
        <brk id="16" max="1048575" man="1"/>
      </colBreaks>
      <pageMargins left="1" right="1" top="0.5" bottom="0.5" header="0.5" footer="0.5"/>
      <printOptions horizontalCentered="1"/>
      <pageSetup scale="83" orientation="portrait" horizontalDpi="300" verticalDpi="300" r:id="rId1"/>
      <headerFooter alignWithMargins="0"/>
    </customSheetView>
    <customSheetView guid="{6E1B8C45-B07F-11D2-B0DC-0000832CDFF0}" scale="75" showPageBreaks="1" printArea="1" showRuler="0" topLeftCell="A46">
      <rowBreaks count="1" manualBreakCount="1">
        <brk id="65" max="65535" man="1"/>
      </rowBreaks>
      <colBreaks count="1" manualBreakCount="1">
        <brk id="8" max="1048575" man="1"/>
      </colBreaks>
      <pageMargins left="1" right="1" top="0.5" bottom="0.5" header="0.5" footer="0.5"/>
      <printOptions horizontalCentered="1"/>
      <pageSetup scale="83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1" top="0.5" bottom="0.5" header="0.5" footer="0.5"/>
  <pageSetup scale="90" orientation="portrait" horizontalDpi="300" verticalDpi="300" r:id="rId3"/>
  <headerFooter alignWithMargins="0"/>
  <rowBreaks count="1" manualBreakCount="1">
    <brk id="63" max="6" man="1"/>
  </rowBreaks>
  <colBreaks count="1" manualBreakCount="1">
    <brk id="8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2"/>
  <dimension ref="A1:H114"/>
  <sheetViews>
    <sheetView workbookViewId="0">
      <selection activeCell="F2" sqref="F2"/>
    </sheetView>
  </sheetViews>
  <sheetFormatPr defaultColWidth="12.42578125" defaultRowHeight="12"/>
  <cols>
    <col min="1" max="1" width="5.5703125" style="215" customWidth="1"/>
    <col min="2" max="2" width="26.140625" style="212" customWidth="1"/>
    <col min="3" max="3" width="12.42578125" style="212" customWidth="1"/>
    <col min="4" max="4" width="6.7109375" style="212" customWidth="1"/>
    <col min="5" max="16384" width="12.42578125" style="212"/>
  </cols>
  <sheetData>
    <row r="1" spans="1:8" ht="12" customHeight="1">
      <c r="A1" s="210" t="str">
        <f>Inputs!$D$6</f>
        <v>AVISTA UTILITIES</v>
      </c>
      <c r="B1" s="211"/>
      <c r="C1" s="210"/>
    </row>
    <row r="2" spans="1:8" ht="12" customHeight="1">
      <c r="A2" s="210" t="s">
        <v>142</v>
      </c>
      <c r="B2" s="211"/>
      <c r="C2" s="210"/>
      <c r="E2" s="210" t="s">
        <v>256</v>
      </c>
      <c r="F2" s="210"/>
      <c r="G2" s="210"/>
    </row>
    <row r="3" spans="1:8" ht="12" customHeight="1">
      <c r="A3" s="211" t="str">
        <f>WAElec09_08!$A$4</f>
        <v>TWELVE MONTHS ENDED SEPTEMBER 30, 2008</v>
      </c>
      <c r="B3" s="211"/>
      <c r="C3" s="210"/>
      <c r="E3" s="210" t="s">
        <v>257</v>
      </c>
      <c r="F3" s="210"/>
      <c r="G3" s="210"/>
    </row>
    <row r="4" spans="1:8" ht="12" customHeight="1">
      <c r="A4" s="210" t="s">
        <v>1</v>
      </c>
      <c r="B4" s="211"/>
      <c r="C4" s="210"/>
      <c r="E4" s="213" t="s">
        <v>145</v>
      </c>
      <c r="F4" s="213"/>
      <c r="G4" s="214"/>
    </row>
    <row r="5" spans="1:8" ht="12" customHeight="1">
      <c r="A5" s="215" t="s">
        <v>14</v>
      </c>
    </row>
    <row r="6" spans="1:8" s="215" customFormat="1" ht="12" customHeight="1">
      <c r="A6" s="215" t="s">
        <v>146</v>
      </c>
      <c r="B6" s="216" t="s">
        <v>36</v>
      </c>
      <c r="C6" s="216"/>
      <c r="E6" s="216" t="s">
        <v>147</v>
      </c>
      <c r="F6" s="216" t="s">
        <v>148</v>
      </c>
      <c r="G6" s="216" t="s">
        <v>128</v>
      </c>
      <c r="H6" s="217" t="s">
        <v>149</v>
      </c>
    </row>
    <row r="7" spans="1:8" ht="12" customHeight="1">
      <c r="B7" s="218" t="s">
        <v>85</v>
      </c>
    </row>
    <row r="8" spans="1:8" s="221" customFormat="1" ht="12" customHeight="1">
      <c r="A8" s="219">
        <v>1</v>
      </c>
      <c r="B8" s="220" t="s">
        <v>86</v>
      </c>
      <c r="E8" s="222">
        <f>F8+G8</f>
        <v>0</v>
      </c>
      <c r="F8" s="222"/>
      <c r="G8" s="222"/>
      <c r="H8" s="221" t="str">
        <f t="shared" ref="H8:H13" si="0">IF(E8=F8+G8," ","ERROR")</f>
        <v xml:space="preserve"> </v>
      </c>
    </row>
    <row r="9" spans="1:8" ht="12" customHeight="1">
      <c r="A9" s="215">
        <v>2</v>
      </c>
      <c r="B9" s="218" t="s">
        <v>87</v>
      </c>
      <c r="E9" s="223"/>
      <c r="F9" s="223"/>
      <c r="G9" s="223"/>
      <c r="H9" s="221" t="str">
        <f t="shared" si="0"/>
        <v xml:space="preserve"> </v>
      </c>
    </row>
    <row r="10" spans="1:8" ht="12" customHeight="1">
      <c r="A10" s="215">
        <v>3</v>
      </c>
      <c r="B10" s="218" t="s">
        <v>150</v>
      </c>
      <c r="E10" s="223"/>
      <c r="F10" s="223"/>
      <c r="G10" s="223"/>
      <c r="H10" s="221" t="str">
        <f t="shared" si="0"/>
        <v xml:space="preserve"> </v>
      </c>
    </row>
    <row r="11" spans="1:8" ht="12" customHeight="1">
      <c r="A11" s="215">
        <v>4</v>
      </c>
      <c r="B11" s="218" t="s">
        <v>151</v>
      </c>
      <c r="E11" s="224">
        <f>E8+E9+E10</f>
        <v>0</v>
      </c>
      <c r="F11" s="224">
        <f>F8+F9+F10</f>
        <v>0</v>
      </c>
      <c r="G11" s="224">
        <f>G8+G9+G10</f>
        <v>0</v>
      </c>
      <c r="H11" s="221" t="str">
        <f t="shared" si="0"/>
        <v xml:space="preserve"> </v>
      </c>
    </row>
    <row r="12" spans="1:8" ht="12" customHeight="1">
      <c r="A12" s="215">
        <v>5</v>
      </c>
      <c r="B12" s="218" t="s">
        <v>90</v>
      </c>
      <c r="E12" s="223"/>
      <c r="F12" s="223"/>
      <c r="G12" s="223"/>
      <c r="H12" s="221" t="str">
        <f t="shared" si="0"/>
        <v xml:space="preserve"> </v>
      </c>
    </row>
    <row r="13" spans="1:8" ht="12" customHeight="1">
      <c r="A13" s="215">
        <v>6</v>
      </c>
      <c r="B13" s="218" t="s">
        <v>152</v>
      </c>
      <c r="E13" s="224">
        <f>E11+E12</f>
        <v>0</v>
      </c>
      <c r="F13" s="224">
        <f>F11+F12</f>
        <v>0</v>
      </c>
      <c r="G13" s="224">
        <f>G11+G12</f>
        <v>0</v>
      </c>
      <c r="H13" s="221" t="str">
        <f t="shared" si="0"/>
        <v xml:space="preserve"> </v>
      </c>
    </row>
    <row r="14" spans="1:8" ht="12" customHeight="1">
      <c r="E14" s="225"/>
      <c r="F14" s="225"/>
      <c r="G14" s="225"/>
      <c r="H14" s="221"/>
    </row>
    <row r="15" spans="1:8" ht="12" customHeight="1">
      <c r="B15" s="218" t="s">
        <v>92</v>
      </c>
      <c r="E15" s="225"/>
      <c r="F15" s="225"/>
      <c r="G15" s="225"/>
      <c r="H15" s="221"/>
    </row>
    <row r="16" spans="1:8" ht="12" customHeight="1">
      <c r="B16" s="218" t="s">
        <v>93</v>
      </c>
      <c r="E16" s="225"/>
      <c r="F16" s="225"/>
      <c r="G16" s="225"/>
      <c r="H16" s="221"/>
    </row>
    <row r="17" spans="1:8" ht="12" customHeight="1">
      <c r="A17" s="215">
        <v>7</v>
      </c>
      <c r="B17" s="218" t="s">
        <v>153</v>
      </c>
      <c r="E17" s="223"/>
      <c r="F17" s="223"/>
      <c r="G17" s="223"/>
      <c r="H17" s="221" t="str">
        <f>IF(E17=F17+G17," ","ERROR")</f>
        <v xml:space="preserve"> </v>
      </c>
    </row>
    <row r="18" spans="1:8" ht="12" customHeight="1">
      <c r="A18" s="215">
        <v>8</v>
      </c>
      <c r="B18" s="218" t="s">
        <v>154</v>
      </c>
      <c r="E18" s="223"/>
      <c r="F18" s="223"/>
      <c r="G18" s="223"/>
      <c r="H18" s="221" t="str">
        <f>IF(E18=F18+G18," ","ERROR")</f>
        <v xml:space="preserve"> </v>
      </c>
    </row>
    <row r="19" spans="1:8" ht="12" customHeight="1">
      <c r="A19" s="215">
        <v>9</v>
      </c>
      <c r="B19" s="218" t="s">
        <v>155</v>
      </c>
      <c r="E19" s="223"/>
      <c r="F19" s="223"/>
      <c r="G19" s="223"/>
      <c r="H19" s="221" t="str">
        <f>IF(E19=F19+G19," ","ERROR")</f>
        <v xml:space="preserve"> </v>
      </c>
    </row>
    <row r="20" spans="1:8" ht="12" customHeight="1">
      <c r="A20" s="215">
        <v>10</v>
      </c>
      <c r="B20" s="218" t="s">
        <v>156</v>
      </c>
      <c r="E20" s="223"/>
      <c r="F20" s="223"/>
      <c r="G20" s="223"/>
      <c r="H20" s="221" t="str">
        <f>IF(E20=F20+G20," ","ERROR")</f>
        <v xml:space="preserve"> </v>
      </c>
    </row>
    <row r="21" spans="1:8" ht="12" customHeight="1">
      <c r="A21" s="215">
        <v>11</v>
      </c>
      <c r="B21" s="218" t="s">
        <v>157</v>
      </c>
      <c r="E21" s="224">
        <f>E17+E18+E19+E20</f>
        <v>0</v>
      </c>
      <c r="F21" s="224">
        <f>F17+F18+F19+F20</f>
        <v>0</v>
      </c>
      <c r="G21" s="224">
        <f>G17+G18+G19+G20</f>
        <v>0</v>
      </c>
      <c r="H21" s="221" t="str">
        <f>IF(E21=F21+G21," ","ERROR")</f>
        <v xml:space="preserve"> </v>
      </c>
    </row>
    <row r="22" spans="1:8" ht="12" customHeight="1">
      <c r="E22" s="225"/>
      <c r="F22" s="225"/>
      <c r="G22" s="225"/>
      <c r="H22" s="221"/>
    </row>
    <row r="23" spans="1:8" ht="12" customHeight="1">
      <c r="B23" s="218" t="s">
        <v>98</v>
      </c>
      <c r="E23" s="225"/>
      <c r="F23" s="225"/>
      <c r="G23" s="225"/>
      <c r="H23" s="221"/>
    </row>
    <row r="24" spans="1:8" ht="12" customHeight="1">
      <c r="A24" s="215">
        <v>12</v>
      </c>
      <c r="B24" s="218" t="s">
        <v>153</v>
      </c>
      <c r="E24" s="223"/>
      <c r="F24" s="223"/>
      <c r="G24" s="223"/>
      <c r="H24" s="221" t="str">
        <f>IF(E24=F24+G24," ","ERROR")</f>
        <v xml:space="preserve"> </v>
      </c>
    </row>
    <row r="25" spans="1:8" ht="12" customHeight="1">
      <c r="A25" s="215">
        <v>13</v>
      </c>
      <c r="B25" s="218" t="s">
        <v>158</v>
      </c>
      <c r="E25" s="223"/>
      <c r="F25" s="223"/>
      <c r="G25" s="223"/>
      <c r="H25" s="221" t="str">
        <f>IF(E25=F25+G25," ","ERROR")</f>
        <v xml:space="preserve"> </v>
      </c>
    </row>
    <row r="26" spans="1:8" ht="12" customHeight="1">
      <c r="A26" s="215">
        <v>14</v>
      </c>
      <c r="B26" s="218" t="s">
        <v>156</v>
      </c>
      <c r="E26" s="223">
        <f>F26+G26</f>
        <v>0</v>
      </c>
      <c r="F26" s="223"/>
      <c r="G26" s="223"/>
      <c r="H26" s="221" t="str">
        <f>IF(E26=F26+G26," ","ERROR")</f>
        <v xml:space="preserve"> </v>
      </c>
    </row>
    <row r="27" spans="1:8" ht="12" customHeight="1">
      <c r="A27" s="215">
        <v>15</v>
      </c>
      <c r="B27" s="218" t="s">
        <v>159</v>
      </c>
      <c r="E27" s="224">
        <f>E24+E25+E26</f>
        <v>0</v>
      </c>
      <c r="F27" s="224">
        <f>F24+F25+F26</f>
        <v>0</v>
      </c>
      <c r="G27" s="224">
        <f>G24+G25+G26</f>
        <v>0</v>
      </c>
      <c r="H27" s="221" t="str">
        <f>IF(E27=F27+G27," ","ERROR")</f>
        <v xml:space="preserve"> </v>
      </c>
    </row>
    <row r="28" spans="1:8" ht="12" customHeight="1">
      <c r="E28" s="225"/>
      <c r="F28" s="225"/>
      <c r="G28" s="225"/>
      <c r="H28" s="221"/>
    </row>
    <row r="29" spans="1:8" ht="12" customHeight="1">
      <c r="A29" s="215">
        <v>16</v>
      </c>
      <c r="B29" s="218" t="s">
        <v>101</v>
      </c>
      <c r="E29" s="223"/>
      <c r="F29" s="223"/>
      <c r="G29" s="223"/>
      <c r="H29" s="221" t="str">
        <f>IF(E29=F29+G29," ","ERROR")</f>
        <v xml:space="preserve"> </v>
      </c>
    </row>
    <row r="30" spans="1:8" ht="12" customHeight="1">
      <c r="A30" s="215">
        <v>17</v>
      </c>
      <c r="B30" s="218" t="s">
        <v>102</v>
      </c>
      <c r="E30" s="223"/>
      <c r="F30" s="223"/>
      <c r="G30" s="223"/>
      <c r="H30" s="221" t="str">
        <f>IF(E30=F30+G30," ","ERROR")</f>
        <v xml:space="preserve"> </v>
      </c>
    </row>
    <row r="31" spans="1:8" ht="12" customHeight="1">
      <c r="A31" s="215">
        <v>18</v>
      </c>
      <c r="B31" s="218" t="s">
        <v>160</v>
      </c>
      <c r="E31" s="223"/>
      <c r="F31" s="223"/>
      <c r="G31" s="223"/>
      <c r="H31" s="221" t="str">
        <f>IF(E31=F31+G31," ","ERROR")</f>
        <v xml:space="preserve"> </v>
      </c>
    </row>
    <row r="32" spans="1:8" ht="12" customHeight="1">
      <c r="E32" s="225"/>
      <c r="F32" s="225"/>
      <c r="G32" s="225"/>
      <c r="H32" s="221"/>
    </row>
    <row r="33" spans="1:8" ht="12" customHeight="1">
      <c r="B33" s="218" t="s">
        <v>104</v>
      </c>
      <c r="E33" s="225"/>
      <c r="F33" s="225"/>
      <c r="G33" s="225"/>
      <c r="H33" s="221"/>
    </row>
    <row r="34" spans="1:8" ht="12" customHeight="1">
      <c r="A34" s="215">
        <v>19</v>
      </c>
      <c r="B34" s="218" t="s">
        <v>153</v>
      </c>
      <c r="E34" s="223">
        <f>SUM(F34:G34)</f>
        <v>-8</v>
      </c>
      <c r="F34" s="223">
        <v>-8</v>
      </c>
      <c r="G34" s="223"/>
      <c r="H34" s="221" t="str">
        <f>IF(E34=F34+G34," ","ERROR")</f>
        <v xml:space="preserve"> </v>
      </c>
    </row>
    <row r="35" spans="1:8" ht="12" customHeight="1">
      <c r="A35" s="215">
        <v>20</v>
      </c>
      <c r="B35" s="218" t="s">
        <v>158</v>
      </c>
      <c r="E35" s="223"/>
      <c r="F35" s="223"/>
      <c r="G35" s="223"/>
      <c r="H35" s="221" t="str">
        <f>IF(E35=F35+G35," ","ERROR")</f>
        <v xml:space="preserve"> </v>
      </c>
    </row>
    <row r="36" spans="1:8" ht="12" customHeight="1">
      <c r="A36" s="215">
        <v>21</v>
      </c>
      <c r="B36" s="218" t="s">
        <v>156</v>
      </c>
      <c r="E36" s="223"/>
      <c r="F36" s="223"/>
      <c r="G36" s="223"/>
      <c r="H36" s="221" t="str">
        <f>IF(E36=F36+G36," ","ERROR")</f>
        <v xml:space="preserve"> </v>
      </c>
    </row>
    <row r="37" spans="1:8" ht="12" customHeight="1">
      <c r="A37" s="215">
        <v>22</v>
      </c>
      <c r="B37" s="218" t="s">
        <v>161</v>
      </c>
      <c r="E37" s="226">
        <f>E34+E35+E36</f>
        <v>-8</v>
      </c>
      <c r="F37" s="226">
        <f>F34+F35+F36</f>
        <v>-8</v>
      </c>
      <c r="G37" s="226">
        <f>G34+G35+G36</f>
        <v>0</v>
      </c>
      <c r="H37" s="221" t="str">
        <f>IF(E37=F37+G37," ","ERROR")</f>
        <v xml:space="preserve"> </v>
      </c>
    </row>
    <row r="38" spans="1:8" ht="12" customHeight="1">
      <c r="A38" s="215">
        <v>23</v>
      </c>
      <c r="B38" s="218" t="s">
        <v>106</v>
      </c>
      <c r="E38" s="227">
        <f>E21+E27+E29+E30+E31+E37</f>
        <v>-8</v>
      </c>
      <c r="F38" s="227">
        <f>F21+F27+F29+F30+F31+F37</f>
        <v>-8</v>
      </c>
      <c r="G38" s="227">
        <f>G21+G27+G29+G30+G31+G37</f>
        <v>0</v>
      </c>
      <c r="H38" s="221" t="str">
        <f>IF(E38=F38+G38," ","ERROR")</f>
        <v xml:space="preserve"> </v>
      </c>
    </row>
    <row r="39" spans="1:8" ht="12" customHeight="1">
      <c r="E39" s="225"/>
      <c r="F39" s="225"/>
      <c r="G39" s="225"/>
      <c r="H39" s="221"/>
    </row>
    <row r="40" spans="1:8" ht="12" customHeight="1">
      <c r="A40" s="215">
        <v>24</v>
      </c>
      <c r="B40" s="218" t="s">
        <v>162</v>
      </c>
      <c r="E40" s="225">
        <f>E13-E38</f>
        <v>8</v>
      </c>
      <c r="F40" s="225">
        <f>F13-F38</f>
        <v>8</v>
      </c>
      <c r="G40" s="225">
        <f>G13-G38</f>
        <v>0</v>
      </c>
      <c r="H40" s="221" t="str">
        <f>IF(E40=F40+G40," ","ERROR")</f>
        <v xml:space="preserve"> </v>
      </c>
    </row>
    <row r="41" spans="1:8" ht="12" customHeight="1">
      <c r="B41" s="218"/>
      <c r="E41" s="225"/>
      <c r="F41" s="225"/>
      <c r="G41" s="225"/>
      <c r="H41" s="221"/>
    </row>
    <row r="42" spans="1:8" ht="12" customHeight="1">
      <c r="B42" s="218" t="s">
        <v>163</v>
      </c>
      <c r="E42" s="225"/>
      <c r="F42" s="225"/>
      <c r="G42" s="225"/>
      <c r="H42" s="221"/>
    </row>
    <row r="43" spans="1:8" ht="12" customHeight="1">
      <c r="A43" s="215">
        <v>25</v>
      </c>
      <c r="B43" s="218" t="s">
        <v>164</v>
      </c>
      <c r="D43" s="228">
        <v>0.35</v>
      </c>
      <c r="E43" s="223">
        <f>F43+G43</f>
        <v>3</v>
      </c>
      <c r="F43" s="223">
        <f>ROUND(F40*D43,0)</f>
        <v>3</v>
      </c>
      <c r="G43" s="223">
        <f>ROUND(G40*D43,0)</f>
        <v>0</v>
      </c>
      <c r="H43" s="221" t="str">
        <f>IF(E43=F43+G43," ","ERROR")</f>
        <v xml:space="preserve"> </v>
      </c>
    </row>
    <row r="44" spans="1:8" ht="12" customHeight="1">
      <c r="A44" s="215">
        <v>26</v>
      </c>
      <c r="B44" s="218" t="s">
        <v>165</v>
      </c>
      <c r="E44" s="223"/>
      <c r="F44" s="223"/>
      <c r="G44" s="223"/>
      <c r="H44" s="221" t="str">
        <f>IF(E44=F44+G44," ","ERROR")</f>
        <v xml:space="preserve"> </v>
      </c>
    </row>
    <row r="45" spans="1:8" ht="12" customHeight="1">
      <c r="A45"/>
      <c r="B45"/>
      <c r="C45"/>
      <c r="D45"/>
      <c r="E45" s="913"/>
      <c r="F45" s="913"/>
      <c r="G45" s="913"/>
      <c r="H45" s="221" t="str">
        <f>IF(E45=F45+G45," ","ERROR")</f>
        <v xml:space="preserve"> </v>
      </c>
    </row>
    <row r="46" spans="1:8" ht="12" customHeight="1">
      <c r="A46" s="259"/>
      <c r="B46" s="262"/>
      <c r="C46" s="256"/>
      <c r="D46" s="256"/>
      <c r="E46" s="269"/>
      <c r="F46" s="269"/>
      <c r="G46" s="269"/>
      <c r="H46" s="221"/>
    </row>
    <row r="47" spans="1:8" s="221" customFormat="1" ht="12" customHeight="1">
      <c r="A47" s="263">
        <v>27</v>
      </c>
      <c r="B47" s="264" t="s">
        <v>113</v>
      </c>
      <c r="C47" s="265"/>
      <c r="D47" s="265"/>
      <c r="E47" s="273">
        <f>E40-SUM(E43:E44)</f>
        <v>5</v>
      </c>
      <c r="F47" s="273">
        <f>F40-SUM(F43:F44)</f>
        <v>5</v>
      </c>
      <c r="G47" s="273">
        <f>G40-SUM(G43:G44)</f>
        <v>0</v>
      </c>
      <c r="H47" s="221" t="str">
        <f>IF(E47=F47+G47," ","ERROR")</f>
        <v xml:space="preserve"> </v>
      </c>
    </row>
    <row r="48" spans="1:8" ht="12" customHeight="1">
      <c r="A48" s="259"/>
      <c r="H48" s="221"/>
    </row>
    <row r="49" spans="1:8" ht="12" customHeight="1">
      <c r="A49" s="259"/>
      <c r="B49" s="218" t="s">
        <v>114</v>
      </c>
      <c r="H49" s="221"/>
    </row>
    <row r="50" spans="1:8" ht="12" customHeight="1">
      <c r="A50" s="259"/>
      <c r="B50" s="218" t="s">
        <v>115</v>
      </c>
      <c r="H50" s="221"/>
    </row>
    <row r="51" spans="1:8" s="221" customFormat="1" ht="12" customHeight="1">
      <c r="A51" s="263">
        <v>28</v>
      </c>
      <c r="B51" s="220" t="s">
        <v>167</v>
      </c>
      <c r="E51" s="222"/>
      <c r="F51" s="222"/>
      <c r="G51" s="222"/>
      <c r="H51" s="221" t="str">
        <f t="shared" ref="H51:H61" si="1">IF(E51=F51+G51," ","ERROR")</f>
        <v xml:space="preserve"> </v>
      </c>
    </row>
    <row r="52" spans="1:8" ht="12" customHeight="1">
      <c r="A52" s="259">
        <v>29</v>
      </c>
      <c r="B52" s="218" t="s">
        <v>168</v>
      </c>
      <c r="E52" s="223"/>
      <c r="F52" s="223"/>
      <c r="G52" s="223"/>
      <c r="H52" s="221" t="str">
        <f t="shared" si="1"/>
        <v xml:space="preserve"> </v>
      </c>
    </row>
    <row r="53" spans="1:8" ht="12" customHeight="1">
      <c r="A53" s="259">
        <v>30</v>
      </c>
      <c r="B53" s="218" t="s">
        <v>169</v>
      </c>
      <c r="E53" s="223"/>
      <c r="F53" s="223"/>
      <c r="G53" s="223"/>
      <c r="H53" s="221" t="str">
        <f t="shared" si="1"/>
        <v xml:space="preserve"> </v>
      </c>
    </row>
    <row r="54" spans="1:8" ht="12" customHeight="1">
      <c r="A54" s="259">
        <v>31</v>
      </c>
      <c r="B54" s="218" t="s">
        <v>170</v>
      </c>
      <c r="E54" s="223"/>
      <c r="F54" s="223"/>
      <c r="G54" s="223"/>
      <c r="H54" s="221" t="str">
        <f t="shared" si="1"/>
        <v xml:space="preserve"> </v>
      </c>
    </row>
    <row r="55" spans="1:8" ht="12" customHeight="1">
      <c r="A55" s="259">
        <v>32</v>
      </c>
      <c r="B55" s="218" t="s">
        <v>171</v>
      </c>
      <c r="E55" s="229"/>
      <c r="F55" s="229"/>
      <c r="G55" s="229"/>
      <c r="H55" s="221" t="str">
        <f t="shared" si="1"/>
        <v xml:space="preserve"> </v>
      </c>
    </row>
    <row r="56" spans="1:8" ht="12" customHeight="1">
      <c r="A56" s="259">
        <v>33</v>
      </c>
      <c r="B56" s="218" t="s">
        <v>172</v>
      </c>
      <c r="E56" s="225">
        <f>E51+E52+E53+E54+E55</f>
        <v>0</v>
      </c>
      <c r="F56" s="225">
        <f>F51+F52+F53+F54+F55</f>
        <v>0</v>
      </c>
      <c r="G56" s="225">
        <f>G51+G52+G53+G54+G55</f>
        <v>0</v>
      </c>
      <c r="H56" s="221" t="str">
        <f t="shared" si="1"/>
        <v xml:space="preserve"> </v>
      </c>
    </row>
    <row r="57" spans="1:8" ht="12" customHeight="1">
      <c r="A57" s="259">
        <v>34</v>
      </c>
      <c r="B57" s="218" t="s">
        <v>121</v>
      </c>
      <c r="E57" s="223"/>
      <c r="F57" s="223"/>
      <c r="G57" s="223"/>
      <c r="H57" s="221" t="str">
        <f t="shared" si="1"/>
        <v xml:space="preserve"> </v>
      </c>
    </row>
    <row r="58" spans="1:8" ht="12" customHeight="1">
      <c r="A58" s="259">
        <v>35</v>
      </c>
      <c r="B58" s="218" t="s">
        <v>122</v>
      </c>
      <c r="E58" s="229"/>
      <c r="F58" s="229"/>
      <c r="G58" s="229"/>
      <c r="H58" s="221" t="str">
        <f t="shared" si="1"/>
        <v xml:space="preserve"> </v>
      </c>
    </row>
    <row r="59" spans="1:8" ht="12" customHeight="1">
      <c r="A59" s="259">
        <v>36</v>
      </c>
      <c r="B59" s="218" t="s">
        <v>173</v>
      </c>
      <c r="E59" s="225">
        <f>E57+E58</f>
        <v>0</v>
      </c>
      <c r="F59" s="225">
        <f>F57+F58</f>
        <v>0</v>
      </c>
      <c r="G59" s="225">
        <f>G57+G58</f>
        <v>0</v>
      </c>
      <c r="H59" s="221" t="str">
        <f t="shared" si="1"/>
        <v xml:space="preserve"> </v>
      </c>
    </row>
    <row r="60" spans="1:8" ht="12" customHeight="1">
      <c r="A60" s="259">
        <v>37</v>
      </c>
      <c r="B60" s="218" t="s">
        <v>124</v>
      </c>
      <c r="E60" s="223"/>
      <c r="F60" s="223"/>
      <c r="G60" s="223"/>
      <c r="H60" s="221" t="str">
        <f t="shared" si="1"/>
        <v xml:space="preserve"> </v>
      </c>
    </row>
    <row r="61" spans="1:8" ht="12" customHeight="1">
      <c r="A61" s="259">
        <v>38</v>
      </c>
      <c r="B61" s="218" t="s">
        <v>125</v>
      </c>
      <c r="E61" s="229"/>
      <c r="F61" s="229"/>
      <c r="G61" s="229"/>
      <c r="H61" s="221" t="str">
        <f t="shared" si="1"/>
        <v xml:space="preserve"> </v>
      </c>
    </row>
    <row r="62" spans="1:8" ht="12" customHeight="1">
      <c r="A62" s="259"/>
      <c r="H62" s="221"/>
    </row>
    <row r="63" spans="1:8" s="221" customFormat="1" ht="12" customHeight="1" thickBot="1">
      <c r="A63" s="263">
        <v>39</v>
      </c>
      <c r="B63" s="220" t="s">
        <v>126</v>
      </c>
      <c r="E63" s="230">
        <f>E56-E59+E60+E61</f>
        <v>0</v>
      </c>
      <c r="F63" s="230">
        <f>F56-F59+F60+F61</f>
        <v>0</v>
      </c>
      <c r="G63" s="230">
        <f>G56-G59+G60+G61</f>
        <v>0</v>
      </c>
      <c r="H63" s="221" t="str">
        <f>IF(E63=F63+G63," ","ERROR")</f>
        <v xml:space="preserve"> </v>
      </c>
    </row>
    <row r="64" spans="1:8" ht="12" customHeight="1" thickTop="1"/>
    <row r="65" spans="1:8" ht="12" customHeight="1">
      <c r="A65" s="211" t="str">
        <f>Inputs!$D$6</f>
        <v>AVISTA UTILITIES</v>
      </c>
      <c r="B65" s="211"/>
      <c r="C65" s="211"/>
      <c r="D65" s="231"/>
      <c r="E65" s="232"/>
      <c r="H65" s="232"/>
    </row>
    <row r="66" spans="1:8" ht="12" customHeight="1">
      <c r="A66" s="211" t="s">
        <v>225</v>
      </c>
      <c r="B66" s="211"/>
      <c r="C66" s="211"/>
      <c r="D66" s="231"/>
      <c r="E66" s="232"/>
      <c r="H66" s="232"/>
    </row>
    <row r="67" spans="1:8" ht="12" customHeight="1">
      <c r="A67" s="211" t="str">
        <f>A3</f>
        <v>TWELVE MONTHS ENDED SEPTEMBER 30, 2008</v>
      </c>
      <c r="B67" s="211"/>
      <c r="C67" s="211"/>
      <c r="D67" s="231"/>
      <c r="E67" s="232"/>
      <c r="H67" s="232"/>
    </row>
    <row r="68" spans="1:8" ht="12" customHeight="1">
      <c r="A68" s="211" t="s">
        <v>226</v>
      </c>
      <c r="B68" s="211"/>
      <c r="C68" s="211"/>
      <c r="D68" s="231"/>
      <c r="E68" s="232"/>
      <c r="H68" s="232"/>
    </row>
    <row r="69" spans="1:8" ht="12" customHeight="1">
      <c r="B69" s="231"/>
      <c r="C69" s="231"/>
      <c r="D69" s="231"/>
      <c r="E69" s="233"/>
      <c r="H69" s="233"/>
    </row>
    <row r="70" spans="1:8" ht="12" customHeight="1">
      <c r="B70" s="231"/>
      <c r="C70" s="231"/>
      <c r="D70" s="231"/>
      <c r="E70" s="233"/>
      <c r="H70" s="232"/>
    </row>
    <row r="71" spans="1:8" ht="12" customHeight="1">
      <c r="B71" s="234" t="s">
        <v>134</v>
      </c>
      <c r="C71" s="235"/>
      <c r="D71" s="231"/>
      <c r="E71" s="232"/>
      <c r="H71" s="232"/>
    </row>
    <row r="72" spans="1:8" ht="12" customHeight="1">
      <c r="B72" s="218" t="s">
        <v>85</v>
      </c>
      <c r="C72" s="231"/>
      <c r="D72" s="231"/>
      <c r="E72" s="231"/>
      <c r="H72" s="231"/>
    </row>
    <row r="73" spans="1:8" ht="12" customHeight="1">
      <c r="B73" s="220" t="s">
        <v>86</v>
      </c>
      <c r="C73" s="231"/>
      <c r="D73" s="231"/>
      <c r="E73" s="231"/>
      <c r="H73" s="231"/>
    </row>
    <row r="74" spans="1:8" ht="12" customHeight="1">
      <c r="B74" s="218" t="s">
        <v>87</v>
      </c>
      <c r="C74" s="231"/>
      <c r="D74" s="231"/>
      <c r="E74" s="231"/>
      <c r="H74" s="231"/>
    </row>
    <row r="75" spans="1:8" ht="12" customHeight="1">
      <c r="B75" s="218" t="s">
        <v>150</v>
      </c>
      <c r="C75" s="231"/>
      <c r="D75" s="231"/>
      <c r="E75" s="231"/>
      <c r="H75" s="231"/>
    </row>
    <row r="76" spans="1:8" ht="12" customHeight="1">
      <c r="B76" s="218" t="s">
        <v>151</v>
      </c>
      <c r="C76" s="231"/>
      <c r="D76" s="231"/>
      <c r="E76" s="231"/>
      <c r="H76" s="231"/>
    </row>
    <row r="77" spans="1:8" ht="12" customHeight="1">
      <c r="B77" s="218" t="s">
        <v>90</v>
      </c>
      <c r="C77" s="231"/>
      <c r="D77" s="231"/>
      <c r="E77" s="231"/>
      <c r="H77" s="231"/>
    </row>
    <row r="78" spans="1:8" ht="12" customHeight="1">
      <c r="B78" s="218" t="s">
        <v>152</v>
      </c>
      <c r="C78" s="231"/>
      <c r="D78" s="231"/>
      <c r="E78" s="231"/>
      <c r="H78" s="231"/>
    </row>
    <row r="79" spans="1:8" ht="12" customHeight="1">
      <c r="C79" s="231"/>
      <c r="D79" s="231"/>
      <c r="E79" s="231"/>
      <c r="H79" s="231"/>
    </row>
    <row r="80" spans="1:8" ht="12" customHeight="1">
      <c r="B80" s="218" t="s">
        <v>92</v>
      </c>
      <c r="C80" s="231"/>
      <c r="D80" s="231"/>
      <c r="E80" s="231"/>
      <c r="H80" s="231"/>
    </row>
    <row r="81" spans="1:8" ht="12" customHeight="1">
      <c r="B81" s="218" t="s">
        <v>93</v>
      </c>
      <c r="C81" s="231"/>
      <c r="D81" s="231"/>
      <c r="E81" s="231"/>
      <c r="H81" s="231"/>
    </row>
    <row r="82" spans="1:8" ht="12" customHeight="1">
      <c r="B82" s="218" t="s">
        <v>153</v>
      </c>
      <c r="C82" s="231"/>
      <c r="D82" s="231"/>
      <c r="E82" s="231"/>
      <c r="H82" s="231"/>
    </row>
    <row r="83" spans="1:8" ht="12" customHeight="1">
      <c r="B83" s="218" t="s">
        <v>154</v>
      </c>
      <c r="C83" s="231"/>
      <c r="D83" s="231"/>
      <c r="E83" s="231"/>
      <c r="H83" s="231"/>
    </row>
    <row r="84" spans="1:8" ht="12" customHeight="1">
      <c r="B84" s="218" t="s">
        <v>155</v>
      </c>
      <c r="C84" s="231"/>
      <c r="D84" s="231"/>
      <c r="E84" s="231"/>
      <c r="H84" s="231"/>
    </row>
    <row r="85" spans="1:8" ht="12" customHeight="1">
      <c r="B85" s="218" t="s">
        <v>156</v>
      </c>
      <c r="C85" s="231"/>
      <c r="D85" s="231"/>
      <c r="E85" s="231"/>
      <c r="H85" s="231"/>
    </row>
    <row r="86" spans="1:8" ht="12" customHeight="1">
      <c r="B86" s="218" t="s">
        <v>157</v>
      </c>
      <c r="C86" s="231"/>
      <c r="D86" s="231"/>
      <c r="E86" s="231"/>
      <c r="H86" s="231"/>
    </row>
    <row r="87" spans="1:8" ht="12" customHeight="1">
      <c r="C87" s="231"/>
      <c r="D87" s="231"/>
      <c r="E87" s="231"/>
      <c r="H87" s="231"/>
    </row>
    <row r="88" spans="1:8" ht="12" customHeight="1">
      <c r="B88" s="218" t="s">
        <v>98</v>
      </c>
      <c r="C88" s="231"/>
      <c r="D88" s="231"/>
      <c r="E88" s="231"/>
      <c r="H88" s="231"/>
    </row>
    <row r="89" spans="1:8" ht="12" customHeight="1">
      <c r="B89" s="218" t="s">
        <v>153</v>
      </c>
      <c r="C89" s="231"/>
      <c r="D89" s="231"/>
      <c r="E89" s="231"/>
      <c r="H89" s="231"/>
    </row>
    <row r="90" spans="1:8" ht="12" customHeight="1">
      <c r="B90" s="218" t="s">
        <v>158</v>
      </c>
      <c r="C90" s="231"/>
      <c r="D90" s="231"/>
      <c r="E90" s="231"/>
      <c r="H90" s="231"/>
    </row>
    <row r="91" spans="1:8" ht="12" customHeight="1">
      <c r="A91" s="212"/>
      <c r="B91" s="218" t="s">
        <v>156</v>
      </c>
      <c r="C91" s="231"/>
      <c r="D91" s="231"/>
      <c r="E91" s="231"/>
      <c r="H91" s="231"/>
    </row>
    <row r="92" spans="1:8" ht="12" customHeight="1">
      <c r="A92" s="212"/>
      <c r="B92" s="218" t="s">
        <v>159</v>
      </c>
      <c r="C92" s="231"/>
      <c r="D92" s="231"/>
      <c r="E92" s="231"/>
      <c r="H92" s="231"/>
    </row>
    <row r="93" spans="1:8" ht="12" customHeight="1">
      <c r="A93" s="212"/>
      <c r="C93" s="231"/>
      <c r="D93" s="231"/>
      <c r="E93" s="231"/>
      <c r="H93" s="231"/>
    </row>
    <row r="94" spans="1:8" ht="12" customHeight="1">
      <c r="A94" s="212"/>
      <c r="B94" s="218" t="s">
        <v>101</v>
      </c>
      <c r="C94" s="231"/>
      <c r="D94" s="231"/>
      <c r="E94" s="231"/>
      <c r="H94" s="231"/>
    </row>
    <row r="95" spans="1:8" ht="12" customHeight="1">
      <c r="A95" s="212"/>
      <c r="B95" s="218" t="s">
        <v>102</v>
      </c>
      <c r="C95" s="231"/>
      <c r="D95" s="231"/>
      <c r="E95" s="231"/>
      <c r="H95" s="231"/>
    </row>
    <row r="96" spans="1:8" ht="12" customHeight="1">
      <c r="A96" s="212"/>
      <c r="B96" s="218" t="s">
        <v>160</v>
      </c>
      <c r="C96" s="231"/>
      <c r="D96" s="231"/>
      <c r="E96" s="231"/>
      <c r="H96" s="231"/>
    </row>
    <row r="97" spans="1:8" ht="12" customHeight="1">
      <c r="A97" s="212"/>
      <c r="C97" s="231"/>
      <c r="D97" s="231"/>
      <c r="E97" s="231"/>
      <c r="H97" s="231"/>
    </row>
    <row r="98" spans="1:8" ht="12" customHeight="1">
      <c r="A98" s="212"/>
      <c r="B98" s="218" t="s">
        <v>104</v>
      </c>
      <c r="C98" s="231"/>
      <c r="D98" s="231"/>
      <c r="E98" s="231"/>
      <c r="H98" s="231"/>
    </row>
    <row r="99" spans="1:8" ht="12" customHeight="1">
      <c r="A99" s="212"/>
      <c r="B99" s="218" t="s">
        <v>153</v>
      </c>
      <c r="C99" s="231"/>
      <c r="D99" s="231"/>
      <c r="E99" s="231"/>
      <c r="H99" s="231"/>
    </row>
    <row r="100" spans="1:8" ht="12" customHeight="1">
      <c r="A100" s="212"/>
      <c r="B100" s="218" t="s">
        <v>158</v>
      </c>
      <c r="C100" s="231"/>
      <c r="D100" s="231"/>
      <c r="E100" s="231"/>
      <c r="H100" s="231"/>
    </row>
    <row r="101" spans="1:8" ht="12" customHeight="1">
      <c r="A101" s="212"/>
      <c r="B101" s="218" t="s">
        <v>156</v>
      </c>
      <c r="C101" s="231"/>
      <c r="D101" s="231"/>
      <c r="E101" s="231"/>
      <c r="H101" s="231"/>
    </row>
    <row r="102" spans="1:8" ht="12" customHeight="1">
      <c r="A102" s="212"/>
      <c r="B102" s="218" t="s">
        <v>161</v>
      </c>
      <c r="C102" s="231"/>
      <c r="D102" s="231"/>
      <c r="E102" s="231"/>
      <c r="H102" s="231"/>
    </row>
    <row r="103" spans="1:8" ht="12" customHeight="1">
      <c r="A103" s="212"/>
      <c r="B103" s="231"/>
      <c r="C103" s="231"/>
      <c r="D103" s="231"/>
      <c r="E103" s="231"/>
      <c r="H103" s="231"/>
    </row>
    <row r="104" spans="1:8" ht="12" customHeight="1">
      <c r="A104" s="212"/>
      <c r="B104" s="231" t="s">
        <v>106</v>
      </c>
      <c r="C104" s="231"/>
      <c r="D104" s="231"/>
      <c r="E104" s="231"/>
      <c r="H104" s="231"/>
    </row>
    <row r="105" spans="1:8" ht="12" customHeight="1">
      <c r="A105" s="212"/>
      <c r="B105" s="231"/>
      <c r="C105" s="231"/>
      <c r="D105" s="231"/>
      <c r="E105" s="231"/>
      <c r="H105" s="231"/>
    </row>
    <row r="106" spans="1:8" ht="12" customHeight="1">
      <c r="A106" s="212"/>
      <c r="B106" s="231" t="s">
        <v>227</v>
      </c>
      <c r="C106" s="231"/>
      <c r="D106" s="231"/>
      <c r="E106" s="231"/>
      <c r="H106" s="231"/>
    </row>
    <row r="107" spans="1:8" ht="12" customHeight="1">
      <c r="A107" s="212"/>
      <c r="B107" s="231"/>
      <c r="C107" s="231"/>
      <c r="D107" s="231"/>
      <c r="E107" s="231"/>
      <c r="H107" s="231"/>
    </row>
    <row r="108" spans="1:8" ht="12" customHeight="1">
      <c r="A108" s="212"/>
      <c r="B108" s="231" t="s">
        <v>228</v>
      </c>
      <c r="C108" s="231"/>
      <c r="D108" s="231"/>
      <c r="E108" s="232"/>
      <c r="H108" s="231"/>
    </row>
    <row r="109" spans="1:8" ht="12" customHeight="1">
      <c r="A109" s="212"/>
      <c r="B109" s="236" t="s">
        <v>229</v>
      </c>
      <c r="C109" s="237">
        <f>Inputs!$D$4</f>
        <v>1.2215999999999999E-2</v>
      </c>
      <c r="D109" s="231"/>
      <c r="E109" s="232"/>
      <c r="H109" s="231"/>
    </row>
    <row r="110" spans="1:8" ht="12" customHeight="1">
      <c r="A110" s="212"/>
      <c r="B110" s="231"/>
      <c r="C110" s="231"/>
      <c r="D110" s="231"/>
      <c r="E110" s="232"/>
      <c r="H110" s="231"/>
    </row>
    <row r="111" spans="1:8" ht="12" customHeight="1"/>
    <row r="112" spans="1:8" ht="12" customHeight="1"/>
    <row r="113" ht="12" customHeight="1"/>
    <row r="114" ht="12" customHeight="1"/>
  </sheetData>
  <customSheetViews>
    <customSheetView guid="{A15D1962-B049-11D2-8670-0000832CEEE8}" showPageBreaks="1" showRuler="0">
      <selection activeCell="G34" sqref="G34"/>
      <colBreaks count="2" manualBreakCount="2">
        <brk id="8" max="1048575" man="1"/>
        <brk id="16" max="1048575" man="1"/>
      </colBreaks>
      <pageMargins left="1" right="1" top="0.5" bottom="0.5" header="0.5" footer="0.5"/>
      <printOptions horizontalCentered="1"/>
      <pageSetup scale="83" orientation="portrait" horizontalDpi="300" verticalDpi="300" r:id="rId1"/>
      <headerFooter alignWithMargins="0"/>
    </customSheetView>
    <customSheetView guid="{6E1B8C45-B07F-11D2-B0DC-0000832CDFF0}" showPageBreaks="1" printArea="1" showRuler="0">
      <selection activeCell="G34" sqref="G34"/>
      <colBreaks count="1" manualBreakCount="1">
        <brk id="8" max="1048575" man="1"/>
      </colBreaks>
      <pageMargins left="1" right="1" top="0.5" bottom="0.5" header="0.5" footer="0.5"/>
      <printOptions horizontalCentered="1"/>
      <pageSetup scale="83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1" top="0.5" bottom="0.5" header="0.5" footer="0.5"/>
  <pageSetup scale="90" orientation="portrait" horizontalDpi="300" verticalDpi="300" r:id="rId3"/>
  <headerFooter alignWithMargins="0"/>
  <colBreaks count="1" manualBreakCount="1">
    <brk id="8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3"/>
  <dimension ref="A1:H114"/>
  <sheetViews>
    <sheetView topLeftCell="A13" workbookViewId="0">
      <selection activeCell="F27" sqref="F27"/>
    </sheetView>
  </sheetViews>
  <sheetFormatPr defaultColWidth="12.42578125" defaultRowHeight="12"/>
  <cols>
    <col min="1" max="1" width="5.5703125" style="215" customWidth="1"/>
    <col min="2" max="2" width="26.140625" style="212" customWidth="1"/>
    <col min="3" max="3" width="12.42578125" style="212" customWidth="1"/>
    <col min="4" max="4" width="6.7109375" style="212" customWidth="1"/>
    <col min="5" max="16384" width="12.42578125" style="212"/>
  </cols>
  <sheetData>
    <row r="1" spans="1:8" ht="12" customHeight="1">
      <c r="A1" s="210" t="str">
        <f>Inputs!$D$6</f>
        <v>AVISTA UTILITIES</v>
      </c>
      <c r="B1" s="211"/>
      <c r="C1" s="210"/>
    </row>
    <row r="2" spans="1:8" ht="12" customHeight="1">
      <c r="A2" s="210" t="s">
        <v>142</v>
      </c>
      <c r="B2" s="211"/>
      <c r="C2" s="210"/>
      <c r="E2" s="210" t="s">
        <v>268</v>
      </c>
      <c r="F2" s="210"/>
      <c r="G2" s="210"/>
    </row>
    <row r="3" spans="1:8" ht="12" customHeight="1">
      <c r="A3" s="211" t="str">
        <f>WAElec09_08!$A$4</f>
        <v>TWELVE MONTHS ENDED SEPTEMBER 30, 2008</v>
      </c>
      <c r="B3" s="211"/>
      <c r="C3" s="210"/>
      <c r="E3" s="210" t="s">
        <v>510</v>
      </c>
      <c r="F3" s="210"/>
      <c r="G3" s="210"/>
    </row>
    <row r="4" spans="1:8" ht="12" customHeight="1">
      <c r="A4" s="210" t="s">
        <v>1</v>
      </c>
      <c r="B4" s="211"/>
      <c r="C4" s="210"/>
      <c r="E4" s="213" t="s">
        <v>145</v>
      </c>
      <c r="F4" s="213"/>
      <c r="G4" s="214"/>
    </row>
    <row r="5" spans="1:8" ht="12" customHeight="1">
      <c r="A5" s="215" t="s">
        <v>14</v>
      </c>
    </row>
    <row r="6" spans="1:8" s="215" customFormat="1" ht="12" customHeight="1">
      <c r="A6" s="215" t="s">
        <v>146</v>
      </c>
      <c r="B6" s="216" t="s">
        <v>36</v>
      </c>
      <c r="C6" s="216"/>
      <c r="E6" s="216" t="s">
        <v>147</v>
      </c>
      <c r="F6" s="216" t="s">
        <v>148</v>
      </c>
      <c r="G6" s="216" t="s">
        <v>128</v>
      </c>
      <c r="H6" s="217" t="s">
        <v>149</v>
      </c>
    </row>
    <row r="7" spans="1:8" ht="12" customHeight="1">
      <c r="B7" s="218" t="s">
        <v>85</v>
      </c>
    </row>
    <row r="8" spans="1:8" s="221" customFormat="1" ht="12" customHeight="1">
      <c r="A8" s="219">
        <v>1</v>
      </c>
      <c r="B8" s="220" t="s">
        <v>86</v>
      </c>
      <c r="E8" s="222">
        <f>F8+G8</f>
        <v>0</v>
      </c>
      <c r="F8" s="222"/>
      <c r="G8" s="222"/>
      <c r="H8" s="221" t="str">
        <f t="shared" ref="H8:H13" si="0">IF(E8=F8+G8," ","ERROR")</f>
        <v xml:space="preserve"> </v>
      </c>
    </row>
    <row r="9" spans="1:8" ht="12" customHeight="1">
      <c r="A9" s="215">
        <v>2</v>
      </c>
      <c r="B9" s="218" t="s">
        <v>87</v>
      </c>
      <c r="E9" s="223"/>
      <c r="F9" s="223"/>
      <c r="G9" s="223"/>
      <c r="H9" s="221" t="str">
        <f t="shared" si="0"/>
        <v xml:space="preserve"> </v>
      </c>
    </row>
    <row r="10" spans="1:8" ht="12" customHeight="1">
      <c r="A10" s="215">
        <v>3</v>
      </c>
      <c r="B10" s="218" t="s">
        <v>150</v>
      </c>
      <c r="E10" s="223"/>
      <c r="F10" s="223"/>
      <c r="G10" s="223"/>
      <c r="H10" s="221" t="str">
        <f t="shared" si="0"/>
        <v xml:space="preserve"> </v>
      </c>
    </row>
    <row r="11" spans="1:8" ht="12" customHeight="1">
      <c r="A11" s="215">
        <v>4</v>
      </c>
      <c r="B11" s="218" t="s">
        <v>151</v>
      </c>
      <c r="E11" s="224">
        <f>E8+E9+E10</f>
        <v>0</v>
      </c>
      <c r="F11" s="224">
        <f>F8+F9+F10</f>
        <v>0</v>
      </c>
      <c r="G11" s="224">
        <f>G8+G9+G10</f>
        <v>0</v>
      </c>
      <c r="H11" s="221" t="str">
        <f t="shared" si="0"/>
        <v xml:space="preserve"> </v>
      </c>
    </row>
    <row r="12" spans="1:8" ht="12" customHeight="1">
      <c r="A12" s="215">
        <v>5</v>
      </c>
      <c r="B12" s="218" t="s">
        <v>90</v>
      </c>
      <c r="E12" s="223"/>
      <c r="F12" s="223"/>
      <c r="G12" s="223"/>
      <c r="H12" s="221" t="str">
        <f t="shared" si="0"/>
        <v xml:space="preserve"> </v>
      </c>
    </row>
    <row r="13" spans="1:8" ht="12" customHeight="1">
      <c r="A13" s="215">
        <v>6</v>
      </c>
      <c r="B13" s="218" t="s">
        <v>152</v>
      </c>
      <c r="E13" s="224">
        <f>E11+E12</f>
        <v>0</v>
      </c>
      <c r="F13" s="224">
        <f>F11+F12</f>
        <v>0</v>
      </c>
      <c r="G13" s="224">
        <f>G11+G12</f>
        <v>0</v>
      </c>
      <c r="H13" s="221" t="str">
        <f t="shared" si="0"/>
        <v xml:space="preserve"> </v>
      </c>
    </row>
    <row r="14" spans="1:8" ht="12" customHeight="1">
      <c r="E14" s="225"/>
      <c r="F14" s="225"/>
      <c r="G14" s="225"/>
      <c r="H14" s="221"/>
    </row>
    <row r="15" spans="1:8" ht="12" customHeight="1">
      <c r="B15" s="218" t="s">
        <v>92</v>
      </c>
      <c r="E15" s="225"/>
      <c r="F15" s="225"/>
      <c r="G15" s="225"/>
      <c r="H15" s="221"/>
    </row>
    <row r="16" spans="1:8" ht="12" customHeight="1">
      <c r="B16" s="218" t="s">
        <v>93</v>
      </c>
      <c r="E16" s="225"/>
      <c r="F16" s="225"/>
      <c r="G16" s="225"/>
      <c r="H16" s="221"/>
    </row>
    <row r="17" spans="1:8" ht="12" customHeight="1">
      <c r="A17" s="215">
        <v>7</v>
      </c>
      <c r="B17" s="218" t="s">
        <v>153</v>
      </c>
      <c r="E17" s="223"/>
      <c r="F17" s="223"/>
      <c r="G17" s="223"/>
      <c r="H17" s="221" t="str">
        <f>IF(E17=F17+G17," ","ERROR")</f>
        <v xml:space="preserve"> </v>
      </c>
    </row>
    <row r="18" spans="1:8" ht="12" customHeight="1">
      <c r="A18" s="215">
        <v>8</v>
      </c>
      <c r="B18" s="218" t="s">
        <v>154</v>
      </c>
      <c r="E18" s="223"/>
      <c r="F18" s="223"/>
      <c r="G18" s="223"/>
      <c r="H18" s="221" t="str">
        <f>IF(E18=F18+G18," ","ERROR")</f>
        <v xml:space="preserve"> </v>
      </c>
    </row>
    <row r="19" spans="1:8" ht="12" customHeight="1">
      <c r="A19" s="215">
        <v>9</v>
      </c>
      <c r="B19" s="218" t="s">
        <v>155</v>
      </c>
      <c r="E19" s="223"/>
      <c r="F19" s="223"/>
      <c r="G19" s="223"/>
      <c r="H19" s="221" t="str">
        <f>IF(E19=F19+G19," ","ERROR")</f>
        <v xml:space="preserve"> </v>
      </c>
    </row>
    <row r="20" spans="1:8" ht="12" customHeight="1">
      <c r="A20" s="215">
        <v>10</v>
      </c>
      <c r="B20" s="218" t="s">
        <v>156</v>
      </c>
      <c r="E20" s="223"/>
      <c r="F20" s="223"/>
      <c r="G20" s="223"/>
      <c r="H20" s="221" t="str">
        <f>IF(E20=F20+G20," ","ERROR")</f>
        <v xml:space="preserve"> </v>
      </c>
    </row>
    <row r="21" spans="1:8" ht="12" customHeight="1">
      <c r="A21" s="215">
        <v>11</v>
      </c>
      <c r="B21" s="218" t="s">
        <v>157</v>
      </c>
      <c r="E21" s="224">
        <f>E17+E18+E19+E20</f>
        <v>0</v>
      </c>
      <c r="F21" s="224">
        <f>F17+F18+F19+F20</f>
        <v>0</v>
      </c>
      <c r="G21" s="224">
        <f>G17+G18+G19+G20</f>
        <v>0</v>
      </c>
      <c r="H21" s="221" t="str">
        <f>IF(E21=F21+G21," ","ERROR")</f>
        <v xml:space="preserve"> </v>
      </c>
    </row>
    <row r="22" spans="1:8" ht="12" customHeight="1">
      <c r="E22" s="225"/>
      <c r="F22" s="225"/>
      <c r="G22" s="225"/>
      <c r="H22" s="221"/>
    </row>
    <row r="23" spans="1:8" ht="12" customHeight="1">
      <c r="B23" s="218" t="s">
        <v>98</v>
      </c>
      <c r="E23" s="225"/>
      <c r="F23" s="225"/>
      <c r="G23" s="225"/>
      <c r="H23" s="221"/>
    </row>
    <row r="24" spans="1:8" ht="12" customHeight="1">
      <c r="A24" s="215">
        <v>12</v>
      </c>
      <c r="B24" s="218" t="s">
        <v>153</v>
      </c>
      <c r="E24" s="223"/>
      <c r="F24" s="223"/>
      <c r="G24" s="223"/>
      <c r="H24" s="221" t="str">
        <f>IF(E24=F24+G24," ","ERROR")</f>
        <v xml:space="preserve"> </v>
      </c>
    </row>
    <row r="25" spans="1:8" ht="12" customHeight="1">
      <c r="A25" s="215">
        <v>13</v>
      </c>
      <c r="B25" s="218" t="s">
        <v>158</v>
      </c>
      <c r="E25" s="223"/>
      <c r="F25" s="223"/>
      <c r="G25" s="223"/>
      <c r="H25" s="221" t="str">
        <f>IF(E25=F25+G25," ","ERROR")</f>
        <v xml:space="preserve"> </v>
      </c>
    </row>
    <row r="26" spans="1:8" ht="12" customHeight="1">
      <c r="A26" s="215">
        <v>14</v>
      </c>
      <c r="B26" s="218" t="s">
        <v>156</v>
      </c>
      <c r="E26" s="223">
        <f>F26+G26</f>
        <v>31</v>
      </c>
      <c r="F26" s="223">
        <v>31</v>
      </c>
      <c r="G26" s="223"/>
      <c r="H26" s="221" t="str">
        <f>IF(E26=F26+G26," ","ERROR")</f>
        <v xml:space="preserve"> </v>
      </c>
    </row>
    <row r="27" spans="1:8" ht="12" customHeight="1">
      <c r="A27" s="215">
        <v>15</v>
      </c>
      <c r="B27" s="218" t="s">
        <v>159</v>
      </c>
      <c r="E27" s="224">
        <f>E24+E25+E26</f>
        <v>31</v>
      </c>
      <c r="F27" s="224">
        <f>F24+F25+F26</f>
        <v>31</v>
      </c>
      <c r="G27" s="224">
        <f>G24+G25+G26</f>
        <v>0</v>
      </c>
      <c r="H27" s="221" t="str">
        <f>IF(E27=F27+G27," ","ERROR")</f>
        <v xml:space="preserve"> </v>
      </c>
    </row>
    <row r="28" spans="1:8" ht="12" customHeight="1">
      <c r="E28" s="225"/>
      <c r="F28" s="225"/>
      <c r="G28" s="225"/>
      <c r="H28" s="221"/>
    </row>
    <row r="29" spans="1:8" ht="12" customHeight="1">
      <c r="A29" s="215">
        <v>16</v>
      </c>
      <c r="B29" s="218" t="s">
        <v>101</v>
      </c>
      <c r="E29" s="223"/>
      <c r="F29" s="223"/>
      <c r="G29" s="223"/>
      <c r="H29" s="221" t="str">
        <f>IF(E29=F29+G29," ","ERROR")</f>
        <v xml:space="preserve"> </v>
      </c>
    </row>
    <row r="30" spans="1:8" ht="12" customHeight="1">
      <c r="A30" s="215">
        <v>17</v>
      </c>
      <c r="B30" s="218" t="s">
        <v>102</v>
      </c>
      <c r="E30" s="223"/>
      <c r="F30" s="223"/>
      <c r="G30" s="223"/>
      <c r="H30" s="221" t="str">
        <f>IF(E30=F30+G30," ","ERROR")</f>
        <v xml:space="preserve"> </v>
      </c>
    </row>
    <row r="31" spans="1:8" ht="12" customHeight="1">
      <c r="A31" s="215">
        <v>18</v>
      </c>
      <c r="B31" s="218" t="s">
        <v>160</v>
      </c>
      <c r="E31" s="223"/>
      <c r="F31" s="223"/>
      <c r="G31" s="223"/>
      <c r="H31" s="221" t="str">
        <f>IF(E31=F31+G31," ","ERROR")</f>
        <v xml:space="preserve"> </v>
      </c>
    </row>
    <row r="32" spans="1:8" ht="12" customHeight="1">
      <c r="E32" s="225"/>
      <c r="F32" s="225"/>
      <c r="G32" s="225"/>
      <c r="H32" s="221"/>
    </row>
    <row r="33" spans="1:8" ht="12" customHeight="1">
      <c r="B33" s="218" t="s">
        <v>104</v>
      </c>
      <c r="E33" s="225"/>
      <c r="F33" s="225"/>
      <c r="G33" s="225"/>
      <c r="H33" s="221"/>
    </row>
    <row r="34" spans="1:8" ht="12" customHeight="1">
      <c r="A34" s="215">
        <v>19</v>
      </c>
      <c r="B34" s="218" t="s">
        <v>153</v>
      </c>
      <c r="E34" s="223"/>
      <c r="F34" s="223"/>
      <c r="G34" s="223"/>
      <c r="H34" s="221" t="str">
        <f>IF(E34=F34+G34," ","ERROR")</f>
        <v xml:space="preserve"> </v>
      </c>
    </row>
    <row r="35" spans="1:8" ht="12" customHeight="1">
      <c r="A35" s="215">
        <v>20</v>
      </c>
      <c r="B35" s="218" t="s">
        <v>158</v>
      </c>
      <c r="E35" s="223"/>
      <c r="F35" s="223"/>
      <c r="G35" s="223"/>
      <c r="H35" s="221" t="str">
        <f>IF(E35=F35+G35," ","ERROR")</f>
        <v xml:space="preserve"> </v>
      </c>
    </row>
    <row r="36" spans="1:8" ht="12" customHeight="1">
      <c r="A36" s="215">
        <v>21</v>
      </c>
      <c r="B36" s="218" t="s">
        <v>156</v>
      </c>
      <c r="E36" s="223"/>
      <c r="F36" s="223"/>
      <c r="G36" s="223"/>
      <c r="H36" s="221" t="str">
        <f>IF(E36=F36+G36," ","ERROR")</f>
        <v xml:space="preserve"> </v>
      </c>
    </row>
    <row r="37" spans="1:8" ht="12" customHeight="1">
      <c r="A37" s="215">
        <v>22</v>
      </c>
      <c r="B37" s="218" t="s">
        <v>161</v>
      </c>
      <c r="E37" s="226">
        <f>E34+E35+E36</f>
        <v>0</v>
      </c>
      <c r="F37" s="226">
        <f>F34+F35+F36</f>
        <v>0</v>
      </c>
      <c r="G37" s="226">
        <f>G34+G35+G36</f>
        <v>0</v>
      </c>
      <c r="H37" s="221" t="str">
        <f>IF(E37=F37+G37," ","ERROR")</f>
        <v xml:space="preserve"> </v>
      </c>
    </row>
    <row r="38" spans="1:8" ht="12" customHeight="1">
      <c r="A38" s="215">
        <v>23</v>
      </c>
      <c r="B38" s="218" t="s">
        <v>106</v>
      </c>
      <c r="E38" s="227">
        <f>E21+E27+E29+E30+E31+E37</f>
        <v>31</v>
      </c>
      <c r="F38" s="227">
        <f>F21+F27+F29+F30+F31+F37</f>
        <v>31</v>
      </c>
      <c r="G38" s="227">
        <f>G21+G27+G29+G30+G31+G37</f>
        <v>0</v>
      </c>
      <c r="H38" s="221" t="str">
        <f>IF(E38=F38+G38," ","ERROR")</f>
        <v xml:space="preserve"> </v>
      </c>
    </row>
    <row r="39" spans="1:8" ht="12" customHeight="1">
      <c r="E39" s="225"/>
      <c r="F39" s="225"/>
      <c r="G39" s="225"/>
      <c r="H39" s="221"/>
    </row>
    <row r="40" spans="1:8" ht="12" customHeight="1">
      <c r="A40" s="215">
        <v>24</v>
      </c>
      <c r="B40" s="218" t="s">
        <v>162</v>
      </c>
      <c r="E40" s="225">
        <f>E13-E38</f>
        <v>-31</v>
      </c>
      <c r="F40" s="225">
        <f>F13-F38</f>
        <v>-31</v>
      </c>
      <c r="G40" s="225">
        <f>G13-G38</f>
        <v>0</v>
      </c>
      <c r="H40" s="221" t="str">
        <f>IF(E40=F40+G40," ","ERROR")</f>
        <v xml:space="preserve"> </v>
      </c>
    </row>
    <row r="41" spans="1:8" ht="12" customHeight="1">
      <c r="B41" s="218"/>
      <c r="E41" s="225"/>
      <c r="F41" s="225"/>
      <c r="G41" s="225"/>
      <c r="H41" s="221"/>
    </row>
    <row r="42" spans="1:8" ht="12" customHeight="1">
      <c r="B42" s="218" t="s">
        <v>163</v>
      </c>
      <c r="E42" s="225"/>
      <c r="F42" s="225"/>
      <c r="G42" s="225"/>
      <c r="H42" s="221"/>
    </row>
    <row r="43" spans="1:8" ht="12" customHeight="1">
      <c r="A43" s="215">
        <v>25</v>
      </c>
      <c r="B43" s="218" t="s">
        <v>164</v>
      </c>
      <c r="D43" s="228">
        <v>0.35</v>
      </c>
      <c r="E43" s="223">
        <f>F43+G43</f>
        <v>-11</v>
      </c>
      <c r="F43" s="223">
        <f>ROUND(F40*D43,0)</f>
        <v>-11</v>
      </c>
      <c r="G43" s="223">
        <f>ROUND(G40*D43,0)</f>
        <v>0</v>
      </c>
      <c r="H43" s="221" t="str">
        <f>IF(E43=F43+G43," ","ERROR")</f>
        <v xml:space="preserve"> </v>
      </c>
    </row>
    <row r="44" spans="1:8" ht="12" customHeight="1">
      <c r="A44" s="215">
        <v>26</v>
      </c>
      <c r="B44" s="218" t="s">
        <v>165</v>
      </c>
      <c r="E44" s="223"/>
      <c r="F44" s="223"/>
      <c r="G44" s="223"/>
      <c r="H44" s="221" t="str">
        <f>IF(E44=F44+G44," ","ERROR")</f>
        <v xml:space="preserve"> </v>
      </c>
    </row>
    <row r="45" spans="1:8" ht="12" customHeight="1">
      <c r="A45"/>
      <c r="B45"/>
      <c r="C45"/>
      <c r="D45"/>
      <c r="E45" s="913"/>
      <c r="F45" s="913"/>
      <c r="G45" s="913"/>
      <c r="H45" s="221" t="str">
        <f>IF(E45=F45+G45," ","ERROR")</f>
        <v xml:space="preserve"> </v>
      </c>
    </row>
    <row r="46" spans="1:8" ht="12" customHeight="1">
      <c r="A46" s="259"/>
      <c r="B46" s="262"/>
      <c r="C46" s="256"/>
      <c r="D46" s="256"/>
      <c r="E46" s="269"/>
      <c r="F46" s="269"/>
      <c r="G46" s="269"/>
      <c r="H46" s="221"/>
    </row>
    <row r="47" spans="1:8" s="221" customFormat="1" ht="12" customHeight="1">
      <c r="A47" s="263">
        <v>27</v>
      </c>
      <c r="B47" s="264" t="s">
        <v>113</v>
      </c>
      <c r="C47" s="265"/>
      <c r="D47" s="265"/>
      <c r="E47" s="273">
        <f>E40-SUM(E43:E44)</f>
        <v>-20</v>
      </c>
      <c r="F47" s="273">
        <f>F40-SUM(F43:F44)</f>
        <v>-20</v>
      </c>
      <c r="G47" s="273">
        <f>G40-SUM(G43:G44)</f>
        <v>0</v>
      </c>
      <c r="H47" s="221" t="str">
        <f>IF(E47=F47+G47," ","ERROR")</f>
        <v xml:space="preserve"> </v>
      </c>
    </row>
    <row r="48" spans="1:8" ht="12" customHeight="1">
      <c r="A48" s="259"/>
      <c r="H48" s="221"/>
    </row>
    <row r="49" spans="1:8" ht="12" customHeight="1">
      <c r="A49" s="259"/>
      <c r="B49" s="218" t="s">
        <v>114</v>
      </c>
      <c r="H49" s="221"/>
    </row>
    <row r="50" spans="1:8" ht="12" customHeight="1">
      <c r="A50" s="259"/>
      <c r="B50" s="218" t="s">
        <v>115</v>
      </c>
      <c r="H50" s="221"/>
    </row>
    <row r="51" spans="1:8" s="221" customFormat="1" ht="12" customHeight="1">
      <c r="A51" s="263">
        <v>28</v>
      </c>
      <c r="B51" s="220" t="s">
        <v>167</v>
      </c>
      <c r="E51" s="222"/>
      <c r="F51" s="222"/>
      <c r="G51" s="222"/>
      <c r="H51" s="221" t="str">
        <f t="shared" ref="H51:H61" si="1">IF(E51=F51+G51," ","ERROR")</f>
        <v xml:space="preserve"> </v>
      </c>
    </row>
    <row r="52" spans="1:8" ht="12" customHeight="1">
      <c r="A52" s="259">
        <v>29</v>
      </c>
      <c r="B52" s="218" t="s">
        <v>168</v>
      </c>
      <c r="E52" s="223"/>
      <c r="F52" s="223"/>
      <c r="G52" s="223"/>
      <c r="H52" s="221" t="str">
        <f t="shared" si="1"/>
        <v xml:space="preserve"> </v>
      </c>
    </row>
    <row r="53" spans="1:8" ht="12" customHeight="1">
      <c r="A53" s="259">
        <v>30</v>
      </c>
      <c r="B53" s="218" t="s">
        <v>169</v>
      </c>
      <c r="E53" s="223"/>
      <c r="F53" s="223"/>
      <c r="G53" s="223"/>
      <c r="H53" s="221" t="str">
        <f t="shared" si="1"/>
        <v xml:space="preserve"> </v>
      </c>
    </row>
    <row r="54" spans="1:8" ht="12" customHeight="1">
      <c r="A54" s="259">
        <v>31</v>
      </c>
      <c r="B54" s="218" t="s">
        <v>170</v>
      </c>
      <c r="E54" s="223"/>
      <c r="F54" s="223"/>
      <c r="G54" s="223"/>
      <c r="H54" s="221" t="str">
        <f t="shared" si="1"/>
        <v xml:space="preserve"> </v>
      </c>
    </row>
    <row r="55" spans="1:8" ht="12" customHeight="1">
      <c r="A55" s="259">
        <v>32</v>
      </c>
      <c r="B55" s="218" t="s">
        <v>171</v>
      </c>
      <c r="E55" s="229"/>
      <c r="F55" s="229"/>
      <c r="G55" s="229"/>
      <c r="H55" s="221" t="str">
        <f t="shared" si="1"/>
        <v xml:space="preserve"> </v>
      </c>
    </row>
    <row r="56" spans="1:8" ht="12" customHeight="1">
      <c r="A56" s="259">
        <v>33</v>
      </c>
      <c r="B56" s="218" t="s">
        <v>172</v>
      </c>
      <c r="E56" s="225">
        <f>E51+E52+E53+E54+E55</f>
        <v>0</v>
      </c>
      <c r="F56" s="225">
        <f>F51+F52+F53+F54+F55</f>
        <v>0</v>
      </c>
      <c r="G56" s="225">
        <f>G51+G52+G53+G54+G55</f>
        <v>0</v>
      </c>
      <c r="H56" s="221" t="str">
        <f t="shared" si="1"/>
        <v xml:space="preserve"> </v>
      </c>
    </row>
    <row r="57" spans="1:8" ht="12" customHeight="1">
      <c r="A57" s="259">
        <v>34</v>
      </c>
      <c r="B57" s="218" t="s">
        <v>121</v>
      </c>
      <c r="E57" s="223"/>
      <c r="F57" s="223"/>
      <c r="G57" s="223"/>
      <c r="H57" s="221" t="str">
        <f t="shared" si="1"/>
        <v xml:space="preserve"> </v>
      </c>
    </row>
    <row r="58" spans="1:8" ht="12" customHeight="1">
      <c r="A58" s="259">
        <v>35</v>
      </c>
      <c r="B58" s="218" t="s">
        <v>122</v>
      </c>
      <c r="E58" s="229"/>
      <c r="F58" s="229"/>
      <c r="G58" s="229"/>
      <c r="H58" s="221" t="str">
        <f t="shared" si="1"/>
        <v xml:space="preserve"> </v>
      </c>
    </row>
    <row r="59" spans="1:8" ht="12" customHeight="1">
      <c r="A59" s="259">
        <v>36</v>
      </c>
      <c r="B59" s="218" t="s">
        <v>173</v>
      </c>
      <c r="E59" s="225">
        <f>E57+E58</f>
        <v>0</v>
      </c>
      <c r="F59" s="225">
        <f>F57+F58</f>
        <v>0</v>
      </c>
      <c r="G59" s="225">
        <f>G57+G58</f>
        <v>0</v>
      </c>
      <c r="H59" s="221" t="str">
        <f t="shared" si="1"/>
        <v xml:space="preserve"> </v>
      </c>
    </row>
    <row r="60" spans="1:8" ht="12" customHeight="1">
      <c r="A60" s="259">
        <v>37</v>
      </c>
      <c r="B60" s="218" t="s">
        <v>124</v>
      </c>
      <c r="E60" s="223"/>
      <c r="F60" s="223"/>
      <c r="G60" s="223"/>
      <c r="H60" s="221" t="str">
        <f t="shared" si="1"/>
        <v xml:space="preserve"> </v>
      </c>
    </row>
    <row r="61" spans="1:8" ht="12" customHeight="1">
      <c r="A61" s="259">
        <v>38</v>
      </c>
      <c r="B61" s="218" t="s">
        <v>125</v>
      </c>
      <c r="E61" s="229"/>
      <c r="F61" s="229"/>
      <c r="G61" s="229"/>
      <c r="H61" s="221" t="str">
        <f t="shared" si="1"/>
        <v xml:space="preserve"> </v>
      </c>
    </row>
    <row r="62" spans="1:8" ht="12" customHeight="1">
      <c r="A62" s="259"/>
      <c r="H62" s="221"/>
    </row>
    <row r="63" spans="1:8" s="221" customFormat="1" ht="12" customHeight="1" thickBot="1">
      <c r="A63" s="263">
        <v>39</v>
      </c>
      <c r="B63" s="220" t="s">
        <v>126</v>
      </c>
      <c r="E63" s="230">
        <f>E56-E59+E60+E61</f>
        <v>0</v>
      </c>
      <c r="F63" s="230">
        <f>F56-F59+F60+F61</f>
        <v>0</v>
      </c>
      <c r="G63" s="230">
        <f>G56-G59+G60+G61</f>
        <v>0</v>
      </c>
      <c r="H63" s="221" t="str">
        <f>IF(E63=F63+G63," ","ERROR")</f>
        <v xml:space="preserve"> </v>
      </c>
    </row>
    <row r="64" spans="1:8" ht="12" customHeight="1" thickTop="1"/>
    <row r="65" spans="1:8" ht="12" customHeight="1">
      <c r="A65" s="211" t="str">
        <f>Inputs!$D$6</f>
        <v>AVISTA UTILITIES</v>
      </c>
      <c r="B65" s="211"/>
      <c r="C65" s="211"/>
      <c r="D65" s="231"/>
      <c r="E65" s="232"/>
      <c r="H65" s="232"/>
    </row>
    <row r="66" spans="1:8" ht="12" customHeight="1">
      <c r="A66" s="211" t="s">
        <v>225</v>
      </c>
      <c r="B66" s="211"/>
      <c r="C66" s="211"/>
      <c r="D66" s="231"/>
      <c r="E66" s="232"/>
      <c r="H66" s="232"/>
    </row>
    <row r="67" spans="1:8" ht="12" customHeight="1">
      <c r="A67" s="211" t="str">
        <f>A3</f>
        <v>TWELVE MONTHS ENDED SEPTEMBER 30, 2008</v>
      </c>
      <c r="B67" s="211"/>
      <c r="C67" s="211"/>
      <c r="D67" s="231"/>
      <c r="E67" s="232"/>
      <c r="H67" s="232"/>
    </row>
    <row r="68" spans="1:8" ht="12" customHeight="1">
      <c r="A68" s="211" t="s">
        <v>226</v>
      </c>
      <c r="B68" s="211"/>
      <c r="C68" s="211"/>
      <c r="D68" s="231"/>
      <c r="E68" s="232"/>
      <c r="H68" s="232"/>
    </row>
    <row r="69" spans="1:8" ht="12" customHeight="1">
      <c r="B69" s="231"/>
      <c r="C69" s="231"/>
      <c r="D69" s="231"/>
      <c r="E69" s="233"/>
      <c r="H69" s="233"/>
    </row>
    <row r="70" spans="1:8" ht="12" customHeight="1">
      <c r="B70" s="231"/>
      <c r="C70" s="231"/>
      <c r="D70" s="231"/>
      <c r="E70" s="232"/>
      <c r="H70" s="232"/>
    </row>
    <row r="71" spans="1:8" ht="12" customHeight="1">
      <c r="B71" s="234" t="s">
        <v>134</v>
      </c>
      <c r="C71" s="235"/>
      <c r="D71" s="231"/>
      <c r="E71" s="232"/>
      <c r="H71" s="232"/>
    </row>
    <row r="72" spans="1:8" ht="12" customHeight="1">
      <c r="B72" s="218" t="s">
        <v>85</v>
      </c>
      <c r="C72" s="231"/>
      <c r="D72" s="231"/>
      <c r="E72" s="231"/>
      <c r="H72" s="231"/>
    </row>
    <row r="73" spans="1:8" ht="12" customHeight="1">
      <c r="B73" s="220" t="s">
        <v>86</v>
      </c>
      <c r="C73" s="231"/>
      <c r="D73" s="231"/>
      <c r="E73" s="231"/>
      <c r="H73" s="231"/>
    </row>
    <row r="74" spans="1:8" ht="12" customHeight="1">
      <c r="B74" s="218" t="s">
        <v>87</v>
      </c>
      <c r="C74" s="231"/>
      <c r="D74" s="231"/>
      <c r="E74" s="231"/>
      <c r="H74" s="231"/>
    </row>
    <row r="75" spans="1:8" ht="12" customHeight="1">
      <c r="B75" s="218" t="s">
        <v>150</v>
      </c>
      <c r="C75" s="231"/>
      <c r="D75" s="231"/>
      <c r="E75" s="231"/>
      <c r="H75" s="231"/>
    </row>
    <row r="76" spans="1:8" ht="12" customHeight="1">
      <c r="B76" s="218" t="s">
        <v>151</v>
      </c>
      <c r="C76" s="231"/>
      <c r="D76" s="231"/>
      <c r="E76" s="231"/>
      <c r="H76" s="231"/>
    </row>
    <row r="77" spans="1:8" ht="12" customHeight="1">
      <c r="B77" s="218" t="s">
        <v>90</v>
      </c>
      <c r="C77" s="231"/>
      <c r="D77" s="231"/>
      <c r="E77" s="231"/>
      <c r="H77" s="231"/>
    </row>
    <row r="78" spans="1:8" ht="12" customHeight="1">
      <c r="B78" s="218" t="s">
        <v>152</v>
      </c>
      <c r="C78" s="231"/>
      <c r="D78" s="231"/>
      <c r="E78" s="231"/>
      <c r="H78" s="231"/>
    </row>
    <row r="79" spans="1:8" ht="12" customHeight="1">
      <c r="C79" s="231"/>
      <c r="D79" s="231"/>
      <c r="E79" s="231"/>
      <c r="H79" s="231"/>
    </row>
    <row r="80" spans="1:8" ht="12" customHeight="1">
      <c r="B80" s="218" t="s">
        <v>92</v>
      </c>
      <c r="C80" s="231"/>
      <c r="D80" s="231"/>
      <c r="E80" s="231"/>
      <c r="H80" s="231"/>
    </row>
    <row r="81" spans="1:8" ht="12" customHeight="1">
      <c r="B81" s="218" t="s">
        <v>93</v>
      </c>
      <c r="C81" s="231"/>
      <c r="D81" s="231"/>
      <c r="E81" s="231"/>
      <c r="H81" s="231"/>
    </row>
    <row r="82" spans="1:8" ht="12" customHeight="1">
      <c r="B82" s="218" t="s">
        <v>153</v>
      </c>
      <c r="C82" s="231"/>
      <c r="D82" s="231"/>
      <c r="E82" s="231"/>
      <c r="H82" s="231"/>
    </row>
    <row r="83" spans="1:8" ht="12" customHeight="1">
      <c r="B83" s="218" t="s">
        <v>154</v>
      </c>
      <c r="C83" s="231"/>
      <c r="D83" s="231"/>
      <c r="E83" s="231"/>
      <c r="H83" s="231"/>
    </row>
    <row r="84" spans="1:8" ht="12" customHeight="1">
      <c r="B84" s="218" t="s">
        <v>155</v>
      </c>
      <c r="C84" s="231"/>
      <c r="D84" s="231"/>
      <c r="E84" s="231"/>
      <c r="H84" s="231"/>
    </row>
    <row r="85" spans="1:8" ht="12" customHeight="1">
      <c r="B85" s="218" t="s">
        <v>156</v>
      </c>
      <c r="C85" s="231"/>
      <c r="D85" s="231"/>
      <c r="E85" s="231"/>
      <c r="H85" s="231"/>
    </row>
    <row r="86" spans="1:8" ht="12" customHeight="1">
      <c r="B86" s="218" t="s">
        <v>157</v>
      </c>
      <c r="C86" s="231"/>
      <c r="D86" s="231"/>
      <c r="E86" s="231"/>
      <c r="H86" s="231"/>
    </row>
    <row r="87" spans="1:8" ht="12" customHeight="1">
      <c r="C87" s="231"/>
      <c r="D87" s="231"/>
      <c r="E87" s="231"/>
      <c r="H87" s="231"/>
    </row>
    <row r="88" spans="1:8" ht="12" customHeight="1">
      <c r="B88" s="218" t="s">
        <v>98</v>
      </c>
      <c r="C88" s="231"/>
      <c r="D88" s="231"/>
      <c r="E88" s="231"/>
      <c r="H88" s="231"/>
    </row>
    <row r="89" spans="1:8" ht="12" customHeight="1">
      <c r="B89" s="218" t="s">
        <v>153</v>
      </c>
      <c r="C89" s="231"/>
      <c r="D89" s="231"/>
      <c r="E89" s="231"/>
      <c r="H89" s="231"/>
    </row>
    <row r="90" spans="1:8" ht="12" customHeight="1">
      <c r="B90" s="218" t="s">
        <v>158</v>
      </c>
      <c r="C90" s="231"/>
      <c r="D90" s="231"/>
      <c r="E90" s="231"/>
      <c r="H90" s="231"/>
    </row>
    <row r="91" spans="1:8" ht="12" customHeight="1">
      <c r="A91" s="212"/>
      <c r="B91" s="218" t="s">
        <v>156</v>
      </c>
      <c r="C91" s="231"/>
      <c r="D91" s="231"/>
      <c r="E91" s="231"/>
      <c r="H91" s="231"/>
    </row>
    <row r="92" spans="1:8" ht="12" customHeight="1">
      <c r="A92" s="212"/>
      <c r="B92" s="218" t="s">
        <v>159</v>
      </c>
      <c r="C92" s="231"/>
      <c r="D92" s="231"/>
      <c r="E92" s="231"/>
      <c r="H92" s="231"/>
    </row>
    <row r="93" spans="1:8" ht="12" customHeight="1">
      <c r="A93" s="212"/>
      <c r="C93" s="231"/>
      <c r="D93" s="231"/>
      <c r="E93" s="231"/>
      <c r="H93" s="231"/>
    </row>
    <row r="94" spans="1:8" ht="12" customHeight="1">
      <c r="A94" s="212"/>
      <c r="B94" s="218" t="s">
        <v>101</v>
      </c>
      <c r="C94" s="231"/>
      <c r="D94" s="231"/>
      <c r="E94" s="231"/>
      <c r="H94" s="231"/>
    </row>
    <row r="95" spans="1:8" ht="12" customHeight="1">
      <c r="A95" s="212"/>
      <c r="B95" s="218" t="s">
        <v>102</v>
      </c>
      <c r="C95" s="231"/>
      <c r="D95" s="231"/>
      <c r="E95" s="231"/>
      <c r="H95" s="231"/>
    </row>
    <row r="96" spans="1:8" ht="12" customHeight="1">
      <c r="A96" s="212"/>
      <c r="B96" s="218" t="s">
        <v>160</v>
      </c>
      <c r="C96" s="231"/>
      <c r="D96" s="231"/>
      <c r="E96" s="231"/>
      <c r="H96" s="231"/>
    </row>
    <row r="97" spans="1:8" ht="12" customHeight="1">
      <c r="A97" s="212"/>
      <c r="C97" s="231"/>
      <c r="D97" s="231"/>
      <c r="E97" s="231"/>
      <c r="H97" s="231"/>
    </row>
    <row r="98" spans="1:8" ht="12" customHeight="1">
      <c r="A98" s="212"/>
      <c r="B98" s="218" t="s">
        <v>104</v>
      </c>
      <c r="C98" s="231"/>
      <c r="D98" s="231"/>
      <c r="E98" s="231"/>
      <c r="H98" s="231"/>
    </row>
    <row r="99" spans="1:8" ht="12" customHeight="1">
      <c r="A99" s="212"/>
      <c r="B99" s="218" t="s">
        <v>153</v>
      </c>
      <c r="C99" s="231"/>
      <c r="D99" s="231"/>
      <c r="E99" s="231"/>
      <c r="H99" s="231"/>
    </row>
    <row r="100" spans="1:8" ht="12" customHeight="1">
      <c r="A100" s="212"/>
      <c r="B100" s="218" t="s">
        <v>158</v>
      </c>
      <c r="C100" s="231"/>
      <c r="D100" s="231"/>
      <c r="E100" s="231"/>
      <c r="H100" s="231"/>
    </row>
    <row r="101" spans="1:8" ht="12" customHeight="1">
      <c r="A101" s="212"/>
      <c r="B101" s="218" t="s">
        <v>156</v>
      </c>
      <c r="C101" s="231"/>
      <c r="D101" s="231"/>
      <c r="E101" s="231"/>
      <c r="H101" s="231"/>
    </row>
    <row r="102" spans="1:8" ht="12" customHeight="1">
      <c r="A102" s="212"/>
      <c r="B102" s="218" t="s">
        <v>161</v>
      </c>
      <c r="C102" s="231"/>
      <c r="D102" s="231"/>
      <c r="E102" s="231"/>
      <c r="H102" s="231"/>
    </row>
    <row r="103" spans="1:8" ht="12" customHeight="1">
      <c r="A103" s="212"/>
      <c r="B103" s="231"/>
      <c r="C103" s="231"/>
      <c r="D103" s="231"/>
      <c r="E103" s="231"/>
      <c r="H103" s="231"/>
    </row>
    <row r="104" spans="1:8" ht="12" customHeight="1">
      <c r="A104" s="212"/>
      <c r="B104" s="231" t="s">
        <v>106</v>
      </c>
      <c r="C104" s="231"/>
      <c r="D104" s="231"/>
      <c r="E104" s="231"/>
      <c r="H104" s="231"/>
    </row>
    <row r="105" spans="1:8" ht="12" customHeight="1">
      <c r="A105" s="212"/>
      <c r="B105" s="231"/>
      <c r="C105" s="231"/>
      <c r="D105" s="231"/>
      <c r="E105" s="231"/>
      <c r="H105" s="231"/>
    </row>
    <row r="106" spans="1:8" ht="12" customHeight="1">
      <c r="A106" s="212"/>
      <c r="B106" s="231" t="s">
        <v>227</v>
      </c>
      <c r="C106" s="231"/>
      <c r="D106" s="231"/>
      <c r="E106" s="231"/>
      <c r="H106" s="231"/>
    </row>
    <row r="107" spans="1:8" ht="12" customHeight="1">
      <c r="A107" s="212"/>
      <c r="B107" s="231"/>
      <c r="C107" s="231"/>
      <c r="D107" s="231"/>
      <c r="E107" s="231"/>
      <c r="H107" s="231"/>
    </row>
    <row r="108" spans="1:8" ht="12" customHeight="1">
      <c r="A108" s="212"/>
      <c r="B108" s="231" t="s">
        <v>228</v>
      </c>
      <c r="C108" s="231"/>
      <c r="D108" s="231"/>
      <c r="E108" s="232"/>
      <c r="H108" s="231"/>
    </row>
    <row r="109" spans="1:8" ht="12" customHeight="1">
      <c r="A109" s="212"/>
      <c r="B109" s="236" t="s">
        <v>229</v>
      </c>
      <c r="C109" s="237">
        <f>Inputs!$D$4</f>
        <v>1.2215999999999999E-2</v>
      </c>
      <c r="D109" s="231"/>
      <c r="E109" s="232"/>
      <c r="H109" s="231"/>
    </row>
    <row r="110" spans="1:8" ht="12" customHeight="1">
      <c r="A110" s="212"/>
      <c r="B110" s="231"/>
      <c r="C110" s="231"/>
      <c r="D110" s="231"/>
      <c r="E110" s="232"/>
      <c r="H110" s="231"/>
    </row>
    <row r="111" spans="1:8" ht="12" customHeight="1"/>
    <row r="112" spans="1:8" ht="12" customHeight="1"/>
    <row r="113" ht="12" customHeight="1"/>
    <row r="114" ht="12" customHeight="1"/>
  </sheetData>
  <phoneticPr fontId="0" type="noConversion"/>
  <printOptions horizontalCentered="1"/>
  <pageMargins left="1" right="1" top="0.75" bottom="0.5" header="0.5" footer="0.5"/>
  <pageSetup scale="90" orientation="portrait" horizontalDpi="300" verticalDpi="300" r:id="rId1"/>
  <headerFooter alignWithMargins="0"/>
  <colBreaks count="1" manualBreakCount="1">
    <brk id="8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41"/>
  <dimension ref="A1:G110"/>
  <sheetViews>
    <sheetView workbookViewId="0">
      <selection activeCell="F8" sqref="F8"/>
    </sheetView>
  </sheetViews>
  <sheetFormatPr defaultColWidth="12.42578125" defaultRowHeight="12"/>
  <cols>
    <col min="1" max="1" width="5.5703125" style="456" customWidth="1"/>
    <col min="2" max="2" width="26.140625" style="455" customWidth="1"/>
    <col min="3" max="3" width="12.42578125" style="455" customWidth="1"/>
    <col min="4" max="4" width="6.7109375" style="455" customWidth="1"/>
    <col min="5" max="16384" width="12.42578125" style="455"/>
  </cols>
  <sheetData>
    <row r="1" spans="1:7">
      <c r="A1" s="453" t="str">
        <f>Inputs!$D$6</f>
        <v>AVISTA UTILITIES</v>
      </c>
      <c r="B1" s="454"/>
      <c r="C1" s="453"/>
      <c r="E1" s="1352"/>
      <c r="F1" s="1352"/>
      <c r="G1" s="1352"/>
    </row>
    <row r="2" spans="1:7">
      <c r="A2" s="453" t="s">
        <v>142</v>
      </c>
      <c r="B2" s="454"/>
      <c r="C2" s="453"/>
      <c r="E2" s="1353" t="s">
        <v>487</v>
      </c>
      <c r="F2" s="1353"/>
      <c r="G2" s="1353"/>
    </row>
    <row r="3" spans="1:7">
      <c r="A3" s="454" t="str">
        <f>WAElec09_08!$A$4</f>
        <v>TWELVE MONTHS ENDED SEPTEMBER 30, 2008</v>
      </c>
      <c r="B3" s="454"/>
      <c r="C3" s="453"/>
      <c r="E3" s="1353" t="s">
        <v>240</v>
      </c>
      <c r="F3" s="1353"/>
      <c r="G3" s="1353"/>
    </row>
    <row r="4" spans="1:7">
      <c r="A4" s="453" t="s">
        <v>1</v>
      </c>
      <c r="B4" s="454"/>
      <c r="C4" s="453"/>
      <c r="E4" s="457"/>
      <c r="F4" s="458" t="s">
        <v>145</v>
      </c>
      <c r="G4" s="459"/>
    </row>
    <row r="5" spans="1:7">
      <c r="A5" s="456" t="s">
        <v>14</v>
      </c>
    </row>
    <row r="6" spans="1:7" s="456" customFormat="1">
      <c r="A6" s="456" t="s">
        <v>146</v>
      </c>
      <c r="B6" s="460" t="s">
        <v>36</v>
      </c>
      <c r="C6" s="460"/>
      <c r="E6" s="460" t="s">
        <v>147</v>
      </c>
      <c r="F6" s="1001" t="s">
        <v>148</v>
      </c>
      <c r="G6" s="1001" t="s">
        <v>128</v>
      </c>
    </row>
    <row r="7" spans="1:7">
      <c r="B7" s="462" t="s">
        <v>85</v>
      </c>
    </row>
    <row r="8" spans="1:7" s="465" customFormat="1">
      <c r="A8" s="463">
        <v>1</v>
      </c>
      <c r="B8" s="464" t="s">
        <v>86</v>
      </c>
      <c r="E8" s="466">
        <f>F8+G8</f>
        <v>28750</v>
      </c>
      <c r="F8" s="1300">
        <v>28750</v>
      </c>
      <c r="G8" s="1300"/>
    </row>
    <row r="9" spans="1:7">
      <c r="A9" s="456">
        <v>2</v>
      </c>
      <c r="B9" s="462" t="s">
        <v>87</v>
      </c>
      <c r="E9" s="467"/>
      <c r="F9" s="467"/>
      <c r="G9" s="467"/>
    </row>
    <row r="10" spans="1:7">
      <c r="A10" s="456">
        <v>3</v>
      </c>
      <c r="B10" s="462" t="s">
        <v>150</v>
      </c>
      <c r="E10" s="467"/>
      <c r="F10" s="467"/>
      <c r="G10" s="467"/>
    </row>
    <row r="11" spans="1:7">
      <c r="A11" s="456">
        <v>4</v>
      </c>
      <c r="B11" s="462" t="s">
        <v>151</v>
      </c>
      <c r="E11" s="468">
        <f>E8+E9+E10</f>
        <v>28750</v>
      </c>
      <c r="F11" s="468">
        <f>F8+F9+F10</f>
        <v>28750</v>
      </c>
      <c r="G11" s="468">
        <f>G8+G9+G10</f>
        <v>0</v>
      </c>
    </row>
    <row r="12" spans="1:7">
      <c r="A12" s="456">
        <v>5</v>
      </c>
      <c r="B12" s="462" t="s">
        <v>90</v>
      </c>
      <c r="E12" s="467">
        <f>SUM(F12:G12)</f>
        <v>432</v>
      </c>
      <c r="F12" s="1301">
        <v>432</v>
      </c>
      <c r="G12" s="1301"/>
    </row>
    <row r="13" spans="1:7">
      <c r="A13" s="456">
        <v>6</v>
      </c>
      <c r="B13" s="462" t="s">
        <v>152</v>
      </c>
      <c r="E13" s="468">
        <f>E11+E12</f>
        <v>29182</v>
      </c>
      <c r="F13" s="468">
        <f>F11+F12</f>
        <v>29182</v>
      </c>
      <c r="G13" s="468">
        <f>G11+G12</f>
        <v>0</v>
      </c>
    </row>
    <row r="14" spans="1:7">
      <c r="E14" s="469"/>
      <c r="F14" s="469"/>
      <c r="G14" s="469"/>
    </row>
    <row r="15" spans="1:7">
      <c r="B15" s="462" t="s">
        <v>92</v>
      </c>
      <c r="E15" s="469"/>
      <c r="F15" s="469"/>
      <c r="G15" s="469"/>
    </row>
    <row r="16" spans="1:7">
      <c r="B16" s="462" t="s">
        <v>93</v>
      </c>
      <c r="E16" s="469"/>
      <c r="F16" s="469"/>
      <c r="G16" s="469"/>
    </row>
    <row r="17" spans="1:7">
      <c r="A17" s="456">
        <v>7</v>
      </c>
      <c r="B17" s="462" t="s">
        <v>153</v>
      </c>
      <c r="E17" s="467">
        <f>SUM(F17:G17)</f>
        <v>-70</v>
      </c>
      <c r="F17" s="1301">
        <v>-70</v>
      </c>
      <c r="G17" s="1301"/>
    </row>
    <row r="18" spans="1:7">
      <c r="A18" s="456">
        <v>8</v>
      </c>
      <c r="B18" s="462" t="s">
        <v>154</v>
      </c>
      <c r="E18" s="467"/>
      <c r="F18" s="467"/>
      <c r="G18" s="467"/>
    </row>
    <row r="19" spans="1:7">
      <c r="A19" s="456">
        <v>9</v>
      </c>
      <c r="B19" s="462" t="s">
        <v>155</v>
      </c>
      <c r="E19" s="467">
        <f>SUM(F19:G19)</f>
        <v>2688</v>
      </c>
      <c r="F19" s="1301">
        <v>2688</v>
      </c>
      <c r="G19" s="1301"/>
    </row>
    <row r="20" spans="1:7">
      <c r="A20" s="456">
        <v>10</v>
      </c>
      <c r="B20" s="462" t="s">
        <v>156</v>
      </c>
      <c r="E20" s="467"/>
      <c r="F20" s="467"/>
      <c r="G20" s="467"/>
    </row>
    <row r="21" spans="1:7">
      <c r="A21" s="456">
        <v>11</v>
      </c>
      <c r="B21" s="462" t="s">
        <v>157</v>
      </c>
      <c r="E21" s="468">
        <f>E17+E18+E19+E20</f>
        <v>2618</v>
      </c>
      <c r="F21" s="468">
        <f>F17+F18+F19+F20</f>
        <v>2618</v>
      </c>
      <c r="G21" s="468">
        <f>G17+G18+G19+G20</f>
        <v>0</v>
      </c>
    </row>
    <row r="22" spans="1:7">
      <c r="E22" s="469"/>
      <c r="F22" s="469"/>
      <c r="G22" s="469"/>
    </row>
    <row r="23" spans="1:7">
      <c r="B23" s="462" t="s">
        <v>98</v>
      </c>
      <c r="E23" s="469"/>
      <c r="F23" s="469"/>
      <c r="G23" s="469"/>
    </row>
    <row r="24" spans="1:7">
      <c r="A24" s="456">
        <v>12</v>
      </c>
      <c r="B24" s="462" t="s">
        <v>153</v>
      </c>
      <c r="E24" s="467"/>
      <c r="F24" s="467"/>
      <c r="G24" s="467"/>
    </row>
    <row r="25" spans="1:7">
      <c r="A25" s="456">
        <v>13</v>
      </c>
      <c r="B25" s="462" t="s">
        <v>158</v>
      </c>
      <c r="E25" s="467"/>
      <c r="F25" s="467"/>
      <c r="G25" s="467"/>
    </row>
    <row r="26" spans="1:7">
      <c r="A26" s="456">
        <v>14</v>
      </c>
      <c r="B26" s="462" t="s">
        <v>156</v>
      </c>
      <c r="E26" s="467">
        <f>F26+G26</f>
        <v>1127</v>
      </c>
      <c r="F26" s="1301">
        <v>1127</v>
      </c>
      <c r="G26" s="470">
        <f>F109</f>
        <v>0</v>
      </c>
    </row>
    <row r="27" spans="1:7">
      <c r="A27" s="456">
        <v>15</v>
      </c>
      <c r="B27" s="462" t="s">
        <v>159</v>
      </c>
      <c r="E27" s="468">
        <f>E24+E25+E26</f>
        <v>1127</v>
      </c>
      <c r="F27" s="468">
        <f>F24+F25+F26</f>
        <v>1127</v>
      </c>
      <c r="G27" s="468">
        <f>G24+G25+G26</f>
        <v>0</v>
      </c>
    </row>
    <row r="28" spans="1:7">
      <c r="E28" s="469"/>
      <c r="F28" s="469"/>
      <c r="G28" s="469"/>
    </row>
    <row r="29" spans="1:7">
      <c r="A29" s="456">
        <v>16</v>
      </c>
      <c r="B29" s="462" t="s">
        <v>101</v>
      </c>
      <c r="E29" s="467">
        <f>SUM(F29:G29)</f>
        <v>76</v>
      </c>
      <c r="F29" s="1301">
        <v>76</v>
      </c>
      <c r="G29" s="1301"/>
    </row>
    <row r="30" spans="1:7">
      <c r="A30" s="456">
        <v>17</v>
      </c>
      <c r="B30" s="462" t="s">
        <v>102</v>
      </c>
      <c r="E30" s="467">
        <f>SUM(F30:G30)</f>
        <v>-10688</v>
      </c>
      <c r="F30" s="1301">
        <v>-10688</v>
      </c>
      <c r="G30" s="1301"/>
    </row>
    <row r="31" spans="1:7">
      <c r="A31" s="456">
        <v>18</v>
      </c>
      <c r="B31" s="462" t="s">
        <v>160</v>
      </c>
      <c r="E31" s="467"/>
      <c r="F31" s="467"/>
      <c r="G31" s="467"/>
    </row>
    <row r="32" spans="1:7">
      <c r="E32" s="469"/>
      <c r="F32" s="469"/>
      <c r="G32" s="469"/>
    </row>
    <row r="33" spans="1:7">
      <c r="B33" s="462" t="s">
        <v>104</v>
      </c>
      <c r="E33" s="469"/>
      <c r="F33" s="469"/>
      <c r="G33" s="469"/>
    </row>
    <row r="34" spans="1:7">
      <c r="A34" s="456">
        <v>19</v>
      </c>
      <c r="B34" s="462" t="s">
        <v>153</v>
      </c>
      <c r="E34" s="467">
        <f>F34+G34</f>
        <v>58</v>
      </c>
      <c r="F34" s="1301">
        <v>58</v>
      </c>
      <c r="G34" s="1301"/>
    </row>
    <row r="35" spans="1:7">
      <c r="A35" s="456">
        <v>20</v>
      </c>
      <c r="B35" s="462" t="s">
        <v>158</v>
      </c>
      <c r="E35" s="467"/>
      <c r="F35" s="467"/>
      <c r="G35" s="467"/>
    </row>
    <row r="36" spans="1:7">
      <c r="A36" s="456">
        <v>21</v>
      </c>
      <c r="B36" s="462" t="s">
        <v>156</v>
      </c>
      <c r="E36" s="467"/>
      <c r="F36" s="467"/>
      <c r="G36" s="467"/>
    </row>
    <row r="37" spans="1:7">
      <c r="A37" s="456">
        <v>22</v>
      </c>
      <c r="B37" s="462" t="s">
        <v>161</v>
      </c>
      <c r="E37" s="471">
        <f>E34+E35+E36</f>
        <v>58</v>
      </c>
      <c r="F37" s="471">
        <f>F34+F35+F36</f>
        <v>58</v>
      </c>
      <c r="G37" s="471">
        <f>G34+G35+G36</f>
        <v>0</v>
      </c>
    </row>
    <row r="38" spans="1:7">
      <c r="A38" s="456">
        <v>23</v>
      </c>
      <c r="B38" s="462" t="s">
        <v>106</v>
      </c>
      <c r="E38" s="472">
        <f>E21+E27+E29+E30+E31+E37</f>
        <v>-6809</v>
      </c>
      <c r="F38" s="472">
        <f>F21+F27+F29+F30+F31+F37</f>
        <v>-6809</v>
      </c>
      <c r="G38" s="472">
        <f>G21+G27+G29+G30+G31+G37</f>
        <v>0</v>
      </c>
    </row>
    <row r="39" spans="1:7">
      <c r="E39" s="469"/>
      <c r="F39" s="469"/>
      <c r="G39" s="469"/>
    </row>
    <row r="40" spans="1:7">
      <c r="A40" s="456">
        <v>24</v>
      </c>
      <c r="B40" s="462" t="s">
        <v>162</v>
      </c>
      <c r="E40" s="469">
        <f>E13-E38</f>
        <v>35991</v>
      </c>
      <c r="F40" s="469">
        <f>F13-F38</f>
        <v>35991</v>
      </c>
      <c r="G40" s="469">
        <f>G13-G38</f>
        <v>0</v>
      </c>
    </row>
    <row r="41" spans="1:7">
      <c r="B41" s="462"/>
      <c r="E41" s="469"/>
      <c r="F41" s="469"/>
      <c r="G41" s="469"/>
    </row>
    <row r="42" spans="1:7">
      <c r="B42" s="462" t="s">
        <v>163</v>
      </c>
      <c r="E42" s="469"/>
      <c r="F42" s="469"/>
      <c r="G42" s="469"/>
    </row>
    <row r="43" spans="1:7">
      <c r="A43" s="456">
        <v>25</v>
      </c>
      <c r="B43" s="462" t="s">
        <v>164</v>
      </c>
      <c r="D43" s="473">
        <v>0.35</v>
      </c>
      <c r="E43" s="467">
        <f>F43+G43</f>
        <v>12597</v>
      </c>
      <c r="F43" s="467">
        <f>ROUND(F40*D43,0)-F44</f>
        <v>12597</v>
      </c>
      <c r="G43" s="467">
        <f>ROUND(G40*D43,0)</f>
        <v>0</v>
      </c>
    </row>
    <row r="44" spans="1:7">
      <c r="A44" s="456">
        <v>26</v>
      </c>
      <c r="B44" s="462" t="s">
        <v>165</v>
      </c>
      <c r="E44" s="467"/>
      <c r="F44" s="1301">
        <v>0</v>
      </c>
      <c r="G44" s="467"/>
    </row>
    <row r="45" spans="1:7" ht="12.75">
      <c r="A45"/>
      <c r="B45"/>
      <c r="C45"/>
      <c r="D45"/>
      <c r="E45" s="913"/>
      <c r="F45" s="913"/>
      <c r="G45" s="913"/>
    </row>
    <row r="46" spans="1:7">
      <c r="A46" s="259"/>
      <c r="B46" s="262"/>
      <c r="C46" s="256"/>
      <c r="D46" s="256"/>
      <c r="E46" s="269"/>
      <c r="F46" s="269"/>
      <c r="G46" s="269"/>
    </row>
    <row r="47" spans="1:7" s="465" customFormat="1">
      <c r="A47" s="263">
        <v>27</v>
      </c>
      <c r="B47" s="264" t="s">
        <v>113</v>
      </c>
      <c r="C47" s="265"/>
      <c r="D47" s="265"/>
      <c r="E47" s="273">
        <f>E40-SUM(E43:E44)</f>
        <v>23394</v>
      </c>
      <c r="F47" s="273">
        <f>F40-SUM(F43:F44)</f>
        <v>23394</v>
      </c>
      <c r="G47" s="273">
        <f>G40-SUM(G43:G44)</f>
        <v>0</v>
      </c>
    </row>
    <row r="48" spans="1:7">
      <c r="A48" s="259"/>
    </row>
    <row r="49" spans="1:7">
      <c r="A49" s="259"/>
      <c r="B49" s="462" t="s">
        <v>114</v>
      </c>
    </row>
    <row r="50" spans="1:7">
      <c r="A50" s="259"/>
      <c r="B50" s="462" t="s">
        <v>115</v>
      </c>
    </row>
    <row r="51" spans="1:7" s="465" customFormat="1">
      <c r="A51" s="263">
        <v>28</v>
      </c>
      <c r="B51" s="464" t="s">
        <v>167</v>
      </c>
      <c r="E51" s="466"/>
      <c r="F51" s="466"/>
      <c r="G51" s="466"/>
    </row>
    <row r="52" spans="1:7">
      <c r="A52" s="259">
        <v>29</v>
      </c>
      <c r="B52" s="462" t="s">
        <v>168</v>
      </c>
      <c r="E52" s="467"/>
      <c r="F52" s="467"/>
      <c r="G52" s="467"/>
    </row>
    <row r="53" spans="1:7">
      <c r="A53" s="259">
        <v>30</v>
      </c>
      <c r="B53" s="462" t="s">
        <v>169</v>
      </c>
      <c r="E53" s="467"/>
      <c r="F53" s="467"/>
      <c r="G53" s="467"/>
    </row>
    <row r="54" spans="1:7">
      <c r="A54" s="259">
        <v>31</v>
      </c>
      <c r="B54" s="462" t="s">
        <v>170</v>
      </c>
      <c r="E54" s="467"/>
      <c r="F54" s="467"/>
      <c r="G54" s="467"/>
    </row>
    <row r="55" spans="1:7">
      <c r="A55" s="259">
        <v>32</v>
      </c>
      <c r="B55" s="462" t="s">
        <v>171</v>
      </c>
      <c r="E55" s="474"/>
      <c r="F55" s="474"/>
      <c r="G55" s="474"/>
    </row>
    <row r="56" spans="1:7">
      <c r="A56" s="259">
        <v>33</v>
      </c>
      <c r="B56" s="462" t="s">
        <v>172</v>
      </c>
      <c r="E56" s="469">
        <f>E51+E52+E53+E54+E55</f>
        <v>0</v>
      </c>
      <c r="F56" s="469">
        <f>F51+F52+F53+F54+F55</f>
        <v>0</v>
      </c>
      <c r="G56" s="469">
        <f>G51+G52+G53+G54+G55</f>
        <v>0</v>
      </c>
    </row>
    <row r="57" spans="1:7">
      <c r="A57" s="259">
        <v>34</v>
      </c>
      <c r="B57" s="462" t="s">
        <v>121</v>
      </c>
      <c r="E57" s="467"/>
      <c r="F57" s="467"/>
      <c r="G57" s="467"/>
    </row>
    <row r="58" spans="1:7">
      <c r="A58" s="259">
        <v>35</v>
      </c>
      <c r="B58" s="462" t="s">
        <v>122</v>
      </c>
      <c r="E58" s="474"/>
      <c r="F58" s="474"/>
      <c r="G58" s="474"/>
    </row>
    <row r="59" spans="1:7">
      <c r="A59" s="259">
        <v>36</v>
      </c>
      <c r="B59" s="462" t="s">
        <v>173</v>
      </c>
      <c r="E59" s="469">
        <f>E57+E58</f>
        <v>0</v>
      </c>
      <c r="F59" s="469">
        <f>F57+F58</f>
        <v>0</v>
      </c>
      <c r="G59" s="469">
        <f>G57+G58</f>
        <v>0</v>
      </c>
    </row>
    <row r="60" spans="1:7">
      <c r="A60" s="259">
        <v>37</v>
      </c>
      <c r="B60" s="462" t="s">
        <v>124</v>
      </c>
      <c r="E60" s="467"/>
      <c r="F60" s="467"/>
      <c r="G60" s="467"/>
    </row>
    <row r="61" spans="1:7">
      <c r="A61" s="259">
        <v>38</v>
      </c>
      <c r="B61" s="462" t="s">
        <v>125</v>
      </c>
      <c r="E61" s="474"/>
      <c r="F61" s="474"/>
      <c r="G61" s="474"/>
    </row>
    <row r="62" spans="1:7" ht="9" customHeight="1">
      <c r="A62" s="259"/>
    </row>
    <row r="63" spans="1:7" s="465" customFormat="1" ht="12.75" thickBot="1">
      <c r="A63" s="263">
        <v>39</v>
      </c>
      <c r="B63" s="464" t="s">
        <v>126</v>
      </c>
      <c r="E63" s="475">
        <f>E56-E59+E60+E61</f>
        <v>0</v>
      </c>
      <c r="F63" s="475">
        <f>F56-F59+F60+F61</f>
        <v>0</v>
      </c>
      <c r="G63" s="475">
        <f>G56-G59+G60+G61</f>
        <v>0</v>
      </c>
    </row>
    <row r="64" spans="1:7" ht="12.75" thickTop="1"/>
    <row r="65" spans="1:7">
      <c r="A65" s="454" t="str">
        <f>Inputs!$D$6</f>
        <v>AVISTA UTILITIES</v>
      </c>
      <c r="B65" s="454"/>
      <c r="C65" s="454"/>
      <c r="D65" s="476"/>
      <c r="E65" s="477"/>
      <c r="F65" s="476"/>
      <c r="G65" s="478"/>
    </row>
    <row r="66" spans="1:7">
      <c r="A66" s="454" t="s">
        <v>225</v>
      </c>
      <c r="B66" s="454"/>
      <c r="C66" s="454"/>
      <c r="D66" s="476"/>
      <c r="E66" s="477"/>
      <c r="F66" s="476"/>
      <c r="G66" s="478"/>
    </row>
    <row r="67" spans="1:7">
      <c r="A67" s="454" t="str">
        <f>A3</f>
        <v>TWELVE MONTHS ENDED SEPTEMBER 30, 2008</v>
      </c>
      <c r="B67" s="454"/>
      <c r="C67" s="454"/>
      <c r="D67" s="476"/>
      <c r="E67" s="477"/>
      <c r="F67" s="479">
        <f>F2</f>
        <v>0</v>
      </c>
      <c r="G67" s="476"/>
    </row>
    <row r="68" spans="1:7">
      <c r="A68" s="454" t="s">
        <v>226</v>
      </c>
      <c r="B68" s="454"/>
      <c r="C68" s="454"/>
      <c r="D68" s="476"/>
      <c r="E68" s="477"/>
      <c r="F68" s="479">
        <f>F3</f>
        <v>0</v>
      </c>
      <c r="G68" s="476"/>
    </row>
    <row r="69" spans="1:7">
      <c r="B69" s="476"/>
      <c r="C69" s="476"/>
      <c r="D69" s="476"/>
      <c r="E69" s="480"/>
      <c r="F69" s="481" t="str">
        <f>F4</f>
        <v>ELECTRIC</v>
      </c>
      <c r="G69" s="476"/>
    </row>
    <row r="70" spans="1:7">
      <c r="B70" s="476"/>
      <c r="C70" s="476"/>
      <c r="D70" s="476"/>
      <c r="E70" s="477"/>
      <c r="F70" s="479"/>
      <c r="G70" s="483"/>
    </row>
    <row r="71" spans="1:7">
      <c r="B71" s="484" t="s">
        <v>134</v>
      </c>
      <c r="C71" s="485"/>
      <c r="D71" s="476"/>
      <c r="E71" s="477"/>
      <c r="F71" s="481" t="s">
        <v>128</v>
      </c>
      <c r="G71" s="476"/>
    </row>
    <row r="72" spans="1:7">
      <c r="B72" s="462" t="s">
        <v>85</v>
      </c>
      <c r="C72" s="476"/>
      <c r="D72" s="476"/>
      <c r="E72" s="476"/>
      <c r="F72" s="478"/>
      <c r="G72" s="476"/>
    </row>
    <row r="73" spans="1:7">
      <c r="B73" s="464" t="s">
        <v>86</v>
      </c>
      <c r="C73" s="476"/>
      <c r="D73" s="476"/>
      <c r="E73" s="476"/>
      <c r="F73" s="486">
        <f>G8</f>
        <v>0</v>
      </c>
      <c r="G73" s="476"/>
    </row>
    <row r="74" spans="1:7">
      <c r="B74" s="462" t="s">
        <v>87</v>
      </c>
      <c r="C74" s="476"/>
      <c r="D74" s="476"/>
      <c r="E74" s="476"/>
      <c r="F74" s="469">
        <f>G9</f>
        <v>0</v>
      </c>
      <c r="G74" s="476"/>
    </row>
    <row r="75" spans="1:7">
      <c r="B75" s="462" t="s">
        <v>150</v>
      </c>
      <c r="C75" s="476"/>
      <c r="D75" s="476"/>
      <c r="E75" s="476"/>
      <c r="F75" s="472">
        <f>G10</f>
        <v>0</v>
      </c>
      <c r="G75" s="476"/>
    </row>
    <row r="76" spans="1:7">
      <c r="B76" s="462" t="s">
        <v>151</v>
      </c>
      <c r="C76" s="476"/>
      <c r="D76" s="476"/>
      <c r="E76" s="476"/>
      <c r="F76" s="469">
        <f>SUM(F73:F75)</f>
        <v>0</v>
      </c>
      <c r="G76" s="476"/>
    </row>
    <row r="77" spans="1:7">
      <c r="B77" s="462" t="s">
        <v>90</v>
      </c>
      <c r="C77" s="476"/>
      <c r="D77" s="476"/>
      <c r="E77" s="476"/>
      <c r="F77" s="472">
        <f>G12</f>
        <v>0</v>
      </c>
      <c r="G77" s="476"/>
    </row>
    <row r="78" spans="1:7">
      <c r="B78" s="462" t="s">
        <v>152</v>
      </c>
      <c r="C78" s="476"/>
      <c r="D78" s="476"/>
      <c r="E78" s="476"/>
      <c r="F78" s="469">
        <f>F76+F77</f>
        <v>0</v>
      </c>
      <c r="G78" s="476"/>
    </row>
    <row r="79" spans="1:7">
      <c r="C79" s="476"/>
      <c r="D79" s="476"/>
      <c r="E79" s="476"/>
      <c r="F79" s="469"/>
      <c r="G79" s="476"/>
    </row>
    <row r="80" spans="1:7">
      <c r="B80" s="462" t="s">
        <v>92</v>
      </c>
      <c r="C80" s="476"/>
      <c r="D80" s="476"/>
      <c r="E80" s="476"/>
      <c r="F80" s="469"/>
      <c r="G80" s="476"/>
    </row>
    <row r="81" spans="1:7">
      <c r="B81" s="462" t="s">
        <v>93</v>
      </c>
      <c r="C81" s="476"/>
      <c r="D81" s="476"/>
      <c r="E81" s="476"/>
      <c r="F81" s="469"/>
      <c r="G81" s="476"/>
    </row>
    <row r="82" spans="1:7">
      <c r="B82" s="462" t="s">
        <v>153</v>
      </c>
      <c r="C82" s="476"/>
      <c r="D82" s="476"/>
      <c r="E82" s="476"/>
      <c r="F82" s="469">
        <f>G17</f>
        <v>0</v>
      </c>
      <c r="G82" s="476"/>
    </row>
    <row r="83" spans="1:7">
      <c r="B83" s="462" t="s">
        <v>154</v>
      </c>
      <c r="C83" s="476"/>
      <c r="D83" s="476"/>
      <c r="E83" s="476"/>
      <c r="F83" s="469">
        <f>G18</f>
        <v>0</v>
      </c>
      <c r="G83" s="476"/>
    </row>
    <row r="84" spans="1:7">
      <c r="B84" s="462" t="s">
        <v>155</v>
      </c>
      <c r="C84" s="476"/>
      <c r="D84" s="476"/>
      <c r="E84" s="476"/>
      <c r="F84" s="469">
        <f>G19</f>
        <v>0</v>
      </c>
      <c r="G84" s="476"/>
    </row>
    <row r="85" spans="1:7">
      <c r="B85" s="462" t="s">
        <v>156</v>
      </c>
      <c r="C85" s="476"/>
      <c r="D85" s="476"/>
      <c r="E85" s="476"/>
      <c r="F85" s="472">
        <f>G20</f>
        <v>0</v>
      </c>
      <c r="G85" s="476"/>
    </row>
    <row r="86" spans="1:7">
      <c r="B86" s="462" t="s">
        <v>157</v>
      </c>
      <c r="C86" s="476"/>
      <c r="D86" s="476"/>
      <c r="E86" s="476"/>
      <c r="F86" s="469">
        <f>SUM(F82:F85)</f>
        <v>0</v>
      </c>
      <c r="G86" s="476"/>
    </row>
    <row r="87" spans="1:7">
      <c r="C87" s="476"/>
      <c r="D87" s="476"/>
      <c r="E87" s="476"/>
      <c r="F87" s="469"/>
      <c r="G87" s="476"/>
    </row>
    <row r="88" spans="1:7">
      <c r="B88" s="462" t="s">
        <v>98</v>
      </c>
      <c r="C88" s="476"/>
      <c r="D88" s="476"/>
      <c r="E88" s="476"/>
      <c r="F88" s="469"/>
      <c r="G88" s="476"/>
    </row>
    <row r="89" spans="1:7">
      <c r="B89" s="462" t="s">
        <v>153</v>
      </c>
      <c r="C89" s="476"/>
      <c r="D89" s="476"/>
      <c r="E89" s="476"/>
      <c r="F89" s="469">
        <f>G24</f>
        <v>0</v>
      </c>
      <c r="G89" s="476"/>
    </row>
    <row r="90" spans="1:7">
      <c r="B90" s="462" t="s">
        <v>158</v>
      </c>
      <c r="C90" s="476"/>
      <c r="D90" s="476"/>
      <c r="E90" s="476"/>
      <c r="F90" s="469">
        <f>G25</f>
        <v>0</v>
      </c>
      <c r="G90" s="476"/>
    </row>
    <row r="91" spans="1:7">
      <c r="A91" s="455"/>
      <c r="B91" s="462" t="s">
        <v>156</v>
      </c>
      <c r="C91" s="476"/>
      <c r="D91" s="476"/>
      <c r="E91" s="476"/>
      <c r="F91" s="469">
        <v>0</v>
      </c>
      <c r="G91" s="476"/>
    </row>
    <row r="92" spans="1:7">
      <c r="A92" s="455"/>
      <c r="B92" s="462" t="s">
        <v>159</v>
      </c>
      <c r="C92" s="476"/>
      <c r="D92" s="476"/>
      <c r="E92" s="476"/>
      <c r="F92" s="468">
        <f>SUM(F89:F91)</f>
        <v>0</v>
      </c>
      <c r="G92" s="476"/>
    </row>
    <row r="93" spans="1:7">
      <c r="A93" s="455"/>
      <c r="C93" s="476"/>
      <c r="D93" s="476"/>
      <c r="E93" s="476"/>
      <c r="F93" s="469"/>
      <c r="G93" s="476"/>
    </row>
    <row r="94" spans="1:7">
      <c r="A94" s="455"/>
      <c r="B94" s="462" t="s">
        <v>101</v>
      </c>
      <c r="C94" s="476"/>
      <c r="D94" s="476"/>
      <c r="E94" s="476"/>
      <c r="F94" s="469">
        <f>G29</f>
        <v>0</v>
      </c>
      <c r="G94" s="476"/>
    </row>
    <row r="95" spans="1:7">
      <c r="A95" s="455"/>
      <c r="B95" s="462" t="s">
        <v>102</v>
      </c>
      <c r="C95" s="476"/>
      <c r="D95" s="476"/>
      <c r="E95" s="476"/>
      <c r="F95" s="469">
        <f>G30</f>
        <v>0</v>
      </c>
      <c r="G95" s="476"/>
    </row>
    <row r="96" spans="1:7">
      <c r="A96" s="455"/>
      <c r="B96" s="462" t="s">
        <v>160</v>
      </c>
      <c r="C96" s="476"/>
      <c r="D96" s="476"/>
      <c r="E96" s="476"/>
      <c r="F96" s="469">
        <f>G31</f>
        <v>0</v>
      </c>
      <c r="G96" s="476"/>
    </row>
    <row r="97" spans="1:7">
      <c r="A97" s="455"/>
      <c r="C97" s="476"/>
      <c r="D97" s="476"/>
      <c r="E97" s="476"/>
      <c r="F97" s="469"/>
      <c r="G97" s="476"/>
    </row>
    <row r="98" spans="1:7">
      <c r="A98" s="455"/>
      <c r="B98" s="462" t="s">
        <v>104</v>
      </c>
      <c r="C98" s="476"/>
      <c r="D98" s="476"/>
      <c r="E98" s="476"/>
      <c r="F98" s="469"/>
      <c r="G98" s="476"/>
    </row>
    <row r="99" spans="1:7">
      <c r="A99" s="455"/>
      <c r="B99" s="462" t="s">
        <v>153</v>
      </c>
      <c r="C99" s="476"/>
      <c r="D99" s="476"/>
      <c r="E99" s="476"/>
      <c r="F99" s="469">
        <f>G34</f>
        <v>0</v>
      </c>
      <c r="G99" s="476"/>
    </row>
    <row r="100" spans="1:7">
      <c r="A100" s="455"/>
      <c r="B100" s="462" t="s">
        <v>158</v>
      </c>
      <c r="C100" s="476"/>
      <c r="D100" s="476"/>
      <c r="E100" s="476"/>
      <c r="F100" s="469">
        <f>G35</f>
        <v>0</v>
      </c>
      <c r="G100" s="476"/>
    </row>
    <row r="101" spans="1:7">
      <c r="A101" s="455"/>
      <c r="B101" s="462" t="s">
        <v>156</v>
      </c>
      <c r="C101" s="476"/>
      <c r="D101" s="476"/>
      <c r="E101" s="476"/>
      <c r="F101" s="472">
        <f>G36</f>
        <v>0</v>
      </c>
      <c r="G101" s="476"/>
    </row>
    <row r="102" spans="1:7">
      <c r="A102" s="455"/>
      <c r="B102" s="462" t="s">
        <v>161</v>
      </c>
      <c r="C102" s="476"/>
      <c r="D102" s="476"/>
      <c r="E102" s="476"/>
      <c r="F102" s="469">
        <f>F99+F100+F101</f>
        <v>0</v>
      </c>
      <c r="G102" s="476"/>
    </row>
    <row r="103" spans="1:7">
      <c r="A103" s="455"/>
      <c r="B103" s="476"/>
      <c r="C103" s="476"/>
      <c r="D103" s="476"/>
      <c r="E103" s="476"/>
      <c r="F103" s="469"/>
      <c r="G103" s="476"/>
    </row>
    <row r="104" spans="1:7">
      <c r="A104" s="455"/>
      <c r="B104" s="476" t="s">
        <v>106</v>
      </c>
      <c r="C104" s="476"/>
      <c r="D104" s="476"/>
      <c r="E104" s="476"/>
      <c r="F104" s="471">
        <f>F86+F92+F94+F95+F96+F102</f>
        <v>0</v>
      </c>
      <c r="G104" s="476"/>
    </row>
    <row r="105" spans="1:7">
      <c r="A105" s="455"/>
      <c r="B105" s="476"/>
      <c r="C105" s="476"/>
      <c r="D105" s="476"/>
      <c r="E105" s="476"/>
      <c r="F105" s="469"/>
      <c r="G105" s="476"/>
    </row>
    <row r="106" spans="1:7">
      <c r="A106" s="455"/>
      <c r="B106" s="476" t="s">
        <v>227</v>
      </c>
      <c r="C106" s="476"/>
      <c r="D106" s="476"/>
      <c r="E106" s="476"/>
      <c r="F106" s="472">
        <f>F78-F104</f>
        <v>0</v>
      </c>
      <c r="G106" s="476"/>
    </row>
    <row r="107" spans="1:7">
      <c r="A107" s="455"/>
      <c r="B107" s="476"/>
      <c r="C107" s="476"/>
      <c r="D107" s="476"/>
      <c r="E107" s="476"/>
      <c r="F107" s="469"/>
      <c r="G107" s="476"/>
    </row>
    <row r="108" spans="1:7">
      <c r="A108" s="455"/>
      <c r="B108" s="476" t="s">
        <v>228</v>
      </c>
      <c r="C108" s="476"/>
      <c r="D108" s="476"/>
      <c r="E108" s="477"/>
      <c r="F108" s="469"/>
      <c r="G108" s="476"/>
    </row>
    <row r="109" spans="1:7" ht="12.75" thickBot="1">
      <c r="A109" s="455"/>
      <c r="B109" s="488" t="s">
        <v>229</v>
      </c>
      <c r="C109" s="489">
        <f>Inputs!$D$4</f>
        <v>1.2215999999999999E-2</v>
      </c>
      <c r="D109" s="476"/>
      <c r="E109" s="477"/>
      <c r="F109" s="475">
        <f>ROUND(F106*C109,0)</f>
        <v>0</v>
      </c>
      <c r="G109" s="476"/>
    </row>
    <row r="110" spans="1:7" ht="12.75" thickTop="1">
      <c r="A110" s="455"/>
      <c r="B110" s="476"/>
      <c r="C110" s="476"/>
      <c r="D110" s="476"/>
      <c r="E110" s="477"/>
      <c r="F110" s="476"/>
      <c r="G110" s="478"/>
    </row>
  </sheetData>
  <mergeCells count="3">
    <mergeCell ref="E1:G1"/>
    <mergeCell ref="E2:G2"/>
    <mergeCell ref="E3:G3"/>
  </mergeCells>
  <phoneticPr fontId="0" type="noConversion"/>
  <pageMargins left="0.75" right="0.75" top="0.5" bottom="0.5" header="0.5" footer="0.5"/>
  <pageSetup scale="90" orientation="portrait" r:id="rId1"/>
  <headerFooter alignWithMargins="0"/>
  <rowBreaks count="1" manualBreakCount="1">
    <brk id="64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63"/>
  <dimension ref="A1:H110"/>
  <sheetViews>
    <sheetView zoomScaleNormal="100" workbookViewId="0">
      <selection activeCell="F2" sqref="F2"/>
    </sheetView>
  </sheetViews>
  <sheetFormatPr defaultRowHeight="12.75"/>
  <cols>
    <col min="1" max="1" width="5.5703125" style="47" customWidth="1"/>
    <col min="2" max="2" width="26.140625" style="44" customWidth="1"/>
    <col min="3" max="3" width="12.42578125" style="44" customWidth="1"/>
    <col min="4" max="4" width="6.7109375" style="44" customWidth="1"/>
    <col min="5" max="8" width="12.42578125" style="44" customWidth="1"/>
  </cols>
  <sheetData>
    <row r="1" spans="1:8">
      <c r="A1" s="42" t="str">
        <f>Inputs!$D$6</f>
        <v>AVISTA UTILITIES</v>
      </c>
      <c r="B1" s="43"/>
      <c r="C1" s="42"/>
      <c r="F1" s="47"/>
    </row>
    <row r="2" spans="1:8">
      <c r="A2" s="42" t="s">
        <v>142</v>
      </c>
      <c r="B2" s="43"/>
      <c r="C2" s="42"/>
      <c r="E2" s="42"/>
      <c r="F2" s="47" t="s">
        <v>583</v>
      </c>
      <c r="G2" s="42"/>
    </row>
    <row r="3" spans="1:8">
      <c r="A3" s="43" t="str">
        <f>WAElec09_08!$A$4</f>
        <v>TWELVE MONTHS ENDED SEPTEMBER 30, 2008</v>
      </c>
      <c r="B3" s="43"/>
      <c r="C3" s="42"/>
      <c r="E3" s="42"/>
      <c r="F3" s="47" t="s">
        <v>584</v>
      </c>
      <c r="G3" s="42"/>
    </row>
    <row r="4" spans="1:8">
      <c r="A4" s="42" t="s">
        <v>1</v>
      </c>
      <c r="B4" s="43"/>
      <c r="C4" s="42"/>
      <c r="E4" s="45"/>
      <c r="F4" s="670" t="s">
        <v>145</v>
      </c>
      <c r="G4" s="46"/>
    </row>
    <row r="5" spans="1:8">
      <c r="A5" s="47" t="s">
        <v>14</v>
      </c>
    </row>
    <row r="6" spans="1:8">
      <c r="A6" s="47" t="s">
        <v>146</v>
      </c>
      <c r="B6" s="48" t="s">
        <v>36</v>
      </c>
      <c r="C6" s="48"/>
      <c r="D6" s="47"/>
      <c r="E6" s="48" t="s">
        <v>147</v>
      </c>
      <c r="F6" s="48" t="s">
        <v>148</v>
      </c>
      <c r="G6" s="48" t="s">
        <v>128</v>
      </c>
      <c r="H6" s="49" t="s">
        <v>149</v>
      </c>
    </row>
    <row r="7" spans="1:8">
      <c r="B7" s="50" t="s">
        <v>85</v>
      </c>
    </row>
    <row r="8" spans="1:8">
      <c r="A8" s="51">
        <v>1</v>
      </c>
      <c r="B8" s="52" t="s">
        <v>86</v>
      </c>
      <c r="C8" s="53"/>
      <c r="D8" s="53"/>
      <c r="E8" s="54">
        <f>F8+G8</f>
        <v>0</v>
      </c>
      <c r="F8" s="54">
        <v>0</v>
      </c>
      <c r="G8" s="54">
        <v>0</v>
      </c>
      <c r="H8" s="53" t="str">
        <f t="shared" ref="H8:H13" si="0">IF(E8=F8+G8," ","ERROR")</f>
        <v xml:space="preserve"> </v>
      </c>
    </row>
    <row r="9" spans="1:8">
      <c r="A9" s="47">
        <v>2</v>
      </c>
      <c r="B9" s="50" t="s">
        <v>87</v>
      </c>
      <c r="E9" s="55"/>
      <c r="F9" s="55"/>
      <c r="G9" s="55"/>
      <c r="H9" s="53" t="str">
        <f t="shared" si="0"/>
        <v xml:space="preserve"> </v>
      </c>
    </row>
    <row r="10" spans="1:8">
      <c r="A10" s="47">
        <v>3</v>
      </c>
      <c r="B10" s="50" t="s">
        <v>150</v>
      </c>
      <c r="E10" s="55"/>
      <c r="F10" s="55"/>
      <c r="G10" s="55"/>
      <c r="H10" s="53" t="str">
        <f t="shared" si="0"/>
        <v xml:space="preserve"> </v>
      </c>
    </row>
    <row r="11" spans="1:8">
      <c r="A11" s="47">
        <v>4</v>
      </c>
      <c r="B11" s="50" t="s">
        <v>151</v>
      </c>
      <c r="E11" s="56">
        <f>E8+E9+E10</f>
        <v>0</v>
      </c>
      <c r="F11" s="56">
        <f>F8+F9+F10</f>
        <v>0</v>
      </c>
      <c r="G11" s="56">
        <f>G8+G9+G10</f>
        <v>0</v>
      </c>
      <c r="H11" s="53" t="str">
        <f t="shared" si="0"/>
        <v xml:space="preserve"> </v>
      </c>
    </row>
    <row r="12" spans="1:8">
      <c r="A12" s="47">
        <v>5</v>
      </c>
      <c r="B12" s="50" t="s">
        <v>90</v>
      </c>
      <c r="E12" s="55"/>
      <c r="F12" s="55"/>
      <c r="G12" s="55"/>
      <c r="H12" s="53" t="str">
        <f t="shared" si="0"/>
        <v xml:space="preserve"> </v>
      </c>
    </row>
    <row r="13" spans="1:8">
      <c r="A13" s="47">
        <v>6</v>
      </c>
      <c r="B13" s="50" t="s">
        <v>152</v>
      </c>
      <c r="E13" s="56">
        <f>E11+E12</f>
        <v>0</v>
      </c>
      <c r="F13" s="56">
        <f>F11+F12</f>
        <v>0</v>
      </c>
      <c r="G13" s="56">
        <f>G11+G12</f>
        <v>0</v>
      </c>
      <c r="H13" s="53" t="str">
        <f t="shared" si="0"/>
        <v xml:space="preserve"> </v>
      </c>
    </row>
    <row r="14" spans="1:8">
      <c r="E14" s="58"/>
      <c r="F14" s="58"/>
      <c r="G14" s="58"/>
      <c r="H14" s="53"/>
    </row>
    <row r="15" spans="1:8">
      <c r="B15" s="50" t="s">
        <v>92</v>
      </c>
      <c r="E15" s="58"/>
      <c r="F15" s="58"/>
      <c r="G15" s="58"/>
      <c r="H15" s="53"/>
    </row>
    <row r="16" spans="1:8">
      <c r="B16" s="50" t="s">
        <v>93</v>
      </c>
      <c r="E16" s="58"/>
      <c r="F16" s="58"/>
      <c r="G16" s="58"/>
      <c r="H16" s="53"/>
    </row>
    <row r="17" spans="1:8">
      <c r="A17" s="47">
        <v>7</v>
      </c>
      <c r="B17" s="50" t="s">
        <v>153</v>
      </c>
      <c r="E17" s="55">
        <f>F17+G17</f>
        <v>0</v>
      </c>
      <c r="F17" s="55">
        <v>0</v>
      </c>
      <c r="G17" s="55">
        <v>0</v>
      </c>
      <c r="H17" s="53" t="str">
        <f>IF(E17=F17+G17," ","ERROR")</f>
        <v xml:space="preserve"> </v>
      </c>
    </row>
    <row r="18" spans="1:8">
      <c r="A18" s="47">
        <v>8</v>
      </c>
      <c r="B18" s="50" t="s">
        <v>154</v>
      </c>
      <c r="E18" s="55"/>
      <c r="F18" s="55"/>
      <c r="G18" s="55"/>
      <c r="H18" s="53" t="str">
        <f>IF(E18=F18+G18," ","ERROR")</f>
        <v xml:space="preserve"> </v>
      </c>
    </row>
    <row r="19" spans="1:8">
      <c r="A19" s="47">
        <v>9</v>
      </c>
      <c r="B19" s="50" t="s">
        <v>155</v>
      </c>
      <c r="E19" s="55">
        <f>F19+G19</f>
        <v>0</v>
      </c>
      <c r="F19" s="55">
        <v>0</v>
      </c>
      <c r="G19" s="55"/>
      <c r="H19" s="53" t="str">
        <f>IF(E19=F19+G19," ","ERROR")</f>
        <v xml:space="preserve"> </v>
      </c>
    </row>
    <row r="20" spans="1:8">
      <c r="A20" s="47">
        <v>10</v>
      </c>
      <c r="B20" s="50" t="s">
        <v>156</v>
      </c>
      <c r="E20" s="55">
        <f>F20+G20</f>
        <v>0</v>
      </c>
      <c r="F20" s="55"/>
      <c r="G20" s="55"/>
      <c r="H20" s="53" t="str">
        <f>IF(E20=F20+G20," ","ERROR")</f>
        <v xml:space="preserve"> </v>
      </c>
    </row>
    <row r="21" spans="1:8">
      <c r="A21" s="47">
        <v>11</v>
      </c>
      <c r="B21" s="50" t="s">
        <v>157</v>
      </c>
      <c r="E21" s="56">
        <f>E17+E18+E19+E20</f>
        <v>0</v>
      </c>
      <c r="F21" s="56">
        <f>F17+F18+F19+F20</f>
        <v>0</v>
      </c>
      <c r="G21" s="56">
        <f>G17+G18+G19+G20</f>
        <v>0</v>
      </c>
      <c r="H21" s="53" t="str">
        <f>IF(E21=F21+G21," ","ERROR")</f>
        <v xml:space="preserve"> </v>
      </c>
    </row>
    <row r="22" spans="1:8">
      <c r="E22" s="58"/>
      <c r="F22" s="58"/>
      <c r="G22" s="58"/>
      <c r="H22" s="53"/>
    </row>
    <row r="23" spans="1:8">
      <c r="B23" s="50" t="s">
        <v>98</v>
      </c>
      <c r="E23" s="58"/>
      <c r="F23" s="58"/>
      <c r="G23" s="58"/>
      <c r="H23" s="53"/>
    </row>
    <row r="24" spans="1:8">
      <c r="A24" s="47">
        <v>12</v>
      </c>
      <c r="B24" s="50" t="s">
        <v>153</v>
      </c>
      <c r="E24" s="55">
        <f>F24+G24</f>
        <v>0</v>
      </c>
      <c r="F24" s="55">
        <v>0</v>
      </c>
      <c r="G24" s="55">
        <v>0</v>
      </c>
      <c r="H24" s="53" t="str">
        <f>IF(E24=F24+G24," ","ERROR")</f>
        <v xml:space="preserve"> </v>
      </c>
    </row>
    <row r="25" spans="1:8">
      <c r="A25" s="47">
        <v>13</v>
      </c>
      <c r="B25" s="50" t="s">
        <v>158</v>
      </c>
      <c r="E25" s="55"/>
      <c r="F25" s="55"/>
      <c r="G25" s="55"/>
      <c r="H25" s="53" t="str">
        <f>IF(E25=F25+G25," ","ERROR")</f>
        <v xml:space="preserve"> </v>
      </c>
    </row>
    <row r="26" spans="1:8">
      <c r="A26" s="47">
        <v>14</v>
      </c>
      <c r="B26" s="50" t="s">
        <v>156</v>
      </c>
      <c r="E26" s="55">
        <f>F26+G26</f>
        <v>0</v>
      </c>
      <c r="F26" s="55">
        <v>0</v>
      </c>
      <c r="G26" s="916">
        <f>F109</f>
        <v>0</v>
      </c>
      <c r="H26" s="53" t="str">
        <f>IF(E26=F26+G26," ","ERROR")</f>
        <v xml:space="preserve"> </v>
      </c>
    </row>
    <row r="27" spans="1:8">
      <c r="A27" s="47">
        <v>15</v>
      </c>
      <c r="B27" s="50" t="s">
        <v>159</v>
      </c>
      <c r="E27" s="56">
        <f>E24+E25+E26</f>
        <v>0</v>
      </c>
      <c r="F27" s="56">
        <f>F24+F25+F26</f>
        <v>0</v>
      </c>
      <c r="G27" s="56">
        <f>G24+G25+G26</f>
        <v>0</v>
      </c>
      <c r="H27" s="53" t="str">
        <f>IF(E27=F27+G27," ","ERROR")</f>
        <v xml:space="preserve"> </v>
      </c>
    </row>
    <row r="28" spans="1:8">
      <c r="E28" s="58"/>
      <c r="F28" s="58"/>
      <c r="G28" s="58"/>
      <c r="H28" s="53"/>
    </row>
    <row r="29" spans="1:8">
      <c r="A29" s="47">
        <v>16</v>
      </c>
      <c r="B29" s="50" t="s">
        <v>101</v>
      </c>
      <c r="E29" s="55">
        <f>SUM(F29:G29)</f>
        <v>0</v>
      </c>
      <c r="F29" s="55">
        <v>0</v>
      </c>
      <c r="G29" s="55">
        <v>0</v>
      </c>
      <c r="H29" s="53" t="str">
        <f>IF(E29=F29+G29," ","ERROR")</f>
        <v xml:space="preserve"> </v>
      </c>
    </row>
    <row r="30" spans="1:8">
      <c r="A30" s="47">
        <v>17</v>
      </c>
      <c r="B30" s="50" t="s">
        <v>102</v>
      </c>
      <c r="E30" s="55">
        <f>SUM(F30:G30)</f>
        <v>0</v>
      </c>
      <c r="F30" s="55">
        <v>0</v>
      </c>
      <c r="G30" s="55">
        <v>0</v>
      </c>
      <c r="H30" s="53" t="str">
        <f>IF(E30=F30+G30," ","ERROR")</f>
        <v xml:space="preserve"> </v>
      </c>
    </row>
    <row r="31" spans="1:8">
      <c r="A31" s="47">
        <v>18</v>
      </c>
      <c r="B31" s="50" t="s">
        <v>160</v>
      </c>
      <c r="E31" s="55">
        <f>SUM(F31:G31)</f>
        <v>0</v>
      </c>
      <c r="F31" s="55">
        <v>0</v>
      </c>
      <c r="G31" s="55">
        <v>0</v>
      </c>
      <c r="H31" s="53" t="str">
        <f>IF(E31=F31+G31," ","ERROR")</f>
        <v xml:space="preserve"> </v>
      </c>
    </row>
    <row r="32" spans="1:8">
      <c r="E32" s="58"/>
      <c r="F32" s="58"/>
      <c r="G32" s="58"/>
      <c r="H32" s="53"/>
    </row>
    <row r="33" spans="1:8">
      <c r="B33" s="50" t="s">
        <v>104</v>
      </c>
      <c r="E33" s="58"/>
      <c r="F33" s="58"/>
      <c r="G33" s="58"/>
      <c r="H33" s="53"/>
    </row>
    <row r="34" spans="1:8">
      <c r="A34" s="47">
        <v>19</v>
      </c>
      <c r="B34" s="50" t="s">
        <v>153</v>
      </c>
      <c r="E34" s="55">
        <f>SUM(F34:G34)</f>
        <v>-214</v>
      </c>
      <c r="F34" s="55">
        <v>-214</v>
      </c>
      <c r="G34" s="55">
        <v>0</v>
      </c>
      <c r="H34" s="53" t="str">
        <f>IF(E34=F34+G34," ","ERROR")</f>
        <v xml:space="preserve"> </v>
      </c>
    </row>
    <row r="35" spans="1:8">
      <c r="A35" s="47">
        <v>20</v>
      </c>
      <c r="B35" s="50" t="s">
        <v>158</v>
      </c>
      <c r="E35" s="55"/>
      <c r="F35" s="55"/>
      <c r="G35" s="55"/>
      <c r="H35" s="53" t="str">
        <f>IF(E35=F35+G35," ","ERROR")</f>
        <v xml:space="preserve"> </v>
      </c>
    </row>
    <row r="36" spans="1:8">
      <c r="A36" s="47">
        <v>21</v>
      </c>
      <c r="B36" s="50" t="s">
        <v>156</v>
      </c>
      <c r="E36" s="55"/>
      <c r="F36" s="55"/>
      <c r="G36" s="55"/>
      <c r="H36" s="53" t="str">
        <f>IF(E36=F36+G36," ","ERROR")</f>
        <v xml:space="preserve"> </v>
      </c>
    </row>
    <row r="37" spans="1:8">
      <c r="A37" s="47">
        <v>22</v>
      </c>
      <c r="B37" s="50" t="s">
        <v>161</v>
      </c>
      <c r="E37" s="60">
        <f>E34+E35+E36</f>
        <v>-214</v>
      </c>
      <c r="F37" s="60">
        <f>F34+F35+F36</f>
        <v>-214</v>
      </c>
      <c r="G37" s="60">
        <f>G34+G35+G36</f>
        <v>0</v>
      </c>
      <c r="H37" s="53" t="str">
        <f>IF(E37=F37+G37," ","ERROR")</f>
        <v xml:space="preserve"> </v>
      </c>
    </row>
    <row r="38" spans="1:8">
      <c r="A38" s="47">
        <v>23</v>
      </c>
      <c r="B38" s="50" t="s">
        <v>106</v>
      </c>
      <c r="E38" s="61">
        <f>E21+E27+E29+E30+E31+E37</f>
        <v>-214</v>
      </c>
      <c r="F38" s="61">
        <f>F21+F27+F29+F30+F31+F37</f>
        <v>-214</v>
      </c>
      <c r="G38" s="61">
        <f>G21+G27+G29+G30+G31+G37</f>
        <v>0</v>
      </c>
      <c r="H38" s="53" t="str">
        <f>IF(E38=F38+G38," ","ERROR")</f>
        <v xml:space="preserve"> </v>
      </c>
    </row>
    <row r="39" spans="1:8">
      <c r="E39" s="58"/>
      <c r="F39" s="58"/>
      <c r="G39" s="58"/>
      <c r="H39" s="53"/>
    </row>
    <row r="40" spans="1:8">
      <c r="A40" s="47">
        <v>24</v>
      </c>
      <c r="B40" s="50" t="s">
        <v>162</v>
      </c>
      <c r="E40" s="58">
        <f>E13-E38</f>
        <v>214</v>
      </c>
      <c r="F40" s="58">
        <f>F13-F38</f>
        <v>214</v>
      </c>
      <c r="G40" s="58">
        <f>G13-G38</f>
        <v>0</v>
      </c>
      <c r="H40" s="53" t="str">
        <f>IF(E40=F40+G40," ","ERROR")</f>
        <v xml:space="preserve"> </v>
      </c>
    </row>
    <row r="41" spans="1:8">
      <c r="B41" s="50"/>
      <c r="E41" s="58"/>
      <c r="F41" s="58"/>
      <c r="G41" s="58"/>
      <c r="H41" s="53"/>
    </row>
    <row r="42" spans="1:8">
      <c r="B42" s="50" t="s">
        <v>163</v>
      </c>
      <c r="E42" s="58"/>
      <c r="F42" s="58"/>
      <c r="G42" s="58"/>
      <c r="H42" s="53"/>
    </row>
    <row r="43" spans="1:8">
      <c r="A43" s="47">
        <v>25</v>
      </c>
      <c r="B43" s="50" t="s">
        <v>164</v>
      </c>
      <c r="D43" s="62">
        <v>0.35</v>
      </c>
      <c r="E43" s="55">
        <f>F43+G43</f>
        <v>75</v>
      </c>
      <c r="F43" s="55">
        <f>ROUND(F40*D43,0)</f>
        <v>75</v>
      </c>
      <c r="G43" s="55">
        <f>ROUND(G40*D43,0)</f>
        <v>0</v>
      </c>
      <c r="H43" s="53" t="str">
        <f>IF(E43=F43+G43," ","ERROR")</f>
        <v xml:space="preserve"> </v>
      </c>
    </row>
    <row r="44" spans="1:8">
      <c r="A44" s="47">
        <v>26</v>
      </c>
      <c r="B44" s="50" t="s">
        <v>165</v>
      </c>
      <c r="E44" s="55"/>
      <c r="F44" s="55"/>
      <c r="G44" s="55"/>
      <c r="H44" s="53" t="str">
        <f>IF(E44=F44+G44," ","ERROR")</f>
        <v xml:space="preserve"> </v>
      </c>
    </row>
    <row r="45" spans="1:8">
      <c r="A45"/>
      <c r="B45"/>
      <c r="C45"/>
      <c r="D45"/>
      <c r="E45" s="913"/>
      <c r="F45" s="913"/>
      <c r="G45" s="913"/>
      <c r="H45" s="53" t="str">
        <f>IF(E45=F45+G45," ","ERROR")</f>
        <v xml:space="preserve"> </v>
      </c>
    </row>
    <row r="46" spans="1:8">
      <c r="A46" s="259"/>
      <c r="B46" s="262"/>
      <c r="C46" s="256"/>
      <c r="D46" s="256"/>
      <c r="E46" s="269"/>
      <c r="F46" s="269"/>
      <c r="G46" s="269"/>
      <c r="H46" s="53"/>
    </row>
    <row r="47" spans="1:8">
      <c r="A47" s="263">
        <v>27</v>
      </c>
      <c r="B47" s="264" t="s">
        <v>113</v>
      </c>
      <c r="C47" s="265"/>
      <c r="D47" s="265"/>
      <c r="E47" s="273">
        <f>E40-SUM(E43:E44)</f>
        <v>139</v>
      </c>
      <c r="F47" s="273">
        <f>F40-SUM(F43:F44)</f>
        <v>139</v>
      </c>
      <c r="G47" s="273">
        <f>G40-SUM(G43:G44)</f>
        <v>0</v>
      </c>
      <c r="H47" s="53" t="str">
        <f>IF(E47=F47+G47," ","ERROR")</f>
        <v xml:space="preserve"> </v>
      </c>
    </row>
    <row r="48" spans="1:8">
      <c r="A48" s="259"/>
      <c r="H48" s="53"/>
    </row>
    <row r="49" spans="1:8">
      <c r="A49" s="259"/>
      <c r="B49" s="50" t="s">
        <v>114</v>
      </c>
      <c r="H49" s="53"/>
    </row>
    <row r="50" spans="1:8">
      <c r="A50" s="259"/>
      <c r="B50" s="50" t="s">
        <v>115</v>
      </c>
      <c r="H50" s="53"/>
    </row>
    <row r="51" spans="1:8">
      <c r="A51" s="263">
        <v>28</v>
      </c>
      <c r="B51" s="52" t="s">
        <v>167</v>
      </c>
      <c r="C51" s="53"/>
      <c r="D51" s="53"/>
      <c r="E51" s="54"/>
      <c r="F51" s="54"/>
      <c r="G51" s="54"/>
      <c r="H51" s="53" t="str">
        <f t="shared" ref="H51:H61" si="1">IF(E51=F51+G51," ","ERROR")</f>
        <v xml:space="preserve"> </v>
      </c>
    </row>
    <row r="52" spans="1:8">
      <c r="A52" s="259">
        <v>29</v>
      </c>
      <c r="B52" s="50" t="s">
        <v>168</v>
      </c>
      <c r="E52" s="55">
        <f>F52+G52</f>
        <v>0</v>
      </c>
      <c r="F52" s="55"/>
      <c r="G52" s="55"/>
      <c r="H52" s="53" t="str">
        <f t="shared" si="1"/>
        <v xml:space="preserve"> </v>
      </c>
    </row>
    <row r="53" spans="1:8">
      <c r="A53" s="259">
        <v>30</v>
      </c>
      <c r="B53" s="50" t="s">
        <v>169</v>
      </c>
      <c r="E53" s="55"/>
      <c r="F53" s="55"/>
      <c r="G53" s="55"/>
      <c r="H53" s="53" t="str">
        <f t="shared" si="1"/>
        <v xml:space="preserve"> </v>
      </c>
    </row>
    <row r="54" spans="1:8">
      <c r="A54" s="259">
        <v>31</v>
      </c>
      <c r="B54" s="50" t="s">
        <v>170</v>
      </c>
      <c r="E54" s="55"/>
      <c r="F54" s="55"/>
      <c r="G54" s="55"/>
      <c r="H54" s="53" t="str">
        <f t="shared" si="1"/>
        <v xml:space="preserve"> </v>
      </c>
    </row>
    <row r="55" spans="1:8">
      <c r="A55" s="259">
        <v>32</v>
      </c>
      <c r="B55" s="50" t="s">
        <v>171</v>
      </c>
      <c r="E55" s="59"/>
      <c r="F55" s="59"/>
      <c r="G55" s="59"/>
      <c r="H55" s="53" t="str">
        <f t="shared" si="1"/>
        <v xml:space="preserve"> </v>
      </c>
    </row>
    <row r="56" spans="1:8">
      <c r="A56" s="259">
        <v>33</v>
      </c>
      <c r="B56" s="50" t="s">
        <v>172</v>
      </c>
      <c r="E56" s="58">
        <f>E51+E52+E53+E54+E55</f>
        <v>0</v>
      </c>
      <c r="F56" s="58">
        <f>F51+F52+F53+F54+F55</f>
        <v>0</v>
      </c>
      <c r="G56" s="58">
        <f>G51+G52+G53+G54+G55</f>
        <v>0</v>
      </c>
      <c r="H56" s="53" t="str">
        <f t="shared" si="1"/>
        <v xml:space="preserve"> </v>
      </c>
    </row>
    <row r="57" spans="1:8">
      <c r="A57" s="259">
        <v>34</v>
      </c>
      <c r="B57" s="50" t="s">
        <v>121</v>
      </c>
      <c r="E57" s="55">
        <f>F57+G57</f>
        <v>0</v>
      </c>
      <c r="F57" s="55"/>
      <c r="G57" s="55"/>
      <c r="H57" s="53" t="str">
        <f t="shared" si="1"/>
        <v xml:space="preserve"> </v>
      </c>
    </row>
    <row r="58" spans="1:8">
      <c r="A58" s="259">
        <v>35</v>
      </c>
      <c r="B58" s="50" t="s">
        <v>122</v>
      </c>
      <c r="E58" s="59"/>
      <c r="F58" s="59"/>
      <c r="G58" s="59"/>
      <c r="H58" s="53" t="str">
        <f t="shared" si="1"/>
        <v xml:space="preserve"> </v>
      </c>
    </row>
    <row r="59" spans="1:8">
      <c r="A59" s="259">
        <v>36</v>
      </c>
      <c r="B59" s="50" t="s">
        <v>173</v>
      </c>
      <c r="E59" s="58">
        <f>E57+E58</f>
        <v>0</v>
      </c>
      <c r="F59" s="58">
        <f>F57+F58</f>
        <v>0</v>
      </c>
      <c r="G59" s="58">
        <f>G57+G58</f>
        <v>0</v>
      </c>
      <c r="H59" s="53" t="str">
        <f t="shared" si="1"/>
        <v xml:space="preserve"> </v>
      </c>
    </row>
    <row r="60" spans="1:8">
      <c r="A60" s="259">
        <v>37</v>
      </c>
      <c r="B60" s="50" t="s">
        <v>124</v>
      </c>
      <c r="E60" s="55"/>
      <c r="F60" s="55"/>
      <c r="G60" s="55"/>
      <c r="H60" s="53" t="str">
        <f t="shared" si="1"/>
        <v xml:space="preserve"> </v>
      </c>
    </row>
    <row r="61" spans="1:8">
      <c r="A61" s="259">
        <v>38</v>
      </c>
      <c r="B61" s="50" t="s">
        <v>125</v>
      </c>
      <c r="E61" s="59">
        <f>F61+G61</f>
        <v>0</v>
      </c>
      <c r="F61" s="59"/>
      <c r="G61" s="59"/>
      <c r="H61" s="53" t="str">
        <f t="shared" si="1"/>
        <v xml:space="preserve"> </v>
      </c>
    </row>
    <row r="62" spans="1:8" ht="11.25" customHeight="1">
      <c r="A62" s="259"/>
      <c r="H62" s="53"/>
    </row>
    <row r="63" spans="1:8" ht="13.5" thickBot="1">
      <c r="A63" s="263">
        <v>39</v>
      </c>
      <c r="B63" s="52" t="s">
        <v>126</v>
      </c>
      <c r="C63" s="53"/>
      <c r="D63" s="53"/>
      <c r="E63" s="63">
        <f>E56-E59+E60+E61</f>
        <v>0</v>
      </c>
      <c r="F63" s="63">
        <f>F56-F59+F60+F61</f>
        <v>0</v>
      </c>
      <c r="G63" s="63">
        <f>G56-G59+G60+G61</f>
        <v>0</v>
      </c>
      <c r="H63" s="53" t="str">
        <f>IF(E63=F63+G63," ","ERROR")</f>
        <v xml:space="preserve"> </v>
      </c>
    </row>
    <row r="64" spans="1:8" ht="13.5" thickTop="1">
      <c r="A64" s="44"/>
      <c r="B64" s="69"/>
      <c r="C64" s="69"/>
      <c r="D64" s="69"/>
      <c r="E64" s="671"/>
      <c r="F64" s="672"/>
      <c r="G64" s="69"/>
      <c r="H64" s="69"/>
    </row>
    <row r="65" spans="1:7">
      <c r="A65" s="420" t="str">
        <f>Inputs!$D$6</f>
        <v>AVISTA UTILITIES</v>
      </c>
      <c r="B65" s="420"/>
      <c r="C65" s="420"/>
      <c r="D65" s="440"/>
      <c r="E65" s="441"/>
      <c r="F65" s="440"/>
      <c r="G65" s="442"/>
    </row>
    <row r="66" spans="1:7">
      <c r="A66" s="420" t="s">
        <v>225</v>
      </c>
      <c r="B66" s="420"/>
      <c r="C66" s="420"/>
      <c r="D66" s="440"/>
      <c r="E66" s="441"/>
      <c r="F66" s="440"/>
      <c r="G66" s="442"/>
    </row>
    <row r="67" spans="1:7">
      <c r="A67" s="420" t="str">
        <f>A3</f>
        <v>TWELVE MONTHS ENDED SEPTEMBER 30, 2008</v>
      </c>
      <c r="B67" s="420"/>
      <c r="C67" s="420"/>
      <c r="D67" s="440"/>
      <c r="E67" s="441"/>
      <c r="F67" s="443" t="str">
        <f>F2</f>
        <v xml:space="preserve">MISCELLANEOUS </v>
      </c>
      <c r="G67" s="440"/>
    </row>
    <row r="68" spans="1:7">
      <c r="A68" s="420" t="s">
        <v>226</v>
      </c>
      <c r="B68" s="420"/>
      <c r="C68" s="420"/>
      <c r="D68" s="440"/>
      <c r="E68" s="441"/>
      <c r="F68" s="443" t="str">
        <f>F3</f>
        <v>RESTATING ADJUSTMENTS</v>
      </c>
      <c r="G68" s="440"/>
    </row>
    <row r="69" spans="1:7">
      <c r="A69" s="424"/>
      <c r="B69" s="440"/>
      <c r="C69" s="440"/>
      <c r="D69" s="440"/>
      <c r="E69" s="444"/>
      <c r="F69" s="1002" t="str">
        <f>F4</f>
        <v>ELECTRIC</v>
      </c>
      <c r="G69" s="440"/>
    </row>
    <row r="70" spans="1:7">
      <c r="A70" s="424"/>
      <c r="B70" s="440"/>
      <c r="C70" s="440"/>
      <c r="D70" s="440"/>
      <c r="E70" s="441"/>
      <c r="F70" s="443"/>
      <c r="G70" s="447"/>
    </row>
    <row r="71" spans="1:7">
      <c r="A71" s="424"/>
      <c r="B71" s="448" t="s">
        <v>134</v>
      </c>
      <c r="C71" s="449"/>
      <c r="D71" s="440"/>
      <c r="E71" s="441"/>
      <c r="F71" s="445" t="s">
        <v>128</v>
      </c>
      <c r="G71" s="440"/>
    </row>
    <row r="72" spans="1:7">
      <c r="A72" s="424"/>
      <c r="B72" s="427" t="s">
        <v>85</v>
      </c>
      <c r="C72" s="440"/>
      <c r="D72" s="440"/>
      <c r="E72" s="440"/>
      <c r="F72" s="442"/>
      <c r="G72" s="440"/>
    </row>
    <row r="73" spans="1:7">
      <c r="A73" s="424"/>
      <c r="B73" s="429" t="s">
        <v>86</v>
      </c>
      <c r="C73" s="440"/>
      <c r="D73" s="440"/>
      <c r="E73" s="440"/>
      <c r="F73" s="450">
        <f>G8</f>
        <v>0</v>
      </c>
      <c r="G73" s="440"/>
    </row>
    <row r="74" spans="1:7">
      <c r="A74" s="424"/>
      <c r="B74" s="427" t="s">
        <v>87</v>
      </c>
      <c r="C74" s="440"/>
      <c r="D74" s="440"/>
      <c r="E74" s="440"/>
      <c r="F74" s="434">
        <f>G9</f>
        <v>0</v>
      </c>
      <c r="G74" s="440"/>
    </row>
    <row r="75" spans="1:7">
      <c r="A75" s="424"/>
      <c r="B75" s="427" t="s">
        <v>150</v>
      </c>
      <c r="C75" s="440"/>
      <c r="D75" s="440"/>
      <c r="E75" s="440"/>
      <c r="F75" s="436">
        <f>G10</f>
        <v>0</v>
      </c>
      <c r="G75" s="440"/>
    </row>
    <row r="76" spans="1:7">
      <c r="A76" s="424"/>
      <c r="B76" s="427" t="s">
        <v>151</v>
      </c>
      <c r="C76" s="440"/>
      <c r="D76" s="440"/>
      <c r="E76" s="440"/>
      <c r="F76" s="434">
        <f>SUM(F73:F75)</f>
        <v>0</v>
      </c>
      <c r="G76" s="440"/>
    </row>
    <row r="77" spans="1:7">
      <c r="A77" s="424"/>
      <c r="B77" s="427" t="s">
        <v>90</v>
      </c>
      <c r="C77" s="440"/>
      <c r="D77" s="440"/>
      <c r="E77" s="440"/>
      <c r="F77" s="436">
        <f>G12</f>
        <v>0</v>
      </c>
      <c r="G77" s="440"/>
    </row>
    <row r="78" spans="1:7">
      <c r="A78" s="424"/>
      <c r="B78" s="427" t="s">
        <v>152</v>
      </c>
      <c r="C78" s="440"/>
      <c r="D78" s="440"/>
      <c r="E78" s="440"/>
      <c r="F78" s="434">
        <f>F76+F77</f>
        <v>0</v>
      </c>
      <c r="G78" s="440"/>
    </row>
    <row r="79" spans="1:7">
      <c r="A79" s="424"/>
      <c r="B79" s="421"/>
      <c r="C79" s="440"/>
      <c r="D79" s="440"/>
      <c r="E79" s="440"/>
      <c r="F79" s="434"/>
      <c r="G79" s="440"/>
    </row>
    <row r="80" spans="1:7">
      <c r="A80" s="424"/>
      <c r="B80" s="427" t="s">
        <v>92</v>
      </c>
      <c r="C80" s="440"/>
      <c r="D80" s="440"/>
      <c r="E80" s="440"/>
      <c r="F80" s="434"/>
      <c r="G80" s="440"/>
    </row>
    <row r="81" spans="1:7">
      <c r="A81" s="424"/>
      <c r="B81" s="427" t="s">
        <v>93</v>
      </c>
      <c r="C81" s="440"/>
      <c r="D81" s="440"/>
      <c r="E81" s="440"/>
      <c r="F81" s="434"/>
      <c r="G81" s="440"/>
    </row>
    <row r="82" spans="1:7">
      <c r="A82" s="424"/>
      <c r="B82" s="427" t="s">
        <v>153</v>
      </c>
      <c r="C82" s="440"/>
      <c r="D82" s="440"/>
      <c r="E82" s="440"/>
      <c r="F82" s="434">
        <f>G17</f>
        <v>0</v>
      </c>
      <c r="G82" s="440"/>
    </row>
    <row r="83" spans="1:7">
      <c r="A83" s="424"/>
      <c r="B83" s="427" t="s">
        <v>154</v>
      </c>
      <c r="C83" s="440"/>
      <c r="D83" s="440"/>
      <c r="E83" s="440"/>
      <c r="F83" s="434">
        <f>G18</f>
        <v>0</v>
      </c>
      <c r="G83" s="440"/>
    </row>
    <row r="84" spans="1:7">
      <c r="A84" s="424"/>
      <c r="B84" s="427" t="s">
        <v>155</v>
      </c>
      <c r="C84" s="440"/>
      <c r="D84" s="440"/>
      <c r="E84" s="440"/>
      <c r="F84" s="434">
        <f>G19</f>
        <v>0</v>
      </c>
      <c r="G84" s="440"/>
    </row>
    <row r="85" spans="1:7">
      <c r="A85" s="424"/>
      <c r="B85" s="427" t="s">
        <v>156</v>
      </c>
      <c r="C85" s="440"/>
      <c r="D85" s="440"/>
      <c r="E85" s="440"/>
      <c r="F85" s="436">
        <f>G20</f>
        <v>0</v>
      </c>
      <c r="G85" s="440"/>
    </row>
    <row r="86" spans="1:7">
      <c r="A86" s="424"/>
      <c r="B86" s="427" t="s">
        <v>157</v>
      </c>
      <c r="C86" s="440"/>
      <c r="D86" s="440"/>
      <c r="E86" s="440"/>
      <c r="F86" s="434">
        <f>SUM(F82:F85)</f>
        <v>0</v>
      </c>
      <c r="G86" s="440"/>
    </row>
    <row r="87" spans="1:7">
      <c r="A87" s="424"/>
      <c r="B87" s="421"/>
      <c r="C87" s="440"/>
      <c r="D87" s="440"/>
      <c r="E87" s="440"/>
      <c r="F87" s="434"/>
      <c r="G87" s="440"/>
    </row>
    <row r="88" spans="1:7">
      <c r="A88" s="424"/>
      <c r="B88" s="427" t="s">
        <v>98</v>
      </c>
      <c r="C88" s="440"/>
      <c r="D88" s="440"/>
      <c r="E88" s="440"/>
      <c r="F88" s="434"/>
      <c r="G88" s="440"/>
    </row>
    <row r="89" spans="1:7">
      <c r="A89" s="424"/>
      <c r="B89" s="427" t="s">
        <v>153</v>
      </c>
      <c r="C89" s="440"/>
      <c r="D89" s="440"/>
      <c r="E89" s="440"/>
      <c r="F89" s="434">
        <f>G24</f>
        <v>0</v>
      </c>
      <c r="G89" s="440"/>
    </row>
    <row r="90" spans="1:7">
      <c r="A90" s="424"/>
      <c r="B90" s="427" t="s">
        <v>158</v>
      </c>
      <c r="C90" s="440"/>
      <c r="D90" s="440"/>
      <c r="E90" s="440"/>
      <c r="F90" s="434">
        <f>G25</f>
        <v>0</v>
      </c>
      <c r="G90" s="440"/>
    </row>
    <row r="91" spans="1:7">
      <c r="A91" s="421"/>
      <c r="B91" s="427" t="s">
        <v>156</v>
      </c>
      <c r="C91" s="440"/>
      <c r="D91" s="440"/>
      <c r="E91" s="440"/>
      <c r="F91" s="434"/>
      <c r="G91" s="440"/>
    </row>
    <row r="92" spans="1:7">
      <c r="A92" s="421"/>
      <c r="B92" s="427" t="s">
        <v>159</v>
      </c>
      <c r="C92" s="440"/>
      <c r="D92" s="440"/>
      <c r="E92" s="440"/>
      <c r="F92" s="433">
        <f>SUM(F89:F91)</f>
        <v>0</v>
      </c>
      <c r="G92" s="440"/>
    </row>
    <row r="93" spans="1:7">
      <c r="A93" s="421"/>
      <c r="B93" s="421"/>
      <c r="C93" s="440"/>
      <c r="D93" s="440"/>
      <c r="E93" s="440"/>
      <c r="F93" s="434"/>
      <c r="G93" s="440"/>
    </row>
    <row r="94" spans="1:7">
      <c r="A94" s="421"/>
      <c r="B94" s="427" t="s">
        <v>101</v>
      </c>
      <c r="C94" s="440"/>
      <c r="D94" s="440"/>
      <c r="E94" s="440"/>
      <c r="F94" s="434">
        <f>G29</f>
        <v>0</v>
      </c>
      <c r="G94" s="440"/>
    </row>
    <row r="95" spans="1:7">
      <c r="A95" s="421"/>
      <c r="B95" s="427" t="s">
        <v>102</v>
      </c>
      <c r="C95" s="440"/>
      <c r="D95" s="440"/>
      <c r="E95" s="440"/>
      <c r="F95" s="434">
        <f>G30</f>
        <v>0</v>
      </c>
      <c r="G95" s="440"/>
    </row>
    <row r="96" spans="1:7">
      <c r="A96" s="421"/>
      <c r="B96" s="427" t="s">
        <v>160</v>
      </c>
      <c r="C96" s="440"/>
      <c r="D96" s="440"/>
      <c r="E96" s="440"/>
      <c r="F96" s="434">
        <f>G31</f>
        <v>0</v>
      </c>
      <c r="G96" s="440"/>
    </row>
    <row r="97" spans="1:7">
      <c r="A97" s="421"/>
      <c r="B97" s="421"/>
      <c r="C97" s="440"/>
      <c r="D97" s="440"/>
      <c r="E97" s="440"/>
      <c r="F97" s="434"/>
      <c r="G97" s="440"/>
    </row>
    <row r="98" spans="1:7">
      <c r="A98" s="421"/>
      <c r="B98" s="427" t="s">
        <v>104</v>
      </c>
      <c r="C98" s="440"/>
      <c r="D98" s="440"/>
      <c r="E98" s="440"/>
      <c r="F98" s="434"/>
      <c r="G98" s="440"/>
    </row>
    <row r="99" spans="1:7">
      <c r="A99" s="421"/>
      <c r="B99" s="427" t="s">
        <v>153</v>
      </c>
      <c r="C99" s="440"/>
      <c r="D99" s="440"/>
      <c r="E99" s="440"/>
      <c r="F99" s="434">
        <f>G34</f>
        <v>0</v>
      </c>
      <c r="G99" s="440"/>
    </row>
    <row r="100" spans="1:7">
      <c r="A100" s="421"/>
      <c r="B100" s="427" t="s">
        <v>158</v>
      </c>
      <c r="C100" s="440"/>
      <c r="D100" s="440"/>
      <c r="E100" s="440"/>
      <c r="F100" s="434">
        <f>G35</f>
        <v>0</v>
      </c>
      <c r="G100" s="440"/>
    </row>
    <row r="101" spans="1:7">
      <c r="A101" s="421"/>
      <c r="B101" s="427" t="s">
        <v>156</v>
      </c>
      <c r="C101" s="440"/>
      <c r="D101" s="440"/>
      <c r="E101" s="440"/>
      <c r="F101" s="436">
        <f>G36</f>
        <v>0</v>
      </c>
      <c r="G101" s="440"/>
    </row>
    <row r="102" spans="1:7">
      <c r="A102" s="421"/>
      <c r="B102" s="427" t="s">
        <v>161</v>
      </c>
      <c r="C102" s="440"/>
      <c r="D102" s="440"/>
      <c r="E102" s="440"/>
      <c r="F102" s="434">
        <f>F99+F100+F101</f>
        <v>0</v>
      </c>
      <c r="G102" s="440"/>
    </row>
    <row r="103" spans="1:7">
      <c r="A103" s="421"/>
      <c r="B103" s="440"/>
      <c r="C103" s="440"/>
      <c r="D103" s="440"/>
      <c r="E103" s="440"/>
      <c r="F103" s="434"/>
      <c r="G103" s="440"/>
    </row>
    <row r="104" spans="1:7">
      <c r="A104" s="421"/>
      <c r="B104" s="440" t="s">
        <v>106</v>
      </c>
      <c r="C104" s="440"/>
      <c r="D104" s="440"/>
      <c r="E104" s="440"/>
      <c r="F104" s="435">
        <f>F86+F92+F94+F95+F96+F102</f>
        <v>0</v>
      </c>
      <c r="G104" s="440"/>
    </row>
    <row r="105" spans="1:7">
      <c r="A105" s="421"/>
      <c r="B105" s="440"/>
      <c r="C105" s="440"/>
      <c r="D105" s="440"/>
      <c r="E105" s="440"/>
      <c r="F105" s="434"/>
      <c r="G105" s="440"/>
    </row>
    <row r="106" spans="1:7">
      <c r="A106" s="421"/>
      <c r="B106" s="440" t="s">
        <v>227</v>
      </c>
      <c r="C106" s="440"/>
      <c r="D106" s="440"/>
      <c r="E106" s="440"/>
      <c r="F106" s="436">
        <f>F78-F104</f>
        <v>0</v>
      </c>
      <c r="G106" s="440"/>
    </row>
    <row r="107" spans="1:7">
      <c r="A107" s="421"/>
      <c r="B107" s="440"/>
      <c r="C107" s="440"/>
      <c r="D107" s="440"/>
      <c r="E107" s="440"/>
      <c r="F107" s="434"/>
      <c r="G107" s="440"/>
    </row>
    <row r="108" spans="1:7">
      <c r="A108" s="421"/>
      <c r="B108" s="440" t="s">
        <v>228</v>
      </c>
      <c r="C108" s="440"/>
      <c r="D108" s="440"/>
      <c r="E108" s="441"/>
      <c r="F108" s="434"/>
      <c r="G108" s="440"/>
    </row>
    <row r="109" spans="1:7" ht="13.5" thickBot="1">
      <c r="A109" s="421"/>
      <c r="B109" s="451" t="s">
        <v>229</v>
      </c>
      <c r="C109" s="452">
        <f>Inputs!$D$4</f>
        <v>1.2215999999999999E-2</v>
      </c>
      <c r="D109" s="440"/>
      <c r="E109" s="441"/>
      <c r="F109" s="439">
        <f>ROUND(F106*C109,0)</f>
        <v>0</v>
      </c>
      <c r="G109" s="440"/>
    </row>
    <row r="110" spans="1:7" ht="13.5" thickTop="1">
      <c r="A110" s="421"/>
      <c r="B110" s="440"/>
      <c r="C110" s="440"/>
      <c r="D110" s="440"/>
      <c r="E110" s="441"/>
      <c r="F110" s="442"/>
      <c r="G110" s="440"/>
    </row>
  </sheetData>
  <phoneticPr fontId="0" type="noConversion"/>
  <pageMargins left="1" right="1" top="0.5" bottom="0.25" header="0.5" footer="0.5"/>
  <pageSetup scale="9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2"/>
  <dimension ref="A1:I110"/>
  <sheetViews>
    <sheetView workbookViewId="0">
      <selection activeCell="I21" sqref="I21"/>
    </sheetView>
  </sheetViews>
  <sheetFormatPr defaultColWidth="12.42578125" defaultRowHeight="12"/>
  <cols>
    <col min="1" max="1" width="5.5703125" style="633" customWidth="1"/>
    <col min="2" max="2" width="26.140625" style="629" customWidth="1"/>
    <col min="3" max="3" width="12.42578125" style="629" customWidth="1"/>
    <col min="4" max="4" width="6.7109375" style="629" customWidth="1"/>
    <col min="5" max="6" width="12.42578125" style="629" customWidth="1"/>
    <col min="7" max="7" width="14.42578125" style="629" customWidth="1"/>
    <col min="8" max="8" width="12.42578125" style="559" customWidth="1"/>
    <col min="9" max="16384" width="12.42578125" style="629"/>
  </cols>
  <sheetData>
    <row r="1" spans="1:8">
      <c r="A1" s="627" t="str">
        <f>Inputs!$D$6</f>
        <v>AVISTA UTILITIES</v>
      </c>
      <c r="B1" s="628"/>
      <c r="C1" s="627"/>
    </row>
    <row r="2" spans="1:8">
      <c r="A2" s="627" t="s">
        <v>142</v>
      </c>
      <c r="B2" s="628"/>
      <c r="C2" s="627"/>
      <c r="E2" s="627" t="s">
        <v>253</v>
      </c>
      <c r="F2" s="627"/>
      <c r="G2" s="627"/>
    </row>
    <row r="3" spans="1:8">
      <c r="A3" s="628" t="str">
        <f>WAElec09_08!$A$4</f>
        <v>TWELVE MONTHS ENDED SEPTEMBER 30, 2008</v>
      </c>
      <c r="B3" s="628"/>
      <c r="C3" s="627"/>
      <c r="E3" s="627" t="s">
        <v>254</v>
      </c>
      <c r="F3" s="627"/>
      <c r="G3" s="627"/>
    </row>
    <row r="4" spans="1:8">
      <c r="A4" s="627" t="s">
        <v>1</v>
      </c>
      <c r="B4" s="628"/>
      <c r="C4" s="627"/>
      <c r="E4" s="630" t="s">
        <v>145</v>
      </c>
      <c r="F4" s="630"/>
      <c r="G4" s="631"/>
    </row>
    <row r="5" spans="1:8">
      <c r="A5" s="633" t="s">
        <v>14</v>
      </c>
    </row>
    <row r="6" spans="1:8" s="633" customFormat="1">
      <c r="A6" s="633" t="s">
        <v>146</v>
      </c>
      <c r="B6" s="635" t="s">
        <v>36</v>
      </c>
      <c r="C6" s="635"/>
      <c r="E6" s="635" t="s">
        <v>147</v>
      </c>
      <c r="F6" s="635" t="s">
        <v>148</v>
      </c>
      <c r="G6" s="635" t="s">
        <v>128</v>
      </c>
      <c r="H6" s="567" t="s">
        <v>149</v>
      </c>
    </row>
    <row r="7" spans="1:8">
      <c r="B7" s="638" t="s">
        <v>85</v>
      </c>
    </row>
    <row r="8" spans="1:8" s="641" customFormat="1">
      <c r="A8" s="639">
        <v>1</v>
      </c>
      <c r="B8" s="640" t="s">
        <v>86</v>
      </c>
      <c r="E8" s="642">
        <f>F8+G8</f>
        <v>0</v>
      </c>
      <c r="F8" s="642"/>
      <c r="G8" s="642"/>
      <c r="H8" s="571" t="str">
        <f t="shared" ref="H8:H13" si="0">IF(E8=F8+G8," ","ERROR")</f>
        <v xml:space="preserve"> </v>
      </c>
    </row>
    <row r="9" spans="1:8">
      <c r="A9" s="633">
        <v>2</v>
      </c>
      <c r="B9" s="638" t="s">
        <v>87</v>
      </c>
      <c r="E9" s="644"/>
      <c r="F9" s="644"/>
      <c r="G9" s="644"/>
      <c r="H9" s="571" t="str">
        <f t="shared" si="0"/>
        <v xml:space="preserve"> </v>
      </c>
    </row>
    <row r="10" spans="1:8">
      <c r="A10" s="633">
        <v>3</v>
      </c>
      <c r="B10" s="638" t="s">
        <v>150</v>
      </c>
      <c r="E10" s="644"/>
      <c r="F10" s="644"/>
      <c r="G10" s="644"/>
      <c r="H10" s="571" t="str">
        <f t="shared" si="0"/>
        <v xml:space="preserve"> </v>
      </c>
    </row>
    <row r="11" spans="1:8">
      <c r="A11" s="633">
        <v>4</v>
      </c>
      <c r="B11" s="638" t="s">
        <v>151</v>
      </c>
      <c r="E11" s="646">
        <f>E8+E9+E10</f>
        <v>0</v>
      </c>
      <c r="F11" s="646">
        <f>F8+F9+F10</f>
        <v>0</v>
      </c>
      <c r="G11" s="646">
        <f>G8+G9+G10</f>
        <v>0</v>
      </c>
      <c r="H11" s="571" t="str">
        <f t="shared" si="0"/>
        <v xml:space="preserve"> </v>
      </c>
    </row>
    <row r="12" spans="1:8">
      <c r="A12" s="633">
        <v>5</v>
      </c>
      <c r="B12" s="638" t="s">
        <v>90</v>
      </c>
      <c r="E12" s="644"/>
      <c r="F12" s="644"/>
      <c r="G12" s="644"/>
      <c r="H12" s="571" t="str">
        <f t="shared" si="0"/>
        <v xml:space="preserve"> </v>
      </c>
    </row>
    <row r="13" spans="1:8">
      <c r="A13" s="633">
        <v>6</v>
      </c>
      <c r="B13" s="638" t="s">
        <v>152</v>
      </c>
      <c r="E13" s="646">
        <f>E11+E12</f>
        <v>0</v>
      </c>
      <c r="F13" s="646">
        <f>F11+F12</f>
        <v>0</v>
      </c>
      <c r="G13" s="646">
        <f>G11+G12</f>
        <v>0</v>
      </c>
      <c r="H13" s="571" t="str">
        <f t="shared" si="0"/>
        <v xml:space="preserve"> </v>
      </c>
    </row>
    <row r="14" spans="1:8">
      <c r="E14" s="648"/>
      <c r="F14" s="648"/>
      <c r="G14" s="648"/>
      <c r="H14" s="571"/>
    </row>
    <row r="15" spans="1:8">
      <c r="B15" s="638" t="s">
        <v>92</v>
      </c>
      <c r="E15" s="648"/>
      <c r="F15" s="648"/>
      <c r="G15" s="648"/>
      <c r="H15" s="571"/>
    </row>
    <row r="16" spans="1:8">
      <c r="B16" s="638" t="s">
        <v>93</v>
      </c>
      <c r="E16" s="648"/>
      <c r="F16" s="648"/>
      <c r="G16" s="648"/>
      <c r="H16" s="571"/>
    </row>
    <row r="17" spans="1:8">
      <c r="A17" s="633">
        <v>7</v>
      </c>
      <c r="B17" s="638" t="s">
        <v>153</v>
      </c>
      <c r="E17" s="644"/>
      <c r="F17" s="644"/>
      <c r="G17" s="644"/>
      <c r="H17" s="571" t="str">
        <f>IF(E17=F17+G17," ","ERROR")</f>
        <v xml:space="preserve"> </v>
      </c>
    </row>
    <row r="18" spans="1:8">
      <c r="A18" s="633">
        <v>8</v>
      </c>
      <c r="B18" s="638" t="s">
        <v>154</v>
      </c>
      <c r="E18" s="644"/>
      <c r="F18" s="644"/>
      <c r="G18" s="644"/>
      <c r="H18" s="571" t="str">
        <f>IF(E18=F18+G18," ","ERROR")</f>
        <v xml:space="preserve"> </v>
      </c>
    </row>
    <row r="19" spans="1:8">
      <c r="A19" s="633">
        <v>9</v>
      </c>
      <c r="B19" s="638" t="s">
        <v>155</v>
      </c>
      <c r="E19" s="644"/>
      <c r="F19" s="644"/>
      <c r="G19" s="644"/>
      <c r="H19" s="571" t="str">
        <f>IF(E19=F19+G19," ","ERROR")</f>
        <v xml:space="preserve"> </v>
      </c>
    </row>
    <row r="20" spans="1:8">
      <c r="A20" s="633">
        <v>10</v>
      </c>
      <c r="B20" s="638" t="s">
        <v>156</v>
      </c>
      <c r="E20" s="644"/>
      <c r="F20" s="644"/>
      <c r="G20" s="644"/>
      <c r="H20" s="571" t="str">
        <f>IF(E20=F20+G20," ","ERROR")</f>
        <v xml:space="preserve"> </v>
      </c>
    </row>
    <row r="21" spans="1:8">
      <c r="A21" s="633">
        <v>11</v>
      </c>
      <c r="B21" s="638" t="s">
        <v>157</v>
      </c>
      <c r="E21" s="646">
        <f>E17+E18+E19+E20</f>
        <v>0</v>
      </c>
      <c r="F21" s="646">
        <f>F17+F18+F19+F20</f>
        <v>0</v>
      </c>
      <c r="G21" s="646">
        <f>G17+G18+G19+G20</f>
        <v>0</v>
      </c>
      <c r="H21" s="571" t="str">
        <f>IF(E21=F21+G21," ","ERROR")</f>
        <v xml:space="preserve"> </v>
      </c>
    </row>
    <row r="22" spans="1:8">
      <c r="E22" s="648"/>
      <c r="F22" s="648"/>
      <c r="G22" s="648"/>
      <c r="H22" s="571"/>
    </row>
    <row r="23" spans="1:8">
      <c r="B23" s="638" t="s">
        <v>98</v>
      </c>
      <c r="E23" s="648"/>
      <c r="F23" s="648"/>
      <c r="G23" s="648"/>
      <c r="H23" s="571"/>
    </row>
    <row r="24" spans="1:8">
      <c r="A24" s="633">
        <v>12</v>
      </c>
      <c r="B24" s="638" t="s">
        <v>153</v>
      </c>
      <c r="E24" s="644"/>
      <c r="F24" s="644"/>
      <c r="G24" s="644"/>
      <c r="H24" s="571" t="str">
        <f>IF(E24=F24+G24," ","ERROR")</f>
        <v xml:space="preserve"> </v>
      </c>
    </row>
    <row r="25" spans="1:8">
      <c r="A25" s="633">
        <v>13</v>
      </c>
      <c r="B25" s="638" t="s">
        <v>158</v>
      </c>
      <c r="E25" s="644"/>
      <c r="F25" s="644"/>
      <c r="G25" s="644"/>
      <c r="H25" s="571" t="str">
        <f>IF(E25=F25+G25," ","ERROR")</f>
        <v xml:space="preserve"> </v>
      </c>
    </row>
    <row r="26" spans="1:8">
      <c r="A26" s="633">
        <v>14</v>
      </c>
      <c r="B26" s="638" t="s">
        <v>156</v>
      </c>
      <c r="E26" s="644">
        <f>F26+G26</f>
        <v>0</v>
      </c>
      <c r="F26" s="644"/>
      <c r="G26" s="918">
        <f>G109</f>
        <v>0</v>
      </c>
      <c r="H26" s="571" t="str">
        <f>IF(E26=F26+G26," ","ERROR")</f>
        <v xml:space="preserve"> </v>
      </c>
    </row>
    <row r="27" spans="1:8">
      <c r="A27" s="633">
        <v>15</v>
      </c>
      <c r="B27" s="638" t="s">
        <v>159</v>
      </c>
      <c r="E27" s="646">
        <f>E24+E25+E26</f>
        <v>0</v>
      </c>
      <c r="F27" s="646">
        <f>F24+F25+F26</f>
        <v>0</v>
      </c>
      <c r="G27" s="646">
        <f>G24+G25+G26</f>
        <v>0</v>
      </c>
      <c r="H27" s="571" t="str">
        <f>IF(E27=F27+G27," ","ERROR")</f>
        <v xml:space="preserve"> </v>
      </c>
    </row>
    <row r="28" spans="1:8">
      <c r="E28" s="648"/>
      <c r="F28" s="648"/>
      <c r="G28" s="648"/>
      <c r="H28" s="571"/>
    </row>
    <row r="29" spans="1:8">
      <c r="A29" s="633">
        <v>16</v>
      </c>
      <c r="B29" s="638" t="s">
        <v>101</v>
      </c>
      <c r="E29" s="644"/>
      <c r="F29" s="644"/>
      <c r="G29" s="644"/>
      <c r="H29" s="571" t="str">
        <f>IF(E29=F29+G29," ","ERROR")</f>
        <v xml:space="preserve"> </v>
      </c>
    </row>
    <row r="30" spans="1:8">
      <c r="A30" s="633">
        <v>17</v>
      </c>
      <c r="B30" s="638" t="s">
        <v>102</v>
      </c>
      <c r="E30" s="644"/>
      <c r="F30" s="644"/>
      <c r="G30" s="644"/>
      <c r="H30" s="571" t="str">
        <f>IF(E30=F30+G30," ","ERROR")</f>
        <v xml:space="preserve"> </v>
      </c>
    </row>
    <row r="31" spans="1:8">
      <c r="A31" s="633">
        <v>18</v>
      </c>
      <c r="B31" s="638" t="s">
        <v>160</v>
      </c>
      <c r="E31" s="644"/>
      <c r="F31" s="644"/>
      <c r="G31" s="644"/>
      <c r="H31" s="571" t="str">
        <f>IF(E31=F31+G31," ","ERROR")</f>
        <v xml:space="preserve"> </v>
      </c>
    </row>
    <row r="32" spans="1:8">
      <c r="E32" s="648"/>
      <c r="F32" s="648"/>
      <c r="G32" s="648"/>
      <c r="H32" s="571"/>
    </row>
    <row r="33" spans="1:9">
      <c r="B33" s="638" t="s">
        <v>104</v>
      </c>
      <c r="E33" s="648"/>
      <c r="F33" s="648"/>
      <c r="G33" s="648"/>
      <c r="H33" s="571"/>
    </row>
    <row r="34" spans="1:9">
      <c r="A34" s="633">
        <v>19</v>
      </c>
      <c r="B34" s="638" t="s">
        <v>153</v>
      </c>
      <c r="E34" s="644"/>
      <c r="F34" s="644"/>
      <c r="G34" s="644"/>
      <c r="H34" s="571" t="str">
        <f>IF(E34=F34+G34," ","ERROR")</f>
        <v xml:space="preserve"> </v>
      </c>
    </row>
    <row r="35" spans="1:9">
      <c r="A35" s="633">
        <v>20</v>
      </c>
      <c r="B35" s="638" t="s">
        <v>158</v>
      </c>
      <c r="E35" s="644"/>
      <c r="F35" s="644"/>
      <c r="G35" s="644"/>
      <c r="H35" s="571" t="str">
        <f>IF(E35=F35+G35," ","ERROR")</f>
        <v xml:space="preserve"> </v>
      </c>
    </row>
    <row r="36" spans="1:9">
      <c r="A36" s="633">
        <v>21</v>
      </c>
      <c r="B36" s="638" t="s">
        <v>156</v>
      </c>
      <c r="E36" s="644"/>
      <c r="F36" s="644"/>
      <c r="G36" s="644"/>
      <c r="H36" s="571" t="str">
        <f>IF(E36=F36+G36," ","ERROR")</f>
        <v xml:space="preserve"> </v>
      </c>
    </row>
    <row r="37" spans="1:9">
      <c r="A37" s="633">
        <v>22</v>
      </c>
      <c r="B37" s="638" t="s">
        <v>161</v>
      </c>
      <c r="E37" s="649">
        <f>E34+E35+E36</f>
        <v>0</v>
      </c>
      <c r="F37" s="649">
        <f>F34+F35+F36</f>
        <v>0</v>
      </c>
      <c r="G37" s="649">
        <f>G34+G35+G36</f>
        <v>0</v>
      </c>
      <c r="H37" s="571" t="str">
        <f>IF(E37=F37+G37," ","ERROR")</f>
        <v xml:space="preserve"> </v>
      </c>
    </row>
    <row r="38" spans="1:9">
      <c r="A38" s="633">
        <v>23</v>
      </c>
      <c r="B38" s="638" t="s">
        <v>106</v>
      </c>
      <c r="E38" s="650">
        <f>E21+E27+E29+E30+E31+E37</f>
        <v>0</v>
      </c>
      <c r="F38" s="650">
        <f>F21+F27+F29+F30+F31+F37</f>
        <v>0</v>
      </c>
      <c r="G38" s="650">
        <f>G21+G27+G29+G30+G31+G37</f>
        <v>0</v>
      </c>
      <c r="H38" s="571" t="str">
        <f>IF(E38=F38+G38," ","ERROR")</f>
        <v xml:space="preserve"> </v>
      </c>
    </row>
    <row r="39" spans="1:9">
      <c r="E39" s="648"/>
      <c r="F39" s="648"/>
      <c r="G39" s="648"/>
      <c r="H39" s="571"/>
    </row>
    <row r="40" spans="1:9">
      <c r="A40" s="633">
        <v>24</v>
      </c>
      <c r="B40" s="638" t="s">
        <v>162</v>
      </c>
      <c r="E40" s="648">
        <f>E13-E38</f>
        <v>0</v>
      </c>
      <c r="F40" s="648">
        <f>F13-F38</f>
        <v>0</v>
      </c>
      <c r="G40" s="648">
        <f>G13-G38</f>
        <v>0</v>
      </c>
      <c r="H40" s="571" t="str">
        <f>IF(E40=F40+G40," ","ERROR")</f>
        <v xml:space="preserve"> </v>
      </c>
    </row>
    <row r="41" spans="1:9">
      <c r="B41" s="638"/>
      <c r="E41" s="648"/>
      <c r="F41" s="648"/>
      <c r="G41" s="648"/>
      <c r="H41" s="571"/>
    </row>
    <row r="42" spans="1:9">
      <c r="B42" s="638" t="s">
        <v>163</v>
      </c>
      <c r="E42" s="648"/>
      <c r="F42" s="648"/>
      <c r="G42" s="648"/>
      <c r="H42" s="571"/>
    </row>
    <row r="43" spans="1:9">
      <c r="A43" s="633">
        <v>25</v>
      </c>
      <c r="B43" s="638" t="s">
        <v>222</v>
      </c>
      <c r="E43" s="644">
        <f>F43+G43</f>
        <v>-894.37865999999917</v>
      </c>
      <c r="F43" s="837">
        <f>DebtCalc!F64</f>
        <v>-894.37865999999917</v>
      </c>
      <c r="G43" s="837">
        <v>0</v>
      </c>
      <c r="H43" s="571" t="str">
        <f>IF(E43=F43+G43," ","ERROR")</f>
        <v xml:space="preserve"> </v>
      </c>
      <c r="I43" s="838" t="s">
        <v>387</v>
      </c>
    </row>
    <row r="44" spans="1:9">
      <c r="A44" s="633">
        <v>26</v>
      </c>
      <c r="B44" s="638" t="s">
        <v>237</v>
      </c>
      <c r="E44" s="644"/>
      <c r="F44" s="644"/>
      <c r="G44" s="644"/>
      <c r="H44" s="571" t="str">
        <f>IF(E44=F44+G44," ","ERROR")</f>
        <v xml:space="preserve"> </v>
      </c>
    </row>
    <row r="45" spans="1:9" ht="12.75">
      <c r="A45"/>
      <c r="B45"/>
      <c r="C45"/>
      <c r="D45"/>
      <c r="E45" s="913"/>
      <c r="F45" s="913"/>
      <c r="G45" s="913"/>
      <c r="H45" s="571" t="str">
        <f>IF(E45=F45+G45," ","ERROR")</f>
        <v xml:space="preserve"> </v>
      </c>
    </row>
    <row r="46" spans="1:9">
      <c r="A46" s="259"/>
      <c r="B46" s="262"/>
      <c r="C46" s="256"/>
      <c r="D46" s="256"/>
      <c r="E46" s="269"/>
      <c r="F46" s="269"/>
      <c r="G46" s="269"/>
      <c r="H46" s="571"/>
    </row>
    <row r="47" spans="1:9" s="641" customFormat="1">
      <c r="A47" s="263">
        <v>27</v>
      </c>
      <c r="B47" s="264" t="s">
        <v>113</v>
      </c>
      <c r="C47" s="265"/>
      <c r="D47" s="265"/>
      <c r="E47" s="273">
        <f>E40-SUM(E43:E44)</f>
        <v>894.37865999999917</v>
      </c>
      <c r="F47" s="273">
        <f>F40-SUM(F43:F44)</f>
        <v>894.37865999999917</v>
      </c>
      <c r="G47" s="273">
        <f>G40-SUM(G43:G44)</f>
        <v>0</v>
      </c>
      <c r="H47" s="571" t="str">
        <f>IF(E47=F47+G47," ","ERROR")</f>
        <v xml:space="preserve"> </v>
      </c>
    </row>
    <row r="48" spans="1:9">
      <c r="A48" s="259"/>
      <c r="H48" s="571"/>
    </row>
    <row r="49" spans="1:8">
      <c r="A49" s="259"/>
      <c r="B49" s="638" t="s">
        <v>114</v>
      </c>
      <c r="H49" s="571"/>
    </row>
    <row r="50" spans="1:8">
      <c r="A50" s="259"/>
      <c r="B50" s="638" t="s">
        <v>115</v>
      </c>
      <c r="H50" s="571"/>
    </row>
    <row r="51" spans="1:8" s="641" customFormat="1">
      <c r="A51" s="263">
        <v>28</v>
      </c>
      <c r="B51" s="640" t="s">
        <v>167</v>
      </c>
      <c r="E51" s="642"/>
      <c r="F51" s="642"/>
      <c r="G51" s="642"/>
      <c r="H51" s="571" t="str">
        <f t="shared" ref="H51:H61" si="1">IF(E51=F51+G51," ","ERROR")</f>
        <v xml:space="preserve"> </v>
      </c>
    </row>
    <row r="52" spans="1:8">
      <c r="A52" s="259">
        <v>29</v>
      </c>
      <c r="B52" s="638" t="s">
        <v>168</v>
      </c>
      <c r="E52" s="644"/>
      <c r="F52" s="644"/>
      <c r="G52" s="644"/>
      <c r="H52" s="571" t="str">
        <f t="shared" si="1"/>
        <v xml:space="preserve"> </v>
      </c>
    </row>
    <row r="53" spans="1:8">
      <c r="A53" s="259">
        <v>30</v>
      </c>
      <c r="B53" s="638" t="s">
        <v>169</v>
      </c>
      <c r="E53" s="644"/>
      <c r="F53" s="644"/>
      <c r="G53" s="644"/>
      <c r="H53" s="571" t="str">
        <f t="shared" si="1"/>
        <v xml:space="preserve"> </v>
      </c>
    </row>
    <row r="54" spans="1:8">
      <c r="A54" s="259">
        <v>31</v>
      </c>
      <c r="B54" s="638" t="s">
        <v>170</v>
      </c>
      <c r="E54" s="644"/>
      <c r="F54" s="644"/>
      <c r="G54" s="644"/>
      <c r="H54" s="571" t="str">
        <f t="shared" si="1"/>
        <v xml:space="preserve"> </v>
      </c>
    </row>
    <row r="55" spans="1:8">
      <c r="A55" s="259">
        <v>32</v>
      </c>
      <c r="B55" s="638" t="s">
        <v>171</v>
      </c>
      <c r="E55" s="651"/>
      <c r="F55" s="651"/>
      <c r="G55" s="651"/>
      <c r="H55" s="571" t="str">
        <f t="shared" si="1"/>
        <v xml:space="preserve"> </v>
      </c>
    </row>
    <row r="56" spans="1:8">
      <c r="A56" s="259">
        <v>33</v>
      </c>
      <c r="B56" s="638" t="s">
        <v>172</v>
      </c>
      <c r="E56" s="648">
        <f>E51+E52+E53+E54+E55</f>
        <v>0</v>
      </c>
      <c r="F56" s="648">
        <f>F51+F52+F53+F54+F55</f>
        <v>0</v>
      </c>
      <c r="G56" s="648">
        <f>G51+G52+G53+G54+G55</f>
        <v>0</v>
      </c>
      <c r="H56" s="571" t="str">
        <f t="shared" si="1"/>
        <v xml:space="preserve"> </v>
      </c>
    </row>
    <row r="57" spans="1:8">
      <c r="A57" s="259">
        <v>34</v>
      </c>
      <c r="B57" s="638" t="s">
        <v>121</v>
      </c>
      <c r="E57" s="644"/>
      <c r="F57" s="644"/>
      <c r="G57" s="644"/>
      <c r="H57" s="571" t="str">
        <f t="shared" si="1"/>
        <v xml:space="preserve"> </v>
      </c>
    </row>
    <row r="58" spans="1:8">
      <c r="A58" s="259">
        <v>35</v>
      </c>
      <c r="B58" s="638" t="s">
        <v>122</v>
      </c>
      <c r="E58" s="651"/>
      <c r="F58" s="651"/>
      <c r="G58" s="651"/>
      <c r="H58" s="571" t="str">
        <f t="shared" si="1"/>
        <v xml:space="preserve"> </v>
      </c>
    </row>
    <row r="59" spans="1:8">
      <c r="A59" s="259">
        <v>36</v>
      </c>
      <c r="B59" s="638" t="s">
        <v>173</v>
      </c>
      <c r="E59" s="648">
        <f>E57+E58</f>
        <v>0</v>
      </c>
      <c r="F59" s="648">
        <f>F57+F58</f>
        <v>0</v>
      </c>
      <c r="G59" s="648">
        <f>G57+G58</f>
        <v>0</v>
      </c>
      <c r="H59" s="571" t="str">
        <f t="shared" si="1"/>
        <v xml:space="preserve"> </v>
      </c>
    </row>
    <row r="60" spans="1:8">
      <c r="A60" s="259">
        <v>37</v>
      </c>
      <c r="B60" s="638" t="s">
        <v>124</v>
      </c>
      <c r="E60" s="644"/>
      <c r="F60" s="644"/>
      <c r="G60" s="644"/>
      <c r="H60" s="571" t="str">
        <f t="shared" si="1"/>
        <v xml:space="preserve"> </v>
      </c>
    </row>
    <row r="61" spans="1:8">
      <c r="A61" s="259">
        <v>38</v>
      </c>
      <c r="B61" s="638" t="s">
        <v>125</v>
      </c>
      <c r="E61" s="651"/>
      <c r="F61" s="651"/>
      <c r="G61" s="651"/>
      <c r="H61" s="571" t="str">
        <f t="shared" si="1"/>
        <v xml:space="preserve"> </v>
      </c>
    </row>
    <row r="62" spans="1:8">
      <c r="A62" s="259"/>
      <c r="H62" s="571"/>
    </row>
    <row r="63" spans="1:8" s="641" customFormat="1" ht="12.75" thickBot="1">
      <c r="A63" s="263">
        <v>39</v>
      </c>
      <c r="B63" s="640" t="s">
        <v>126</v>
      </c>
      <c r="E63" s="654">
        <f>E56-E59+E60+E61</f>
        <v>0</v>
      </c>
      <c r="F63" s="654">
        <f>F56-F59+F60+F61</f>
        <v>0</v>
      </c>
      <c r="G63" s="654">
        <f>G56-G59+G60+G61</f>
        <v>0</v>
      </c>
      <c r="H63" s="571" t="str">
        <f>IF(E63=F63+G63," ","ERROR")</f>
        <v xml:space="preserve"> </v>
      </c>
    </row>
    <row r="64" spans="1:8" ht="12.75" thickTop="1"/>
    <row r="65" spans="1:8">
      <c r="A65" s="627" t="str">
        <f>Inputs!$D$6</f>
        <v>AVISTA UTILITIES</v>
      </c>
      <c r="B65" s="628"/>
      <c r="C65" s="627"/>
      <c r="D65" s="655"/>
      <c r="E65" s="656"/>
      <c r="F65" s="655"/>
      <c r="G65" s="657"/>
      <c r="H65" s="583"/>
    </row>
    <row r="66" spans="1:8">
      <c r="A66" s="628" t="s">
        <v>225</v>
      </c>
      <c r="B66" s="628"/>
      <c r="C66" s="628"/>
      <c r="D66" s="658"/>
      <c r="E66" s="659"/>
      <c r="F66" s="658"/>
      <c r="G66" s="660"/>
      <c r="H66" s="583"/>
    </row>
    <row r="67" spans="1:8">
      <c r="A67" s="628" t="str">
        <f>A3</f>
        <v>TWELVE MONTHS ENDED SEPTEMBER 30, 2008</v>
      </c>
      <c r="B67" s="628"/>
      <c r="C67" s="628"/>
      <c r="D67" s="658"/>
      <c r="E67" s="659"/>
      <c r="F67" s="658"/>
      <c r="G67" s="661" t="str">
        <f>E2</f>
        <v>RESTATE</v>
      </c>
      <c r="H67" s="583"/>
    </row>
    <row r="68" spans="1:8">
      <c r="A68" s="628" t="s">
        <v>226</v>
      </c>
      <c r="B68" s="628"/>
      <c r="C68" s="628"/>
      <c r="D68" s="658"/>
      <c r="E68" s="659"/>
      <c r="F68" s="658"/>
      <c r="G68" s="661" t="str">
        <f>E3</f>
        <v>DEBT INTEREST</v>
      </c>
      <c r="H68" s="583"/>
    </row>
    <row r="69" spans="1:8">
      <c r="B69" s="658"/>
      <c r="C69" s="658"/>
      <c r="D69" s="658"/>
      <c r="E69" s="662"/>
      <c r="F69" s="663"/>
      <c r="G69" s="664" t="str">
        <f>E4</f>
        <v>ELECTRIC</v>
      </c>
      <c r="H69" s="587"/>
    </row>
    <row r="70" spans="1:8">
      <c r="B70" s="658"/>
      <c r="C70" s="658"/>
      <c r="D70" s="658"/>
      <c r="E70" s="659"/>
      <c r="F70" s="658"/>
      <c r="G70" s="661"/>
      <c r="H70" s="583"/>
    </row>
    <row r="71" spans="1:8">
      <c r="B71" s="666" t="s">
        <v>134</v>
      </c>
      <c r="C71" s="663"/>
      <c r="D71" s="658"/>
      <c r="E71" s="659"/>
      <c r="F71" s="658"/>
      <c r="G71" s="664" t="s">
        <v>128</v>
      </c>
      <c r="H71" s="583"/>
    </row>
    <row r="72" spans="1:8">
      <c r="B72" s="638" t="s">
        <v>85</v>
      </c>
      <c r="C72" s="658"/>
      <c r="D72" s="658"/>
      <c r="E72" s="658"/>
      <c r="F72" s="658"/>
      <c r="G72" s="660"/>
      <c r="H72" s="582"/>
    </row>
    <row r="73" spans="1:8">
      <c r="B73" s="640" t="s">
        <v>86</v>
      </c>
      <c r="C73" s="658"/>
      <c r="D73" s="658"/>
      <c r="E73" s="658"/>
      <c r="F73" s="658"/>
      <c r="G73" s="652">
        <f>G8</f>
        <v>0</v>
      </c>
      <c r="H73" s="582"/>
    </row>
    <row r="74" spans="1:8">
      <c r="B74" s="638" t="s">
        <v>87</v>
      </c>
      <c r="C74" s="658"/>
      <c r="D74" s="658"/>
      <c r="E74" s="658"/>
      <c r="F74" s="658"/>
      <c r="G74" s="648">
        <f>G9</f>
        <v>0</v>
      </c>
      <c r="H74" s="582"/>
    </row>
    <row r="75" spans="1:8">
      <c r="B75" s="638" t="s">
        <v>150</v>
      </c>
      <c r="C75" s="658"/>
      <c r="D75" s="658"/>
      <c r="E75" s="658"/>
      <c r="F75" s="658"/>
      <c r="G75" s="650">
        <f>G10</f>
        <v>0</v>
      </c>
      <c r="H75" s="582"/>
    </row>
    <row r="76" spans="1:8">
      <c r="B76" s="638" t="s">
        <v>151</v>
      </c>
      <c r="C76" s="658"/>
      <c r="D76" s="658"/>
      <c r="E76" s="658"/>
      <c r="F76" s="658"/>
      <c r="G76" s="648">
        <f>SUM(G73:G75)</f>
        <v>0</v>
      </c>
      <c r="H76" s="582"/>
    </row>
    <row r="77" spans="1:8">
      <c r="B77" s="638" t="s">
        <v>90</v>
      </c>
      <c r="C77" s="658"/>
      <c r="D77" s="658"/>
      <c r="E77" s="658"/>
      <c r="F77" s="658"/>
      <c r="G77" s="650">
        <f>G12</f>
        <v>0</v>
      </c>
      <c r="H77" s="582"/>
    </row>
    <row r="78" spans="1:8">
      <c r="B78" s="638" t="s">
        <v>152</v>
      </c>
      <c r="C78" s="658"/>
      <c r="D78" s="658"/>
      <c r="E78" s="658"/>
      <c r="F78" s="658"/>
      <c r="G78" s="648">
        <f>G76+G77</f>
        <v>0</v>
      </c>
      <c r="H78" s="582"/>
    </row>
    <row r="79" spans="1:8">
      <c r="C79" s="658"/>
      <c r="D79" s="658"/>
      <c r="E79" s="658"/>
      <c r="F79" s="658"/>
      <c r="G79" s="648"/>
      <c r="H79" s="582"/>
    </row>
    <row r="80" spans="1:8">
      <c r="B80" s="638" t="s">
        <v>92</v>
      </c>
      <c r="C80" s="658"/>
      <c r="D80" s="658"/>
      <c r="E80" s="658"/>
      <c r="F80" s="658"/>
      <c r="G80" s="648"/>
      <c r="H80" s="582"/>
    </row>
    <row r="81" spans="1:8">
      <c r="B81" s="638" t="s">
        <v>93</v>
      </c>
      <c r="C81" s="658"/>
      <c r="D81" s="658"/>
      <c r="E81" s="658"/>
      <c r="F81" s="658"/>
      <c r="G81" s="648"/>
      <c r="H81" s="582"/>
    </row>
    <row r="82" spans="1:8">
      <c r="B82" s="638" t="s">
        <v>153</v>
      </c>
      <c r="C82" s="658"/>
      <c r="D82" s="658"/>
      <c r="E82" s="658"/>
      <c r="F82" s="658"/>
      <c r="G82" s="648">
        <f>G17</f>
        <v>0</v>
      </c>
      <c r="H82" s="582"/>
    </row>
    <row r="83" spans="1:8">
      <c r="B83" s="638" t="s">
        <v>154</v>
      </c>
      <c r="C83" s="658"/>
      <c r="D83" s="658"/>
      <c r="E83" s="658"/>
      <c r="F83" s="658"/>
      <c r="G83" s="648">
        <f>G18</f>
        <v>0</v>
      </c>
      <c r="H83" s="582"/>
    </row>
    <row r="84" spans="1:8">
      <c r="B84" s="638" t="s">
        <v>155</v>
      </c>
      <c r="C84" s="658"/>
      <c r="D84" s="658"/>
      <c r="E84" s="658"/>
      <c r="F84" s="658"/>
      <c r="G84" s="648">
        <f>G19</f>
        <v>0</v>
      </c>
      <c r="H84" s="582"/>
    </row>
    <row r="85" spans="1:8">
      <c r="B85" s="638" t="s">
        <v>156</v>
      </c>
      <c r="C85" s="658"/>
      <c r="D85" s="658"/>
      <c r="E85" s="658"/>
      <c r="F85" s="658"/>
      <c r="G85" s="650">
        <f>G20</f>
        <v>0</v>
      </c>
      <c r="H85" s="582"/>
    </row>
    <row r="86" spans="1:8">
      <c r="B86" s="638" t="s">
        <v>157</v>
      </c>
      <c r="C86" s="658"/>
      <c r="D86" s="658"/>
      <c r="E86" s="658"/>
      <c r="F86" s="658"/>
      <c r="G86" s="648">
        <f>SUM(G82:G85)</f>
        <v>0</v>
      </c>
      <c r="H86" s="582"/>
    </row>
    <row r="87" spans="1:8">
      <c r="C87" s="658"/>
      <c r="D87" s="658"/>
      <c r="E87" s="658"/>
      <c r="F87" s="658"/>
      <c r="G87" s="648"/>
      <c r="H87" s="582"/>
    </row>
    <row r="88" spans="1:8">
      <c r="B88" s="638" t="s">
        <v>98</v>
      </c>
      <c r="C88" s="658"/>
      <c r="D88" s="658"/>
      <c r="E88" s="658"/>
      <c r="F88" s="658"/>
      <c r="G88" s="648"/>
      <c r="H88" s="582"/>
    </row>
    <row r="89" spans="1:8">
      <c r="B89" s="638" t="s">
        <v>153</v>
      </c>
      <c r="C89" s="658"/>
      <c r="D89" s="658"/>
      <c r="E89" s="658"/>
      <c r="F89" s="658"/>
      <c r="G89" s="648">
        <f>G24</f>
        <v>0</v>
      </c>
      <c r="H89" s="582"/>
    </row>
    <row r="90" spans="1:8">
      <c r="B90" s="638" t="s">
        <v>158</v>
      </c>
      <c r="C90" s="658"/>
      <c r="D90" s="658"/>
      <c r="E90" s="658"/>
      <c r="F90" s="658"/>
      <c r="G90" s="648">
        <f>G25</f>
        <v>0</v>
      </c>
      <c r="H90" s="582"/>
    </row>
    <row r="91" spans="1:8">
      <c r="A91" s="629"/>
      <c r="B91" s="638" t="s">
        <v>156</v>
      </c>
      <c r="C91" s="658"/>
      <c r="D91" s="658"/>
      <c r="E91" s="658"/>
      <c r="F91" s="658"/>
      <c r="G91" s="648"/>
      <c r="H91" s="582"/>
    </row>
    <row r="92" spans="1:8">
      <c r="A92" s="629"/>
      <c r="B92" s="638" t="s">
        <v>159</v>
      </c>
      <c r="C92" s="658"/>
      <c r="D92" s="658"/>
      <c r="E92" s="658"/>
      <c r="F92" s="658"/>
      <c r="G92" s="646">
        <f>SUM(G89:G91)</f>
        <v>0</v>
      </c>
      <c r="H92" s="582"/>
    </row>
    <row r="93" spans="1:8">
      <c r="A93" s="629"/>
      <c r="C93" s="658"/>
      <c r="D93" s="658"/>
      <c r="E93" s="658"/>
      <c r="F93" s="658"/>
      <c r="G93" s="648"/>
      <c r="H93" s="582"/>
    </row>
    <row r="94" spans="1:8">
      <c r="A94" s="629"/>
      <c r="B94" s="638" t="s">
        <v>101</v>
      </c>
      <c r="C94" s="658"/>
      <c r="D94" s="658"/>
      <c r="E94" s="658"/>
      <c r="F94" s="658"/>
      <c r="G94" s="648">
        <f>G29</f>
        <v>0</v>
      </c>
      <c r="H94" s="582"/>
    </row>
    <row r="95" spans="1:8">
      <c r="A95" s="629"/>
      <c r="B95" s="638" t="s">
        <v>102</v>
      </c>
      <c r="C95" s="658"/>
      <c r="D95" s="658"/>
      <c r="E95" s="658"/>
      <c r="F95" s="658"/>
      <c r="G95" s="648">
        <f>G30</f>
        <v>0</v>
      </c>
      <c r="H95" s="582"/>
    </row>
    <row r="96" spans="1:8">
      <c r="A96" s="629"/>
      <c r="B96" s="638" t="s">
        <v>160</v>
      </c>
      <c r="C96" s="658"/>
      <c r="D96" s="658"/>
      <c r="E96" s="658"/>
      <c r="F96" s="658"/>
      <c r="G96" s="648">
        <f>G31</f>
        <v>0</v>
      </c>
      <c r="H96" s="582"/>
    </row>
    <row r="97" spans="1:8">
      <c r="A97" s="629"/>
      <c r="C97" s="658"/>
      <c r="D97" s="658"/>
      <c r="E97" s="658"/>
      <c r="F97" s="658"/>
      <c r="G97" s="648"/>
      <c r="H97" s="582"/>
    </row>
    <row r="98" spans="1:8">
      <c r="A98" s="629"/>
      <c r="B98" s="638" t="s">
        <v>104</v>
      </c>
      <c r="C98" s="658"/>
      <c r="D98" s="658"/>
      <c r="E98" s="658"/>
      <c r="F98" s="658"/>
      <c r="G98" s="648"/>
      <c r="H98" s="582"/>
    </row>
    <row r="99" spans="1:8">
      <c r="A99" s="629"/>
      <c r="B99" s="638" t="s">
        <v>153</v>
      </c>
      <c r="C99" s="658"/>
      <c r="D99" s="658"/>
      <c r="E99" s="658"/>
      <c r="F99" s="658"/>
      <c r="G99" s="648">
        <f>G34</f>
        <v>0</v>
      </c>
      <c r="H99" s="582"/>
    </row>
    <row r="100" spans="1:8">
      <c r="A100" s="629"/>
      <c r="B100" s="638" t="s">
        <v>158</v>
      </c>
      <c r="C100" s="658"/>
      <c r="D100" s="658"/>
      <c r="E100" s="658"/>
      <c r="F100" s="658"/>
      <c r="G100" s="648">
        <f>G35</f>
        <v>0</v>
      </c>
      <c r="H100" s="582"/>
    </row>
    <row r="101" spans="1:8">
      <c r="A101" s="629"/>
      <c r="B101" s="638" t="s">
        <v>156</v>
      </c>
      <c r="C101" s="658"/>
      <c r="D101" s="658"/>
      <c r="E101" s="658"/>
      <c r="F101" s="658"/>
      <c r="G101" s="650">
        <f>G36</f>
        <v>0</v>
      </c>
      <c r="H101" s="582"/>
    </row>
    <row r="102" spans="1:8">
      <c r="A102" s="629"/>
      <c r="B102" s="638" t="s">
        <v>161</v>
      </c>
      <c r="C102" s="658"/>
      <c r="D102" s="658"/>
      <c r="E102" s="658"/>
      <c r="F102" s="658"/>
      <c r="G102" s="648">
        <f>G99+G100+G101</f>
        <v>0</v>
      </c>
      <c r="H102" s="582"/>
    </row>
    <row r="103" spans="1:8">
      <c r="A103" s="629"/>
      <c r="B103" s="658"/>
      <c r="C103" s="658"/>
      <c r="D103" s="658"/>
      <c r="E103" s="658"/>
      <c r="F103" s="658"/>
      <c r="G103" s="648"/>
      <c r="H103" s="582"/>
    </row>
    <row r="104" spans="1:8">
      <c r="A104" s="629"/>
      <c r="B104" s="658" t="s">
        <v>106</v>
      </c>
      <c r="C104" s="658"/>
      <c r="D104" s="658"/>
      <c r="E104" s="658"/>
      <c r="F104" s="658"/>
      <c r="G104" s="649">
        <f>G86+G92+G94+G95+G96+G102</f>
        <v>0</v>
      </c>
      <c r="H104" s="582"/>
    </row>
    <row r="105" spans="1:8">
      <c r="A105" s="629"/>
      <c r="B105" s="658"/>
      <c r="C105" s="658"/>
      <c r="D105" s="658"/>
      <c r="E105" s="658"/>
      <c r="F105" s="658"/>
      <c r="G105" s="648"/>
      <c r="H105" s="582"/>
    </row>
    <row r="106" spans="1:8">
      <c r="A106" s="629"/>
      <c r="B106" s="658" t="s">
        <v>227</v>
      </c>
      <c r="C106" s="658"/>
      <c r="D106" s="658"/>
      <c r="E106" s="658"/>
      <c r="F106" s="658"/>
      <c r="G106" s="650">
        <f>G78-G104</f>
        <v>0</v>
      </c>
      <c r="H106" s="582"/>
    </row>
    <row r="107" spans="1:8">
      <c r="A107" s="629"/>
      <c r="B107" s="658"/>
      <c r="C107" s="658"/>
      <c r="D107" s="658"/>
      <c r="E107" s="658"/>
      <c r="F107" s="658"/>
      <c r="G107" s="648"/>
      <c r="H107" s="582"/>
    </row>
    <row r="108" spans="1:8">
      <c r="A108" s="629"/>
      <c r="B108" s="658" t="s">
        <v>228</v>
      </c>
      <c r="C108" s="658"/>
      <c r="D108" s="658"/>
      <c r="E108" s="659"/>
      <c r="F108" s="658"/>
      <c r="G108" s="648"/>
      <c r="H108" s="582"/>
    </row>
    <row r="109" spans="1:8" ht="12.75" thickBot="1">
      <c r="A109" s="629"/>
      <c r="B109" s="667" t="s">
        <v>229</v>
      </c>
      <c r="C109" s="668">
        <f>Inputs!$D$4</f>
        <v>1.2215999999999999E-2</v>
      </c>
      <c r="D109" s="658"/>
      <c r="E109" s="659"/>
      <c r="F109" s="658"/>
      <c r="G109" s="654">
        <f>ROUND(G106*C109,0)</f>
        <v>0</v>
      </c>
      <c r="H109" s="582"/>
    </row>
    <row r="110" spans="1:8" ht="12.75" thickTop="1">
      <c r="A110" s="629"/>
      <c r="B110" s="658"/>
      <c r="C110" s="658"/>
      <c r="D110" s="658"/>
      <c r="E110" s="659"/>
      <c r="F110" s="658"/>
      <c r="G110" s="660"/>
      <c r="H110" s="582"/>
    </row>
  </sheetData>
  <customSheetViews>
    <customSheetView guid="{A15D1962-B049-11D2-8670-0000832CEEE8}" showPageBreaks="1" showRuler="0" topLeftCell="A57">
      <selection activeCell="A69" sqref="A69"/>
      <rowBreaks count="1" manualBreakCount="1">
        <brk id="65" max="65535" man="1"/>
      </rowBreaks>
      <colBreaks count="2" manualBreakCount="2">
        <brk id="8" max="1048575" man="1"/>
        <brk id="16" max="1048575" man="1"/>
      </colBreaks>
      <pageMargins left="1" right="0.75" top="0.5" bottom="0.5" header="0.5" footer="0.5"/>
      <pageSetup scale="83" orientation="portrait" horizontalDpi="300" verticalDpi="300" r:id="rId1"/>
      <headerFooter alignWithMargins="0"/>
    </customSheetView>
    <customSheetView guid="{6E1B8C45-B07F-11D2-B0DC-0000832CDFF0}" showPageBreaks="1" printArea="1" hiddenColumns="1" showRuler="0" topLeftCell="A57">
      <selection activeCell="A69" sqref="A69"/>
      <rowBreaks count="1" manualBreakCount="1">
        <brk id="65" max="65535" man="1"/>
      </rowBreaks>
      <colBreaks count="1" manualBreakCount="1">
        <brk id="8" max="1048575" man="1"/>
      </colBreaks>
      <pageMargins left="1" right="0.75" top="0.5" bottom="0.5" header="0.5" footer="0.5"/>
      <pageSetup scale="83" orientation="portrait" horizontalDpi="300" verticalDpi="300" r:id="rId2"/>
      <headerFooter alignWithMargins="0"/>
    </customSheetView>
  </customSheetViews>
  <phoneticPr fontId="0" type="noConversion"/>
  <pageMargins left="1" right="0.75" top="0.75" bottom="0.5" header="0.5" footer="0.5"/>
  <pageSetup scale="90" orientation="portrait" horizontalDpi="300" verticalDpi="300" r:id="rId3"/>
  <headerFooter alignWithMargins="0"/>
  <rowBreaks count="1" manualBreakCount="1">
    <brk id="64" max="16383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6"/>
  <dimension ref="A1:Q55"/>
  <sheetViews>
    <sheetView zoomScaleNormal="100" workbookViewId="0">
      <selection activeCell="F34" sqref="F34"/>
    </sheetView>
  </sheetViews>
  <sheetFormatPr defaultRowHeight="12.75"/>
  <cols>
    <col min="1" max="1" width="11.5703125" style="669" customWidth="1"/>
    <col min="2" max="2" width="9.140625" style="669"/>
    <col min="3" max="3" width="42" style="669" customWidth="1"/>
    <col min="4" max="4" width="5.85546875" style="669" customWidth="1"/>
    <col min="5" max="5" width="20.140625" style="840" customWidth="1"/>
    <col min="6" max="6" width="19.85546875" style="669" bestFit="1" customWidth="1"/>
    <col min="7" max="9" width="9.140625" style="669"/>
    <col min="10" max="10" width="13" style="669" customWidth="1"/>
    <col min="11" max="16" width="9.140625" style="669"/>
    <col min="17" max="17" width="9.140625" style="716"/>
    <col min="18" max="16384" width="9.140625" style="669"/>
  </cols>
  <sheetData>
    <row r="1" spans="1:17" ht="13.5">
      <c r="A1" s="857" t="s">
        <v>261</v>
      </c>
      <c r="B1" s="857"/>
      <c r="C1" s="857"/>
      <c r="D1" s="857"/>
      <c r="E1" s="889"/>
      <c r="G1" s="858"/>
    </row>
    <row r="2" spans="1:17" ht="13.5">
      <c r="A2" s="857" t="s">
        <v>396</v>
      </c>
      <c r="B2" s="857"/>
      <c r="C2" s="857"/>
      <c r="D2" s="857"/>
      <c r="E2" s="889"/>
      <c r="G2" s="858"/>
    </row>
    <row r="3" spans="1:17" ht="13.5">
      <c r="A3" s="857" t="s">
        <v>395</v>
      </c>
      <c r="B3" s="857"/>
      <c r="C3" s="857"/>
      <c r="D3" s="857"/>
      <c r="E3" s="889"/>
      <c r="G3" s="858"/>
    </row>
    <row r="4" spans="1:17" ht="13.5">
      <c r="A4" s="857" t="str">
        <f>WAElec09_08!A4</f>
        <v>TWELVE MONTHS ENDED SEPTEMBER 30, 2008</v>
      </c>
      <c r="B4" s="857"/>
      <c r="C4" s="857"/>
      <c r="D4" s="857"/>
      <c r="E4" s="889"/>
      <c r="G4" s="858"/>
    </row>
    <row r="5" spans="1:17">
      <c r="G5" s="858"/>
      <c r="J5" s="876" t="s">
        <v>408</v>
      </c>
    </row>
    <row r="6" spans="1:17" s="674" customFormat="1" ht="13.5">
      <c r="A6" s="674" t="s">
        <v>273</v>
      </c>
      <c r="E6" s="890"/>
      <c r="G6" s="859"/>
      <c r="J6" s="877" t="s">
        <v>394</v>
      </c>
      <c r="Q6" s="984"/>
    </row>
    <row r="7" spans="1:17" s="674" customFormat="1" ht="13.5">
      <c r="A7" s="860" t="s">
        <v>35</v>
      </c>
      <c r="C7" s="860" t="s">
        <v>134</v>
      </c>
      <c r="D7" s="676"/>
      <c r="E7" s="891" t="s">
        <v>397</v>
      </c>
      <c r="G7" s="859"/>
      <c r="Q7" s="984"/>
    </row>
    <row r="8" spans="1:17">
      <c r="G8" s="858"/>
    </row>
    <row r="9" spans="1:17">
      <c r="A9" s="677">
        <v>1</v>
      </c>
      <c r="C9" s="861" t="s">
        <v>53</v>
      </c>
      <c r="E9" s="892">
        <v>1</v>
      </c>
      <c r="J9" s="862">
        <f>RevReq_Exh_WA!E21</f>
        <v>32546</v>
      </c>
    </row>
    <row r="10" spans="1:17">
      <c r="A10" s="677"/>
      <c r="E10" s="892"/>
      <c r="J10" s="858"/>
    </row>
    <row r="11" spans="1:17">
      <c r="A11" s="677"/>
      <c r="C11" s="854" t="s">
        <v>398</v>
      </c>
      <c r="D11" s="855"/>
      <c r="E11" s="892"/>
      <c r="J11" s="858"/>
    </row>
    <row r="12" spans="1:17">
      <c r="A12" s="677">
        <v>2</v>
      </c>
      <c r="C12" s="855" t="s">
        <v>399</v>
      </c>
      <c r="D12" s="855"/>
      <c r="E12" s="893">
        <v>2.5170000000000001E-3</v>
      </c>
      <c r="J12" s="858">
        <f>ROUND($J$9*E12,0)</f>
        <v>82</v>
      </c>
    </row>
    <row r="13" spans="1:17">
      <c r="A13" s="677"/>
      <c r="C13" s="855"/>
      <c r="D13" s="855"/>
      <c r="E13" s="892"/>
      <c r="J13" s="858"/>
    </row>
    <row r="14" spans="1:17">
      <c r="A14" s="677">
        <v>3</v>
      </c>
      <c r="C14" s="855" t="s">
        <v>400</v>
      </c>
      <c r="D14" s="855"/>
      <c r="E14" s="892">
        <v>2E-3</v>
      </c>
      <c r="J14" s="858">
        <f>ROUND($J$9*E14,0)</f>
        <v>65</v>
      </c>
    </row>
    <row r="15" spans="1:17">
      <c r="A15" s="677"/>
      <c r="C15" s="855"/>
      <c r="D15" s="855"/>
      <c r="E15" s="892"/>
      <c r="J15" s="858"/>
    </row>
    <row r="16" spans="1:17">
      <c r="A16" s="677">
        <v>4</v>
      </c>
      <c r="C16" s="855" t="s">
        <v>401</v>
      </c>
      <c r="D16" s="855"/>
      <c r="E16" s="892">
        <v>3.8633000000000001E-2</v>
      </c>
      <c r="J16" s="858">
        <f>ROUND($J$9*E16,0)</f>
        <v>1257</v>
      </c>
    </row>
    <row r="17" spans="1:10">
      <c r="A17" s="677"/>
      <c r="C17" s="855"/>
      <c r="D17" s="855"/>
      <c r="E17" s="892"/>
      <c r="J17" s="858"/>
    </row>
    <row r="18" spans="1:10">
      <c r="A18" s="677">
        <v>5</v>
      </c>
      <c r="C18" s="855" t="s">
        <v>402</v>
      </c>
      <c r="D18" s="855"/>
      <c r="E18" s="894">
        <v>0</v>
      </c>
      <c r="J18" s="858">
        <f>ROUND($J$9*E18,0)</f>
        <v>0</v>
      </c>
    </row>
    <row r="19" spans="1:10">
      <c r="A19" s="677"/>
      <c r="C19" s="855"/>
      <c r="D19" s="855"/>
      <c r="E19" s="894"/>
      <c r="J19" s="858"/>
    </row>
    <row r="20" spans="1:10">
      <c r="A20" s="677">
        <v>6</v>
      </c>
      <c r="C20" s="855" t="s">
        <v>403</v>
      </c>
      <c r="D20" s="855"/>
      <c r="E20" s="895">
        <f>SUM(E12:E18)</f>
        <v>4.3150000000000001E-2</v>
      </c>
      <c r="J20" s="863">
        <f>SUM(J12:J18)</f>
        <v>1404</v>
      </c>
    </row>
    <row r="21" spans="1:10">
      <c r="C21" s="855"/>
      <c r="D21" s="855"/>
      <c r="E21" s="894"/>
      <c r="J21" s="858"/>
    </row>
    <row r="22" spans="1:10">
      <c r="A22" s="677">
        <v>7</v>
      </c>
      <c r="C22" s="855" t="s">
        <v>404</v>
      </c>
      <c r="D22" s="855"/>
      <c r="E22" s="894">
        <f>E9-E20</f>
        <v>0.95684999999999998</v>
      </c>
      <c r="J22" s="864">
        <f>J9-J20</f>
        <v>31142</v>
      </c>
    </row>
    <row r="23" spans="1:10">
      <c r="C23" s="855"/>
      <c r="D23" s="855"/>
      <c r="E23" s="894"/>
      <c r="J23" s="864"/>
    </row>
    <row r="24" spans="1:10">
      <c r="A24" s="677">
        <v>8</v>
      </c>
      <c r="C24" s="855" t="s">
        <v>405</v>
      </c>
      <c r="D24" s="856"/>
      <c r="E24" s="896">
        <f>ROUND(E22*0.35,8)</f>
        <v>0.33489750000000001</v>
      </c>
      <c r="G24" s="858"/>
      <c r="J24" s="865">
        <f>ROUND(J22*0.35,0)</f>
        <v>10900</v>
      </c>
    </row>
    <row r="25" spans="1:10">
      <c r="C25" s="855"/>
      <c r="D25" s="855"/>
      <c r="E25" s="894"/>
      <c r="G25" s="858"/>
    </row>
    <row r="26" spans="1:10" ht="13.5" thickBot="1">
      <c r="A26" s="677">
        <v>9</v>
      </c>
      <c r="C26" s="854" t="s">
        <v>406</v>
      </c>
      <c r="D26" s="855"/>
      <c r="E26" s="1332">
        <f>E22-E24</f>
        <v>0.62195249999999991</v>
      </c>
      <c r="J26" s="1003">
        <f>J22-J24</f>
        <v>20242</v>
      </c>
    </row>
    <row r="27" spans="1:10" ht="13.5" thickTop="1"/>
    <row r="32" spans="1:10">
      <c r="A32" s="1350"/>
      <c r="B32" s="1350"/>
      <c r="C32" s="1350"/>
      <c r="D32" s="1350"/>
      <c r="E32" s="1350"/>
    </row>
    <row r="33" spans="1:17" s="675" customFormat="1" ht="15.75" customHeight="1">
      <c r="A33" s="1351"/>
      <c r="B33" s="1351"/>
      <c r="C33" s="1351"/>
      <c r="D33" s="1351"/>
      <c r="E33" s="1351"/>
      <c r="Q33" s="983"/>
    </row>
    <row r="34" spans="1:17" s="675" customFormat="1">
      <c r="A34" s="1351"/>
      <c r="B34" s="1351"/>
      <c r="C34" s="1351"/>
      <c r="D34" s="1351"/>
      <c r="E34" s="1351"/>
      <c r="J34" s="676"/>
      <c r="Q34" s="983"/>
    </row>
    <row r="35" spans="1:17" s="675" customFormat="1">
      <c r="E35" s="1282"/>
      <c r="J35" s="676"/>
      <c r="Q35" s="983"/>
    </row>
    <row r="36" spans="1:17" s="675" customFormat="1">
      <c r="E36" s="1282"/>
      <c r="J36" s="676"/>
      <c r="Q36" s="983"/>
    </row>
    <row r="37" spans="1:17" s="675" customFormat="1">
      <c r="E37" s="1282"/>
      <c r="Q37" s="983"/>
    </row>
    <row r="38" spans="1:17" s="675" customFormat="1">
      <c r="E38" s="894"/>
      <c r="J38" s="1283"/>
      <c r="Q38" s="983"/>
    </row>
    <row r="39" spans="1:17" s="675" customFormat="1">
      <c r="E39" s="894"/>
      <c r="J39" s="864"/>
      <c r="Q39" s="983"/>
    </row>
    <row r="40" spans="1:17" s="675" customFormat="1">
      <c r="E40" s="894"/>
      <c r="J40" s="864"/>
      <c r="Q40" s="983"/>
    </row>
    <row r="41" spans="1:17" s="675" customFormat="1">
      <c r="E41" s="894"/>
      <c r="J41" s="864"/>
      <c r="Q41" s="983"/>
    </row>
    <row r="42" spans="1:17" s="675" customFormat="1">
      <c r="E42" s="894"/>
      <c r="J42" s="864"/>
      <c r="Q42" s="983"/>
    </row>
    <row r="43" spans="1:17" s="675" customFormat="1">
      <c r="E43" s="894"/>
      <c r="J43" s="864"/>
      <c r="Q43" s="983"/>
    </row>
    <row r="44" spans="1:17" s="675" customFormat="1">
      <c r="E44" s="894"/>
      <c r="J44" s="864"/>
      <c r="Q44" s="983"/>
    </row>
    <row r="45" spans="1:17" s="675" customFormat="1">
      <c r="E45" s="894"/>
      <c r="J45" s="864"/>
      <c r="Q45" s="983"/>
    </row>
    <row r="46" spans="1:17" s="675" customFormat="1">
      <c r="E46" s="894"/>
      <c r="J46" s="864"/>
      <c r="Q46" s="983"/>
    </row>
    <row r="47" spans="1:17" s="675" customFormat="1">
      <c r="E47" s="894"/>
      <c r="J47" s="864"/>
      <c r="Q47" s="983"/>
    </row>
    <row r="48" spans="1:17" s="675" customFormat="1">
      <c r="E48" s="1284"/>
      <c r="J48" s="1285"/>
      <c r="Q48" s="983"/>
    </row>
    <row r="49" spans="5:17" s="675" customFormat="1">
      <c r="E49" s="894"/>
      <c r="J49" s="864"/>
      <c r="Q49" s="983"/>
    </row>
    <row r="50" spans="5:17" s="675" customFormat="1">
      <c r="E50" s="894"/>
      <c r="J50" s="864"/>
      <c r="Q50" s="983"/>
    </row>
    <row r="51" spans="5:17" s="675" customFormat="1">
      <c r="E51" s="894"/>
      <c r="J51" s="864"/>
      <c r="Q51" s="983"/>
    </row>
    <row r="52" spans="5:17" s="675" customFormat="1">
      <c r="E52" s="894"/>
      <c r="J52" s="864"/>
      <c r="Q52" s="983"/>
    </row>
    <row r="53" spans="5:17" s="675" customFormat="1">
      <c r="E53" s="894"/>
      <c r="Q53" s="983"/>
    </row>
    <row r="54" spans="5:17" s="675" customFormat="1">
      <c r="E54" s="1284"/>
      <c r="J54" s="864"/>
      <c r="Q54" s="983"/>
    </row>
    <row r="55" spans="5:17" s="675" customFormat="1">
      <c r="E55" s="1282"/>
      <c r="Q55" s="983"/>
    </row>
  </sheetData>
  <mergeCells count="3">
    <mergeCell ref="A32:E32"/>
    <mergeCell ref="A33:E33"/>
    <mergeCell ref="A34:E34"/>
  </mergeCells>
  <phoneticPr fontId="0" type="noConversion"/>
  <pageMargins left="0.75" right="0.51" top="0.75" bottom="0.5" header="0.5" footer="0.5"/>
  <pageSetup scale="75" firstPageNumber="4" orientation="portrait" useFirstPageNumber="1" horizontalDpi="300" verticalDpi="300" r:id="rId1"/>
  <headerFooter alignWithMargins="0">
    <oddHeader xml:space="preserve">&amp;RExhibit No. ____(EMA-2) </oddHeader>
    <oddFooter xml:space="preserve">&amp;RPage 3 of 11              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6"/>
  <dimension ref="A1:I163"/>
  <sheetViews>
    <sheetView topLeftCell="A15" zoomScaleNormal="100" workbookViewId="0">
      <selection activeCell="H178" sqref="H178"/>
    </sheetView>
  </sheetViews>
  <sheetFormatPr defaultColWidth="10.7109375" defaultRowHeight="12.75"/>
  <cols>
    <col min="1" max="1" width="8.28515625" style="763" customWidth="1"/>
    <col min="2" max="2" width="18.7109375" style="759" customWidth="1"/>
    <col min="3" max="4" width="10.7109375" style="759" customWidth="1"/>
    <col min="5" max="5" width="10.140625" style="759" customWidth="1"/>
    <col min="6" max="6" width="14.7109375" style="762" customWidth="1"/>
    <col min="7" max="7" width="6.28515625" style="759" customWidth="1"/>
    <col min="8" max="8" width="10.7109375" style="759" customWidth="1"/>
    <col min="9" max="9" width="14.140625" style="759" customWidth="1"/>
    <col min="10" max="16384" width="10.7109375" style="759"/>
  </cols>
  <sheetData>
    <row r="1" spans="1:8">
      <c r="A1" s="822" t="s">
        <v>261</v>
      </c>
      <c r="B1" s="780"/>
      <c r="C1" s="760"/>
      <c r="D1" s="761"/>
      <c r="E1" s="760"/>
      <c r="F1" s="761"/>
    </row>
    <row r="2" spans="1:8">
      <c r="A2" s="780" t="s">
        <v>472</v>
      </c>
      <c r="B2" s="780"/>
      <c r="C2" s="760"/>
      <c r="D2" s="761"/>
      <c r="E2" s="760"/>
      <c r="F2" s="761"/>
    </row>
    <row r="3" spans="1:8">
      <c r="A3" s="780" t="s">
        <v>334</v>
      </c>
      <c r="B3" s="780"/>
      <c r="C3" s="760"/>
      <c r="D3" s="761"/>
      <c r="E3" s="760"/>
      <c r="F3" s="761"/>
    </row>
    <row r="4" spans="1:8">
      <c r="A4" s="823" t="s">
        <v>683</v>
      </c>
      <c r="B4" s="780"/>
      <c r="C4" s="760"/>
      <c r="D4" s="761"/>
      <c r="E4" s="760"/>
      <c r="F4" s="761"/>
    </row>
    <row r="5" spans="1:8">
      <c r="A5" s="760" t="s">
        <v>313</v>
      </c>
      <c r="B5" s="760"/>
      <c r="C5" s="760"/>
      <c r="D5" s="761"/>
      <c r="E5" s="761"/>
      <c r="F5" s="761"/>
    </row>
    <row r="6" spans="1:8">
      <c r="C6" s="762"/>
      <c r="D6" s="762"/>
      <c r="E6" s="764"/>
      <c r="F6" s="763" t="s">
        <v>38</v>
      </c>
    </row>
    <row r="7" spans="1:8">
      <c r="B7" s="765" t="s">
        <v>314</v>
      </c>
      <c r="C7" s="762"/>
      <c r="D7" s="762"/>
      <c r="E7" s="764"/>
      <c r="F7" s="766" t="s">
        <v>315</v>
      </c>
    </row>
    <row r="8" spans="1:8">
      <c r="A8" s="763" t="str">
        <f>PFRstmtSheet!A10</f>
        <v>b</v>
      </c>
      <c r="B8" s="821" t="str">
        <f>PFRstmtSheet!B10</f>
        <v>Per Results Report</v>
      </c>
      <c r="C8" s="762"/>
      <c r="D8" s="762"/>
      <c r="E8" s="767"/>
      <c r="F8" s="928">
        <f>PFRstmtSheet!G10</f>
        <v>1053828</v>
      </c>
      <c r="G8" s="782"/>
    </row>
    <row r="9" spans="1:8">
      <c r="A9" s="763" t="str">
        <f>PFRstmtSheet!A11</f>
        <v>c</v>
      </c>
      <c r="B9" s="821" t="str">
        <f>PFRstmtSheet!B11</f>
        <v>Deferred FIT Rate Base</v>
      </c>
      <c r="C9" s="762"/>
      <c r="D9" s="762"/>
      <c r="E9" s="767"/>
      <c r="F9" s="928">
        <f>PFRstmtSheet!G11</f>
        <v>-142713</v>
      </c>
      <c r="G9" s="782"/>
    </row>
    <row r="10" spans="1:8">
      <c r="A10" s="763" t="str">
        <f>PFRstmtSheet!A12</f>
        <v>d</v>
      </c>
      <c r="B10" s="821" t="str">
        <f>PFRstmtSheet!B12</f>
        <v>Deferred Gain on Office Building</v>
      </c>
      <c r="C10" s="762"/>
      <c r="D10" s="762"/>
      <c r="E10" s="767"/>
      <c r="F10" s="928">
        <f>PFRstmtSheet!G12</f>
        <v>-126</v>
      </c>
      <c r="G10" s="782"/>
    </row>
    <row r="11" spans="1:8">
      <c r="A11" s="763" t="str">
        <f>PFRstmtSheet!A13</f>
        <v>e</v>
      </c>
      <c r="B11" s="821" t="str">
        <f>PFRstmtSheet!B13</f>
        <v>Colstrip 3 AFUDC Elimination</v>
      </c>
      <c r="C11" s="762"/>
      <c r="D11" s="762"/>
      <c r="E11" s="767"/>
      <c r="F11" s="928">
        <f>PFRstmtSheet!G13</f>
        <v>-1956</v>
      </c>
      <c r="G11" s="782"/>
      <c r="H11" s="833" t="s">
        <v>386</v>
      </c>
    </row>
    <row r="12" spans="1:8">
      <c r="A12" s="763" t="str">
        <f>PFRstmtSheet!A14</f>
        <v>f</v>
      </c>
      <c r="B12" s="821" t="str">
        <f>PFRstmtSheet!B14</f>
        <v>Colstrip Common AFUDC</v>
      </c>
      <c r="C12" s="762"/>
      <c r="D12" s="762"/>
      <c r="E12" s="767"/>
      <c r="F12" s="928">
        <f>PFRstmtSheet!G14</f>
        <v>436</v>
      </c>
      <c r="G12" s="782"/>
      <c r="H12" s="833" t="s">
        <v>385</v>
      </c>
    </row>
    <row r="13" spans="1:8">
      <c r="A13" s="763" t="str">
        <f>PFRstmtSheet!A15</f>
        <v>g</v>
      </c>
      <c r="B13" s="821" t="str">
        <f>PFRstmtSheet!B15</f>
        <v>Kettle Falls Disallow.</v>
      </c>
      <c r="C13" s="762"/>
      <c r="D13" s="762"/>
      <c r="E13" s="767"/>
      <c r="F13" s="928">
        <f>PFRstmtSheet!G15</f>
        <v>-854</v>
      </c>
      <c r="G13" s="782"/>
      <c r="H13" s="833" t="s">
        <v>476</v>
      </c>
    </row>
    <row r="14" spans="1:8">
      <c r="A14" s="763" t="str">
        <f>PFRstmtSheet!A16</f>
        <v>h</v>
      </c>
      <c r="B14" s="821" t="str">
        <f>PFRstmtSheet!B16</f>
        <v>Customer Advances</v>
      </c>
      <c r="C14" s="762"/>
      <c r="D14" s="762"/>
      <c r="E14" s="767"/>
      <c r="F14" s="928">
        <f>PFRstmtSheet!G16</f>
        <v>-231</v>
      </c>
      <c r="G14" s="782"/>
    </row>
    <row r="15" spans="1:8">
      <c r="A15" s="763" t="str">
        <f>PFRstmtSheet!A17</f>
        <v>i</v>
      </c>
      <c r="B15" s="821" t="str">
        <f>PFRstmtSheet!B17</f>
        <v>Depreciation True-up</v>
      </c>
      <c r="C15" s="762"/>
      <c r="D15" s="762"/>
      <c r="E15" s="767"/>
      <c r="F15" s="928">
        <f>PFRstmtSheet!G17</f>
        <v>0</v>
      </c>
      <c r="G15" s="782"/>
    </row>
    <row r="16" spans="1:8">
      <c r="A16" s="763" t="str">
        <f>PFRstmtSheet!A18</f>
        <v>j</v>
      </c>
      <c r="B16" s="821" t="str">
        <f>PFRstmtSheet!B18</f>
        <v>Settlement Exchange Power</v>
      </c>
      <c r="C16" s="762"/>
      <c r="D16" s="762"/>
      <c r="E16" s="767"/>
      <c r="F16" s="928">
        <f>PFRstmtSheet!G18</f>
        <v>18422</v>
      </c>
      <c r="G16" s="782"/>
    </row>
    <row r="17" spans="1:7">
      <c r="A17" s="763" t="str">
        <f>PFRstmtSheet!A22</f>
        <v>k</v>
      </c>
      <c r="B17" s="821" t="str">
        <f>PFRstmtSheet!B22</f>
        <v>Eliminate B &amp; O Taxes</v>
      </c>
      <c r="C17" s="762"/>
      <c r="D17" s="762"/>
      <c r="E17" s="767"/>
      <c r="F17" s="928">
        <f>PFRstmtSheet!G22</f>
        <v>0</v>
      </c>
      <c r="G17" s="782"/>
    </row>
    <row r="18" spans="1:7">
      <c r="A18" s="763" t="str">
        <f>PFRstmtSheet!A23</f>
        <v>l</v>
      </c>
      <c r="B18" s="821" t="str">
        <f>PFRstmtSheet!B23</f>
        <v>Property Tax</v>
      </c>
      <c r="C18" s="762"/>
      <c r="D18" s="762"/>
      <c r="E18" s="767"/>
      <c r="F18" s="928">
        <f>PFRstmtSheet!G23</f>
        <v>0</v>
      </c>
      <c r="G18" s="782"/>
    </row>
    <row r="19" spans="1:7">
      <c r="A19" s="763" t="str">
        <f>PFRstmtSheet!A24</f>
        <v>m</v>
      </c>
      <c r="B19" s="821" t="str">
        <f>PFRstmtSheet!B24</f>
        <v>Uncollect. Expense</v>
      </c>
      <c r="C19" s="762"/>
      <c r="D19" s="762"/>
      <c r="E19" s="767"/>
      <c r="F19" s="928">
        <f>PFRstmtSheet!G24</f>
        <v>0</v>
      </c>
      <c r="G19" s="782"/>
    </row>
    <row r="20" spans="1:7">
      <c r="A20" s="763" t="str">
        <f>PFRstmtSheet!A25</f>
        <v>n</v>
      </c>
      <c r="B20" s="821" t="str">
        <f>PFRstmtSheet!B25</f>
        <v>Regulatory Expense</v>
      </c>
      <c r="C20" s="762"/>
      <c r="D20" s="762"/>
      <c r="E20" s="767"/>
      <c r="F20" s="928">
        <f>PFRstmtSheet!G25</f>
        <v>0</v>
      </c>
      <c r="G20" s="782"/>
    </row>
    <row r="21" spans="1:7">
      <c r="A21" s="763" t="str">
        <f>PFRstmtSheet!A26</f>
        <v>o</v>
      </c>
      <c r="B21" s="821" t="str">
        <f>PFRstmtSheet!B26</f>
        <v>Injuries and Damages</v>
      </c>
      <c r="C21" s="762"/>
      <c r="D21" s="762"/>
      <c r="E21" s="767"/>
      <c r="F21" s="928">
        <f>PFRstmtSheet!G26</f>
        <v>0</v>
      </c>
      <c r="G21" s="782"/>
    </row>
    <row r="22" spans="1:7">
      <c r="A22" s="763" t="str">
        <f>PFRstmtSheet!A27</f>
        <v>p</v>
      </c>
      <c r="B22" s="821" t="str">
        <f>PFRstmtSheet!B27</f>
        <v>FIT</v>
      </c>
      <c r="C22" s="762"/>
      <c r="D22" s="762"/>
      <c r="E22" s="767"/>
      <c r="F22" s="928">
        <f>PFRstmtSheet!G27</f>
        <v>0</v>
      </c>
      <c r="G22" s="782"/>
    </row>
    <row r="23" spans="1:7">
      <c r="A23" s="763" t="str">
        <f>PFRstmtSheet!A28</f>
        <v>q</v>
      </c>
      <c r="B23" s="821" t="str">
        <f>PFRstmtSheet!B28</f>
        <v>Eliminate WA Power Cost Defer</v>
      </c>
      <c r="C23" s="762"/>
      <c r="D23" s="762"/>
      <c r="E23" s="767"/>
      <c r="F23" s="928">
        <f>PFRstmtSheet!G28</f>
        <v>0</v>
      </c>
      <c r="G23" s="782"/>
    </row>
    <row r="24" spans="1:7">
      <c r="A24" s="763" t="str">
        <f>PFRstmtSheet!A29</f>
        <v>r</v>
      </c>
      <c r="B24" s="821" t="str">
        <f>PFRstmtSheet!B29</f>
        <v>Nez Perce Settlement Adjustment</v>
      </c>
      <c r="C24" s="762"/>
      <c r="D24" s="762"/>
      <c r="E24" s="767"/>
      <c r="F24" s="928">
        <f>PFRstmtSheet!G29</f>
        <v>0</v>
      </c>
      <c r="G24" s="782"/>
    </row>
    <row r="25" spans="1:7">
      <c r="A25" s="763" t="str">
        <f>PFRstmtSheet!A30</f>
        <v>s</v>
      </c>
      <c r="B25" s="821" t="str">
        <f>PFRstmtSheet!B30</f>
        <v>Eliminate A/R Expenses</v>
      </c>
      <c r="C25" s="762"/>
      <c r="D25" s="762"/>
      <c r="E25" s="767"/>
      <c r="F25" s="928">
        <f>PFRstmtSheet!G30</f>
        <v>0</v>
      </c>
      <c r="G25" s="782"/>
    </row>
    <row r="26" spans="1:7">
      <c r="A26" s="763" t="str">
        <f>PFRstmtSheet!A31</f>
        <v>t</v>
      </c>
      <c r="B26" s="821" t="str">
        <f>PFRstmtSheet!B31</f>
        <v>Office Space Charges to Subsidiaries</v>
      </c>
      <c r="C26" s="762"/>
      <c r="D26" s="762"/>
      <c r="E26" s="767"/>
      <c r="F26" s="928">
        <f>PFRstmtSheet!G31</f>
        <v>0</v>
      </c>
      <c r="G26" s="782"/>
    </row>
    <row r="27" spans="1:7">
      <c r="A27" s="763" t="str">
        <f>PFRstmtSheet!A32</f>
        <v>u</v>
      </c>
      <c r="B27" s="821" t="str">
        <f>PFRstmtSheet!B32</f>
        <v>Restate Excise Taxes</v>
      </c>
      <c r="C27" s="762"/>
      <c r="D27" s="762"/>
      <c r="E27" s="767"/>
      <c r="F27" s="928">
        <f>PFRstmtSheet!G32</f>
        <v>0</v>
      </c>
      <c r="G27" s="782"/>
    </row>
    <row r="28" spans="1:7">
      <c r="A28" s="763" t="str">
        <f>PFRstmtSheet!A33</f>
        <v>v</v>
      </c>
      <c r="B28" s="821" t="str">
        <f>PFRstmtSheet!B33</f>
        <v>Net Gains/losses</v>
      </c>
      <c r="C28" s="762"/>
      <c r="D28" s="762"/>
      <c r="E28" s="767"/>
      <c r="F28" s="928">
        <f>PFRstmtSheet!G33</f>
        <v>0</v>
      </c>
      <c r="G28" s="782"/>
    </row>
    <row r="29" spans="1:7">
      <c r="A29" s="763" t="str">
        <f>PFRstmtSheet!A34</f>
        <v>w</v>
      </c>
      <c r="B29" s="821" t="str">
        <f>PFRstmtSheet!B34</f>
        <v>Revenue Normalization</v>
      </c>
      <c r="C29" s="762"/>
      <c r="D29" s="762"/>
      <c r="E29" s="767"/>
      <c r="F29" s="928">
        <f>PFRstmtSheet!G34</f>
        <v>0</v>
      </c>
      <c r="G29" s="782"/>
    </row>
    <row r="30" spans="1:7">
      <c r="A30" s="763" t="str">
        <f>PFRstmtSheet!A35</f>
        <v>x</v>
      </c>
      <c r="B30" s="821" t="str">
        <f>PFRstmtSheet!B35</f>
        <v>Misc Restating</v>
      </c>
      <c r="C30" s="762"/>
      <c r="D30" s="762"/>
      <c r="E30" s="767"/>
      <c r="F30" s="928">
        <f>PFRstmtSheet!G35</f>
        <v>0</v>
      </c>
      <c r="G30" s="782"/>
    </row>
    <row r="31" spans="1:7">
      <c r="A31" s="763" t="str">
        <f>PFRstmtSheet!A36</f>
        <v>y</v>
      </c>
      <c r="B31" s="821" t="str">
        <f>PFRstmtSheet!B36</f>
        <v>Restate Debt Interest</v>
      </c>
      <c r="C31" s="762"/>
      <c r="D31" s="762"/>
      <c r="E31" s="767"/>
      <c r="F31" s="928">
        <f>PFRstmtSheet!G36</f>
        <v>0</v>
      </c>
      <c r="G31" s="782"/>
    </row>
    <row r="32" spans="1:7">
      <c r="A32" s="763" t="str">
        <f>PFRstmtSheet!A44</f>
        <v>PF1</v>
      </c>
      <c r="B32" s="821" t="str">
        <f>PFRstmtSheet!B44</f>
        <v>Pro Forma Power Supply</v>
      </c>
      <c r="C32" s="762"/>
      <c r="D32" s="762"/>
      <c r="E32" s="767"/>
      <c r="F32" s="928">
        <f>PFRstmtSheet!G44</f>
        <v>0</v>
      </c>
      <c r="G32" s="782"/>
    </row>
    <row r="33" spans="1:7">
      <c r="A33" s="763" t="str">
        <f>PFRstmtSheet!A45</f>
        <v>PF2</v>
      </c>
      <c r="B33" s="821" t="str">
        <f>PFRstmtSheet!B45</f>
        <v>Pro Forma Prod Property Adj</v>
      </c>
      <c r="C33" s="762"/>
      <c r="D33" s="762"/>
      <c r="E33" s="767"/>
      <c r="F33" s="928">
        <f>PFRstmtSheet!G45</f>
        <v>-12500</v>
      </c>
      <c r="G33" s="782"/>
    </row>
    <row r="34" spans="1:7">
      <c r="A34" s="763" t="str">
        <f>PFRstmtSheet!A46</f>
        <v>PF3</v>
      </c>
      <c r="B34" s="821" t="str">
        <f>PFRstmtSheet!B46</f>
        <v>Pro Forma Labor Non-Exec</v>
      </c>
      <c r="C34" s="762"/>
      <c r="D34" s="762"/>
      <c r="E34" s="767"/>
      <c r="F34" s="928">
        <f>PFRstmtSheet!G46</f>
        <v>0</v>
      </c>
      <c r="G34" s="782"/>
    </row>
    <row r="35" spans="1:7">
      <c r="A35" s="763" t="str">
        <f>PFRstmtSheet!A47</f>
        <v>PF4</v>
      </c>
      <c r="B35" s="821" t="str">
        <f>PFRstmtSheet!B47</f>
        <v>Pro Forma Labor Exec</v>
      </c>
      <c r="C35" s="762"/>
      <c r="D35" s="762"/>
      <c r="E35" s="767"/>
      <c r="F35" s="928">
        <f>PFRstmtSheet!G47</f>
        <v>0</v>
      </c>
      <c r="G35" s="782"/>
    </row>
    <row r="36" spans="1:7">
      <c r="A36" s="763" t="str">
        <f>PFRstmtSheet!A48</f>
        <v>PF5</v>
      </c>
      <c r="B36" s="821" t="str">
        <f>PFRstmtSheet!B48</f>
        <v>Pro Forma Transmission Rev/Exp</v>
      </c>
      <c r="C36" s="762"/>
      <c r="D36" s="762"/>
      <c r="E36" s="767"/>
      <c r="F36" s="928">
        <f>PFRstmtSheet!G48</f>
        <v>0</v>
      </c>
      <c r="G36" s="782"/>
    </row>
    <row r="37" spans="1:7">
      <c r="A37" s="763" t="str">
        <f>PFRstmtSheet!A49</f>
        <v>PF6</v>
      </c>
      <c r="B37" s="821" t="str">
        <f>PFRstmtSheet!B49</f>
        <v>Pro Forma Capital Add 2008</v>
      </c>
      <c r="C37" s="762"/>
      <c r="D37" s="762"/>
      <c r="E37" s="767"/>
      <c r="F37" s="928">
        <f>PFRstmtSheet!G49</f>
        <v>21445</v>
      </c>
      <c r="G37" s="782"/>
    </row>
    <row r="38" spans="1:7">
      <c r="A38" s="763" t="str">
        <f>PFRstmtSheet!A50</f>
        <v>PF7</v>
      </c>
      <c r="B38" s="821" t="str">
        <f>PFRstmtSheet!B50</f>
        <v>Pro Forma Capital Add 2009</v>
      </c>
      <c r="C38" s="762"/>
      <c r="D38" s="762"/>
      <c r="E38" s="767"/>
      <c r="F38" s="928">
        <f>PFRstmtSheet!G50</f>
        <v>22936</v>
      </c>
      <c r="G38" s="782"/>
    </row>
    <row r="39" spans="1:7">
      <c r="A39" s="763" t="str">
        <f>PFRstmtSheet!A51</f>
        <v>PF8</v>
      </c>
      <c r="B39" s="821" t="str">
        <f>PFRstmtSheet!B51</f>
        <v>Pro Forma Noxon Gen 2010</v>
      </c>
      <c r="C39" s="762"/>
      <c r="D39" s="762"/>
      <c r="E39" s="767"/>
      <c r="F39" s="928">
        <f>PFRstmtSheet!G51</f>
        <v>5386</v>
      </c>
      <c r="G39" s="782"/>
    </row>
    <row r="40" spans="1:7">
      <c r="A40" s="763" t="str">
        <f>PFRstmtSheet!A52</f>
        <v>PF9</v>
      </c>
      <c r="B40" s="821" t="str">
        <f>PFRstmtSheet!B52</f>
        <v>Pro Forma Asset Management</v>
      </c>
      <c r="C40" s="762"/>
      <c r="D40" s="762"/>
      <c r="E40" s="767"/>
      <c r="F40" s="928">
        <f>PFRstmtSheet!G52</f>
        <v>0</v>
      </c>
      <c r="G40" s="782"/>
    </row>
    <row r="41" spans="1:7">
      <c r="A41" s="763" t="str">
        <f>PFRstmtSheet!A53</f>
        <v>PF10</v>
      </c>
      <c r="B41" s="821" t="str">
        <f>PFRstmtSheet!B53</f>
        <v>Pro Forma Information Services</v>
      </c>
      <c r="C41" s="762"/>
      <c r="D41" s="762"/>
      <c r="E41" s="767"/>
      <c r="F41" s="928">
        <f>PFRstmtSheet!G53</f>
        <v>0</v>
      </c>
      <c r="G41" s="782"/>
    </row>
    <row r="42" spans="1:7">
      <c r="A42" s="763" t="str">
        <f>PFRstmtSheet!A54</f>
        <v>PF11</v>
      </c>
      <c r="B42" s="821" t="str">
        <f>PFRstmtSheet!B54</f>
        <v>Pro Forma Spokane Rvr Relicensing</v>
      </c>
      <c r="C42" s="762"/>
      <c r="D42" s="762"/>
      <c r="E42" s="767"/>
      <c r="F42" s="928">
        <f>PFRstmtSheet!G54</f>
        <v>23325</v>
      </c>
      <c r="G42" s="782"/>
    </row>
    <row r="43" spans="1:7">
      <c r="A43" s="763" t="str">
        <f>PFRstmtSheet!A55</f>
        <v>PF12</v>
      </c>
      <c r="B43" s="821" t="str">
        <f>PFRstmtSheet!B55</f>
        <v>Pro Forma CDA Tribe Settlement</v>
      </c>
      <c r="C43" s="762"/>
      <c r="D43" s="762"/>
      <c r="E43" s="767"/>
      <c r="F43" s="928">
        <f>PFRstmtSheet!G55</f>
        <v>16819</v>
      </c>
      <c r="G43" s="782"/>
    </row>
    <row r="44" spans="1:7">
      <c r="A44" s="763" t="str">
        <f>PFRstmtSheet!A56</f>
        <v>PF13</v>
      </c>
      <c r="B44" s="821" t="str">
        <f>PFRstmtSheet!B56</f>
        <v>Pro Forma Montana Lease</v>
      </c>
      <c r="C44" s="762"/>
      <c r="D44" s="762"/>
      <c r="E44" s="767"/>
      <c r="F44" s="928">
        <f>PFRstmtSheet!G56</f>
        <v>2859</v>
      </c>
      <c r="G44" s="782"/>
    </row>
    <row r="45" spans="1:7">
      <c r="A45" s="763" t="str">
        <f>PFRstmtSheet!A57</f>
        <v>PF14</v>
      </c>
      <c r="B45" s="821" t="str">
        <f>PFRstmtSheet!B57</f>
        <v>Pro Forma Colstrip Mercury Emiss. O&amp;M</v>
      </c>
      <c r="C45" s="762"/>
      <c r="D45" s="762"/>
      <c r="E45" s="767"/>
      <c r="F45" s="928">
        <f>PFRstmtSheet!G57</f>
        <v>0</v>
      </c>
      <c r="G45" s="782"/>
    </row>
    <row r="46" spans="1:7">
      <c r="A46" s="763" t="str">
        <f>PFRstmtSheet!A58</f>
        <v>PF15</v>
      </c>
      <c r="B46" s="821" t="str">
        <f>PFRstmtSheet!B58</f>
        <v>Pro Forma Incentives</v>
      </c>
      <c r="C46" s="762"/>
      <c r="D46" s="762"/>
      <c r="E46" s="767"/>
      <c r="F46" s="928">
        <f>PFRstmtSheet!G58</f>
        <v>0</v>
      </c>
      <c r="G46" s="782"/>
    </row>
    <row r="47" spans="1:7">
      <c r="A47" s="763" t="str">
        <f>PFRstmtSheet!A59</f>
        <v>PF16</v>
      </c>
      <c r="B47" s="821" t="str">
        <f>PFRstmtSheet!B59</f>
        <v>Pro Forma O&amp;M Plant Expense</v>
      </c>
      <c r="C47" s="762"/>
      <c r="D47" s="762"/>
      <c r="E47" s="767"/>
      <c r="F47" s="928">
        <f>PFRstmtSheet!G59</f>
        <v>0</v>
      </c>
      <c r="G47" s="782"/>
    </row>
    <row r="48" spans="1:7">
      <c r="A48" s="763" t="str">
        <f>PFRstmtSheet!A60</f>
        <v>PF17</v>
      </c>
      <c r="B48" s="821" t="str">
        <f>PFRstmtSheet!B60</f>
        <v>Pro Forma Employee Benefits</v>
      </c>
      <c r="C48" s="762"/>
      <c r="D48" s="762"/>
      <c r="E48" s="767"/>
      <c r="F48" s="928">
        <f>PFRstmtSheet!G60</f>
        <v>0</v>
      </c>
      <c r="G48" s="782"/>
    </row>
    <row r="49" spans="1:8">
      <c r="A49" s="763" t="str">
        <f>PFRstmtSheet!A61</f>
        <v>PF18</v>
      </c>
      <c r="B49" s="821" t="str">
        <f>PFRstmtSheet!B61</f>
        <v>Pro Forma Insurance</v>
      </c>
      <c r="C49" s="762"/>
      <c r="D49" s="762"/>
      <c r="E49" s="767"/>
      <c r="F49" s="928">
        <f>PFRstmtSheet!G61</f>
        <v>0</v>
      </c>
      <c r="G49" s="782"/>
    </row>
    <row r="50" spans="1:8">
      <c r="A50" s="763" t="str">
        <f>PFRstmtSheet!A62</f>
        <v>PF19</v>
      </c>
      <c r="B50" s="821" t="str">
        <f>PFRstmtSheet!B62</f>
        <v>Pro Forma Clark Fork PM&amp;E</v>
      </c>
      <c r="C50" s="762"/>
      <c r="D50" s="762"/>
      <c r="E50" s="767"/>
      <c r="F50" s="928">
        <f>PFRstmtSheet!G62</f>
        <v>0</v>
      </c>
      <c r="G50" s="782"/>
    </row>
    <row r="51" spans="1:8">
      <c r="A51" s="763" t="str">
        <f>PFRstmtSheet!A63</f>
        <v>PF20</v>
      </c>
      <c r="B51" s="821" t="str">
        <f>PFRstmtSheet!B63</f>
        <v>Pro Forma Open</v>
      </c>
      <c r="C51" s="762"/>
      <c r="D51" s="762"/>
      <c r="E51" s="767"/>
      <c r="F51" s="928">
        <f>PFRstmtSheet!G63</f>
        <v>0</v>
      </c>
      <c r="G51" s="782"/>
    </row>
    <row r="52" spans="1:8">
      <c r="B52" s="821"/>
      <c r="C52" s="762"/>
      <c r="D52" s="762"/>
      <c r="F52" s="928"/>
    </row>
    <row r="53" spans="1:8">
      <c r="B53" s="759" t="s">
        <v>416</v>
      </c>
      <c r="C53" s="762"/>
      <c r="D53" s="762"/>
      <c r="E53" s="767"/>
      <c r="F53" s="929">
        <f>SUM(F8:F51)</f>
        <v>1007076</v>
      </c>
      <c r="G53" s="1033">
        <f>F53-PFRstmtSheet!G65</f>
        <v>0</v>
      </c>
      <c r="H53" s="1032" t="s">
        <v>682</v>
      </c>
    </row>
    <row r="54" spans="1:8">
      <c r="C54" s="762"/>
      <c r="D54" s="762"/>
      <c r="E54" s="762"/>
      <c r="F54" s="759"/>
    </row>
    <row r="55" spans="1:8">
      <c r="B55" s="759" t="s">
        <v>335</v>
      </c>
      <c r="C55" s="762"/>
      <c r="D55" s="762"/>
      <c r="E55" s="769"/>
      <c r="F55" s="910">
        <f>RevReq_Exh_WA!S12</f>
        <v>3.5099999999999999E-2</v>
      </c>
    </row>
    <row r="56" spans="1:8">
      <c r="C56" s="762"/>
      <c r="D56" s="762"/>
      <c r="F56" s="759"/>
    </row>
    <row r="57" spans="1:8">
      <c r="B57" s="759" t="s">
        <v>316</v>
      </c>
      <c r="C57" s="762"/>
      <c r="D57" s="762"/>
      <c r="E57" s="767"/>
      <c r="F57" s="767">
        <f>F53*F55</f>
        <v>35348.367599999998</v>
      </c>
    </row>
    <row r="58" spans="1:8">
      <c r="C58" s="762"/>
      <c r="D58" s="762"/>
      <c r="E58" s="762"/>
      <c r="F58" s="759"/>
    </row>
    <row r="59" spans="1:8">
      <c r="B59" s="759" t="s">
        <v>547</v>
      </c>
      <c r="C59" s="762"/>
      <c r="D59" s="762"/>
      <c r="F59" s="1031">
        <v>32793</v>
      </c>
      <c r="H59" s="759" t="s">
        <v>681</v>
      </c>
    </row>
    <row r="60" spans="1:8" ht="5.25" customHeight="1">
      <c r="C60" s="762"/>
      <c r="D60" s="762"/>
      <c r="E60" s="762"/>
      <c r="F60" s="759"/>
    </row>
    <row r="61" spans="1:8">
      <c r="B61" s="759" t="s">
        <v>318</v>
      </c>
      <c r="C61" s="762"/>
      <c r="D61" s="762"/>
      <c r="E61" s="767"/>
      <c r="F61" s="885">
        <f>F57-F59</f>
        <v>2555.3675999999978</v>
      </c>
    </row>
    <row r="62" spans="1:8">
      <c r="B62" s="759" t="s">
        <v>319</v>
      </c>
      <c r="D62" s="762"/>
      <c r="E62" s="770"/>
      <c r="F62" s="771">
        <v>0.35</v>
      </c>
    </row>
    <row r="63" spans="1:8" ht="5.25" customHeight="1">
      <c r="D63" s="762"/>
      <c r="E63" s="762"/>
      <c r="F63" s="759"/>
    </row>
    <row r="64" spans="1:8" ht="13.5" thickBot="1">
      <c r="B64" s="759" t="s">
        <v>320</v>
      </c>
      <c r="D64" s="762"/>
      <c r="E64" s="767"/>
      <c r="F64" s="767">
        <f>F61*-F62</f>
        <v>-894.37865999999917</v>
      </c>
    </row>
    <row r="65" spans="1:8" ht="13.5" thickTop="1">
      <c r="F65" s="772"/>
    </row>
    <row r="66" spans="1:8" hidden="1">
      <c r="A66" s="1033" t="s">
        <v>546</v>
      </c>
      <c r="B66" s="1032" t="s">
        <v>545</v>
      </c>
    </row>
    <row r="67" spans="1:8" hidden="1">
      <c r="B67" s="765" t="s">
        <v>317</v>
      </c>
    </row>
    <row r="68" spans="1:8" hidden="1">
      <c r="B68" s="759" t="s">
        <v>321</v>
      </c>
      <c r="C68" s="906">
        <v>2430</v>
      </c>
      <c r="H68" s="759" t="s">
        <v>514</v>
      </c>
    </row>
    <row r="69" spans="1:8" hidden="1">
      <c r="B69" s="759" t="s">
        <v>322</v>
      </c>
      <c r="C69" s="905">
        <v>2935</v>
      </c>
      <c r="H69" s="759" t="s">
        <v>514</v>
      </c>
    </row>
    <row r="70" spans="1:8" hidden="1">
      <c r="B70" s="759" t="s">
        <v>323</v>
      </c>
      <c r="C70" s="768">
        <f>C68+C69</f>
        <v>5365</v>
      </c>
    </row>
    <row r="71" spans="1:8" hidden="1">
      <c r="C71" s="767"/>
    </row>
    <row r="72" spans="1:8" hidden="1">
      <c r="C72" s="773"/>
      <c r="D72" s="763"/>
      <c r="E72" s="763" t="s">
        <v>324</v>
      </c>
    </row>
    <row r="73" spans="1:8" hidden="1">
      <c r="C73" s="766" t="s">
        <v>279</v>
      </c>
      <c r="D73" s="766" t="s">
        <v>325</v>
      </c>
      <c r="E73" s="766" t="s">
        <v>52</v>
      </c>
    </row>
    <row r="74" spans="1:8" hidden="1">
      <c r="B74" s="759" t="s">
        <v>326</v>
      </c>
      <c r="C74" s="824">
        <f>CWIPAllocDebt!Y8</f>
        <v>63273656.728496328</v>
      </c>
      <c r="D74" s="825">
        <f>ROUND(C74/$C$77,4)</f>
        <v>0.88039999999999996</v>
      </c>
      <c r="E74" s="824">
        <f>D74*E77</f>
        <v>4723.3459999999995</v>
      </c>
      <c r="F74" s="948"/>
    </row>
    <row r="75" spans="1:8" hidden="1">
      <c r="B75" s="759" t="s">
        <v>327</v>
      </c>
      <c r="C75" s="826">
        <f>CWIPAllocDebt!Y10</f>
        <v>4070675.847244422</v>
      </c>
      <c r="D75" s="825">
        <f>ROUND(C75/$C$77,4)</f>
        <v>5.6599999999999998E-2</v>
      </c>
      <c r="E75" s="826">
        <f>D75*E77</f>
        <v>303.65899999999999</v>
      </c>
    </row>
    <row r="76" spans="1:8" hidden="1">
      <c r="B76" s="759" t="s">
        <v>328</v>
      </c>
      <c r="C76" s="826">
        <f>CWIPAllocDebt!Y12</f>
        <v>4526181.5242592506</v>
      </c>
      <c r="D76" s="825">
        <f>ROUND(C76/$C$77,4)-0.0001</f>
        <v>6.2899999999999998E-2</v>
      </c>
      <c r="E76" s="826">
        <f>E77*D76</f>
        <v>337.45850000000002</v>
      </c>
    </row>
    <row r="77" spans="1:8" hidden="1">
      <c r="B77" s="759" t="s">
        <v>329</v>
      </c>
      <c r="C77" s="827">
        <f>C74+C75+C76</f>
        <v>71870514.100000009</v>
      </c>
      <c r="D77" s="828">
        <f>D74+D75+D76</f>
        <v>0.9998999999999999</v>
      </c>
      <c r="E77" s="827">
        <f>C70</f>
        <v>5365</v>
      </c>
    </row>
    <row r="78" spans="1:8" hidden="1">
      <c r="C78" s="829"/>
      <c r="D78" s="829"/>
      <c r="E78" s="829"/>
    </row>
    <row r="79" spans="1:8" hidden="1">
      <c r="B79" s="759" t="s">
        <v>330</v>
      </c>
      <c r="C79" s="824">
        <f>CWIPAllocDebt!Z8</f>
        <v>38434272.276927195</v>
      </c>
      <c r="D79" s="825">
        <f>C79/C81</f>
        <v>0.60742928833474064</v>
      </c>
      <c r="E79" s="824">
        <f>D79*E81</f>
        <v>2869.0986993387437</v>
      </c>
    </row>
    <row r="80" spans="1:8" hidden="1">
      <c r="B80" s="759" t="s">
        <v>331</v>
      </c>
      <c r="C80" s="829">
        <f>CWIPAllocDebt!AA8</f>
        <v>24839384.451569133</v>
      </c>
      <c r="D80" s="825">
        <f>C80/C81</f>
        <v>0.39257071166525942</v>
      </c>
      <c r="E80" s="829">
        <f>D80*E81</f>
        <v>1854.2473006612563</v>
      </c>
    </row>
    <row r="81" spans="1:6" hidden="1">
      <c r="B81" s="759" t="s">
        <v>329</v>
      </c>
      <c r="C81" s="827">
        <f>C79+C80</f>
        <v>63273656.728496328</v>
      </c>
      <c r="D81" s="828">
        <f>D79+D80</f>
        <v>1</v>
      </c>
      <c r="E81" s="827">
        <f>E74</f>
        <v>4723.3459999999995</v>
      </c>
    </row>
    <row r="82" spans="1:6" hidden="1">
      <c r="C82" s="829"/>
      <c r="D82" s="829"/>
      <c r="E82" s="829"/>
    </row>
    <row r="83" spans="1:6" hidden="1">
      <c r="B83" s="759" t="s">
        <v>332</v>
      </c>
      <c r="C83" s="824">
        <f>CWIPAllocDebt!Z10</f>
        <v>2228476.6011848957</v>
      </c>
      <c r="D83" s="830">
        <f>C83/C85</f>
        <v>0.54744634178951557</v>
      </c>
      <c r="E83" s="824">
        <f>E85*D83</f>
        <v>166.23700870146251</v>
      </c>
    </row>
    <row r="84" spans="1:6" hidden="1">
      <c r="B84" s="759" t="s">
        <v>333</v>
      </c>
      <c r="C84" s="829">
        <f>CWIPAllocDebt!AA10</f>
        <v>1842199.2460595262</v>
      </c>
      <c r="D84" s="831">
        <f>C84/C85</f>
        <v>0.45255365821048443</v>
      </c>
      <c r="E84" s="829">
        <f>E85*D84</f>
        <v>137.42199129853748</v>
      </c>
    </row>
    <row r="85" spans="1:6" hidden="1">
      <c r="B85" s="759" t="s">
        <v>329</v>
      </c>
      <c r="C85" s="827">
        <f>SUM(C83:C84)</f>
        <v>4070675.847244422</v>
      </c>
      <c r="D85" s="832">
        <f>SUM(D83:D84)</f>
        <v>1</v>
      </c>
      <c r="E85" s="827">
        <f>E75</f>
        <v>303.65899999999999</v>
      </c>
    </row>
    <row r="86" spans="1:6" hidden="1">
      <c r="A86" s="784" t="str">
        <f>A1</f>
        <v>AVISTA UTILITIES</v>
      </c>
      <c r="B86" s="757"/>
      <c r="C86" s="757"/>
      <c r="D86" s="758"/>
      <c r="E86" s="757"/>
      <c r="F86" s="758"/>
    </row>
    <row r="87" spans="1:6" hidden="1">
      <c r="A87" s="784" t="str">
        <f>A2</f>
        <v>Restate Debt Interest - Proforma</v>
      </c>
      <c r="B87" s="757"/>
      <c r="C87" s="757"/>
      <c r="D87" s="758"/>
      <c r="E87" s="757"/>
      <c r="F87" s="758"/>
    </row>
    <row r="88" spans="1:6" hidden="1">
      <c r="A88" s="784" t="s">
        <v>336</v>
      </c>
      <c r="B88" s="757"/>
      <c r="C88" s="757"/>
      <c r="D88" s="758"/>
      <c r="E88" s="757"/>
      <c r="F88" s="758"/>
    </row>
    <row r="89" spans="1:6" hidden="1">
      <c r="A89" s="781" t="str">
        <f>A4</f>
        <v>For the Twelve Months Ended September 30, 2008</v>
      </c>
      <c r="B89" s="757"/>
      <c r="C89" s="760"/>
      <c r="D89" s="758"/>
      <c r="E89" s="760"/>
      <c r="F89" s="758"/>
    </row>
    <row r="90" spans="1:6" hidden="1">
      <c r="A90" s="757" t="s">
        <v>313</v>
      </c>
      <c r="B90" s="757"/>
      <c r="C90" s="757"/>
      <c r="D90" s="758"/>
      <c r="E90" s="758"/>
      <c r="F90" s="758"/>
    </row>
    <row r="91" spans="1:6" hidden="1">
      <c r="C91" s="762"/>
      <c r="D91" s="762"/>
      <c r="E91" s="764"/>
      <c r="F91" s="763" t="s">
        <v>38</v>
      </c>
    </row>
    <row r="92" spans="1:6" hidden="1">
      <c r="B92" s="765" t="s">
        <v>314</v>
      </c>
      <c r="C92" s="762"/>
      <c r="D92" s="762"/>
      <c r="E92" s="764"/>
      <c r="F92" s="766" t="s">
        <v>315</v>
      </c>
    </row>
    <row r="93" spans="1:6" hidden="1">
      <c r="A93" s="763" t="str">
        <f>PFRstmtSheet!A80</f>
        <v>b</v>
      </c>
      <c r="B93" s="821" t="str">
        <f>PFRstmtSheet!B80</f>
        <v>Per Results Report</v>
      </c>
      <c r="C93" s="762"/>
      <c r="D93" s="762"/>
      <c r="E93" s="767"/>
      <c r="F93" s="928">
        <f>PFRstmtSheet!G80</f>
        <v>605157</v>
      </c>
    </row>
    <row r="94" spans="1:6" hidden="1">
      <c r="A94" s="763" t="str">
        <f>PFRstmtSheet!A81</f>
        <v>c</v>
      </c>
      <c r="B94" s="821" t="str">
        <f>PFRstmtSheet!B81</f>
        <v>Deferred FIT Rate Base</v>
      </c>
      <c r="C94" s="762"/>
      <c r="D94" s="762"/>
      <c r="E94" s="767"/>
      <c r="F94" s="928">
        <f>PFRstmtSheet!G81</f>
        <v>-82407</v>
      </c>
    </row>
    <row r="95" spans="1:6" hidden="1">
      <c r="A95" s="763" t="str">
        <f>PFRstmtSheet!A82</f>
        <v>d</v>
      </c>
      <c r="B95" s="821" t="str">
        <f>PFRstmtSheet!B82</f>
        <v>Deferred Gain on Office Building</v>
      </c>
      <c r="C95" s="762"/>
      <c r="D95" s="762"/>
      <c r="E95" s="767"/>
      <c r="F95" s="928">
        <f>PFRstmtSheet!G82</f>
        <v>0</v>
      </c>
    </row>
    <row r="96" spans="1:6" hidden="1">
      <c r="A96" s="763" t="str">
        <f>PFRstmtSheet!A83</f>
        <v>e</v>
      </c>
      <c r="B96" s="821" t="str">
        <f>PFRstmtSheet!B83</f>
        <v>Colstrip 3 AFUDC Elimination</v>
      </c>
      <c r="C96" s="762"/>
      <c r="D96" s="762"/>
      <c r="E96" s="767"/>
      <c r="F96" s="928">
        <f>PFRstmtSheet!G83</f>
        <v>0</v>
      </c>
    </row>
    <row r="97" spans="1:6" hidden="1">
      <c r="A97" s="763" t="str">
        <f>PFRstmtSheet!A84</f>
        <v>f</v>
      </c>
      <c r="B97" s="821" t="str">
        <f>PFRstmtSheet!B84</f>
        <v>Colstrip Common AFUDC</v>
      </c>
      <c r="C97" s="762"/>
      <c r="D97" s="762"/>
      <c r="E97" s="767"/>
      <c r="F97" s="928">
        <f>PFRstmtSheet!G84</f>
        <v>0</v>
      </c>
    </row>
    <row r="98" spans="1:6" hidden="1">
      <c r="A98" s="763" t="str">
        <f>PFRstmtSheet!A85</f>
        <v>g</v>
      </c>
      <c r="B98" s="821" t="str">
        <f>PFRstmtSheet!B85</f>
        <v>Kettle Falls &amp; Boulder Park Disallow.</v>
      </c>
      <c r="C98" s="762"/>
      <c r="D98" s="762"/>
      <c r="E98" s="767"/>
      <c r="F98" s="928">
        <f>PFRstmtSheet!G85</f>
        <v>0</v>
      </c>
    </row>
    <row r="99" spans="1:6" hidden="1">
      <c r="A99" s="763" t="str">
        <f>PFRstmtSheet!A86</f>
        <v>h</v>
      </c>
      <c r="B99" s="821" t="str">
        <f>PFRstmtSheet!B86</f>
        <v>Customer Advances</v>
      </c>
      <c r="C99" s="762"/>
      <c r="D99" s="762"/>
      <c r="E99" s="767"/>
      <c r="F99" s="928">
        <f>PFRstmtSheet!G86</f>
        <v>0</v>
      </c>
    </row>
    <row r="100" spans="1:6" hidden="1">
      <c r="A100" s="763" t="str">
        <f>PFRstmtSheet!A87</f>
        <v>i</v>
      </c>
      <c r="B100" s="821" t="str">
        <f>PFRstmtSheet!B87</f>
        <v>Weatherizn and DSM Investment</v>
      </c>
      <c r="C100" s="762"/>
      <c r="D100" s="762"/>
      <c r="E100" s="767"/>
      <c r="F100" s="928">
        <f>PFRstmtSheet!G87</f>
        <v>2630</v>
      </c>
    </row>
    <row r="101" spans="1:6" hidden="1">
      <c r="A101" s="763" t="str">
        <f>PFRstmtSheet!A93</f>
        <v>k</v>
      </c>
      <c r="B101" s="821" t="str">
        <f>PFRstmtSheet!B93</f>
        <v>Eliminate B &amp; O Taxes</v>
      </c>
      <c r="C101" s="762"/>
      <c r="D101" s="762"/>
      <c r="E101" s="767"/>
      <c r="F101" s="928">
        <f>PFRstmtSheet!G93</f>
        <v>0</v>
      </c>
    </row>
    <row r="102" spans="1:6" hidden="1">
      <c r="A102" s="763" t="str">
        <f>PFRstmtSheet!A94</f>
        <v>l</v>
      </c>
      <c r="B102" s="821" t="str">
        <f>PFRstmtSheet!B94</f>
        <v>Property Tax</v>
      </c>
      <c r="C102" s="762"/>
      <c r="D102" s="762"/>
      <c r="E102" s="767"/>
      <c r="F102" s="928">
        <f>PFRstmtSheet!G94</f>
        <v>0</v>
      </c>
    </row>
    <row r="103" spans="1:6" hidden="1">
      <c r="A103" s="763" t="str">
        <f>PFRstmtSheet!A95</f>
        <v>m</v>
      </c>
      <c r="B103" s="821" t="str">
        <f>PFRstmtSheet!B95</f>
        <v>Uncollect. Expense</v>
      </c>
      <c r="C103" s="762"/>
      <c r="D103" s="762"/>
      <c r="E103" s="767"/>
      <c r="F103" s="928">
        <f>PFRstmtSheet!G95</f>
        <v>0</v>
      </c>
    </row>
    <row r="104" spans="1:6" hidden="1">
      <c r="A104" s="763" t="str">
        <f>PFRstmtSheet!A96</f>
        <v>n</v>
      </c>
      <c r="B104" s="821" t="str">
        <f>PFRstmtSheet!B96</f>
        <v>Regulatory Expense</v>
      </c>
      <c r="C104" s="762"/>
      <c r="D104" s="762"/>
      <c r="E104" s="767"/>
      <c r="F104" s="928">
        <f>PFRstmtSheet!G96</f>
        <v>0</v>
      </c>
    </row>
    <row r="105" spans="1:6" hidden="1">
      <c r="A105" s="763" t="str">
        <f>PFRstmtSheet!A97</f>
        <v>o</v>
      </c>
      <c r="B105" s="821" t="str">
        <f>PFRstmtSheet!B97</f>
        <v>Injuries and Damages</v>
      </c>
      <c r="C105" s="762"/>
      <c r="D105" s="762"/>
      <c r="E105" s="767"/>
      <c r="F105" s="928">
        <f>PFRstmtSheet!G97</f>
        <v>0</v>
      </c>
    </row>
    <row r="106" spans="1:6" hidden="1">
      <c r="A106" s="763" t="str">
        <f>PFRstmtSheet!A98</f>
        <v>p</v>
      </c>
      <c r="B106" s="821" t="str">
        <f>PFRstmtSheet!B98</f>
        <v>FIT</v>
      </c>
      <c r="C106" s="762"/>
      <c r="D106" s="762"/>
      <c r="E106" s="767"/>
      <c r="F106" s="928">
        <f>PFRstmtSheet!G98</f>
        <v>0</v>
      </c>
    </row>
    <row r="107" spans="1:6" hidden="1">
      <c r="A107" s="763" t="str">
        <f>PFRstmtSheet!A99</f>
        <v>q</v>
      </c>
      <c r="B107" s="821" t="str">
        <f>PFRstmtSheet!B99</f>
        <v>Idaho PCA</v>
      </c>
      <c r="C107" s="762"/>
      <c r="D107" s="762"/>
      <c r="E107" s="767"/>
      <c r="F107" s="928">
        <f>PFRstmtSheet!G99</f>
        <v>0</v>
      </c>
    </row>
    <row r="108" spans="1:6" hidden="1">
      <c r="A108" s="763" t="str">
        <f>PFRstmtSheet!A100</f>
        <v>r</v>
      </c>
      <c r="B108" s="821" t="str">
        <f>PFRstmtSheet!B100</f>
        <v>Nez Perce Settlement Adjustment</v>
      </c>
      <c r="C108" s="762"/>
      <c r="D108" s="762"/>
      <c r="E108" s="767"/>
      <c r="F108" s="928">
        <f>PFRstmtSheet!G100</f>
        <v>0</v>
      </c>
    </row>
    <row r="109" spans="1:6" hidden="1">
      <c r="A109" s="763" t="str">
        <f>PFRstmtSheet!A101</f>
        <v>s</v>
      </c>
      <c r="B109" s="821" t="str">
        <f>PFRstmtSheet!B101</f>
        <v>Eliminate A/R Expenses</v>
      </c>
      <c r="C109" s="762"/>
      <c r="D109" s="762"/>
      <c r="E109" s="767"/>
      <c r="F109" s="928">
        <f>PFRstmtSheet!G101</f>
        <v>0</v>
      </c>
    </row>
    <row r="110" spans="1:6" hidden="1">
      <c r="A110" s="763" t="str">
        <f>PFRstmtSheet!A102</f>
        <v>t</v>
      </c>
      <c r="B110" s="821" t="str">
        <f>PFRstmtSheet!B102</f>
        <v>Clark Fork PM&amp;E</v>
      </c>
      <c r="C110" s="762"/>
      <c r="D110" s="762"/>
      <c r="E110" s="767"/>
      <c r="F110" s="928">
        <f>PFRstmtSheet!G102</f>
        <v>0</v>
      </c>
    </row>
    <row r="111" spans="1:6" hidden="1">
      <c r="A111" s="763" t="str">
        <f>PFRstmtSheet!A103</f>
        <v>u</v>
      </c>
      <c r="B111" s="821" t="str">
        <f>PFRstmtSheet!B103</f>
        <v>Revenue Normalization Adjustment</v>
      </c>
      <c r="C111" s="762"/>
      <c r="D111" s="762"/>
      <c r="E111" s="767"/>
      <c r="F111" s="928">
        <f>PFRstmtSheet!G103</f>
        <v>0</v>
      </c>
    </row>
    <row r="112" spans="1:6" hidden="1">
      <c r="A112" s="763" t="str">
        <f>PFRstmtSheet!A104</f>
        <v>v</v>
      </c>
      <c r="B112" s="821" t="str">
        <f>PFRstmtSheet!B104</f>
        <v>Restate Debt Interest</v>
      </c>
      <c r="C112" s="762"/>
      <c r="D112" s="762"/>
      <c r="E112" s="767"/>
      <c r="F112" s="928">
        <f>PFRstmtSheet!G104</f>
        <v>0</v>
      </c>
    </row>
    <row r="113" spans="1:6" hidden="1">
      <c r="A113" s="763" t="str">
        <f>PFRstmtSheet!A105</f>
        <v>w</v>
      </c>
      <c r="B113" s="821" t="str">
        <f>PFRstmtSheet!B105</f>
        <v>Misc Restating</v>
      </c>
      <c r="C113" s="762"/>
      <c r="D113" s="762"/>
      <c r="E113" s="767"/>
      <c r="F113" s="928">
        <f>PFRstmtSheet!G105</f>
        <v>0</v>
      </c>
    </row>
    <row r="114" spans="1:6" ht="5.25" hidden="1" customHeight="1">
      <c r="B114" s="821"/>
      <c r="C114" s="762"/>
      <c r="D114" s="762"/>
      <c r="E114" s="767"/>
      <c r="F114" s="928"/>
    </row>
    <row r="115" spans="1:6" ht="13.5" hidden="1" customHeight="1">
      <c r="A115" s="763" t="str">
        <f>PFRstmtSheet!A110</f>
        <v>PF1</v>
      </c>
      <c r="B115" s="821" t="str">
        <f>PFRstmtSheet!B110</f>
        <v>Pro Forma Power Supply</v>
      </c>
      <c r="C115" s="762"/>
      <c r="D115" s="762"/>
      <c r="E115" s="767"/>
      <c r="F115" s="928">
        <f>PFRstmtSheet!G110</f>
        <v>0</v>
      </c>
    </row>
    <row r="116" spans="1:6" hidden="1">
      <c r="A116" s="763" t="str">
        <f>PFRstmtSheet!A111</f>
        <v>PF2</v>
      </c>
      <c r="B116" s="821" t="str">
        <f>PFRstmtSheet!B111</f>
        <v>Pro Forma Production Factor Adj</v>
      </c>
      <c r="C116" s="762"/>
      <c r="D116" s="762"/>
      <c r="E116" s="767"/>
      <c r="F116" s="928" t="e">
        <f>PFRstmtSheet!G111</f>
        <v>#DIV/0!</v>
      </c>
    </row>
    <row r="117" spans="1:6" hidden="1">
      <c r="A117" s="763" t="str">
        <f>PFRstmtSheet!A112</f>
        <v>PF3</v>
      </c>
      <c r="B117" s="821" t="str">
        <f>PFRstmtSheet!B112</f>
        <v>Pro Forma Labor Non-Exec</v>
      </c>
      <c r="C117" s="762"/>
      <c r="D117" s="762"/>
      <c r="E117" s="767"/>
      <c r="F117" s="928">
        <f>PFRstmtSheet!G112</f>
        <v>0</v>
      </c>
    </row>
    <row r="118" spans="1:6" hidden="1">
      <c r="A118" s="763" t="str">
        <f>PFRstmtSheet!A113</f>
        <v>PF4</v>
      </c>
      <c r="B118" s="821" t="str">
        <f>PFRstmtSheet!B113</f>
        <v>Pro Forma Labor Exec</v>
      </c>
      <c r="C118" s="762"/>
      <c r="D118" s="762"/>
      <c r="E118" s="767"/>
      <c r="F118" s="928">
        <f>PFRstmtSheet!G113</f>
        <v>0</v>
      </c>
    </row>
    <row r="119" spans="1:6" hidden="1">
      <c r="A119" s="763" t="str">
        <f>PFRstmtSheet!A114</f>
        <v>PF5</v>
      </c>
      <c r="B119" s="821" t="str">
        <f>PFRstmtSheet!B114</f>
        <v>Pro Forma Transmission Rev/Exp</v>
      </c>
      <c r="C119" s="762"/>
      <c r="D119" s="762"/>
      <c r="E119" s="767"/>
      <c r="F119" s="928">
        <f>PFRstmtSheet!G114</f>
        <v>0</v>
      </c>
    </row>
    <row r="120" spans="1:6" hidden="1">
      <c r="A120" s="763" t="str">
        <f>PFRstmtSheet!A115</f>
        <v>PF6</v>
      </c>
      <c r="B120" s="821" t="str">
        <f>PFRstmtSheet!B115</f>
        <v>Pro Forma Capital Add 2007</v>
      </c>
      <c r="C120" s="762"/>
      <c r="D120" s="762"/>
      <c r="E120" s="767"/>
      <c r="F120" s="928">
        <f>PFRstmtSheet!G115</f>
        <v>0</v>
      </c>
    </row>
    <row r="121" spans="1:6" hidden="1">
      <c r="A121" s="763" t="str">
        <f>PFRstmtSheet!A116</f>
        <v>PF7</v>
      </c>
      <c r="B121" s="821" t="str">
        <f>PFRstmtSheet!B116</f>
        <v>Pro Forma Capital Add 2008</v>
      </c>
      <c r="C121" s="762"/>
      <c r="D121" s="762"/>
      <c r="E121" s="767"/>
      <c r="F121" s="928">
        <f>PFRstmtSheet!G116</f>
        <v>0</v>
      </c>
    </row>
    <row r="122" spans="1:6" hidden="1">
      <c r="A122" s="763" t="str">
        <f>PFRstmtSheet!A117</f>
        <v>PF8</v>
      </c>
      <c r="B122" s="821" t="str">
        <f>PFRstmtSheet!B117</f>
        <v>Pro Forma Asset Management</v>
      </c>
      <c r="C122" s="762"/>
      <c r="D122" s="762"/>
      <c r="E122" s="767"/>
      <c r="F122" s="928">
        <f>PFRstmtSheet!G117</f>
        <v>0</v>
      </c>
    </row>
    <row r="123" spans="1:6" hidden="1">
      <c r="A123" s="763" t="str">
        <f>PFRstmtSheet!A118</f>
        <v>PF9</v>
      </c>
      <c r="B123" s="821" t="str">
        <f>PFRstmtSheet!B118</f>
        <v>Pro Forma Spokane Rvr Relicensing</v>
      </c>
      <c r="C123" s="762"/>
      <c r="D123" s="762"/>
      <c r="E123" s="767"/>
      <c r="F123" s="928">
        <f>PFRstmtSheet!G118</f>
        <v>0</v>
      </c>
    </row>
    <row r="124" spans="1:6" hidden="1">
      <c r="A124" s="763" t="str">
        <f>PFRstmtSheet!A119</f>
        <v>PF10</v>
      </c>
      <c r="B124" s="821" t="str">
        <f>PFRstmtSheet!B119</f>
        <v>Pro Forma CDA Tribe Settlement</v>
      </c>
      <c r="C124" s="762"/>
      <c r="D124" s="762"/>
      <c r="E124" s="767"/>
      <c r="F124" s="928">
        <f>PFRstmtSheet!G119</f>
        <v>0</v>
      </c>
    </row>
    <row r="125" spans="1:6" hidden="1">
      <c r="A125" s="763" t="str">
        <f>PFRstmtSheet!A120</f>
        <v>PF11</v>
      </c>
      <c r="B125" s="821" t="str">
        <f>PFRstmtSheet!B120</f>
        <v>Pro Forma Montana Lease</v>
      </c>
      <c r="C125" s="762"/>
      <c r="D125" s="762"/>
      <c r="E125" s="767"/>
      <c r="F125" s="928">
        <f>PFRstmtSheet!G120</f>
        <v>0</v>
      </c>
    </row>
    <row r="126" spans="1:6" hidden="1">
      <c r="A126" s="763" t="str">
        <f>PFRstmtSheet!A121</f>
        <v>PF12</v>
      </c>
      <c r="B126" s="821" t="str">
        <f>PFRstmtSheet!B121</f>
        <v>Pro Forma Colstrip Mercury Emiss. O&amp;M</v>
      </c>
      <c r="C126" s="762"/>
      <c r="D126" s="762"/>
      <c r="E126" s="767"/>
      <c r="F126" s="928">
        <f>PFRstmtSheet!G121</f>
        <v>0</v>
      </c>
    </row>
    <row r="127" spans="1:6" hidden="1">
      <c r="A127" s="763" t="str">
        <f>PFRstmtSheet!A122</f>
        <v>PF13</v>
      </c>
      <c r="B127" s="821" t="str">
        <f>PFRstmtSheet!B122</f>
        <v>Pro Forma Incentives</v>
      </c>
      <c r="C127" s="762"/>
      <c r="D127" s="762"/>
      <c r="E127" s="767"/>
      <c r="F127" s="928">
        <f>PFRstmtSheet!G122</f>
        <v>0</v>
      </c>
    </row>
    <row r="128" spans="1:6" hidden="1">
      <c r="A128" s="763" t="str">
        <f>PFRstmtSheet!A123</f>
        <v>PF14</v>
      </c>
      <c r="B128" s="821" t="str">
        <f>PFRstmtSheet!B123</f>
        <v>Pro Forma ID AMR</v>
      </c>
      <c r="C128" s="762"/>
      <c r="D128" s="762"/>
      <c r="E128" s="767"/>
      <c r="F128" s="928">
        <f>PFRstmtSheet!G123</f>
        <v>21852</v>
      </c>
    </row>
    <row r="129" spans="1:9" ht="13.5" hidden="1" customHeight="1">
      <c r="A129" s="763" t="str">
        <f>PFRstmtSheet!A124</f>
        <v>PF15</v>
      </c>
      <c r="B129" s="821" t="str">
        <f>PFRstmtSheet!B124</f>
        <v>Pro Forma CS2 Levelized Adj</v>
      </c>
      <c r="C129" s="762"/>
      <c r="D129" s="762"/>
      <c r="E129" s="767"/>
      <c r="F129" s="928">
        <f>PFRstmtSheet!G124</f>
        <v>0</v>
      </c>
    </row>
    <row r="130" spans="1:9" ht="0.75" hidden="1" customHeight="1">
      <c r="A130" s="763">
        <f>PFRstmtSheet!A107</f>
        <v>0</v>
      </c>
      <c r="B130" s="821">
        <f>PFRstmtSheet!B107</f>
        <v>0</v>
      </c>
      <c r="C130" s="762"/>
      <c r="D130" s="762"/>
      <c r="E130" s="767"/>
      <c r="F130" s="928">
        <f>PFRstmtSheet!G107</f>
        <v>0</v>
      </c>
    </row>
    <row r="131" spans="1:9" ht="13.5" hidden="1" customHeight="1">
      <c r="B131" s="759" t="s">
        <v>416</v>
      </c>
      <c r="C131" s="762"/>
      <c r="D131" s="762"/>
      <c r="E131" s="767"/>
      <c r="F131" s="768" t="e">
        <f>SUM(F93:F130)</f>
        <v>#DIV/0!</v>
      </c>
    </row>
    <row r="132" spans="1:9" hidden="1">
      <c r="C132" s="762"/>
      <c r="D132" s="762"/>
      <c r="E132" s="762"/>
      <c r="F132" s="759"/>
      <c r="G132" s="1004"/>
    </row>
    <row r="133" spans="1:9" hidden="1">
      <c r="B133" s="759" t="str">
        <f>B55</f>
        <v>Weighted Average Cost of Debt</v>
      </c>
      <c r="C133" s="783"/>
      <c r="D133" s="783"/>
      <c r="E133" s="785"/>
      <c r="F133" s="1129">
        <f>RevReq_Exh_WA!S35</f>
        <v>3.56E-2</v>
      </c>
      <c r="H133" s="1130" t="s">
        <v>541</v>
      </c>
      <c r="I133" s="829"/>
    </row>
    <row r="134" spans="1:9" hidden="1">
      <c r="C134" s="762"/>
      <c r="D134" s="762"/>
      <c r="F134" s="759"/>
    </row>
    <row r="135" spans="1:9" hidden="1">
      <c r="B135" s="759" t="s">
        <v>316</v>
      </c>
      <c r="C135" s="762"/>
      <c r="D135" s="762"/>
      <c r="E135" s="767"/>
      <c r="F135" s="767" t="e">
        <f>F131*F133</f>
        <v>#DIV/0!</v>
      </c>
    </row>
    <row r="136" spans="1:9" hidden="1">
      <c r="C136" s="762"/>
      <c r="D136" s="762"/>
      <c r="E136" s="762"/>
      <c r="F136" s="759"/>
    </row>
    <row r="137" spans="1:9" hidden="1">
      <c r="B137" s="759" t="s">
        <v>547</v>
      </c>
      <c r="C137" s="762"/>
      <c r="D137" s="762"/>
      <c r="F137" s="1034">
        <v>21469</v>
      </c>
      <c r="H137" s="1057" t="s">
        <v>593</v>
      </c>
    </row>
    <row r="138" spans="1:9" hidden="1">
      <c r="C138" s="762"/>
      <c r="D138" s="762"/>
      <c r="E138" s="762"/>
      <c r="F138" s="759"/>
    </row>
    <row r="139" spans="1:9" hidden="1">
      <c r="B139" s="759" t="s">
        <v>318</v>
      </c>
      <c r="C139" s="762"/>
      <c r="D139" s="762"/>
      <c r="E139" s="767"/>
      <c r="F139" s="767" t="e">
        <f>F135-F137</f>
        <v>#DIV/0!</v>
      </c>
    </row>
    <row r="140" spans="1:9" hidden="1">
      <c r="B140" s="759" t="s">
        <v>319</v>
      </c>
      <c r="D140" s="762"/>
      <c r="E140" s="770"/>
      <c r="F140" s="771">
        <v>0.35</v>
      </c>
    </row>
    <row r="141" spans="1:9" hidden="1">
      <c r="D141" s="762"/>
      <c r="E141" s="762"/>
      <c r="F141" s="759"/>
    </row>
    <row r="142" spans="1:9" ht="13.5" hidden="1" thickBot="1">
      <c r="B142" s="759" t="s">
        <v>320</v>
      </c>
      <c r="D142" s="762"/>
      <c r="E142" s="767"/>
      <c r="F142" s="767" t="e">
        <f>F139*-F140</f>
        <v>#DIV/0!</v>
      </c>
      <c r="G142" s="767"/>
    </row>
    <row r="143" spans="1:9" ht="13.5" hidden="1" thickTop="1">
      <c r="D143" s="762"/>
      <c r="E143" s="767"/>
      <c r="F143" s="786"/>
    </row>
    <row r="144" spans="1:9" hidden="1"/>
    <row r="145" spans="2:5" hidden="1">
      <c r="B145" s="765" t="s">
        <v>317</v>
      </c>
    </row>
    <row r="146" spans="2:5" hidden="1">
      <c r="B146" s="759" t="s">
        <v>321</v>
      </c>
      <c r="C146" s="767">
        <f>C68</f>
        <v>2430</v>
      </c>
    </row>
    <row r="147" spans="2:5" hidden="1">
      <c r="B147" s="759" t="s">
        <v>322</v>
      </c>
      <c r="C147" s="759">
        <f>C69</f>
        <v>2935</v>
      </c>
    </row>
    <row r="148" spans="2:5" hidden="1">
      <c r="B148" s="759" t="s">
        <v>323</v>
      </c>
      <c r="C148" s="768">
        <f>C146+C147</f>
        <v>5365</v>
      </c>
    </row>
    <row r="149" spans="2:5" hidden="1">
      <c r="C149" s="767"/>
    </row>
    <row r="150" spans="2:5" hidden="1">
      <c r="C150" s="773"/>
      <c r="D150" s="763"/>
      <c r="E150" s="763" t="s">
        <v>324</v>
      </c>
    </row>
    <row r="151" spans="2:5" hidden="1">
      <c r="C151" s="766" t="s">
        <v>279</v>
      </c>
      <c r="D151" s="766" t="s">
        <v>325</v>
      </c>
      <c r="E151" s="766" t="s">
        <v>52</v>
      </c>
    </row>
    <row r="152" spans="2:5" hidden="1">
      <c r="B152" s="759" t="s">
        <v>326</v>
      </c>
      <c r="C152" s="767">
        <f>$C$74</f>
        <v>63273656.728496328</v>
      </c>
      <c r="D152" s="769">
        <f>C152/C155</f>
        <v>0.88038408408290936</v>
      </c>
      <c r="E152" s="767">
        <f>D152*E155</f>
        <v>4723.260611104809</v>
      </c>
    </row>
    <row r="153" spans="2:5" hidden="1">
      <c r="B153" s="759" t="s">
        <v>327</v>
      </c>
      <c r="C153" s="759">
        <f>$C$75</f>
        <v>4070675.847244422</v>
      </c>
      <c r="D153" s="779">
        <f>C153/C155</f>
        <v>5.6639025032999189E-2</v>
      </c>
      <c r="E153" s="774">
        <f>D153*E155</f>
        <v>303.86836930204066</v>
      </c>
    </row>
    <row r="154" spans="2:5" hidden="1">
      <c r="B154" s="759" t="s">
        <v>328</v>
      </c>
      <c r="C154" s="759">
        <f>$C$76</f>
        <v>4526181.5242592506</v>
      </c>
      <c r="D154" s="779">
        <f>C154/C155</f>
        <v>6.2976890884091363E-2</v>
      </c>
      <c r="E154" s="774">
        <f>E155*D154</f>
        <v>337.87101959315015</v>
      </c>
    </row>
    <row r="155" spans="2:5" hidden="1">
      <c r="B155" s="759" t="s">
        <v>329</v>
      </c>
      <c r="C155" s="768">
        <f>C152+C153+C154</f>
        <v>71870514.100000009</v>
      </c>
      <c r="D155" s="775">
        <f>D152+D153+D154</f>
        <v>1</v>
      </c>
      <c r="E155" s="768">
        <f>C148</f>
        <v>5365</v>
      </c>
    </row>
    <row r="156" spans="2:5" hidden="1"/>
    <row r="157" spans="2:5" hidden="1">
      <c r="B157" s="759" t="s">
        <v>330</v>
      </c>
      <c r="C157" s="767">
        <f>$C$79</f>
        <v>38434272.276927195</v>
      </c>
      <c r="D157" s="769">
        <f>C157/C159</f>
        <v>0.60742928833474064</v>
      </c>
      <c r="E157" s="767">
        <f>D157*E159</f>
        <v>2869.0468316229062</v>
      </c>
    </row>
    <row r="158" spans="2:5" hidden="1">
      <c r="B158" s="759" t="s">
        <v>331</v>
      </c>
      <c r="C158" s="759">
        <f>$C$80</f>
        <v>24839384.451569133</v>
      </c>
      <c r="D158" s="769">
        <f>C158/C159</f>
        <v>0.39257071166525942</v>
      </c>
      <c r="E158" s="759">
        <f>D158*E159</f>
        <v>1854.213779481903</v>
      </c>
    </row>
    <row r="159" spans="2:5" hidden="1">
      <c r="B159" s="759" t="s">
        <v>329</v>
      </c>
      <c r="C159" s="768">
        <f>C157+C158</f>
        <v>63273656.728496328</v>
      </c>
      <c r="D159" s="775">
        <f>D157+D158</f>
        <v>1</v>
      </c>
      <c r="E159" s="768">
        <f>E152</f>
        <v>4723.260611104809</v>
      </c>
    </row>
    <row r="160" spans="2:5" hidden="1"/>
    <row r="161" spans="2:5" hidden="1">
      <c r="B161" s="759" t="s">
        <v>332</v>
      </c>
      <c r="C161" s="767">
        <f>$C$83</f>
        <v>2228476.6011848957</v>
      </c>
      <c r="D161" s="776">
        <f>C161/C163</f>
        <v>0.54744634178951557</v>
      </c>
      <c r="E161" s="767">
        <f>E163*D161</f>
        <v>166.3516271599477</v>
      </c>
    </row>
    <row r="162" spans="2:5" hidden="1">
      <c r="B162" s="759" t="s">
        <v>333</v>
      </c>
      <c r="C162" s="759">
        <f>C$84</f>
        <v>1842199.2460595262</v>
      </c>
      <c r="D162" s="777">
        <f>C162/C163</f>
        <v>0.45255365821048443</v>
      </c>
      <c r="E162" s="759">
        <f>E163*D162</f>
        <v>137.51674214209297</v>
      </c>
    </row>
    <row r="163" spans="2:5" hidden="1">
      <c r="B163" s="759" t="s">
        <v>329</v>
      </c>
      <c r="C163" s="768">
        <f>SUM(C161:C162)</f>
        <v>4070675.847244422</v>
      </c>
      <c r="D163" s="778">
        <f>SUM(D161:D162)</f>
        <v>1</v>
      </c>
      <c r="E163" s="768">
        <f>E153</f>
        <v>303.86836930204066</v>
      </c>
    </row>
  </sheetData>
  <phoneticPr fontId="0" type="noConversion"/>
  <printOptions horizontalCentered="1"/>
  <pageMargins left="0.75" right="0.75" top="0.5" bottom="0.5" header="0.5" footer="0.25"/>
  <pageSetup scale="90" orientation="portrait" horizontalDpi="300" verticalDpi="300" r:id="rId1"/>
  <headerFooter alignWithMargins="0">
    <oddFooter>&amp;Lfile:  &amp;f&amp;Rkm &amp;d</oddFooter>
  </headerFooter>
  <rowBreaks count="1" manualBreakCount="1">
    <brk id="85" max="16383" man="1"/>
  </rowBreaks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8"/>
  <dimension ref="A2:E6"/>
  <sheetViews>
    <sheetView workbookViewId="0">
      <selection activeCell="E5" sqref="E5"/>
    </sheetView>
  </sheetViews>
  <sheetFormatPr defaultRowHeight="12.75"/>
  <cols>
    <col min="1" max="1" width="21.5703125" customWidth="1"/>
    <col min="4" max="4" width="43.7109375" customWidth="1"/>
  </cols>
  <sheetData>
    <row r="2" spans="1:5">
      <c r="A2" t="s">
        <v>258</v>
      </c>
      <c r="D2" s="242" t="s">
        <v>657</v>
      </c>
    </row>
    <row r="3" spans="1:5">
      <c r="D3" s="242"/>
    </row>
    <row r="4" spans="1:5">
      <c r="A4" s="240" t="s">
        <v>259</v>
      </c>
      <c r="B4" s="240"/>
      <c r="D4" s="1030">
        <v>1.2215999999999999E-2</v>
      </c>
      <c r="E4" s="1095" t="s">
        <v>685</v>
      </c>
    </row>
    <row r="5" spans="1:5">
      <c r="A5" s="241"/>
    </row>
    <row r="6" spans="1:5">
      <c r="A6" s="251" t="s">
        <v>260</v>
      </c>
      <c r="B6" s="252"/>
      <c r="C6" s="252"/>
      <c r="D6" s="253" t="s">
        <v>261</v>
      </c>
    </row>
  </sheetData>
  <customSheetViews>
    <customSheetView guid="{A15D1962-B049-11D2-8670-0000832CEEE8}" showRuler="0">
      <selection activeCell="D15" sqref="D15"/>
      <pageMargins left="0.75" right="0.75" top="1" bottom="1" header="0.5" footer="0.5"/>
      <pageSetup orientation="portrait" horizontalDpi="4294967292" verticalDpi="0" r:id="rId1"/>
      <headerFooter alignWithMargins="0">
        <oddHeader>&amp;A</oddHeader>
        <oddFooter>Page &amp;P</oddFooter>
      </headerFooter>
    </customSheetView>
    <customSheetView guid="{6E1B8C45-B07F-11D2-B0DC-0000832CDFF0}" showRuler="0">
      <selection activeCell="D15" sqref="D15"/>
      <pageMargins left="0.75" right="0.75" top="1" bottom="1" header="0.5" footer="0.5"/>
      <pageSetup orientation="portrait" horizontalDpi="4294967292" verticalDpi="0" r:id="rId2"/>
      <headerFooter alignWithMargins="0">
        <oddHeader>&amp;A</oddHeader>
        <oddFooter>Page &amp;P</oddFooter>
      </headerFooter>
    </customSheetView>
  </customSheetViews>
  <phoneticPr fontId="0" type="noConversion"/>
  <pageMargins left="0.75" right="0.75" top="1" bottom="1" header="0.5" footer="0.5"/>
  <pageSetup orientation="portrait" horizontalDpi="4294967292" r:id="rId3"/>
  <headerFooter alignWithMargins="0">
    <oddHeader>&amp;A</oddHeader>
    <oddFooter>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9"/>
  <dimension ref="A1:J65"/>
  <sheetViews>
    <sheetView topLeftCell="A4" workbookViewId="0">
      <selection activeCell="I17" sqref="I17"/>
    </sheetView>
  </sheetViews>
  <sheetFormatPr defaultColWidth="12.42578125" defaultRowHeight="12"/>
  <cols>
    <col min="1" max="1" width="5.5703125" style="424" customWidth="1"/>
    <col min="2" max="2" width="26.140625" style="421" customWidth="1"/>
    <col min="3" max="3" width="12.42578125" style="421" customWidth="1"/>
    <col min="4" max="4" width="6.7109375" style="421" customWidth="1"/>
    <col min="5" max="16384" width="12.42578125" style="421"/>
  </cols>
  <sheetData>
    <row r="1" spans="1:10" ht="15.75">
      <c r="A1" s="419" t="str">
        <f>Inputs!$D$6</f>
        <v>AVISTA UTILITIES</v>
      </c>
      <c r="B1" s="420"/>
      <c r="C1" s="419"/>
      <c r="E1" s="79" t="s">
        <v>299</v>
      </c>
      <c r="F1" s="419"/>
      <c r="G1" s="419"/>
      <c r="H1" s="1335" t="s">
        <v>693</v>
      </c>
      <c r="I1" s="1336"/>
      <c r="J1" s="1336"/>
    </row>
    <row r="2" spans="1:10">
      <c r="A2" s="419" t="s">
        <v>142</v>
      </c>
      <c r="B2" s="420"/>
      <c r="C2" s="419"/>
      <c r="E2" s="419" t="s">
        <v>241</v>
      </c>
      <c r="F2" s="419"/>
      <c r="G2" s="419"/>
    </row>
    <row r="3" spans="1:10">
      <c r="A3" s="420" t="str">
        <f>WAElec09_08!$A$4</f>
        <v>TWELVE MONTHS ENDED SEPTEMBER 30, 2008</v>
      </c>
      <c r="B3" s="420"/>
      <c r="C3" s="419"/>
      <c r="E3" s="419" t="s">
        <v>242</v>
      </c>
      <c r="F3" s="419"/>
      <c r="G3" s="419"/>
    </row>
    <row r="4" spans="1:10">
      <c r="A4" s="419" t="s">
        <v>1</v>
      </c>
      <c r="B4" s="420"/>
      <c r="C4" s="419"/>
      <c r="E4" s="422" t="s">
        <v>145</v>
      </c>
      <c r="F4" s="422"/>
      <c r="G4" s="423"/>
    </row>
    <row r="5" spans="1:10">
      <c r="A5" s="424" t="s">
        <v>14</v>
      </c>
    </row>
    <row r="6" spans="1:10" s="424" customFormat="1">
      <c r="A6" s="424" t="s">
        <v>146</v>
      </c>
      <c r="B6" s="425" t="s">
        <v>36</v>
      </c>
      <c r="C6" s="425"/>
      <c r="E6" s="425" t="s">
        <v>147</v>
      </c>
      <c r="F6" s="425" t="s">
        <v>148</v>
      </c>
      <c r="G6" s="425" t="s">
        <v>128</v>
      </c>
      <c r="H6" s="426" t="s">
        <v>149</v>
      </c>
    </row>
    <row r="7" spans="1:10">
      <c r="B7" s="427" t="s">
        <v>85</v>
      </c>
    </row>
    <row r="8" spans="1:10" s="430" customFormat="1">
      <c r="A8" s="428">
        <v>1</v>
      </c>
      <c r="B8" s="429" t="s">
        <v>86</v>
      </c>
      <c r="E8" s="431">
        <f>F8+G8</f>
        <v>0</v>
      </c>
      <c r="F8" s="431"/>
      <c r="G8" s="431"/>
      <c r="H8" s="430" t="str">
        <f t="shared" ref="H8:H13" si="0">IF(E8=F8+G8," ","ERROR")</f>
        <v xml:space="preserve"> </v>
      </c>
    </row>
    <row r="9" spans="1:10">
      <c r="A9" s="424">
        <v>2</v>
      </c>
      <c r="B9" s="427" t="s">
        <v>87</v>
      </c>
      <c r="E9" s="432"/>
      <c r="F9" s="432"/>
      <c r="G9" s="432"/>
      <c r="H9" s="430" t="str">
        <f t="shared" si="0"/>
        <v xml:space="preserve"> </v>
      </c>
    </row>
    <row r="10" spans="1:10">
      <c r="A10" s="424">
        <v>3</v>
      </c>
      <c r="B10" s="427" t="s">
        <v>150</v>
      </c>
      <c r="E10" s="432">
        <f>SUM(F10:G10)</f>
        <v>-49086</v>
      </c>
      <c r="F10" s="432">
        <v>-49086</v>
      </c>
      <c r="G10" s="432"/>
      <c r="H10" s="430" t="str">
        <f t="shared" si="0"/>
        <v xml:space="preserve"> </v>
      </c>
    </row>
    <row r="11" spans="1:10">
      <c r="A11" s="424">
        <v>4</v>
      </c>
      <c r="B11" s="427" t="s">
        <v>151</v>
      </c>
      <c r="E11" s="433">
        <f>E8+E9+E10</f>
        <v>-49086</v>
      </c>
      <c r="F11" s="433">
        <f>F8+F9+F10</f>
        <v>-49086</v>
      </c>
      <c r="G11" s="433">
        <f>G8+G9+G10</f>
        <v>0</v>
      </c>
      <c r="H11" s="430" t="str">
        <f t="shared" si="0"/>
        <v xml:space="preserve"> </v>
      </c>
    </row>
    <row r="12" spans="1:10">
      <c r="A12" s="424">
        <v>5</v>
      </c>
      <c r="B12" s="427" t="s">
        <v>90</v>
      </c>
      <c r="E12" s="432">
        <f>SUM(F12:G12)</f>
        <v>-27028</v>
      </c>
      <c r="F12" s="432">
        <f>-27006-21-1</f>
        <v>-27028</v>
      </c>
      <c r="G12" s="432"/>
      <c r="H12" s="430" t="str">
        <f t="shared" si="0"/>
        <v xml:space="preserve"> </v>
      </c>
    </row>
    <row r="13" spans="1:10">
      <c r="A13" s="424">
        <v>6</v>
      </c>
      <c r="B13" s="427" t="s">
        <v>152</v>
      </c>
      <c r="E13" s="433">
        <f>E11+E12</f>
        <v>-76114</v>
      </c>
      <c r="F13" s="433">
        <f>F11+F12</f>
        <v>-76114</v>
      </c>
      <c r="G13" s="433">
        <f>G11+G12</f>
        <v>0</v>
      </c>
      <c r="H13" s="430" t="str">
        <f t="shared" si="0"/>
        <v xml:space="preserve"> </v>
      </c>
    </row>
    <row r="14" spans="1:10">
      <c r="E14" s="434"/>
      <c r="F14" s="434"/>
      <c r="G14" s="434"/>
      <c r="H14" s="430"/>
    </row>
    <row r="15" spans="1:10">
      <c r="B15" s="427" t="s">
        <v>92</v>
      </c>
      <c r="E15" s="434"/>
      <c r="F15" s="434"/>
      <c r="G15" s="434"/>
      <c r="H15" s="430"/>
    </row>
    <row r="16" spans="1:10">
      <c r="B16" s="427" t="s">
        <v>93</v>
      </c>
      <c r="E16" s="434"/>
      <c r="F16" s="434"/>
      <c r="G16" s="434"/>
      <c r="H16" s="430"/>
    </row>
    <row r="17" spans="1:8">
      <c r="A17" s="424">
        <v>7</v>
      </c>
      <c r="B17" s="427" t="s">
        <v>153</v>
      </c>
      <c r="E17" s="432">
        <f>SUM(F17:G17)</f>
        <v>1003.5</v>
      </c>
      <c r="F17" s="432">
        <f>-65383-F18-110.5</f>
        <v>1003.5</v>
      </c>
      <c r="G17" s="432"/>
      <c r="H17" s="430" t="str">
        <f>IF(E17=F17+G17," ","ERROR")</f>
        <v xml:space="preserve"> </v>
      </c>
    </row>
    <row r="18" spans="1:8">
      <c r="A18" s="424">
        <v>8</v>
      </c>
      <c r="B18" s="427" t="s">
        <v>154</v>
      </c>
      <c r="E18" s="432">
        <f>SUM(F18:G18)</f>
        <v>-66497</v>
      </c>
      <c r="F18" s="432">
        <f>-66497</f>
        <v>-66497</v>
      </c>
      <c r="G18" s="432"/>
      <c r="H18" s="430" t="str">
        <f>IF(E18=F18+G18," ","ERROR")</f>
        <v xml:space="preserve"> </v>
      </c>
    </row>
    <row r="19" spans="1:8">
      <c r="A19" s="424">
        <v>9</v>
      </c>
      <c r="B19" s="427" t="s">
        <v>155</v>
      </c>
      <c r="E19" s="432"/>
      <c r="F19" s="432"/>
      <c r="G19" s="432"/>
      <c r="H19" s="430" t="str">
        <f>IF(E19=F19+G19," ","ERROR")</f>
        <v xml:space="preserve"> </v>
      </c>
    </row>
    <row r="20" spans="1:8">
      <c r="A20" s="424">
        <v>10</v>
      </c>
      <c r="B20" s="427" t="s">
        <v>156</v>
      </c>
      <c r="E20" s="432"/>
      <c r="F20" s="432"/>
      <c r="G20" s="432"/>
      <c r="H20" s="430" t="str">
        <f>IF(E20=F20+G20," ","ERROR")</f>
        <v xml:space="preserve"> </v>
      </c>
    </row>
    <row r="21" spans="1:8">
      <c r="A21" s="424">
        <v>11</v>
      </c>
      <c r="B21" s="427" t="s">
        <v>157</v>
      </c>
      <c r="E21" s="433">
        <f>E17+E18+E19+E20</f>
        <v>-65493.5</v>
      </c>
      <c r="F21" s="433">
        <f>F17+F18+F19+F20</f>
        <v>-65493.5</v>
      </c>
      <c r="G21" s="433">
        <f>G17+G18+G19+G20</f>
        <v>0</v>
      </c>
      <c r="H21" s="430" t="str">
        <f>IF(E21=F21+G21," ","ERROR")</f>
        <v xml:space="preserve"> </v>
      </c>
    </row>
    <row r="22" spans="1:8">
      <c r="E22" s="434"/>
      <c r="F22" s="434"/>
      <c r="G22" s="434"/>
      <c r="H22" s="430"/>
    </row>
    <row r="23" spans="1:8">
      <c r="B23" s="427" t="s">
        <v>98</v>
      </c>
      <c r="E23" s="434"/>
      <c r="F23" s="434"/>
      <c r="G23" s="434"/>
      <c r="H23" s="430"/>
    </row>
    <row r="24" spans="1:8">
      <c r="A24" s="424">
        <v>12</v>
      </c>
      <c r="B24" s="427" t="s">
        <v>153</v>
      </c>
      <c r="E24" s="432"/>
      <c r="F24" s="432"/>
      <c r="G24" s="432"/>
      <c r="H24" s="430" t="str">
        <f>IF(E24=F24+G24," ","ERROR")</f>
        <v xml:space="preserve"> </v>
      </c>
    </row>
    <row r="25" spans="1:8">
      <c r="A25" s="424">
        <v>13</v>
      </c>
      <c r="B25" s="427" t="s">
        <v>158</v>
      </c>
      <c r="E25" s="432"/>
      <c r="F25" s="432"/>
      <c r="G25" s="432"/>
      <c r="H25" s="430" t="str">
        <f>IF(E25=F25+G25," ","ERROR")</f>
        <v xml:space="preserve"> </v>
      </c>
    </row>
    <row r="26" spans="1:8">
      <c r="A26" s="424">
        <v>14</v>
      </c>
      <c r="B26" s="427" t="s">
        <v>156</v>
      </c>
      <c r="E26" s="432">
        <f>F26+G26</f>
        <v>0</v>
      </c>
      <c r="F26" s="432"/>
      <c r="G26" s="842"/>
      <c r="H26" s="430" t="str">
        <f>IF(E26=F26+G26," ","ERROR")</f>
        <v xml:space="preserve"> </v>
      </c>
    </row>
    <row r="27" spans="1:8">
      <c r="A27" s="424">
        <v>15</v>
      </c>
      <c r="B27" s="427" t="s">
        <v>159</v>
      </c>
      <c r="E27" s="433">
        <f>E24+E25+E26</f>
        <v>0</v>
      </c>
      <c r="F27" s="433">
        <f>F24+F25+F26</f>
        <v>0</v>
      </c>
      <c r="G27" s="433">
        <f>G24+G25+G26</f>
        <v>0</v>
      </c>
      <c r="H27" s="430" t="str">
        <f>IF(E27=F27+G27," ","ERROR")</f>
        <v xml:space="preserve"> </v>
      </c>
    </row>
    <row r="28" spans="1:8">
      <c r="E28" s="434"/>
      <c r="F28" s="434"/>
      <c r="G28" s="434"/>
      <c r="H28" s="430"/>
    </row>
    <row r="29" spans="1:8">
      <c r="A29" s="424">
        <v>16</v>
      </c>
      <c r="B29" s="427" t="s">
        <v>101</v>
      </c>
      <c r="E29" s="432"/>
      <c r="F29" s="432"/>
      <c r="G29" s="432"/>
      <c r="H29" s="430" t="str">
        <f>IF(E29=F29+G29," ","ERROR")</f>
        <v xml:space="preserve"> </v>
      </c>
    </row>
    <row r="30" spans="1:8">
      <c r="A30" s="424">
        <v>17</v>
      </c>
      <c r="B30" s="427" t="s">
        <v>102</v>
      </c>
      <c r="E30" s="432"/>
      <c r="F30" s="432"/>
      <c r="G30" s="432"/>
      <c r="H30" s="430" t="str">
        <f>IF(E30=F30+G30," ","ERROR")</f>
        <v xml:space="preserve"> </v>
      </c>
    </row>
    <row r="31" spans="1:8">
      <c r="A31" s="424">
        <v>18</v>
      </c>
      <c r="B31" s="427" t="s">
        <v>160</v>
      </c>
      <c r="E31" s="432"/>
      <c r="F31" s="432"/>
      <c r="G31" s="432"/>
      <c r="H31" s="430" t="str">
        <f>IF(E31=F31+G31," ","ERROR")</f>
        <v xml:space="preserve"> </v>
      </c>
    </row>
    <row r="32" spans="1:8">
      <c r="E32" s="434"/>
      <c r="F32" s="434"/>
      <c r="G32" s="434"/>
      <c r="H32" s="430"/>
    </row>
    <row r="33" spans="1:8">
      <c r="B33" s="427" t="s">
        <v>104</v>
      </c>
      <c r="E33" s="434"/>
      <c r="F33" s="434"/>
      <c r="G33" s="434"/>
      <c r="H33" s="841"/>
    </row>
    <row r="34" spans="1:8">
      <c r="A34" s="424">
        <v>19</v>
      </c>
      <c r="B34" s="427" t="s">
        <v>153</v>
      </c>
      <c r="E34" s="432">
        <f>F34+G34</f>
        <v>0</v>
      </c>
      <c r="F34" s="432"/>
      <c r="G34" s="432"/>
      <c r="H34" s="430" t="str">
        <f>IF(E34=F34+G34," ","ERROR")</f>
        <v xml:space="preserve"> </v>
      </c>
    </row>
    <row r="35" spans="1:8">
      <c r="A35" s="424">
        <v>20</v>
      </c>
      <c r="B35" s="427" t="s">
        <v>158</v>
      </c>
      <c r="E35" s="432"/>
      <c r="F35" s="432"/>
      <c r="G35" s="432"/>
      <c r="H35" s="430" t="str">
        <f>IF(E35=F35+G35," ","ERROR")</f>
        <v xml:space="preserve"> </v>
      </c>
    </row>
    <row r="36" spans="1:8">
      <c r="A36" s="424">
        <v>21</v>
      </c>
      <c r="B36" s="427" t="s">
        <v>156</v>
      </c>
      <c r="E36" s="432"/>
      <c r="F36" s="432"/>
      <c r="G36" s="432"/>
      <c r="H36" s="430" t="str">
        <f>IF(E36=F36+G36," ","ERROR")</f>
        <v xml:space="preserve"> </v>
      </c>
    </row>
    <row r="37" spans="1:8">
      <c r="A37" s="424">
        <v>22</v>
      </c>
      <c r="B37" s="427" t="s">
        <v>161</v>
      </c>
      <c r="E37" s="435">
        <f>E34+E35+E36</f>
        <v>0</v>
      </c>
      <c r="F37" s="435">
        <f>F34+F35+F36</f>
        <v>0</v>
      </c>
      <c r="G37" s="435">
        <f>G34+G35+G36</f>
        <v>0</v>
      </c>
      <c r="H37" s="430" t="str">
        <f>IF(E37=F37+G37," ","ERROR")</f>
        <v xml:space="preserve"> </v>
      </c>
    </row>
    <row r="38" spans="1:8">
      <c r="A38" s="424">
        <v>23</v>
      </c>
      <c r="B38" s="427" t="s">
        <v>106</v>
      </c>
      <c r="E38" s="436">
        <f>E21+E27+E29+E30+E31+E37</f>
        <v>-65493.5</v>
      </c>
      <c r="F38" s="436">
        <f>F21+F27+F29+F30+F31+F37</f>
        <v>-65493.5</v>
      </c>
      <c r="G38" s="436">
        <f>G21+G27+G29+G30+G31+G37</f>
        <v>0</v>
      </c>
      <c r="H38" s="430" t="str">
        <f>IF(E38=F38+G38," ","ERROR")</f>
        <v xml:space="preserve"> </v>
      </c>
    </row>
    <row r="39" spans="1:8">
      <c r="E39" s="434"/>
      <c r="F39" s="434"/>
      <c r="G39" s="434"/>
      <c r="H39" s="430"/>
    </row>
    <row r="40" spans="1:8">
      <c r="A40" s="424">
        <v>24</v>
      </c>
      <c r="B40" s="427" t="s">
        <v>162</v>
      </c>
      <c r="E40" s="434">
        <f>E13-E38</f>
        <v>-10620.5</v>
      </c>
      <c r="F40" s="434">
        <f>F13-F38</f>
        <v>-10620.5</v>
      </c>
      <c r="G40" s="434">
        <f>G13-G38</f>
        <v>0</v>
      </c>
      <c r="H40" s="430" t="str">
        <f>IF(E40=F40+G40," ","ERROR")</f>
        <v xml:space="preserve"> </v>
      </c>
    </row>
    <row r="41" spans="1:8">
      <c r="B41" s="427"/>
      <c r="E41" s="434"/>
      <c r="F41" s="434"/>
      <c r="G41" s="434"/>
      <c r="H41" s="430"/>
    </row>
    <row r="42" spans="1:8">
      <c r="B42" s="427" t="s">
        <v>163</v>
      </c>
      <c r="E42" s="434"/>
      <c r="F42" s="434"/>
      <c r="G42" s="434"/>
      <c r="H42" s="430"/>
    </row>
    <row r="43" spans="1:8">
      <c r="A43" s="424">
        <v>25</v>
      </c>
      <c r="B43" s="427" t="s">
        <v>164</v>
      </c>
      <c r="D43" s="437">
        <v>0.35</v>
      </c>
      <c r="E43" s="432">
        <f>F43+G43</f>
        <v>-3717</v>
      </c>
      <c r="F43" s="432">
        <f>ROUND(F40*$D$43,0)</f>
        <v>-3717</v>
      </c>
      <c r="G43" s="432">
        <f>ROUND(G40*$D$43,0)</f>
        <v>0</v>
      </c>
      <c r="H43" s="430" t="str">
        <f>IF(E43=F43+G43," ","ERROR")</f>
        <v xml:space="preserve"> </v>
      </c>
    </row>
    <row r="44" spans="1:8">
      <c r="A44" s="424">
        <v>26</v>
      </c>
      <c r="B44" s="427" t="s">
        <v>165</v>
      </c>
      <c r="E44" s="432"/>
      <c r="F44" s="432"/>
      <c r="G44" s="432"/>
      <c r="H44" s="430" t="str">
        <f>IF(E44=F44+G44," ","ERROR")</f>
        <v xml:space="preserve"> </v>
      </c>
    </row>
    <row r="45" spans="1:8" ht="12.75">
      <c r="A45"/>
      <c r="B45"/>
      <c r="C45"/>
      <c r="D45"/>
      <c r="E45" s="913"/>
      <c r="F45" s="913"/>
      <c r="G45" s="913"/>
      <c r="H45" s="430" t="str">
        <f>IF(E45=F45+G45," ","ERROR")</f>
        <v xml:space="preserve"> </v>
      </c>
    </row>
    <row r="46" spans="1:8">
      <c r="A46" s="259"/>
      <c r="B46" s="262"/>
      <c r="C46" s="256"/>
      <c r="D46" s="256"/>
      <c r="E46" s="269"/>
      <c r="F46" s="269"/>
      <c r="G46" s="269"/>
      <c r="H46" s="430"/>
    </row>
    <row r="47" spans="1:8" s="430" customFormat="1">
      <c r="A47" s="263">
        <v>27</v>
      </c>
      <c r="B47" s="264" t="s">
        <v>113</v>
      </c>
      <c r="C47" s="265"/>
      <c r="D47" s="265"/>
      <c r="E47" s="273">
        <f>E40-SUM(E43:E44)</f>
        <v>-6903.5</v>
      </c>
      <c r="F47" s="273">
        <f>F40-SUM(F43:F44)</f>
        <v>-6903.5</v>
      </c>
      <c r="G47" s="273">
        <f>G40-SUM(G43:G44)</f>
        <v>0</v>
      </c>
      <c r="H47" s="430" t="str">
        <f>IF(E47=F47+G47," ","ERROR")</f>
        <v xml:space="preserve"> </v>
      </c>
    </row>
    <row r="48" spans="1:8">
      <c r="A48" s="259"/>
      <c r="H48" s="430"/>
    </row>
    <row r="49" spans="1:8">
      <c r="A49" s="259"/>
      <c r="B49" s="427" t="s">
        <v>114</v>
      </c>
      <c r="H49" s="430"/>
    </row>
    <row r="50" spans="1:8">
      <c r="A50" s="259"/>
      <c r="B50" s="427" t="s">
        <v>115</v>
      </c>
      <c r="H50" s="430"/>
    </row>
    <row r="51" spans="1:8" s="430" customFormat="1">
      <c r="A51" s="263">
        <v>28</v>
      </c>
      <c r="B51" s="429" t="s">
        <v>167</v>
      </c>
      <c r="E51" s="431"/>
      <c r="F51" s="431"/>
      <c r="G51" s="431"/>
      <c r="H51" s="430" t="str">
        <f t="shared" ref="H51:H61" si="1">IF(E51=F51+G51," ","ERROR")</f>
        <v xml:space="preserve"> </v>
      </c>
    </row>
    <row r="52" spans="1:8">
      <c r="A52" s="259">
        <v>29</v>
      </c>
      <c r="B52" s="427" t="s">
        <v>168</v>
      </c>
      <c r="E52" s="432"/>
      <c r="F52" s="432"/>
      <c r="G52" s="432"/>
      <c r="H52" s="430" t="str">
        <f t="shared" si="1"/>
        <v xml:space="preserve"> </v>
      </c>
    </row>
    <row r="53" spans="1:8">
      <c r="A53" s="259">
        <v>30</v>
      </c>
      <c r="B53" s="427" t="s">
        <v>169</v>
      </c>
      <c r="E53" s="432"/>
      <c r="F53" s="432"/>
      <c r="G53" s="432"/>
      <c r="H53" s="430" t="str">
        <f t="shared" si="1"/>
        <v xml:space="preserve"> </v>
      </c>
    </row>
    <row r="54" spans="1:8">
      <c r="A54" s="259">
        <v>31</v>
      </c>
      <c r="B54" s="427" t="s">
        <v>170</v>
      </c>
      <c r="E54" s="432"/>
      <c r="F54" s="432"/>
      <c r="G54" s="432"/>
      <c r="H54" s="430" t="str">
        <f t="shared" si="1"/>
        <v xml:space="preserve"> </v>
      </c>
    </row>
    <row r="55" spans="1:8">
      <c r="A55" s="259">
        <v>32</v>
      </c>
      <c r="B55" s="427" t="s">
        <v>171</v>
      </c>
      <c r="E55" s="438"/>
      <c r="F55" s="438"/>
      <c r="G55" s="438"/>
      <c r="H55" s="430" t="str">
        <f t="shared" si="1"/>
        <v xml:space="preserve"> </v>
      </c>
    </row>
    <row r="56" spans="1:8">
      <c r="A56" s="259">
        <v>33</v>
      </c>
      <c r="B56" s="427" t="s">
        <v>172</v>
      </c>
      <c r="E56" s="434">
        <f>E51+E52+E53+E54+E55</f>
        <v>0</v>
      </c>
      <c r="F56" s="434">
        <f>F51+F52+F53+F54+F55</f>
        <v>0</v>
      </c>
      <c r="G56" s="434">
        <f>G51+G52+G53+G54+G55</f>
        <v>0</v>
      </c>
      <c r="H56" s="430" t="str">
        <f t="shared" si="1"/>
        <v xml:space="preserve"> </v>
      </c>
    </row>
    <row r="57" spans="1:8">
      <c r="A57" s="259">
        <v>34</v>
      </c>
      <c r="B57" s="427" t="s">
        <v>121</v>
      </c>
      <c r="E57" s="432"/>
      <c r="F57" s="432"/>
      <c r="G57" s="432"/>
      <c r="H57" s="430" t="str">
        <f t="shared" si="1"/>
        <v xml:space="preserve"> </v>
      </c>
    </row>
    <row r="58" spans="1:8">
      <c r="A58" s="259">
        <v>35</v>
      </c>
      <c r="B58" s="427" t="s">
        <v>122</v>
      </c>
      <c r="E58" s="438"/>
      <c r="F58" s="438"/>
      <c r="G58" s="438"/>
      <c r="H58" s="430" t="str">
        <f t="shared" si="1"/>
        <v xml:space="preserve"> </v>
      </c>
    </row>
    <row r="59" spans="1:8">
      <c r="A59" s="259">
        <v>36</v>
      </c>
      <c r="B59" s="427" t="s">
        <v>173</v>
      </c>
      <c r="E59" s="434">
        <f>E57+E58</f>
        <v>0</v>
      </c>
      <c r="F59" s="434">
        <f>F57+F58</f>
        <v>0</v>
      </c>
      <c r="G59" s="434">
        <f>G57+G58</f>
        <v>0</v>
      </c>
      <c r="H59" s="430" t="str">
        <f t="shared" si="1"/>
        <v xml:space="preserve"> </v>
      </c>
    </row>
    <row r="60" spans="1:8">
      <c r="A60" s="259">
        <v>37</v>
      </c>
      <c r="B60" s="427" t="s">
        <v>124</v>
      </c>
      <c r="E60" s="432"/>
      <c r="F60" s="432"/>
      <c r="G60" s="432"/>
      <c r="H60" s="430" t="str">
        <f t="shared" si="1"/>
        <v xml:space="preserve"> </v>
      </c>
    </row>
    <row r="61" spans="1:8">
      <c r="A61" s="259">
        <v>38</v>
      </c>
      <c r="B61" s="427" t="s">
        <v>125</v>
      </c>
      <c r="E61" s="438"/>
      <c r="F61" s="438"/>
      <c r="G61" s="438"/>
      <c r="H61" s="430" t="str">
        <f t="shared" si="1"/>
        <v xml:space="preserve"> </v>
      </c>
    </row>
    <row r="62" spans="1:8" ht="9" customHeight="1">
      <c r="A62" s="259"/>
      <c r="H62" s="430"/>
    </row>
    <row r="63" spans="1:8" s="430" customFormat="1" ht="12.75" thickBot="1">
      <c r="A63" s="263">
        <v>39</v>
      </c>
      <c r="B63" s="429" t="s">
        <v>126</v>
      </c>
      <c r="E63" s="439">
        <f>E56-E59+E60+E61</f>
        <v>0</v>
      </c>
      <c r="F63" s="439">
        <f>F56-F59+F60+F61</f>
        <v>0</v>
      </c>
      <c r="G63" s="439">
        <f>G56-G59+G60+G61</f>
        <v>0</v>
      </c>
      <c r="H63" s="430" t="str">
        <f>IF(E63=F63+G63," ","ERROR")</f>
        <v xml:space="preserve"> </v>
      </c>
    </row>
    <row r="64" spans="1:8" ht="12.75" thickTop="1"/>
    <row r="65" spans="1:8">
      <c r="A65" s="421"/>
      <c r="B65" s="440"/>
      <c r="C65" s="440"/>
      <c r="D65" s="440"/>
      <c r="E65" s="441"/>
      <c r="F65" s="442"/>
      <c r="G65" s="440"/>
      <c r="H65" s="440"/>
    </row>
  </sheetData>
  <phoneticPr fontId="0" type="noConversion"/>
  <printOptions horizontalCentered="1"/>
  <pageMargins left="1" right="1" top="0.5" bottom="0.5" header="0.5" footer="0.5"/>
  <pageSetup scale="90" fitToHeight="2" orientation="portrait" horizontalDpi="300" verticalDpi="300" r:id="rId1"/>
  <headerFooter alignWithMargins="0"/>
  <rowBreaks count="1" manualBreakCount="1">
    <brk id="65" max="65535" man="1"/>
  </rowBreaks>
  <colBreaks count="3" manualBreakCount="3">
    <brk id="7" max="1048575" man="1"/>
    <brk id="15" max="1048575" man="1"/>
    <brk id="23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0"/>
  <dimension ref="A1:H65"/>
  <sheetViews>
    <sheetView workbookViewId="0">
      <selection activeCell="A3" sqref="A3"/>
    </sheetView>
  </sheetViews>
  <sheetFormatPr defaultColWidth="12.42578125" defaultRowHeight="12"/>
  <cols>
    <col min="1" max="1" width="5.5703125" style="424" customWidth="1"/>
    <col min="2" max="2" width="26.140625" style="421" customWidth="1"/>
    <col min="3" max="3" width="12.42578125" style="421" customWidth="1"/>
    <col min="4" max="4" width="6.7109375" style="421" customWidth="1"/>
    <col min="5" max="16384" width="12.42578125" style="421"/>
  </cols>
  <sheetData>
    <row r="1" spans="1:8">
      <c r="A1" s="419" t="str">
        <f>Inputs!$D$6</f>
        <v>AVISTA UTILITIES</v>
      </c>
      <c r="B1" s="420"/>
      <c r="C1" s="419"/>
      <c r="E1" s="79" t="s">
        <v>299</v>
      </c>
      <c r="F1" s="419"/>
      <c r="G1" s="419"/>
    </row>
    <row r="2" spans="1:8">
      <c r="A2" s="419" t="s">
        <v>142</v>
      </c>
      <c r="B2" s="420"/>
      <c r="C2" s="419"/>
      <c r="E2" s="419" t="s">
        <v>549</v>
      </c>
      <c r="F2" s="419"/>
      <c r="G2" s="419"/>
    </row>
    <row r="3" spans="1:8">
      <c r="A3" s="420" t="str">
        <f>WAElec09_08!$A$4</f>
        <v>TWELVE MONTHS ENDED SEPTEMBER 30, 2008</v>
      </c>
      <c r="B3" s="420"/>
      <c r="C3" s="419"/>
      <c r="E3" s="419" t="s">
        <v>242</v>
      </c>
      <c r="F3" s="419"/>
      <c r="G3" s="419"/>
    </row>
    <row r="4" spans="1:8">
      <c r="A4" s="419" t="s">
        <v>1</v>
      </c>
      <c r="B4" s="420"/>
      <c r="C4" s="419"/>
      <c r="E4" s="422" t="s">
        <v>145</v>
      </c>
      <c r="F4" s="422"/>
      <c r="G4" s="423"/>
    </row>
    <row r="5" spans="1:8">
      <c r="A5" s="424" t="s">
        <v>14</v>
      </c>
    </row>
    <row r="6" spans="1:8" s="424" customFormat="1">
      <c r="A6" s="424" t="s">
        <v>146</v>
      </c>
      <c r="B6" s="425" t="s">
        <v>36</v>
      </c>
      <c r="C6" s="425"/>
      <c r="E6" s="425" t="s">
        <v>147</v>
      </c>
      <c r="F6" s="425" t="s">
        <v>148</v>
      </c>
      <c r="G6" s="425" t="s">
        <v>128</v>
      </c>
      <c r="H6" s="426" t="s">
        <v>149</v>
      </c>
    </row>
    <row r="7" spans="1:8">
      <c r="B7" s="427" t="s">
        <v>85</v>
      </c>
    </row>
    <row r="8" spans="1:8" s="430" customFormat="1">
      <c r="A8" s="428">
        <v>1</v>
      </c>
      <c r="B8" s="429" t="s">
        <v>86</v>
      </c>
      <c r="E8" s="431">
        <f>F8+G8</f>
        <v>0</v>
      </c>
      <c r="F8" s="431"/>
      <c r="G8" s="431"/>
      <c r="H8" s="430" t="str">
        <f t="shared" ref="H8:H13" si="0">IF(E8=F8+G8," ","ERROR")</f>
        <v xml:space="preserve"> </v>
      </c>
    </row>
    <row r="9" spans="1:8">
      <c r="A9" s="424">
        <v>2</v>
      </c>
      <c r="B9" s="427" t="s">
        <v>87</v>
      </c>
      <c r="E9" s="432"/>
      <c r="F9" s="432"/>
      <c r="G9" s="432"/>
      <c r="H9" s="430" t="str">
        <f t="shared" si="0"/>
        <v xml:space="preserve"> </v>
      </c>
    </row>
    <row r="10" spans="1:8">
      <c r="A10" s="424">
        <v>3</v>
      </c>
      <c r="B10" s="427" t="s">
        <v>150</v>
      </c>
      <c r="E10" s="432">
        <f>SUM(F10:G10)</f>
        <v>-3350</v>
      </c>
      <c r="F10" s="432">
        <v>-3350</v>
      </c>
      <c r="G10" s="432"/>
      <c r="H10" s="430" t="str">
        <f t="shared" si="0"/>
        <v xml:space="preserve"> </v>
      </c>
    </row>
    <row r="11" spans="1:8">
      <c r="A11" s="424">
        <v>4</v>
      </c>
      <c r="B11" s="427" t="s">
        <v>151</v>
      </c>
      <c r="E11" s="433">
        <f>E8+E9+E10</f>
        <v>-3350</v>
      </c>
      <c r="F11" s="433">
        <f>F8+F9+F10</f>
        <v>-3350</v>
      </c>
      <c r="G11" s="433">
        <f>G8+G9+G10</f>
        <v>0</v>
      </c>
      <c r="H11" s="430" t="str">
        <f t="shared" si="0"/>
        <v xml:space="preserve"> </v>
      </c>
    </row>
    <row r="12" spans="1:8">
      <c r="A12" s="424">
        <v>5</v>
      </c>
      <c r="B12" s="427" t="s">
        <v>90</v>
      </c>
      <c r="E12" s="432">
        <f>SUM(F12:G12)</f>
        <v>-304</v>
      </c>
      <c r="F12" s="432">
        <f>-3654-F10</f>
        <v>-304</v>
      </c>
      <c r="G12" s="432"/>
      <c r="H12" s="430" t="str">
        <f t="shared" si="0"/>
        <v xml:space="preserve"> </v>
      </c>
    </row>
    <row r="13" spans="1:8">
      <c r="A13" s="424">
        <v>6</v>
      </c>
      <c r="B13" s="427" t="s">
        <v>152</v>
      </c>
      <c r="E13" s="433">
        <f>E11+E12</f>
        <v>-3654</v>
      </c>
      <c r="F13" s="433">
        <f>F11+F12</f>
        <v>-3654</v>
      </c>
      <c r="G13" s="433">
        <f>G11+G12</f>
        <v>0</v>
      </c>
      <c r="H13" s="430" t="str">
        <f t="shared" si="0"/>
        <v xml:space="preserve"> </v>
      </c>
    </row>
    <row r="14" spans="1:8">
      <c r="E14" s="434"/>
      <c r="F14" s="434"/>
      <c r="G14" s="434"/>
      <c r="H14" s="430"/>
    </row>
    <row r="15" spans="1:8">
      <c r="B15" s="427" t="s">
        <v>92</v>
      </c>
      <c r="E15" s="434"/>
      <c r="F15" s="434"/>
      <c r="G15" s="434"/>
      <c r="H15" s="430"/>
    </row>
    <row r="16" spans="1:8">
      <c r="B16" s="427" t="s">
        <v>93</v>
      </c>
      <c r="E16" s="434"/>
      <c r="F16" s="434"/>
      <c r="G16" s="434"/>
      <c r="H16" s="430"/>
    </row>
    <row r="17" spans="1:8">
      <c r="A17" s="424">
        <v>7</v>
      </c>
      <c r="B17" s="427" t="s">
        <v>153</v>
      </c>
      <c r="E17" s="432">
        <f>SUM(F17:G17)</f>
        <v>-8749</v>
      </c>
      <c r="F17" s="432">
        <f>-12608-F18</f>
        <v>-8749</v>
      </c>
      <c r="G17" s="432"/>
      <c r="H17" s="430" t="str">
        <f>IF(E17=F17+G17," ","ERROR")</f>
        <v xml:space="preserve"> </v>
      </c>
    </row>
    <row r="18" spans="1:8">
      <c r="A18" s="424">
        <v>8</v>
      </c>
      <c r="B18" s="427" t="s">
        <v>154</v>
      </c>
      <c r="E18" s="432">
        <f>SUM(F18:G18)</f>
        <v>-3859</v>
      </c>
      <c r="F18" s="432">
        <v>-3859</v>
      </c>
      <c r="G18" s="432"/>
      <c r="H18" s="430" t="str">
        <f>IF(E18=F18+G18," ","ERROR")</f>
        <v xml:space="preserve"> </v>
      </c>
    </row>
    <row r="19" spans="1:8">
      <c r="A19" s="424">
        <v>9</v>
      </c>
      <c r="B19" s="427" t="s">
        <v>155</v>
      </c>
      <c r="E19" s="432">
        <f>SUM(F19:G19)</f>
        <v>-767</v>
      </c>
      <c r="F19" s="432">
        <v>-767</v>
      </c>
      <c r="G19" s="432"/>
      <c r="H19" s="430" t="str">
        <f>IF(E19=F19+G19," ","ERROR")</f>
        <v xml:space="preserve"> </v>
      </c>
    </row>
    <row r="20" spans="1:8">
      <c r="A20" s="424">
        <v>10</v>
      </c>
      <c r="B20" s="427" t="s">
        <v>156</v>
      </c>
      <c r="E20" s="432">
        <f>SUM(F20:G20)</f>
        <v>-201</v>
      </c>
      <c r="F20" s="432">
        <v>-201</v>
      </c>
      <c r="G20" s="432"/>
      <c r="H20" s="430" t="str">
        <f>IF(E20=F20+G20," ","ERROR")</f>
        <v xml:space="preserve"> </v>
      </c>
    </row>
    <row r="21" spans="1:8">
      <c r="A21" s="424">
        <v>11</v>
      </c>
      <c r="B21" s="427" t="s">
        <v>157</v>
      </c>
      <c r="E21" s="433">
        <f>E17+E18+E19+E20</f>
        <v>-13576</v>
      </c>
      <c r="F21" s="433">
        <f>F17+F18+F19+F20</f>
        <v>-13576</v>
      </c>
      <c r="G21" s="433">
        <f>G17+G18+G19+G20</f>
        <v>0</v>
      </c>
      <c r="H21" s="430" t="str">
        <f>IF(E21=F21+G21," ","ERROR")</f>
        <v xml:space="preserve"> </v>
      </c>
    </row>
    <row r="22" spans="1:8">
      <c r="E22" s="434"/>
      <c r="F22" s="434"/>
      <c r="G22" s="434"/>
      <c r="H22" s="430"/>
    </row>
    <row r="23" spans="1:8">
      <c r="B23" s="427" t="s">
        <v>98</v>
      </c>
      <c r="E23" s="434"/>
      <c r="F23" s="434"/>
      <c r="G23" s="434"/>
      <c r="H23" s="430"/>
    </row>
    <row r="24" spans="1:8">
      <c r="A24" s="424">
        <v>12</v>
      </c>
      <c r="B24" s="427" t="s">
        <v>153</v>
      </c>
      <c r="E24" s="432"/>
      <c r="F24" s="432"/>
      <c r="G24" s="432"/>
      <c r="H24" s="430" t="str">
        <f>IF(E24=F24+G24," ","ERROR")</f>
        <v xml:space="preserve"> </v>
      </c>
    </row>
    <row r="25" spans="1:8">
      <c r="A25" s="424">
        <v>13</v>
      </c>
      <c r="B25" s="427" t="s">
        <v>158</v>
      </c>
      <c r="E25" s="432"/>
      <c r="F25" s="432"/>
      <c r="G25" s="432"/>
      <c r="H25" s="430" t="str">
        <f>IF(E25=F25+G25," ","ERROR")</f>
        <v xml:space="preserve"> </v>
      </c>
    </row>
    <row r="26" spans="1:8">
      <c r="A26" s="424">
        <v>14</v>
      </c>
      <c r="B26" s="427" t="s">
        <v>156</v>
      </c>
      <c r="E26" s="432">
        <f>F26+G26</f>
        <v>0</v>
      </c>
      <c r="F26" s="432"/>
      <c r="G26" s="842"/>
      <c r="H26" s="430" t="str">
        <f>IF(E26=F26+G26," ","ERROR")</f>
        <v xml:space="preserve"> </v>
      </c>
    </row>
    <row r="27" spans="1:8">
      <c r="A27" s="424">
        <v>15</v>
      </c>
      <c r="B27" s="427" t="s">
        <v>159</v>
      </c>
      <c r="E27" s="433">
        <f>E24+E25+E26</f>
        <v>0</v>
      </c>
      <c r="F27" s="433">
        <f>F24+F25+F26</f>
        <v>0</v>
      </c>
      <c r="G27" s="433">
        <f>G24+G25+G26</f>
        <v>0</v>
      </c>
      <c r="H27" s="430" t="str">
        <f>IF(E27=F27+G27," ","ERROR")</f>
        <v xml:space="preserve"> </v>
      </c>
    </row>
    <row r="28" spans="1:8">
      <c r="E28" s="434"/>
      <c r="F28" s="434"/>
      <c r="G28" s="434"/>
      <c r="H28" s="430"/>
    </row>
    <row r="29" spans="1:8">
      <c r="A29" s="424">
        <v>16</v>
      </c>
      <c r="B29" s="427" t="s">
        <v>101</v>
      </c>
      <c r="E29" s="432"/>
      <c r="F29" s="432"/>
      <c r="G29" s="432"/>
      <c r="H29" s="430" t="str">
        <f>IF(E29=F29+G29," ","ERROR")</f>
        <v xml:space="preserve"> </v>
      </c>
    </row>
    <row r="30" spans="1:8">
      <c r="A30" s="424">
        <v>17</v>
      </c>
      <c r="B30" s="427" t="s">
        <v>102</v>
      </c>
      <c r="E30" s="432"/>
      <c r="F30" s="432"/>
      <c r="G30" s="432"/>
      <c r="H30" s="430" t="str">
        <f>IF(E30=F30+G30," ","ERROR")</f>
        <v xml:space="preserve"> </v>
      </c>
    </row>
    <row r="31" spans="1:8">
      <c r="A31" s="424">
        <v>18</v>
      </c>
      <c r="B31" s="427" t="s">
        <v>160</v>
      </c>
      <c r="E31" s="432"/>
      <c r="F31" s="432"/>
      <c r="G31" s="432"/>
      <c r="H31" s="430" t="str">
        <f>IF(E31=F31+G31," ","ERROR")</f>
        <v xml:space="preserve"> </v>
      </c>
    </row>
    <row r="32" spans="1:8">
      <c r="E32" s="434"/>
      <c r="F32" s="434"/>
      <c r="G32" s="434"/>
      <c r="H32" s="430"/>
    </row>
    <row r="33" spans="1:8">
      <c r="B33" s="427" t="s">
        <v>104</v>
      </c>
      <c r="E33" s="434"/>
      <c r="F33" s="434"/>
      <c r="G33" s="434"/>
      <c r="H33" s="841"/>
    </row>
    <row r="34" spans="1:8">
      <c r="A34" s="424">
        <v>19</v>
      </c>
      <c r="B34" s="427" t="s">
        <v>153</v>
      </c>
      <c r="E34" s="432">
        <f>F34+G34</f>
        <v>0</v>
      </c>
      <c r="F34" s="432"/>
      <c r="G34" s="432"/>
      <c r="H34" s="430" t="str">
        <f>IF(E34=F34+G34," ","ERROR")</f>
        <v xml:space="preserve"> </v>
      </c>
    </row>
    <row r="35" spans="1:8">
      <c r="A35" s="424">
        <v>20</v>
      </c>
      <c r="B35" s="427" t="s">
        <v>158</v>
      </c>
      <c r="E35" s="432"/>
      <c r="F35" s="432"/>
      <c r="G35" s="432"/>
      <c r="H35" s="430" t="str">
        <f>IF(E35=F35+G35," ","ERROR")</f>
        <v xml:space="preserve"> </v>
      </c>
    </row>
    <row r="36" spans="1:8">
      <c r="A36" s="424">
        <v>21</v>
      </c>
      <c r="B36" s="427" t="s">
        <v>156</v>
      </c>
      <c r="E36" s="432"/>
      <c r="F36" s="432"/>
      <c r="G36" s="432"/>
      <c r="H36" s="430" t="str">
        <f>IF(E36=F36+G36," ","ERROR")</f>
        <v xml:space="preserve"> </v>
      </c>
    </row>
    <row r="37" spans="1:8">
      <c r="A37" s="424">
        <v>22</v>
      </c>
      <c r="B37" s="427" t="s">
        <v>161</v>
      </c>
      <c r="E37" s="435">
        <f>E34+E35+E36</f>
        <v>0</v>
      </c>
      <c r="F37" s="435">
        <f>F34+F35+F36</f>
        <v>0</v>
      </c>
      <c r="G37" s="435">
        <f>G34+G35+G36</f>
        <v>0</v>
      </c>
      <c r="H37" s="430" t="str">
        <f>IF(E37=F37+G37," ","ERROR")</f>
        <v xml:space="preserve"> </v>
      </c>
    </row>
    <row r="38" spans="1:8">
      <c r="A38" s="424">
        <v>23</v>
      </c>
      <c r="B38" s="427" t="s">
        <v>106</v>
      </c>
      <c r="E38" s="436">
        <f>E21+E27+E29+E30+E31+E37</f>
        <v>-13576</v>
      </c>
      <c r="F38" s="436">
        <f>F21+F27+F29+F30+F31+F37</f>
        <v>-13576</v>
      </c>
      <c r="G38" s="436">
        <f>G21+G27+G29+G30+G31+G37</f>
        <v>0</v>
      </c>
      <c r="H38" s="430" t="str">
        <f>IF(E38=F38+G38," ","ERROR")</f>
        <v xml:space="preserve"> </v>
      </c>
    </row>
    <row r="39" spans="1:8">
      <c r="E39" s="434"/>
      <c r="F39" s="434"/>
      <c r="G39" s="434"/>
      <c r="H39" s="430"/>
    </row>
    <row r="40" spans="1:8">
      <c r="A40" s="424">
        <v>24</v>
      </c>
      <c r="B40" s="427" t="s">
        <v>162</v>
      </c>
      <c r="E40" s="434">
        <f>E13-E38</f>
        <v>9922</v>
      </c>
      <c r="F40" s="434">
        <f>F13-F38</f>
        <v>9922</v>
      </c>
      <c r="G40" s="434">
        <f>G13-G38</f>
        <v>0</v>
      </c>
      <c r="H40" s="430" t="str">
        <f>IF(E40=F40+G40," ","ERROR")</f>
        <v xml:space="preserve"> </v>
      </c>
    </row>
    <row r="41" spans="1:8">
      <c r="B41" s="427"/>
      <c r="E41" s="434"/>
      <c r="F41" s="434"/>
      <c r="G41" s="434"/>
      <c r="H41" s="430"/>
    </row>
    <row r="42" spans="1:8">
      <c r="B42" s="427" t="s">
        <v>163</v>
      </c>
      <c r="E42" s="434"/>
      <c r="F42" s="434"/>
      <c r="G42" s="434"/>
      <c r="H42" s="430"/>
    </row>
    <row r="43" spans="1:8">
      <c r="A43" s="424">
        <v>25</v>
      </c>
      <c r="B43" s="427" t="s">
        <v>164</v>
      </c>
      <c r="D43" s="437">
        <v>0.35</v>
      </c>
      <c r="E43" s="432">
        <f>F43+G43</f>
        <v>3473</v>
      </c>
      <c r="F43" s="432">
        <f>ROUND(F40*$D$43,0)</f>
        <v>3473</v>
      </c>
      <c r="G43" s="432">
        <f>ROUND(G40*$D$43,0)</f>
        <v>0</v>
      </c>
      <c r="H43" s="430" t="str">
        <f>IF(E43=F43+G43," ","ERROR")</f>
        <v xml:space="preserve"> </v>
      </c>
    </row>
    <row r="44" spans="1:8">
      <c r="A44" s="424">
        <v>26</v>
      </c>
      <c r="B44" s="427" t="s">
        <v>165</v>
      </c>
      <c r="E44" s="432"/>
      <c r="F44" s="432"/>
      <c r="G44" s="432"/>
      <c r="H44" s="430" t="str">
        <f>IF(E44=F44+G44," ","ERROR")</f>
        <v xml:space="preserve"> </v>
      </c>
    </row>
    <row r="45" spans="1:8" ht="12.75">
      <c r="A45"/>
      <c r="B45"/>
      <c r="C45"/>
      <c r="D45"/>
      <c r="E45" s="913"/>
      <c r="F45" s="913"/>
      <c r="G45" s="913"/>
      <c r="H45" s="430" t="str">
        <f>IF(E45=F45+G45," ","ERROR")</f>
        <v xml:space="preserve"> </v>
      </c>
    </row>
    <row r="46" spans="1:8">
      <c r="A46" s="259"/>
      <c r="B46" s="262"/>
      <c r="C46" s="256"/>
      <c r="D46" s="256"/>
      <c r="E46" s="269"/>
      <c r="F46" s="269"/>
      <c r="G46" s="269"/>
      <c r="H46" s="430"/>
    </row>
    <row r="47" spans="1:8" s="430" customFormat="1">
      <c r="A47" s="263">
        <v>27</v>
      </c>
      <c r="B47" s="264" t="s">
        <v>113</v>
      </c>
      <c r="C47" s="265"/>
      <c r="D47" s="265"/>
      <c r="E47" s="273">
        <f>E40-SUM(E43:E44)</f>
        <v>6449</v>
      </c>
      <c r="F47" s="273">
        <f>F40-SUM(F43:F44)</f>
        <v>6449</v>
      </c>
      <c r="G47" s="273">
        <f>G40-SUM(G43:G44)</f>
        <v>0</v>
      </c>
      <c r="H47" s="430" t="str">
        <f>IF(E47=F47+G47," ","ERROR")</f>
        <v xml:space="preserve"> </v>
      </c>
    </row>
    <row r="48" spans="1:8">
      <c r="A48" s="259"/>
      <c r="H48" s="430"/>
    </row>
    <row r="49" spans="1:8">
      <c r="A49" s="259"/>
      <c r="B49" s="427" t="s">
        <v>114</v>
      </c>
      <c r="H49" s="430"/>
    </row>
    <row r="50" spans="1:8">
      <c r="A50" s="259"/>
      <c r="B50" s="427" t="s">
        <v>115</v>
      </c>
      <c r="H50" s="430"/>
    </row>
    <row r="51" spans="1:8" s="430" customFormat="1">
      <c r="A51" s="263">
        <v>28</v>
      </c>
      <c r="B51" s="429" t="s">
        <v>167</v>
      </c>
      <c r="E51" s="432">
        <f>F51+G51</f>
        <v>-2377</v>
      </c>
      <c r="F51" s="431">
        <f>-1137-1240</f>
        <v>-2377</v>
      </c>
      <c r="G51" s="431"/>
      <c r="H51" s="430" t="str">
        <f t="shared" ref="H51:H61" si="1">IF(E51=F51+G51," ","ERROR")</f>
        <v xml:space="preserve"> </v>
      </c>
    </row>
    <row r="52" spans="1:8">
      <c r="A52" s="259">
        <v>29</v>
      </c>
      <c r="B52" s="427" t="s">
        <v>168</v>
      </c>
      <c r="E52" s="432">
        <f>F52+G52</f>
        <v>-14014</v>
      </c>
      <c r="F52" s="432">
        <f>-22245-F53-F51</f>
        <v>-14014</v>
      </c>
      <c r="G52" s="432"/>
      <c r="H52" s="430" t="str">
        <f t="shared" si="1"/>
        <v xml:space="preserve"> </v>
      </c>
    </row>
    <row r="53" spans="1:8">
      <c r="A53" s="259">
        <v>30</v>
      </c>
      <c r="B53" s="427" t="s">
        <v>169</v>
      </c>
      <c r="E53" s="432">
        <f>F53+G53</f>
        <v>-5854</v>
      </c>
      <c r="F53" s="432">
        <f>ROUND(-302170*0.019372,0)</f>
        <v>-5854</v>
      </c>
      <c r="G53" s="432"/>
      <c r="H53" s="430" t="str">
        <f t="shared" si="1"/>
        <v xml:space="preserve"> </v>
      </c>
    </row>
    <row r="54" spans="1:8">
      <c r="A54" s="259">
        <v>31</v>
      </c>
      <c r="B54" s="427" t="s">
        <v>170</v>
      </c>
      <c r="E54" s="432"/>
      <c r="F54" s="432"/>
      <c r="G54" s="432"/>
      <c r="H54" s="430" t="str">
        <f t="shared" si="1"/>
        <v xml:space="preserve"> </v>
      </c>
    </row>
    <row r="55" spans="1:8">
      <c r="A55" s="259">
        <v>32</v>
      </c>
      <c r="B55" s="427" t="s">
        <v>171</v>
      </c>
      <c r="E55" s="438"/>
      <c r="F55" s="438"/>
      <c r="G55" s="438"/>
      <c r="H55" s="430" t="str">
        <f t="shared" si="1"/>
        <v xml:space="preserve"> </v>
      </c>
    </row>
    <row r="56" spans="1:8">
      <c r="A56" s="259">
        <v>33</v>
      </c>
      <c r="B56" s="427" t="s">
        <v>172</v>
      </c>
      <c r="E56" s="434">
        <f>E51+E52+E53+E54+E55</f>
        <v>-22245</v>
      </c>
      <c r="F56" s="434">
        <f>F51+F52+F53+F54+F55</f>
        <v>-22245</v>
      </c>
      <c r="G56" s="434">
        <f>G51+G52+G53+G54+G55</f>
        <v>0</v>
      </c>
      <c r="H56" s="430" t="str">
        <f t="shared" si="1"/>
        <v xml:space="preserve"> </v>
      </c>
    </row>
    <row r="57" spans="1:8">
      <c r="A57" s="259">
        <v>34</v>
      </c>
      <c r="B57" s="427" t="s">
        <v>121</v>
      </c>
      <c r="E57" s="432">
        <f>F57+G57</f>
        <v>-7324</v>
      </c>
      <c r="F57" s="432">
        <v>-7324</v>
      </c>
      <c r="G57" s="432"/>
      <c r="H57" s="430" t="str">
        <f t="shared" si="1"/>
        <v xml:space="preserve"> </v>
      </c>
    </row>
    <row r="58" spans="1:8">
      <c r="A58" s="259">
        <v>35</v>
      </c>
      <c r="B58" s="427" t="s">
        <v>122</v>
      </c>
      <c r="E58" s="438"/>
      <c r="F58" s="438"/>
      <c r="G58" s="438"/>
      <c r="H58" s="430" t="str">
        <f t="shared" si="1"/>
        <v xml:space="preserve"> </v>
      </c>
    </row>
    <row r="59" spans="1:8">
      <c r="A59" s="259">
        <v>36</v>
      </c>
      <c r="B59" s="427" t="s">
        <v>173</v>
      </c>
      <c r="E59" s="434">
        <f>E57+E58</f>
        <v>-7324</v>
      </c>
      <c r="F59" s="434">
        <f>F57+F58</f>
        <v>-7324</v>
      </c>
      <c r="G59" s="434">
        <f>G57+G58</f>
        <v>0</v>
      </c>
      <c r="H59" s="430" t="str">
        <f t="shared" si="1"/>
        <v xml:space="preserve"> </v>
      </c>
    </row>
    <row r="60" spans="1:8">
      <c r="A60" s="259">
        <v>37</v>
      </c>
      <c r="B60" s="427" t="s">
        <v>124</v>
      </c>
      <c r="E60" s="432"/>
      <c r="F60" s="432"/>
      <c r="G60" s="432"/>
      <c r="H60" s="430" t="str">
        <f t="shared" si="1"/>
        <v xml:space="preserve"> </v>
      </c>
    </row>
    <row r="61" spans="1:8">
      <c r="A61" s="259">
        <v>38</v>
      </c>
      <c r="B61" s="427" t="s">
        <v>125</v>
      </c>
      <c r="E61" s="432">
        <f>F61+G61</f>
        <v>2421</v>
      </c>
      <c r="F61" s="438">
        <v>2421</v>
      </c>
      <c r="G61" s="438"/>
      <c r="H61" s="430" t="str">
        <f t="shared" si="1"/>
        <v xml:space="preserve"> </v>
      </c>
    </row>
    <row r="62" spans="1:8" ht="9" customHeight="1">
      <c r="A62" s="259"/>
      <c r="E62" s="1325"/>
      <c r="H62" s="430"/>
    </row>
    <row r="63" spans="1:8" s="430" customFormat="1" ht="12.75" thickBot="1">
      <c r="A63" s="263">
        <v>39</v>
      </c>
      <c r="B63" s="429" t="s">
        <v>126</v>
      </c>
      <c r="E63" s="439">
        <f>E56-E59+E60+E61</f>
        <v>-12500</v>
      </c>
      <c r="F63" s="439">
        <f>F56-F59+F60+F61</f>
        <v>-12500</v>
      </c>
      <c r="G63" s="439">
        <f>G56-G59+G60+G61</f>
        <v>0</v>
      </c>
      <c r="H63" s="430" t="str">
        <f>IF(E63=F63+G63," ","ERROR")</f>
        <v xml:space="preserve"> </v>
      </c>
    </row>
    <row r="64" spans="1:8" ht="12.75" thickTop="1"/>
    <row r="65" spans="1:8">
      <c r="A65" s="421"/>
      <c r="B65" s="440"/>
      <c r="C65" s="440"/>
      <c r="D65" s="440"/>
      <c r="E65" s="441"/>
      <c r="F65" s="442"/>
      <c r="G65" s="440"/>
      <c r="H65" s="440"/>
    </row>
  </sheetData>
  <phoneticPr fontId="0" type="noConversion"/>
  <printOptions horizontalCentered="1"/>
  <pageMargins left="1" right="1" top="0.5" bottom="0.5" header="0.5" footer="0.5"/>
  <pageSetup scale="90" fitToHeight="2" orientation="portrait" horizontalDpi="300" verticalDpi="300" r:id="rId1"/>
  <headerFooter alignWithMargins="0"/>
  <rowBreaks count="1" manualBreakCount="1">
    <brk id="65" max="65535" man="1"/>
  </rowBreaks>
  <colBreaks count="3" manualBreakCount="3">
    <brk id="7" max="1048575" man="1"/>
    <brk id="15" max="1048575" man="1"/>
    <brk id="23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6"/>
  <dimension ref="A1:R116"/>
  <sheetViews>
    <sheetView topLeftCell="A65" zoomScaleNormal="100" zoomScaleSheetLayoutView="75" workbookViewId="0">
      <selection activeCell="N55" sqref="N55"/>
    </sheetView>
  </sheetViews>
  <sheetFormatPr defaultColWidth="11.42578125" defaultRowHeight="12.75"/>
  <cols>
    <col min="1" max="1" width="6.42578125" style="669" customWidth="1"/>
    <col min="2" max="2" width="12.85546875" style="669" customWidth="1"/>
    <col min="3" max="3" width="16.7109375" style="669" customWidth="1"/>
    <col min="4" max="4" width="13.5703125" style="669" customWidth="1"/>
    <col min="5" max="5" width="11.42578125" style="669" customWidth="1"/>
    <col min="6" max="6" width="12" style="669" customWidth="1"/>
    <col min="7" max="7" width="11.42578125" style="669" customWidth="1"/>
    <col min="8" max="8" width="8" style="743" customWidth="1"/>
    <col min="9" max="9" width="7" style="677" customWidth="1"/>
    <col min="10" max="10" width="10.7109375" style="964" customWidth="1"/>
    <col min="11" max="11" width="32" style="669" customWidth="1"/>
    <col min="12" max="12" width="11.42578125" style="669" customWidth="1"/>
    <col min="13" max="13" width="5.85546875" style="669" customWidth="1"/>
    <col min="14" max="14" width="9" style="669" customWidth="1"/>
    <col min="15" max="17" width="11.42578125" style="669" customWidth="1"/>
    <col min="18" max="18" width="3" style="669" customWidth="1"/>
    <col min="19" max="16384" width="11.42578125" style="669"/>
  </cols>
  <sheetData>
    <row r="1" spans="1:18">
      <c r="A1" s="669" t="s">
        <v>130</v>
      </c>
      <c r="D1" s="674" t="s">
        <v>261</v>
      </c>
      <c r="J1" s="986"/>
      <c r="K1" s="675"/>
      <c r="L1" s="675"/>
      <c r="M1" s="676"/>
      <c r="N1" s="675"/>
      <c r="O1" s="675"/>
      <c r="P1" s="675"/>
      <c r="Q1" s="675"/>
      <c r="R1" s="674"/>
    </row>
    <row r="2" spans="1:18">
      <c r="D2" s="677"/>
      <c r="J2" s="986"/>
      <c r="K2" s="675"/>
      <c r="L2" s="675"/>
      <c r="M2" s="678"/>
      <c r="N2" s="675"/>
      <c r="O2" s="675"/>
      <c r="P2" s="675"/>
      <c r="Q2" s="675"/>
      <c r="R2" s="674"/>
    </row>
    <row r="3" spans="1:18">
      <c r="D3" s="677" t="s">
        <v>688</v>
      </c>
      <c r="J3" s="986"/>
      <c r="K3" s="675"/>
      <c r="L3" s="675"/>
      <c r="M3" s="678"/>
      <c r="N3" s="675"/>
      <c r="O3" s="675"/>
      <c r="P3" s="675"/>
      <c r="Q3" s="675"/>
      <c r="R3" s="674"/>
    </row>
    <row r="4" spans="1:18">
      <c r="D4" s="677" t="s">
        <v>689</v>
      </c>
      <c r="J4" s="986"/>
      <c r="K4" s="675"/>
      <c r="L4" s="675"/>
      <c r="M4" s="678"/>
      <c r="N4" s="675"/>
      <c r="O4" s="675"/>
      <c r="P4" s="675"/>
      <c r="Q4" s="675"/>
      <c r="R4" s="674"/>
    </row>
    <row r="5" spans="1:18">
      <c r="D5" s="1326" t="str">
        <f>WAElec09_08!$A$4</f>
        <v>TWELVE MONTHS ENDED SEPTEMBER 30, 2008</v>
      </c>
      <c r="J5" s="986"/>
      <c r="K5" s="675"/>
      <c r="L5" s="675"/>
      <c r="M5" s="680"/>
      <c r="N5" s="675"/>
      <c r="O5" s="675"/>
      <c r="P5" s="675"/>
      <c r="Q5" s="675"/>
      <c r="R5" s="674"/>
    </row>
    <row r="6" spans="1:18">
      <c r="J6" s="986"/>
      <c r="K6" s="675"/>
      <c r="L6" s="675"/>
      <c r="M6" s="675"/>
      <c r="N6" s="675"/>
      <c r="O6" s="675"/>
      <c r="P6" s="675"/>
      <c r="Q6" s="675"/>
      <c r="R6" s="674"/>
    </row>
    <row r="7" spans="1:18">
      <c r="J7" s="986"/>
      <c r="K7" s="675"/>
      <c r="L7" s="675"/>
      <c r="M7" s="675"/>
      <c r="N7" s="675"/>
      <c r="O7" s="675"/>
      <c r="P7" s="675"/>
      <c r="Q7" s="675"/>
      <c r="R7" s="674"/>
    </row>
    <row r="8" spans="1:18">
      <c r="E8" s="1354" t="s">
        <v>479</v>
      </c>
      <c r="F8" s="1354"/>
      <c r="G8" s="1354"/>
      <c r="H8" s="749"/>
      <c r="I8" s="678"/>
      <c r="J8" s="986"/>
      <c r="K8" s="962"/>
      <c r="L8" s="675"/>
      <c r="M8" s="675"/>
      <c r="N8" s="675"/>
      <c r="O8" s="675"/>
      <c r="P8" s="678"/>
      <c r="Q8" s="675"/>
      <c r="R8" s="674"/>
    </row>
    <row r="9" spans="1:18">
      <c r="A9" s="682" t="s">
        <v>133</v>
      </c>
      <c r="B9" s="744" t="s">
        <v>304</v>
      </c>
      <c r="C9" s="682"/>
      <c r="D9" s="677" t="s">
        <v>313</v>
      </c>
      <c r="E9" s="669" t="s">
        <v>486</v>
      </c>
      <c r="F9" s="677" t="s">
        <v>49</v>
      </c>
      <c r="G9" s="678" t="s">
        <v>38</v>
      </c>
      <c r="H9" s="749"/>
      <c r="I9" s="678"/>
      <c r="J9" s="986"/>
      <c r="K9" s="963"/>
      <c r="L9" s="678"/>
      <c r="M9" s="678"/>
      <c r="N9" s="675"/>
      <c r="O9" s="678"/>
      <c r="P9" s="678"/>
      <c r="Q9" s="678"/>
      <c r="R9" s="674"/>
    </row>
    <row r="10" spans="1:18">
      <c r="A10" s="1023" t="str">
        <f>WAElec09_08!E$10</f>
        <v>b</v>
      </c>
      <c r="B10" s="687" t="str">
        <f>TRIM(CONCATENATE(WAElec09_08!E$7," ",WAElec09_08!E$8," ",WAElec09_08!E$9))</f>
        <v>Per Results Report</v>
      </c>
      <c r="C10" s="716"/>
      <c r="D10" s="716"/>
      <c r="E10" s="1005">
        <f>WAElec09_08!E15+196+37+27042+6145</f>
        <v>159899</v>
      </c>
      <c r="F10" s="864">
        <f>WAElec09_08!E$26</f>
        <v>355486</v>
      </c>
      <c r="G10" s="1006">
        <f>WAElec09_08!E57+WAElec09_08!E58+11318-242959-94356</f>
        <v>615840</v>
      </c>
      <c r="H10" s="749"/>
      <c r="I10" s="986"/>
      <c r="J10" s="986"/>
      <c r="K10" s="962"/>
      <c r="L10" s="675"/>
      <c r="M10" s="675"/>
      <c r="N10" s="675"/>
      <c r="O10" s="685"/>
      <c r="P10" s="685"/>
      <c r="Q10" s="675"/>
      <c r="R10" s="674"/>
    </row>
    <row r="11" spans="1:18" s="716" customFormat="1">
      <c r="A11" s="1023" t="str">
        <f>WAElec09_08!F$10</f>
        <v>c</v>
      </c>
      <c r="B11" s="687" t="str">
        <f>TRIM(CONCATENATE(WAElec09_08!F$7," ",WAElec09_08!F$8," ",WAElec09_08!F$9))</f>
        <v>Deferred FIT Rate Base</v>
      </c>
      <c r="F11" s="864">
        <f>WAElec09_08!F$26</f>
        <v>0</v>
      </c>
      <c r="G11" s="1007">
        <f>-60350-26128</f>
        <v>-86478</v>
      </c>
      <c r="H11" s="1008"/>
      <c r="I11" s="983"/>
      <c r="J11" s="986"/>
      <c r="K11" s="962"/>
      <c r="L11" s="983"/>
      <c r="M11" s="983"/>
      <c r="N11" s="983"/>
      <c r="O11" s="886"/>
      <c r="P11" s="886"/>
      <c r="Q11" s="983"/>
      <c r="R11" s="984"/>
    </row>
    <row r="12" spans="1:18" s="716" customFormat="1">
      <c r="A12" s="1023" t="str">
        <f>WAElec09_08!G$10</f>
        <v>d</v>
      </c>
      <c r="B12" s="687" t="str">
        <f>TRIM(CONCATENATE(WAElec09_08!G$7," ",WAElec09_08!G$8," ",WAElec09_08!G$9))</f>
        <v>Deferred Gain on Office Building</v>
      </c>
      <c r="F12" s="864">
        <f>WAElec09_08!G$26</f>
        <v>0</v>
      </c>
      <c r="G12" s="886"/>
      <c r="H12" s="1008"/>
      <c r="I12" s="986"/>
      <c r="J12" s="983"/>
      <c r="K12" s="675"/>
      <c r="L12" s="983"/>
      <c r="M12" s="983"/>
      <c r="N12" s="983"/>
      <c r="O12" s="886"/>
      <c r="P12" s="886"/>
      <c r="Q12" s="983"/>
      <c r="R12" s="984"/>
    </row>
    <row r="13" spans="1:18" s="716" customFormat="1">
      <c r="A13" s="1023" t="str">
        <f>WAElec09_08!H$10</f>
        <v>e</v>
      </c>
      <c r="B13" s="687" t="str">
        <f>TRIM(CONCATENATE(WAElec09_08!H$7," ",WAElec09_08!H$8," ",WAElec09_08!H$9))</f>
        <v>Colstrip 3 AFUDC Elimination</v>
      </c>
      <c r="E13" s="864">
        <f>WAElec09_08!H$18</f>
        <v>0</v>
      </c>
      <c r="F13" s="864">
        <f>WAElec09_08!H$26</f>
        <v>-202</v>
      </c>
      <c r="G13" s="864">
        <f>WAElec09_08!H$68</f>
        <v>-1956</v>
      </c>
      <c r="H13" s="1008"/>
      <c r="I13" s="986"/>
      <c r="J13" s="983"/>
      <c r="K13" s="675"/>
      <c r="L13" s="983"/>
      <c r="M13" s="983"/>
      <c r="N13" s="983"/>
      <c r="O13" s="886"/>
      <c r="P13" s="886"/>
      <c r="Q13" s="983"/>
      <c r="R13" s="984"/>
    </row>
    <row r="14" spans="1:18" s="716" customFormat="1">
      <c r="A14" s="1023" t="str">
        <f>WAElec09_08!I$10</f>
        <v>f</v>
      </c>
      <c r="B14" s="687" t="str">
        <f>TRIM(CONCATENATE(WAElec09_08!I$7," ",WAElec09_08!I$8," ",WAElec09_08!I$9))</f>
        <v>Colstrip Common AFUDC</v>
      </c>
      <c r="E14" s="864">
        <f>WAElec09_08!I$18</f>
        <v>0</v>
      </c>
      <c r="F14" s="864">
        <f>WAElec09_08!I$26</f>
        <v>0</v>
      </c>
      <c r="G14" s="864">
        <f>WAElec09_08!I$68</f>
        <v>436</v>
      </c>
      <c r="H14" s="1008"/>
      <c r="I14" s="986"/>
      <c r="J14" s="983"/>
      <c r="K14" s="675"/>
      <c r="L14" s="983"/>
      <c r="M14" s="983"/>
      <c r="N14" s="983"/>
      <c r="O14" s="886"/>
      <c r="P14" s="886"/>
      <c r="Q14" s="983"/>
      <c r="R14" s="984"/>
    </row>
    <row r="15" spans="1:18" s="716" customFormat="1">
      <c r="A15" s="1023" t="str">
        <f>WAElec09_08!J$10</f>
        <v>g</v>
      </c>
      <c r="B15" s="687" t="str">
        <f>TRIM(CONCATENATE(WAElec09_08!J$7," ",WAElec09_08!J$8," ",WAElec09_08!J$9))</f>
        <v>Kettle Falls Disallow.</v>
      </c>
      <c r="E15" s="864">
        <f>WAElec09_08!J$18</f>
        <v>0</v>
      </c>
      <c r="F15" s="864">
        <f>WAElec09_08!J$26</f>
        <v>0</v>
      </c>
      <c r="G15" s="864">
        <f>WAElec09_08!J$68</f>
        <v>-854</v>
      </c>
      <c r="H15" s="1008"/>
      <c r="I15" s="962"/>
      <c r="J15" s="986"/>
      <c r="K15" s="675"/>
      <c r="L15" s="983"/>
      <c r="M15" s="983"/>
      <c r="N15" s="983"/>
      <c r="O15" s="886"/>
      <c r="P15" s="886"/>
      <c r="Q15" s="983"/>
      <c r="R15" s="984"/>
    </row>
    <row r="16" spans="1:18" s="716" customFormat="1">
      <c r="A16" s="1023" t="str">
        <f>WAElec09_08!K$10</f>
        <v>h</v>
      </c>
      <c r="B16" s="687" t="str">
        <f>TRIM(CONCATENATE(WAElec09_08!K$7," ",WAElec09_08!K$8," ",WAElec09_08!K$9))</f>
        <v>Customer Advances</v>
      </c>
      <c r="F16" s="864">
        <f>WAElec09_08!K$26</f>
        <v>0</v>
      </c>
      <c r="G16" s="686"/>
      <c r="H16" s="1008"/>
      <c r="I16" s="986"/>
      <c r="J16" s="983"/>
      <c r="K16" s="675"/>
      <c r="L16" s="983"/>
      <c r="M16" s="983"/>
      <c r="N16" s="983"/>
      <c r="O16" s="886"/>
      <c r="P16" s="886"/>
      <c r="Q16" s="983"/>
      <c r="R16" s="984"/>
    </row>
    <row r="17" spans="1:18" s="716" customFormat="1">
      <c r="A17" s="1023" t="str">
        <f>WAElec09_08!L$10</f>
        <v>i</v>
      </c>
      <c r="B17" s="687" t="str">
        <f>TRIM(CONCATENATE(WAElec09_08!L$7," ",WAElec09_08!L$8," ",WAElec09_08!L$9))</f>
        <v>Depreciation True-up</v>
      </c>
      <c r="E17" s="864">
        <f>WAElec09_08!L$18</f>
        <v>0</v>
      </c>
      <c r="F17" s="864">
        <f>WAElec09_08!L$26</f>
        <v>-685</v>
      </c>
      <c r="G17" s="864">
        <f>WAElec09_08!L$68*(WAElec09_08!L$26/WAElec09_08!L$43)</f>
        <v>0</v>
      </c>
      <c r="H17" s="1008"/>
      <c r="I17" s="986"/>
      <c r="J17" s="983"/>
      <c r="K17" s="675"/>
      <c r="L17" s="983"/>
      <c r="M17" s="983"/>
      <c r="N17" s="983"/>
      <c r="O17" s="886"/>
      <c r="P17" s="886"/>
      <c r="Q17" s="983"/>
      <c r="R17" s="984"/>
    </row>
    <row r="18" spans="1:18" s="716" customFormat="1">
      <c r="A18" s="1023" t="str">
        <f>WAElec09_08!M$10</f>
        <v>j</v>
      </c>
      <c r="B18" s="687" t="str">
        <f>TRIM(CONCATENATE(WAElec09_08!M$7," ",WAElec09_08!M$8," ",WAElec09_08!M$9))</f>
        <v>Settlement Exchange Power</v>
      </c>
      <c r="E18" s="864">
        <f>WAElec09_08!M$18</f>
        <v>0</v>
      </c>
      <c r="F18" s="864">
        <f>WAElec09_08!M$26</f>
        <v>0</v>
      </c>
      <c r="G18" s="864">
        <f>WAElec09_08!M$68</f>
        <v>18422</v>
      </c>
      <c r="H18" s="983"/>
      <c r="I18" s="986"/>
      <c r="J18" s="983"/>
      <c r="K18" s="675"/>
      <c r="L18" s="983"/>
      <c r="M18" s="983"/>
      <c r="N18" s="983"/>
      <c r="O18" s="886"/>
      <c r="P18" s="886"/>
      <c r="Q18" s="983"/>
      <c r="R18" s="984"/>
    </row>
    <row r="19" spans="1:18" hidden="1">
      <c r="A19" s="683"/>
      <c r="B19" s="687"/>
      <c r="F19" s="858"/>
      <c r="G19" s="685"/>
      <c r="H19" s="749"/>
      <c r="I19" s="678"/>
      <c r="J19" s="986"/>
      <c r="K19" s="675"/>
      <c r="L19" s="675"/>
      <c r="M19" s="675"/>
      <c r="N19" s="675"/>
      <c r="O19" s="686"/>
      <c r="P19" s="686"/>
      <c r="Q19" s="675"/>
      <c r="R19" s="674"/>
    </row>
    <row r="20" spans="1:18">
      <c r="A20" s="684"/>
      <c r="B20" s="669" t="s">
        <v>137</v>
      </c>
      <c r="E20" s="1009">
        <f>SUM(E10:E18)</f>
        <v>159899</v>
      </c>
      <c r="F20" s="1009">
        <f>SUM(F10:F18)</f>
        <v>354599</v>
      </c>
      <c r="G20" s="1009">
        <f>SUM(G10:G18)</f>
        <v>545410</v>
      </c>
      <c r="H20" s="747"/>
      <c r="I20" s="925"/>
      <c r="J20" s="1010"/>
      <c r="K20" s="691"/>
      <c r="L20" s="675"/>
      <c r="M20" s="675"/>
      <c r="N20" s="675"/>
      <c r="O20" s="686"/>
      <c r="P20" s="686"/>
      <c r="Q20" s="675"/>
      <c r="R20" s="674"/>
    </row>
    <row r="21" spans="1:18">
      <c r="A21" s="980"/>
      <c r="F21" s="864"/>
      <c r="G21" s="686"/>
      <c r="H21" s="749"/>
      <c r="I21" s="678"/>
      <c r="J21" s="986"/>
      <c r="K21" s="675"/>
      <c r="L21" s="675"/>
      <c r="M21" s="675"/>
      <c r="N21" s="675"/>
      <c r="O21" s="686"/>
      <c r="P21" s="686"/>
      <c r="Q21" s="691"/>
      <c r="R21" s="674"/>
    </row>
    <row r="22" spans="1:18" s="698" customFormat="1">
      <c r="A22" s="1023" t="str">
        <f>WAElec09_08!O$10</f>
        <v>k</v>
      </c>
      <c r="B22" s="687" t="str">
        <f>TRIM(CONCATENATE(WAElec09_08!O$7," ",WAElec09_08!O$8," ",WAElec09_08!O$9))</f>
        <v>Eliminate B &amp; O Taxes</v>
      </c>
      <c r="C22" s="716"/>
      <c r="D22" s="716"/>
      <c r="E22" s="716"/>
      <c r="F22" s="864">
        <f>WAElec09_08!O$26</f>
        <v>0</v>
      </c>
      <c r="G22" s="886"/>
      <c r="H22" s="749"/>
      <c r="I22" s="986"/>
      <c r="J22" s="700"/>
      <c r="K22" s="675"/>
      <c r="L22" s="700"/>
      <c r="M22" s="700"/>
      <c r="N22" s="700"/>
      <c r="O22" s="703"/>
      <c r="P22" s="703"/>
      <c r="Q22" s="700"/>
      <c r="R22" s="699"/>
    </row>
    <row r="23" spans="1:18" s="698" customFormat="1">
      <c r="A23" s="1023" t="str">
        <f>WAElec09_08!P$10</f>
        <v>l</v>
      </c>
      <c r="B23" s="687" t="str">
        <f>TRIM(CONCATENATE(WAElec09_08!P$7," ",WAElec09_08!P$8," ",WAElec09_08!P$9))</f>
        <v>Property Tax</v>
      </c>
      <c r="C23" s="716"/>
      <c r="D23" s="716"/>
      <c r="E23" s="716"/>
      <c r="F23" s="864">
        <f>WAElec09_08!P$26</f>
        <v>2085</v>
      </c>
      <c r="G23" s="886"/>
      <c r="H23" s="749"/>
      <c r="I23" s="700"/>
      <c r="J23" s="986"/>
      <c r="K23" s="700"/>
      <c r="L23" s="700"/>
      <c r="M23" s="700"/>
      <c r="N23" s="700"/>
      <c r="O23" s="703"/>
      <c r="P23" s="703"/>
      <c r="Q23" s="700"/>
      <c r="R23" s="699"/>
    </row>
    <row r="24" spans="1:18" s="698" customFormat="1">
      <c r="A24" s="1023" t="str">
        <f>WAElec09_08!Q$10</f>
        <v>m</v>
      </c>
      <c r="B24" s="687" t="str">
        <f>TRIM(CONCATENATE(WAElec09_08!Q$7," ",WAElec09_08!Q$8," ",WAElec09_08!Q$9))</f>
        <v>Uncollect. Expense</v>
      </c>
      <c r="C24" s="716"/>
      <c r="D24" s="716"/>
      <c r="E24" s="716"/>
      <c r="F24" s="864">
        <f>WAElec09_08!Q$26</f>
        <v>0</v>
      </c>
      <c r="G24" s="886"/>
      <c r="H24" s="749"/>
      <c r="I24" s="986"/>
      <c r="J24" s="700"/>
      <c r="K24" s="700"/>
      <c r="L24" s="700"/>
      <c r="M24" s="700"/>
      <c r="N24" s="700"/>
      <c r="O24" s="703"/>
      <c r="P24" s="703"/>
      <c r="Q24" s="700"/>
      <c r="R24" s="699"/>
    </row>
    <row r="25" spans="1:18" s="698" customFormat="1">
      <c r="A25" s="1023" t="str">
        <f>WAElec09_08!R$10</f>
        <v>n</v>
      </c>
      <c r="B25" s="687" t="str">
        <f>TRIM(CONCATENATE(WAElec09_08!R$7," ",WAElec09_08!R$8," ",WAElec09_08!R$9))</f>
        <v>Regulatory Expense</v>
      </c>
      <c r="C25" s="716"/>
      <c r="D25" s="716"/>
      <c r="E25" s="716"/>
      <c r="F25" s="864">
        <f>WAElec09_08!R$26</f>
        <v>0</v>
      </c>
      <c r="G25" s="886"/>
      <c r="H25" s="749"/>
      <c r="I25" s="986"/>
      <c r="J25" s="700"/>
      <c r="K25" s="700"/>
      <c r="L25" s="700"/>
      <c r="M25" s="700" t="s">
        <v>499</v>
      </c>
      <c r="N25" s="700"/>
      <c r="O25" s="703"/>
      <c r="P25" s="703"/>
      <c r="Q25" s="700"/>
      <c r="R25" s="699"/>
    </row>
    <row r="26" spans="1:18" s="698" customFormat="1">
      <c r="A26" s="1023" t="str">
        <f>WAElec09_08!S$10</f>
        <v>o</v>
      </c>
      <c r="B26" s="687" t="str">
        <f>TRIM(CONCATENATE(WAElec09_08!S$7," ",WAElec09_08!S$8," ",WAElec09_08!S$9))</f>
        <v>Injuries and Damages</v>
      </c>
      <c r="C26" s="716"/>
      <c r="D26" s="716"/>
      <c r="E26" s="716"/>
      <c r="F26" s="864">
        <f>WAElec09_08!S$26</f>
        <v>0</v>
      </c>
      <c r="G26" s="886"/>
      <c r="H26" s="749"/>
      <c r="I26" s="986"/>
      <c r="J26" s="700"/>
      <c r="K26" s="700"/>
      <c r="L26" s="700"/>
      <c r="M26" s="700"/>
      <c r="N26" s="700"/>
      <c r="O26" s="703"/>
      <c r="P26" s="703"/>
      <c r="Q26" s="700"/>
      <c r="R26" s="699"/>
    </row>
    <row r="27" spans="1:18" s="965" customFormat="1">
      <c r="A27" s="1023" t="str">
        <f>WAElec09_08!T$10</f>
        <v>p</v>
      </c>
      <c r="B27" s="687" t="str">
        <f>TRIM(CONCATENATE(WAElec09_08!T$7," ",WAElec09_08!T$8," ",WAElec09_08!T$9))</f>
        <v>FIT</v>
      </c>
      <c r="C27" s="716"/>
      <c r="E27" s="716"/>
      <c r="F27" s="864">
        <f>WAElec09_08!T$26</f>
        <v>0</v>
      </c>
      <c r="G27" s="886"/>
      <c r="H27" s="963"/>
      <c r="I27" s="962"/>
      <c r="J27" s="986"/>
      <c r="K27" s="1011"/>
      <c r="L27" s="962"/>
      <c r="M27" s="962"/>
      <c r="N27" s="962"/>
      <c r="O27" s="967"/>
      <c r="P27" s="967"/>
      <c r="Q27" s="962"/>
      <c r="R27" s="968"/>
    </row>
    <row r="28" spans="1:18" s="698" customFormat="1">
      <c r="A28" s="1023" t="str">
        <f>WAElec09_08!U$10</f>
        <v>q</v>
      </c>
      <c r="B28" s="687" t="str">
        <f>TRIM(CONCATENATE(WAElec09_08!U$7," ",WAElec09_08!U$8," ",WAElec09_08!U$9))</f>
        <v>Eliminate WA Power Cost Defer</v>
      </c>
      <c r="C28" s="716"/>
      <c r="D28" s="716"/>
      <c r="E28" s="716"/>
      <c r="F28" s="864">
        <f>WAElec09_08!U$26</f>
        <v>-17668</v>
      </c>
      <c r="G28" s="886"/>
      <c r="H28" s="749"/>
      <c r="I28" s="986"/>
      <c r="J28" s="700"/>
      <c r="K28" s="700"/>
      <c r="L28" s="700"/>
      <c r="M28" s="700"/>
      <c r="N28" s="700"/>
      <c r="O28" s="703"/>
      <c r="P28" s="703"/>
      <c r="Q28" s="700"/>
      <c r="R28" s="699"/>
    </row>
    <row r="29" spans="1:18" s="698" customFormat="1">
      <c r="A29" s="1023" t="str">
        <f>WAElec09_08!V$10</f>
        <v>r</v>
      </c>
      <c r="B29" s="687" t="str">
        <f>TRIM(CONCATENATE(WAElec09_08!V$7," ",WAElec09_08!V$8," ",WAElec09_08!V$9))</f>
        <v>Nez Perce Settlement Adjustment</v>
      </c>
      <c r="C29" s="716"/>
      <c r="D29" s="716"/>
      <c r="E29" s="716"/>
      <c r="F29" s="864">
        <f>WAElec09_08!V$26</f>
        <v>9</v>
      </c>
      <c r="G29" s="886"/>
      <c r="H29" s="749"/>
      <c r="I29" s="986"/>
      <c r="J29" s="700"/>
      <c r="K29" s="700"/>
      <c r="L29" s="700"/>
      <c r="M29" s="700"/>
      <c r="N29" s="700"/>
      <c r="O29" s="703"/>
      <c r="P29" s="703"/>
      <c r="Q29" s="700"/>
      <c r="R29" s="699"/>
    </row>
    <row r="30" spans="1:18" s="965" customFormat="1">
      <c r="A30" s="1023" t="str">
        <f>WAElec09_08!W$10</f>
        <v>s</v>
      </c>
      <c r="B30" s="687" t="str">
        <f>TRIM(CONCATENATE(WAElec09_08!W$7," ",WAElec09_08!W$8," ",WAElec09_08!W$9))</f>
        <v>Eliminate A/R Expenses</v>
      </c>
      <c r="C30" s="716"/>
      <c r="D30" s="716"/>
      <c r="E30" s="716"/>
      <c r="F30" s="864">
        <f>WAElec09_08!W$26</f>
        <v>0</v>
      </c>
      <c r="G30" s="886"/>
      <c r="H30" s="963"/>
      <c r="I30" s="986"/>
      <c r="J30" s="986"/>
      <c r="K30" s="962"/>
      <c r="L30" s="962"/>
      <c r="M30" s="962"/>
      <c r="N30" s="962"/>
      <c r="O30" s="967"/>
      <c r="P30" s="967"/>
      <c r="Q30" s="962"/>
      <c r="R30" s="964"/>
    </row>
    <row r="31" spans="1:18">
      <c r="A31" s="1023" t="str">
        <f>WAElec09_08!X$10</f>
        <v>t</v>
      </c>
      <c r="B31" s="687" t="str">
        <f>TRIM(CONCATENATE(WAElec09_08!X$7," ",WAElec09_08!X$8," ",WAElec09_08!X$9))</f>
        <v>Office Space Charges to Subsidiaries</v>
      </c>
      <c r="C31" s="716"/>
      <c r="D31" s="716"/>
      <c r="E31" s="716"/>
      <c r="F31" s="864">
        <f>WAElec09_08!X$26</f>
        <v>0</v>
      </c>
      <c r="G31" s="886"/>
      <c r="H31" s="749"/>
      <c r="I31" s="986"/>
      <c r="J31" s="986"/>
      <c r="K31" s="675"/>
      <c r="L31" s="675"/>
      <c r="M31" s="675"/>
      <c r="N31" s="675"/>
      <c r="O31" s="686"/>
      <c r="P31" s="686"/>
      <c r="Q31" s="675"/>
      <c r="R31" s="674"/>
    </row>
    <row r="32" spans="1:18" s="965" customFormat="1">
      <c r="A32" s="1023" t="str">
        <f>WAElec09_08!Y$10</f>
        <v>u</v>
      </c>
      <c r="B32" s="687" t="str">
        <f>TRIM(CONCATENATE(WAElec09_08!Y$7," ",WAElec09_08!Y$8," ",WAElec09_08!Y$9))</f>
        <v>Restate Excise Taxes</v>
      </c>
      <c r="C32" s="716"/>
      <c r="D32" s="716"/>
      <c r="E32" s="716"/>
      <c r="F32" s="864">
        <f>WAElec09_08!Y$26</f>
        <v>0</v>
      </c>
      <c r="G32" s="886"/>
      <c r="H32" s="1008"/>
      <c r="I32" s="986"/>
      <c r="J32" s="962"/>
      <c r="K32" s="962"/>
      <c r="L32" s="962"/>
      <c r="M32" s="962"/>
      <c r="N32" s="962"/>
      <c r="O32" s="967"/>
      <c r="P32" s="967"/>
      <c r="Q32" s="962"/>
      <c r="R32" s="968"/>
    </row>
    <row r="33" spans="1:18" s="965" customFormat="1">
      <c r="A33" s="1023" t="str">
        <f>WAElec09_08!Z$10</f>
        <v>v</v>
      </c>
      <c r="B33" s="687" t="str">
        <f>TRIM(CONCATENATE(WAElec09_08!Z$7," ",WAElec09_08!Z$8," ",WAElec09_08!Z$9))</f>
        <v>Net Gains/losses</v>
      </c>
      <c r="C33" s="716"/>
      <c r="D33" s="716"/>
      <c r="E33" s="716"/>
      <c r="F33" s="864">
        <f>WAElec09_08!Z$26</f>
        <v>0</v>
      </c>
      <c r="G33" s="886"/>
      <c r="H33" s="1008"/>
      <c r="I33" s="986"/>
      <c r="J33" s="962"/>
      <c r="K33" s="962"/>
      <c r="L33" s="962"/>
      <c r="M33" s="962"/>
      <c r="N33" s="962"/>
      <c r="O33" s="967"/>
      <c r="P33" s="967"/>
      <c r="Q33" s="962"/>
      <c r="R33" s="968"/>
    </row>
    <row r="34" spans="1:18">
      <c r="A34" s="1023" t="str">
        <f>WAElec09_08!AA$10</f>
        <v>w</v>
      </c>
      <c r="B34" s="687" t="str">
        <f>TRIM(CONCATENATE(WAElec09_08!AA$7," ",WAElec09_08!AA$8," ",WAElec09_08!AA$9))</f>
        <v>Revenue Normalization</v>
      </c>
      <c r="C34" s="716"/>
      <c r="D34" s="988"/>
      <c r="E34" s="716">
        <v>171</v>
      </c>
      <c r="F34" s="864">
        <f>WAElec09_08!AA$26</f>
        <v>2618</v>
      </c>
      <c r="G34" s="886"/>
      <c r="H34" s="1012"/>
      <c r="I34" s="986"/>
      <c r="J34" s="986"/>
      <c r="K34" s="962"/>
      <c r="L34" s="675"/>
      <c r="M34" s="675"/>
      <c r="N34" s="675"/>
      <c r="O34" s="686"/>
      <c r="P34" s="686"/>
      <c r="Q34" s="675"/>
      <c r="R34" s="674"/>
    </row>
    <row r="35" spans="1:18" s="965" customFormat="1">
      <c r="A35" s="1023" t="str">
        <f>WAElec09_08!AB$10</f>
        <v>x</v>
      </c>
      <c r="B35" s="687" t="str">
        <f>TRIM(CONCATENATE(WAElec09_08!AB$7," ",WAElec09_08!AB$8," ",WAElec09_08!AB$9))</f>
        <v>Misc Restating</v>
      </c>
      <c r="C35" s="716"/>
      <c r="D35" s="716"/>
      <c r="E35" s="716"/>
      <c r="F35" s="864">
        <f>WAElec09_08!AB$26</f>
        <v>0</v>
      </c>
      <c r="G35" s="886"/>
      <c r="H35" s="963"/>
      <c r="I35" s="962"/>
      <c r="J35" s="986"/>
      <c r="K35" s="675"/>
    </row>
    <row r="36" spans="1:18" s="965" customFormat="1">
      <c r="A36" s="1023" t="str">
        <f>WAElec09_08!AC$10</f>
        <v>y</v>
      </c>
      <c r="B36" s="687" t="str">
        <f>TRIM(CONCATENATE(WAElec09_08!AC$7," ",WAElec09_08!AC$8," ",WAElec09_08!AC$9))</f>
        <v>Restate Debt Interest</v>
      </c>
      <c r="C36" s="716"/>
      <c r="E36" s="716"/>
      <c r="F36" s="864">
        <f>WAElec09_08!AC$26</f>
        <v>0</v>
      </c>
      <c r="G36" s="886"/>
      <c r="H36" s="963"/>
      <c r="I36" s="962"/>
      <c r="J36" s="986"/>
      <c r="K36" s="675"/>
      <c r="L36" s="962"/>
      <c r="M36" s="962"/>
      <c r="N36" s="962"/>
      <c r="O36" s="967"/>
      <c r="P36" s="967"/>
      <c r="Q36" s="962"/>
      <c r="R36" s="968"/>
    </row>
    <row r="37" spans="1:18" hidden="1">
      <c r="A37" s="753"/>
      <c r="B37" s="715"/>
      <c r="C37" s="716"/>
      <c r="D37" s="716"/>
      <c r="E37" s="716"/>
      <c r="F37" s="686"/>
      <c r="G37" s="886"/>
      <c r="H37" s="749"/>
      <c r="I37" s="678"/>
      <c r="J37" s="986"/>
      <c r="K37" s="675"/>
      <c r="L37" s="675"/>
      <c r="M37" s="675"/>
      <c r="N37" s="675"/>
      <c r="O37" s="686"/>
      <c r="P37" s="686"/>
      <c r="Q37" s="675"/>
      <c r="R37" s="674"/>
    </row>
    <row r="38" spans="1:18" hidden="1">
      <c r="A38" s="753"/>
      <c r="B38" s="715"/>
      <c r="C38" s="716"/>
      <c r="D38" s="716"/>
      <c r="E38" s="716"/>
      <c r="F38" s="686"/>
      <c r="G38" s="886"/>
      <c r="H38" s="749"/>
      <c r="I38" s="678"/>
      <c r="J38" s="986"/>
      <c r="K38" s="675"/>
      <c r="L38" s="675"/>
      <c r="M38" s="675"/>
      <c r="N38" s="675"/>
      <c r="O38" s="686"/>
      <c r="P38" s="686"/>
      <c r="Q38" s="675"/>
      <c r="R38" s="674"/>
    </row>
    <row r="39" spans="1:18" hidden="1">
      <c r="A39" s="753">
        <f>WAElec09_08!AE$10</f>
        <v>0</v>
      </c>
      <c r="B39" s="715" t="str">
        <f>TRIM(CONCATENATE(WAElec09_08!AE$7," ",WAElec09_08!AE$8," ",WAElec09_08!AE$9))</f>
        <v/>
      </c>
      <c r="C39" s="716"/>
      <c r="D39" s="716"/>
      <c r="E39" s="716"/>
      <c r="F39" s="686"/>
      <c r="G39" s="886"/>
      <c r="H39" s="749"/>
      <c r="I39" s="678"/>
      <c r="J39" s="986"/>
      <c r="K39" s="675"/>
      <c r="L39" s="675"/>
      <c r="M39" s="675"/>
      <c r="N39" s="675"/>
      <c r="O39" s="686"/>
      <c r="P39" s="686"/>
      <c r="Q39" s="675"/>
      <c r="R39" s="674"/>
    </row>
    <row r="40" spans="1:18" hidden="1">
      <c r="A40" s="753"/>
      <c r="B40" s="715"/>
      <c r="C40" s="716"/>
      <c r="D40" s="716"/>
      <c r="E40" s="716"/>
      <c r="F40" s="686"/>
      <c r="G40" s="886"/>
      <c r="H40" s="749"/>
      <c r="I40" s="678"/>
      <c r="J40" s="986"/>
      <c r="K40" s="675"/>
      <c r="L40" s="675"/>
      <c r="M40" s="675"/>
      <c r="N40" s="675"/>
      <c r="O40" s="686"/>
      <c r="P40" s="686"/>
      <c r="Q40" s="675"/>
      <c r="R40" s="674"/>
    </row>
    <row r="41" spans="1:18" s="881" customFormat="1" hidden="1">
      <c r="A41" s="753"/>
      <c r="B41" s="715"/>
      <c r="C41" s="716"/>
      <c r="D41" s="716"/>
      <c r="E41" s="716"/>
      <c r="F41" s="686"/>
      <c r="G41" s="886"/>
      <c r="H41" s="749"/>
      <c r="I41" s="1013"/>
      <c r="J41" s="986"/>
      <c r="K41" s="882"/>
      <c r="L41" s="882"/>
      <c r="M41" s="882"/>
      <c r="N41" s="882"/>
      <c r="O41" s="883"/>
      <c r="P41" s="883"/>
      <c r="Q41" s="882"/>
      <c r="R41" s="884"/>
    </row>
    <row r="42" spans="1:18">
      <c r="A42" s="692"/>
      <c r="B42" s="669" t="s">
        <v>138</v>
      </c>
      <c r="E42" s="1014">
        <f>SUM(E20:E36)</f>
        <v>160070</v>
      </c>
      <c r="F42" s="1014">
        <f>SUM(F20:F36)</f>
        <v>341643</v>
      </c>
      <c r="G42" s="1014">
        <f>SUM(G20:G36)</f>
        <v>545410</v>
      </c>
      <c r="H42" s="912"/>
      <c r="I42" s="926"/>
      <c r="J42" s="986"/>
      <c r="K42" s="691"/>
      <c r="L42" s="675"/>
      <c r="M42" s="675"/>
      <c r="N42" s="675"/>
      <c r="O42" s="686"/>
      <c r="P42" s="686"/>
      <c r="Q42" s="675"/>
      <c r="R42" s="674"/>
    </row>
    <row r="43" spans="1:18">
      <c r="A43" s="692"/>
      <c r="F43" s="911"/>
      <c r="G43" s="685"/>
      <c r="H43" s="747"/>
      <c r="I43" s="925"/>
      <c r="J43" s="986"/>
      <c r="K43" s="675"/>
      <c r="L43" s="675"/>
      <c r="M43" s="675"/>
      <c r="N43" s="675"/>
      <c r="O43" s="686"/>
      <c r="P43" s="686"/>
      <c r="Q43" s="675"/>
      <c r="R43" s="674"/>
    </row>
    <row r="44" spans="1:18">
      <c r="A44" s="1023" t="str">
        <f>WAElec09_08!AH$10</f>
        <v>PF1</v>
      </c>
      <c r="B44" s="687" t="str">
        <f>TRIM(CONCATENATE(WAElec09_08!AH$7," ",WAElec09_08!AH$8," ",WAElec09_08!AH$9))</f>
        <v>Pro Forma Power Supply</v>
      </c>
      <c r="D44" s="716"/>
      <c r="E44" s="864">
        <f>WAElec09_08!AH$18</f>
        <v>-76114</v>
      </c>
      <c r="F44" s="864">
        <f>WAElec09_08!AH$26</f>
        <v>-65493.5</v>
      </c>
      <c r="G44" s="864">
        <f>WAElec09_08!AH$68</f>
        <v>0</v>
      </c>
      <c r="H44" s="1012"/>
      <c r="I44" s="1015"/>
      <c r="J44" s="986"/>
      <c r="K44" s="675"/>
      <c r="L44" s="675"/>
      <c r="M44" s="675"/>
      <c r="N44" s="675"/>
      <c r="O44" s="686"/>
      <c r="P44" s="686"/>
      <c r="Q44" s="675"/>
      <c r="R44" s="674"/>
    </row>
    <row r="45" spans="1:18">
      <c r="A45" s="1023" t="str">
        <f>WAElec09_08!AI$10</f>
        <v>PF2</v>
      </c>
      <c r="B45" s="687" t="str">
        <f>TRIM(CONCATENATE(WAElec09_08!AI$7," ",WAElec09_08!AI$8," ",WAElec09_08!AI$9))</f>
        <v>Pro Forma Prod Property Adj</v>
      </c>
      <c r="D45" s="716"/>
      <c r="E45" s="864">
        <f>WAElec09_08!AI$18</f>
        <v>-3654</v>
      </c>
      <c r="F45" s="864">
        <f>WAElec09_08!AI$26</f>
        <v>-13576</v>
      </c>
      <c r="G45" s="864">
        <f>WAElec09_08!AI$68</f>
        <v>-12500</v>
      </c>
      <c r="H45" s="1012"/>
      <c r="I45" s="1015"/>
      <c r="J45" s="986"/>
      <c r="K45" s="675"/>
      <c r="L45" s="675"/>
      <c r="M45" s="675"/>
      <c r="N45" s="675"/>
      <c r="O45" s="686"/>
      <c r="P45" s="686"/>
      <c r="Q45" s="675"/>
      <c r="R45" s="674"/>
    </row>
    <row r="46" spans="1:18">
      <c r="A46" s="1023" t="str">
        <f>WAElec09_08!AJ$10</f>
        <v>PF3</v>
      </c>
      <c r="B46" s="687" t="str">
        <f>TRIM(CONCATENATE(WAElec09_08!AJ$7," ",WAElec09_08!AJ$8," ",WAElec09_08!AJ$9))</f>
        <v>Pro Forma Labor Non-Exec</v>
      </c>
      <c r="D46" s="716"/>
      <c r="E46" s="1005"/>
      <c r="F46" s="864">
        <f>WAElec09_08!AJ$26</f>
        <v>1031</v>
      </c>
      <c r="G46" s="1006"/>
      <c r="H46" s="749"/>
      <c r="I46" s="986"/>
      <c r="J46" s="986"/>
      <c r="K46" s="675"/>
      <c r="L46" s="675"/>
      <c r="M46" s="675"/>
      <c r="N46" s="675"/>
      <c r="O46" s="686"/>
      <c r="P46" s="686"/>
      <c r="Q46" s="675"/>
      <c r="R46" s="674"/>
    </row>
    <row r="47" spans="1:18">
      <c r="A47" s="1023" t="str">
        <f>WAElec09_08!AK$10</f>
        <v>PF4</v>
      </c>
      <c r="B47" s="687" t="str">
        <f>TRIM(CONCATENATE(WAElec09_08!AK$7," ",WAElec09_08!AK$8," ",WAElec09_08!AK$9))</f>
        <v>Pro Forma Labor Exec</v>
      </c>
      <c r="D47" s="716"/>
      <c r="E47" s="1005"/>
      <c r="F47" s="864">
        <f>WAElec09_08!AK$26</f>
        <v>9</v>
      </c>
      <c r="G47" s="1006"/>
      <c r="H47" s="749"/>
      <c r="I47" s="986"/>
      <c r="J47" s="986"/>
      <c r="K47" s="675"/>
      <c r="L47" s="675"/>
      <c r="M47" s="675"/>
      <c r="N47" s="675"/>
      <c r="O47" s="686"/>
      <c r="P47" s="686"/>
      <c r="Q47" s="675"/>
      <c r="R47" s="674"/>
    </row>
    <row r="48" spans="1:18">
      <c r="A48" s="1023" t="str">
        <f>WAElec09_08!AL$10</f>
        <v>PF5</v>
      </c>
      <c r="B48" s="687" t="str">
        <f>TRIM(CONCATENATE(WAElec09_08!AL$7," ",WAElec09_08!AL$8," ",WAElec09_08!AL$9))</f>
        <v>Pro Forma Transmission Rev/Exp</v>
      </c>
      <c r="D48" s="716"/>
      <c r="E48" s="864">
        <f>WAElec09_08!AL$18</f>
        <v>24</v>
      </c>
      <c r="F48" s="864">
        <f>WAElec09_08!AL$26</f>
        <v>103</v>
      </c>
      <c r="G48" s="1006">
        <f>WAElec09_08!AL$68</f>
        <v>0</v>
      </c>
      <c r="H48" s="749"/>
      <c r="I48" s="986"/>
      <c r="J48" s="986"/>
      <c r="K48" s="675"/>
      <c r="L48" s="675"/>
      <c r="M48" s="675"/>
      <c r="N48" s="675"/>
      <c r="O48" s="686"/>
      <c r="P48" s="686"/>
      <c r="Q48" s="675"/>
      <c r="R48" s="674"/>
    </row>
    <row r="49" spans="1:18">
      <c r="A49" s="1023" t="str">
        <f>WAElec09_08!AM$10</f>
        <v>PF6</v>
      </c>
      <c r="B49" s="687" t="str">
        <f>TRIM(CONCATENATE(WAElec09_08!AM$7," ",WAElec09_08!AM$8," ",WAElec09_08!AM$9))</f>
        <v>Pro Forma Capital Add 2008</v>
      </c>
      <c r="D49" s="716"/>
      <c r="E49" s="864"/>
      <c r="F49" s="864">
        <f>WAElec09_08!AM$26</f>
        <v>-77</v>
      </c>
      <c r="G49" s="1090">
        <f>5497+4119-2813-613</f>
        <v>6190</v>
      </c>
      <c r="H49" s="749"/>
      <c r="I49" s="678"/>
      <c r="J49" s="986"/>
      <c r="K49" s="675"/>
      <c r="L49" s="675"/>
      <c r="M49" s="675"/>
      <c r="N49" s="675"/>
      <c r="O49" s="1090"/>
      <c r="P49" s="686"/>
      <c r="Q49" s="675"/>
      <c r="R49" s="674"/>
    </row>
    <row r="50" spans="1:18">
      <c r="A50" s="1023" t="str">
        <f>WAElec09_08!AN$10</f>
        <v>PF7</v>
      </c>
      <c r="B50" s="687" t="str">
        <f>TRIM(CONCATENATE(WAElec09_08!AN$7," ",WAElec09_08!AN$8," ",WAElec09_08!AN$9))</f>
        <v>Pro Forma Capital Add 2009</v>
      </c>
      <c r="D50" s="716"/>
      <c r="E50" s="864"/>
      <c r="F50" s="864">
        <f>WAElec09_08!AN$26</f>
        <v>1199</v>
      </c>
      <c r="G50" s="1090">
        <f>-16960-5954-2214-961+24580+7205-240-81</f>
        <v>5375</v>
      </c>
      <c r="H50" s="749"/>
      <c r="I50" s="678"/>
      <c r="J50" s="1090"/>
      <c r="K50" s="675"/>
      <c r="O50" s="1090"/>
    </row>
    <row r="51" spans="1:18">
      <c r="A51" s="1023" t="str">
        <f>WAElec09_08!AP$10</f>
        <v>PF9</v>
      </c>
      <c r="B51" s="687" t="str">
        <f>TRIM(CONCATENATE(WAElec09_08!AP$7," ",WAElec09_08!AP$8," ",WAElec09_08!AP$9))</f>
        <v>Pro Forma Asset Management</v>
      </c>
      <c r="D51" s="716"/>
      <c r="E51" s="864"/>
      <c r="F51" s="864">
        <f>WAElec09_08!AP$26</f>
        <v>874</v>
      </c>
      <c r="G51" s="864">
        <f>WAElec09_08!AP$68*(WAElec09_08!AP$26/WAElec09_08!AP$43)</f>
        <v>0</v>
      </c>
      <c r="H51" s="749"/>
      <c r="I51" s="678"/>
      <c r="J51" s="986"/>
      <c r="K51" s="675"/>
    </row>
    <row r="52" spans="1:18">
      <c r="A52" s="1023" t="str">
        <f>WAElec09_08!AR$10</f>
        <v>PF11</v>
      </c>
      <c r="B52" s="687" t="str">
        <f>TRIM(CONCATENATE(WAElec09_08!AR$7," ",WAElec09_08!AR$8," ",WAElec09_08!AR$9))</f>
        <v>Pro Forma Spokane Rvr Relicensing</v>
      </c>
      <c r="D52" s="716"/>
      <c r="E52" s="864"/>
      <c r="F52" s="864">
        <f>WAElec09_08!AR$26</f>
        <v>3636</v>
      </c>
      <c r="G52" s="864">
        <f>WAElec09_08!AR$68</f>
        <v>23325</v>
      </c>
      <c r="H52" s="749"/>
      <c r="I52" s="986"/>
      <c r="J52" s="986"/>
      <c r="K52" s="675"/>
    </row>
    <row r="53" spans="1:18">
      <c r="A53" s="1023" t="str">
        <f>WAElec09_08!AS$10</f>
        <v>PF12</v>
      </c>
      <c r="B53" s="687" t="str">
        <f>TRIM(CONCATENATE(WAElec09_08!AS$7," ",WAElec09_08!AS$8," ",WAElec09_08!AS$9))</f>
        <v>Pro Forma CDA Tribe Settlement</v>
      </c>
      <c r="D53" s="716"/>
      <c r="E53" s="864"/>
      <c r="F53" s="864">
        <f>WAElec09_08!AS$26</f>
        <v>829</v>
      </c>
      <c r="G53" s="864">
        <f>WAElec09_08!AS$68</f>
        <v>16819</v>
      </c>
      <c r="H53" s="749"/>
      <c r="I53" s="678"/>
      <c r="J53" s="986"/>
      <c r="K53" s="675"/>
    </row>
    <row r="54" spans="1:18">
      <c r="A54" s="1023" t="str">
        <f>WAElec09_08!AT$10</f>
        <v>PF13</v>
      </c>
      <c r="B54" s="687" t="str">
        <f>TRIM(CONCATENATE(WAElec09_08!AT$7," ",WAElec09_08!AT$8," ",WAElec09_08!AT$9))</f>
        <v>Pro Forma Montana Lease</v>
      </c>
      <c r="D54" s="716"/>
      <c r="E54" s="864"/>
      <c r="F54" s="864">
        <f>WAElec09_08!AT$26</f>
        <v>3516</v>
      </c>
      <c r="G54" s="864">
        <f>WAElec09_08!AT$68</f>
        <v>2859</v>
      </c>
      <c r="H54" s="749"/>
      <c r="I54" s="678"/>
      <c r="J54" s="986"/>
      <c r="K54" s="675"/>
    </row>
    <row r="55" spans="1:18">
      <c r="A55" s="1023" t="str">
        <f>WAElec09_08!AU$10</f>
        <v>PF14</v>
      </c>
      <c r="B55" s="687" t="str">
        <f>TRIM(CONCATENATE(WAElec09_08!AU$7," ",WAElec09_08!AU$8," ",WAElec09_08!AU$9))</f>
        <v>Pro Forma Colstrip Mercury Emiss. O&amp;M</v>
      </c>
      <c r="D55" s="716"/>
      <c r="E55" s="864"/>
      <c r="F55" s="864">
        <f>WAElec09_08!AU$26</f>
        <v>1873</v>
      </c>
      <c r="G55" s="1006">
        <f>WAElec09_08!AU$68</f>
        <v>0</v>
      </c>
      <c r="H55" s="749"/>
      <c r="I55" s="678"/>
      <c r="J55" s="986"/>
      <c r="K55" s="675"/>
    </row>
    <row r="56" spans="1:18">
      <c r="A56" s="1023" t="str">
        <f>WAElec09_08!AV$10</f>
        <v>PF15</v>
      </c>
      <c r="B56" s="687" t="str">
        <f>TRIM(CONCATENATE(WAElec09_08!AV$7," ",WAElec09_08!AV$8," ",WAElec09_08!AV$9))</f>
        <v>Pro Forma Incentives</v>
      </c>
      <c r="D56" s="716"/>
      <c r="E56" s="864"/>
      <c r="F56" s="864">
        <f>WAElec09_08!AV$26</f>
        <v>0</v>
      </c>
      <c r="G56" s="1006"/>
      <c r="H56" s="749"/>
      <c r="I56" s="678"/>
      <c r="J56" s="986"/>
      <c r="K56" s="675"/>
    </row>
    <row r="57" spans="1:18">
      <c r="A57" s="1023" t="str">
        <f>WAElec09_08!AW$10</f>
        <v>PF16</v>
      </c>
      <c r="B57" s="687" t="str">
        <f>TRIM(CONCATENATE(WAElec09_08!AW$7," ",WAElec09_08!AW$8," ",WAElec09_08!AW$9))</f>
        <v>Pro Forma O&amp;M Plant Expense</v>
      </c>
      <c r="D57" s="716"/>
      <c r="E57" s="864"/>
      <c r="F57" s="864">
        <f>WAElec09_08!AW$26</f>
        <v>0</v>
      </c>
      <c r="G57" s="1006">
        <f>WAElec09_08!AW$68</f>
        <v>0</v>
      </c>
      <c r="H57" s="749"/>
      <c r="I57" s="678"/>
      <c r="J57" s="986"/>
      <c r="K57" s="675"/>
    </row>
    <row r="58" spans="1:18">
      <c r="A58" s="1023" t="str">
        <f>WAElec09_08!AX$10</f>
        <v>PF17</v>
      </c>
      <c r="B58" s="687" t="str">
        <f>TRIM(CONCATENATE(WAElec09_08!AX$7," ",WAElec09_08!AX$8," ",WAElec09_08!AX$9))</f>
        <v>Pro Forma Employee Benefits</v>
      </c>
      <c r="D58" s="716"/>
      <c r="E58" s="864"/>
      <c r="F58" s="864">
        <f>WAElec09_08!AX$26</f>
        <v>1041</v>
      </c>
      <c r="G58" s="1006">
        <f>WAElec09_08!AX$68</f>
        <v>0</v>
      </c>
      <c r="H58" s="749"/>
      <c r="I58" s="678"/>
      <c r="J58" s="986"/>
      <c r="K58" s="675"/>
    </row>
    <row r="59" spans="1:18">
      <c r="A59" s="1023" t="str">
        <f>WAElec09_08!AY$10</f>
        <v>PF18</v>
      </c>
      <c r="B59" s="687" t="str">
        <f>TRIM(CONCATENATE(WAElec09_08!AY$7," ",WAElec09_08!AY$8," ",WAElec09_08!AY$9))</f>
        <v>Pro Forma Insurance</v>
      </c>
      <c r="D59" s="716"/>
      <c r="E59" s="864"/>
      <c r="F59" s="864">
        <f>WAElec09_08!AY$26</f>
        <v>0</v>
      </c>
      <c r="G59" s="1006"/>
      <c r="H59" s="749"/>
      <c r="I59" s="678"/>
      <c r="J59" s="986"/>
      <c r="K59" s="675"/>
    </row>
    <row r="60" spans="1:18">
      <c r="A60" s="1023" t="str">
        <f>WAElec09_08!AZ$10</f>
        <v>PF19</v>
      </c>
      <c r="B60" s="687" t="str">
        <f>TRIM(CONCATENATE(WAElec09_08!AZ$7," ",WAElec09_08!AZ$8," ",WAElec09_08!AZ$9))</f>
        <v>Pro Forma Clark Fork PM&amp;E</v>
      </c>
      <c r="D60" s="716"/>
      <c r="E60" s="864"/>
      <c r="F60" s="864">
        <f>WAElec09_08!AZ$26</f>
        <v>656</v>
      </c>
      <c r="G60" s="1006">
        <f>WAElec09_08!AZ$68</f>
        <v>0</v>
      </c>
      <c r="H60" s="749"/>
      <c r="I60" s="678"/>
      <c r="J60" s="986"/>
      <c r="K60" s="675"/>
    </row>
    <row r="61" spans="1:18">
      <c r="A61" s="1023"/>
      <c r="B61" s="687"/>
      <c r="D61" s="716"/>
      <c r="E61" s="864"/>
      <c r="F61" s="864"/>
      <c r="G61" s="1006"/>
      <c r="H61" s="749"/>
      <c r="I61" s="678"/>
      <c r="J61" s="986"/>
      <c r="K61" s="675"/>
    </row>
    <row r="62" spans="1:18" hidden="1">
      <c r="A62" s="1023"/>
      <c r="B62" s="687"/>
      <c r="D62" s="716"/>
      <c r="E62" s="864"/>
      <c r="F62" s="864"/>
      <c r="G62" s="1006"/>
      <c r="H62" s="749"/>
      <c r="I62" s="678"/>
      <c r="J62" s="986"/>
      <c r="K62" s="675"/>
    </row>
    <row r="63" spans="1:18" hidden="1">
      <c r="A63" s="1023"/>
      <c r="B63" s="687"/>
      <c r="D63" s="716"/>
      <c r="E63" s="864"/>
      <c r="F63" s="864"/>
      <c r="G63" s="1006"/>
      <c r="H63" s="749"/>
      <c r="I63" s="678"/>
      <c r="J63" s="986"/>
      <c r="K63" s="675"/>
    </row>
    <row r="64" spans="1:18" hidden="1">
      <c r="A64" s="677"/>
      <c r="B64" s="839"/>
      <c r="C64" s="675"/>
      <c r="D64" s="675"/>
      <c r="E64" s="693"/>
      <c r="F64" s="686"/>
      <c r="G64" s="686"/>
      <c r="H64" s="749"/>
      <c r="I64" s="678"/>
      <c r="J64" s="986"/>
      <c r="K64" s="675"/>
      <c r="L64" s="675"/>
      <c r="M64" s="675"/>
      <c r="N64" s="675"/>
      <c r="O64" s="686"/>
      <c r="P64" s="686"/>
      <c r="Q64" s="675"/>
      <c r="R64" s="674"/>
    </row>
    <row r="65" spans="1:18">
      <c r="A65" s="677"/>
      <c r="B65" s="675" t="s">
        <v>421</v>
      </c>
      <c r="C65" s="675"/>
      <c r="D65" s="675"/>
      <c r="E65" s="1014">
        <f>SUM(E42:E64)</f>
        <v>80326</v>
      </c>
      <c r="F65" s="1014">
        <f>SUM(F42:F64)</f>
        <v>277263.5</v>
      </c>
      <c r="G65" s="1014">
        <f>SUM(G42:G64)</f>
        <v>587478</v>
      </c>
      <c r="H65" s="912"/>
      <c r="I65" s="926"/>
      <c r="J65" s="986"/>
      <c r="K65" s="691"/>
      <c r="L65" s="675"/>
      <c r="M65" s="675"/>
      <c r="N65" s="675"/>
      <c r="O65" s="685"/>
      <c r="P65" s="685"/>
      <c r="Q65" s="695"/>
      <c r="R65" s="674"/>
    </row>
    <row r="66" spans="1:18">
      <c r="A66" s="677"/>
      <c r="B66" s="675"/>
      <c r="C66" s="675"/>
      <c r="D66" s="675"/>
      <c r="E66" s="693"/>
      <c r="F66" s="911"/>
      <c r="G66" s="911"/>
      <c r="H66" s="912"/>
      <c r="I66" s="926"/>
      <c r="J66" s="986"/>
      <c r="K66" s="675"/>
      <c r="L66" s="675"/>
      <c r="M66" s="675"/>
      <c r="N66" s="675"/>
      <c r="O66" s="685"/>
      <c r="P66" s="685"/>
      <c r="Q66" s="695"/>
      <c r="R66" s="674"/>
    </row>
    <row r="67" spans="1:18">
      <c r="F67" s="688"/>
      <c r="H67" s="669"/>
      <c r="I67" s="669"/>
      <c r="J67" s="669"/>
    </row>
    <row r="68" spans="1:18">
      <c r="A68" s="1355" t="s">
        <v>523</v>
      </c>
      <c r="B68" s="1355"/>
      <c r="C68" s="1355"/>
      <c r="D68" s="1355"/>
      <c r="E68" s="1355"/>
      <c r="F68" s="1355"/>
      <c r="G68" s="1355"/>
      <c r="H68" s="1355"/>
      <c r="I68" s="669"/>
      <c r="J68" s="669"/>
    </row>
    <row r="69" spans="1:18">
      <c r="A69" s="1355" t="s">
        <v>536</v>
      </c>
      <c r="B69" s="1355"/>
      <c r="C69" s="1355"/>
      <c r="D69" s="1355"/>
      <c r="E69" s="1355"/>
      <c r="F69" s="1355"/>
      <c r="G69" s="1355"/>
      <c r="H69" s="1355"/>
      <c r="I69" s="669"/>
      <c r="J69" s="669"/>
    </row>
    <row r="70" spans="1:18">
      <c r="H70" s="669"/>
      <c r="I70" s="669"/>
      <c r="J70" s="669"/>
    </row>
    <row r="71" spans="1:18">
      <c r="A71" s="677" t="s">
        <v>14</v>
      </c>
      <c r="F71" s="677" t="s">
        <v>690</v>
      </c>
      <c r="G71" s="677" t="s">
        <v>524</v>
      </c>
      <c r="H71" s="669"/>
      <c r="I71" s="669"/>
      <c r="J71" s="669"/>
    </row>
    <row r="72" spans="1:18">
      <c r="A72" s="677">
        <v>1</v>
      </c>
      <c r="B72" s="669" t="s">
        <v>535</v>
      </c>
      <c r="C72" s="669" t="s">
        <v>407</v>
      </c>
      <c r="D72" s="69"/>
      <c r="F72" s="688">
        <f>G65</f>
        <v>587478</v>
      </c>
      <c r="H72" s="669"/>
      <c r="I72" s="669"/>
      <c r="J72" s="669"/>
    </row>
    <row r="73" spans="1:18">
      <c r="A73" s="677"/>
      <c r="D73" s="69"/>
      <c r="F73" s="688"/>
      <c r="H73" s="669"/>
      <c r="I73" s="669"/>
      <c r="J73" s="669"/>
    </row>
    <row r="74" spans="1:18">
      <c r="A74" s="677">
        <v>2</v>
      </c>
      <c r="C74" s="669" t="s">
        <v>284</v>
      </c>
      <c r="D74" s="69"/>
      <c r="F74" s="1327">
        <f>RevReq_Exh_WA!R25</f>
        <v>8.249999999999999E-2</v>
      </c>
      <c r="G74" s="1099">
        <f>RevReq_Exh_WA!S12</f>
        <v>3.5099999999999999E-2</v>
      </c>
      <c r="H74" s="669"/>
      <c r="I74" s="669"/>
      <c r="J74" s="669"/>
    </row>
    <row r="75" spans="1:18">
      <c r="A75" s="677"/>
      <c r="D75" s="69"/>
      <c r="F75" s="1328"/>
      <c r="H75" s="669"/>
      <c r="I75" s="669"/>
      <c r="J75" s="669"/>
    </row>
    <row r="76" spans="1:18">
      <c r="A76" s="677">
        <v>3</v>
      </c>
      <c r="B76" s="669" t="s">
        <v>38</v>
      </c>
      <c r="C76" s="669" t="s">
        <v>285</v>
      </c>
      <c r="D76" s="69"/>
      <c r="F76" s="688">
        <f>F72*F74</f>
        <v>48466.934999999998</v>
      </c>
      <c r="H76" s="669"/>
      <c r="I76" s="669"/>
      <c r="J76" s="669"/>
    </row>
    <row r="77" spans="1:18">
      <c r="A77" s="677"/>
      <c r="D77" s="69"/>
      <c r="F77" s="688"/>
      <c r="H77" s="669"/>
      <c r="I77" s="669"/>
      <c r="J77" s="669"/>
    </row>
    <row r="78" spans="1:18">
      <c r="A78" s="677">
        <v>4</v>
      </c>
      <c r="B78" s="669" t="s">
        <v>525</v>
      </c>
      <c r="C78" s="669" t="s">
        <v>285</v>
      </c>
      <c r="D78" s="69"/>
      <c r="F78" s="688">
        <f>F72*G74*-0.35</f>
        <v>-7217.16723</v>
      </c>
      <c r="H78" s="669"/>
      <c r="I78" s="669"/>
      <c r="J78" s="669"/>
    </row>
    <row r="79" spans="1:18">
      <c r="A79" s="677"/>
      <c r="C79" s="669" t="s">
        <v>526</v>
      </c>
      <c r="D79" s="69"/>
      <c r="F79" s="688"/>
      <c r="H79" s="669"/>
      <c r="I79" s="669"/>
      <c r="J79" s="669"/>
    </row>
    <row r="80" spans="1:18" ht="6" customHeight="1">
      <c r="A80" s="677"/>
      <c r="D80" s="69"/>
      <c r="F80" s="688"/>
      <c r="H80" s="669"/>
      <c r="I80" s="669"/>
      <c r="J80" s="669"/>
    </row>
    <row r="81" spans="1:10">
      <c r="A81" s="677">
        <v>5</v>
      </c>
      <c r="B81" s="669" t="s">
        <v>527</v>
      </c>
      <c r="C81" s="669" t="s">
        <v>285</v>
      </c>
      <c r="D81" s="69"/>
      <c r="F81" s="1329">
        <f>-(E65-F65)</f>
        <v>196937.5</v>
      </c>
      <c r="H81" s="669"/>
      <c r="I81" s="669"/>
      <c r="J81" s="669"/>
    </row>
    <row r="82" spans="1:10">
      <c r="A82" s="677"/>
      <c r="C82" s="669" t="s">
        <v>528</v>
      </c>
      <c r="D82" s="69"/>
      <c r="F82" s="685"/>
      <c r="H82" s="669"/>
      <c r="I82" s="669"/>
      <c r="J82" s="669"/>
    </row>
    <row r="83" spans="1:10" ht="6.75" customHeight="1">
      <c r="A83" s="677"/>
      <c r="D83" s="69"/>
      <c r="F83" s="685"/>
      <c r="H83" s="669"/>
      <c r="I83" s="669"/>
      <c r="J83" s="669"/>
    </row>
    <row r="84" spans="1:10">
      <c r="A84" s="677">
        <v>6</v>
      </c>
      <c r="B84" s="669" t="s">
        <v>525</v>
      </c>
      <c r="C84" s="669" t="s">
        <v>285</v>
      </c>
      <c r="D84" s="69"/>
      <c r="F84" s="688">
        <f>F81*-0.35</f>
        <v>-68928.125</v>
      </c>
      <c r="H84" s="669"/>
      <c r="I84" s="669"/>
      <c r="J84" s="669"/>
    </row>
    <row r="85" spans="1:10">
      <c r="A85" s="677"/>
      <c r="C85" s="669" t="s">
        <v>529</v>
      </c>
      <c r="D85" s="69"/>
      <c r="H85" s="669"/>
      <c r="I85" s="669"/>
      <c r="J85" s="669"/>
    </row>
    <row r="86" spans="1:10" ht="6" customHeight="1">
      <c r="A86" s="677"/>
      <c r="D86" s="69"/>
      <c r="H86" s="669"/>
      <c r="I86" s="669"/>
      <c r="J86" s="669"/>
    </row>
    <row r="87" spans="1:10">
      <c r="A87" s="677">
        <v>7</v>
      </c>
      <c r="B87" s="669" t="s">
        <v>530</v>
      </c>
      <c r="C87" s="669" t="s">
        <v>285</v>
      </c>
      <c r="D87" s="69"/>
      <c r="F87" s="688">
        <f>SUM(F76:F85)</f>
        <v>169259.14277000001</v>
      </c>
      <c r="H87" s="669"/>
      <c r="I87" s="669"/>
      <c r="J87" s="669"/>
    </row>
    <row r="88" spans="1:10">
      <c r="A88" s="677"/>
      <c r="D88" s="69"/>
      <c r="H88" s="669"/>
      <c r="I88" s="669"/>
      <c r="J88" s="669"/>
    </row>
    <row r="89" spans="1:10">
      <c r="A89" s="677">
        <v>8</v>
      </c>
      <c r="B89" s="669" t="s">
        <v>534</v>
      </c>
      <c r="C89" s="669" t="s">
        <v>533</v>
      </c>
      <c r="D89" s="69"/>
      <c r="F89" s="669">
        <f>1-0.35</f>
        <v>0.65</v>
      </c>
      <c r="H89" s="669"/>
      <c r="I89" s="669"/>
      <c r="J89" s="669"/>
    </row>
    <row r="90" spans="1:10" ht="13.5" thickBot="1">
      <c r="A90" s="677"/>
      <c r="D90" s="69"/>
      <c r="H90" s="669"/>
      <c r="I90" s="669"/>
      <c r="J90" s="669"/>
    </row>
    <row r="91" spans="1:10" ht="13.5" thickBot="1">
      <c r="A91" s="677">
        <v>9</v>
      </c>
      <c r="B91" s="669" t="s">
        <v>535</v>
      </c>
      <c r="C91" s="669" t="s">
        <v>293</v>
      </c>
      <c r="D91" s="69"/>
      <c r="F91" s="1262">
        <f>F87/F89</f>
        <v>260398.68118461539</v>
      </c>
      <c r="G91" s="688"/>
      <c r="H91" s="669"/>
      <c r="I91" s="669"/>
      <c r="J91" s="669"/>
    </row>
    <row r="92" spans="1:10">
      <c r="H92" s="669"/>
      <c r="I92" s="669"/>
      <c r="J92" s="669"/>
    </row>
    <row r="93" spans="1:10">
      <c r="A93" s="677">
        <v>10</v>
      </c>
      <c r="B93" s="1017" t="s">
        <v>692</v>
      </c>
      <c r="F93" s="864">
        <v>5487574</v>
      </c>
      <c r="G93" s="1019"/>
      <c r="I93" s="669"/>
      <c r="J93" s="669"/>
    </row>
    <row r="94" spans="1:10" ht="13.5" thickBot="1">
      <c r="A94"/>
      <c r="D94" s="69"/>
      <c r="H94" s="669"/>
      <c r="I94" s="669"/>
      <c r="J94" s="669"/>
    </row>
    <row r="95" spans="1:10" ht="13.5" thickBot="1">
      <c r="A95" s="1330">
        <v>11</v>
      </c>
      <c r="B95" s="669" t="s">
        <v>691</v>
      </c>
      <c r="F95" s="1331">
        <f>F91/F93</f>
        <v>4.7452422725345549E-2</v>
      </c>
      <c r="H95" s="669"/>
      <c r="I95" s="669"/>
      <c r="J95" s="669"/>
    </row>
    <row r="96" spans="1:10">
      <c r="H96" s="669"/>
      <c r="I96" s="669"/>
      <c r="J96" s="669"/>
    </row>
    <row r="97" spans="8:10">
      <c r="H97" s="669"/>
      <c r="I97" s="669"/>
      <c r="J97" s="669"/>
    </row>
    <row r="98" spans="8:10" ht="12" customHeight="1">
      <c r="H98" s="669"/>
      <c r="I98" s="669"/>
      <c r="J98" s="669"/>
    </row>
    <row r="99" spans="8:10" hidden="1">
      <c r="H99" s="669"/>
      <c r="I99" s="669"/>
      <c r="J99" s="669"/>
    </row>
    <row r="100" spans="8:10">
      <c r="H100" s="669"/>
      <c r="I100" s="669"/>
      <c r="J100" s="669"/>
    </row>
    <row r="101" spans="8:10">
      <c r="H101" s="669"/>
      <c r="I101" s="669"/>
      <c r="J101" s="669"/>
    </row>
    <row r="102" spans="8:10">
      <c r="H102" s="669"/>
      <c r="I102" s="669"/>
      <c r="J102" s="669"/>
    </row>
    <row r="103" spans="8:10">
      <c r="H103" s="669"/>
      <c r="I103" s="669"/>
      <c r="J103" s="669"/>
    </row>
    <row r="104" spans="8:10" ht="12.75" customHeight="1">
      <c r="H104" s="669"/>
      <c r="I104" s="669"/>
      <c r="J104" s="669"/>
    </row>
    <row r="105" spans="8:10">
      <c r="H105" s="669"/>
      <c r="I105" s="669"/>
      <c r="J105" s="669"/>
    </row>
    <row r="106" spans="8:10">
      <c r="H106" s="669"/>
      <c r="I106" s="669"/>
      <c r="J106" s="669"/>
    </row>
    <row r="107" spans="8:10">
      <c r="H107" s="669"/>
      <c r="I107" s="669"/>
      <c r="J107" s="669"/>
    </row>
    <row r="108" spans="8:10">
      <c r="H108" s="669"/>
      <c r="I108" s="669"/>
      <c r="J108" s="669"/>
    </row>
    <row r="109" spans="8:10">
      <c r="H109" s="669"/>
      <c r="I109" s="669"/>
      <c r="J109" s="669"/>
    </row>
    <row r="110" spans="8:10">
      <c r="H110" s="669"/>
      <c r="I110" s="669"/>
      <c r="J110" s="669"/>
    </row>
    <row r="111" spans="8:10">
      <c r="H111" s="669"/>
      <c r="I111" s="669"/>
      <c r="J111" s="669"/>
    </row>
    <row r="112" spans="8:10">
      <c r="H112" s="669"/>
      <c r="I112" s="669"/>
      <c r="J112" s="669"/>
    </row>
    <row r="113" spans="2:18">
      <c r="H113" s="669"/>
      <c r="I113" s="669"/>
      <c r="J113" s="669"/>
    </row>
    <row r="114" spans="2:18">
      <c r="B114" s="675"/>
      <c r="C114" s="675"/>
      <c r="D114" s="675"/>
      <c r="E114" s="693"/>
      <c r="F114" s="686"/>
      <c r="G114" s="686"/>
      <c r="H114" s="749"/>
      <c r="I114" s="678"/>
      <c r="K114" s="675"/>
      <c r="L114" s="675"/>
      <c r="M114" s="675"/>
      <c r="N114" s="675"/>
      <c r="O114" s="686"/>
      <c r="P114" s="686"/>
      <c r="Q114" s="675"/>
      <c r="R114" s="674"/>
    </row>
    <row r="115" spans="2:18" ht="0.75" customHeight="1"/>
    <row r="116" spans="2:18" hidden="1"/>
  </sheetData>
  <mergeCells count="3">
    <mergeCell ref="E8:G8"/>
    <mergeCell ref="A68:H68"/>
    <mergeCell ref="A69:H69"/>
  </mergeCells>
  <phoneticPr fontId="0" type="noConversion"/>
  <pageMargins left="1.1000000000000001" right="0.75" top="1.1299999999999999" bottom="0.75" header="0.5" footer="0.5"/>
  <pageSetup scale="82" orientation="portrait" horizontalDpi="4294967292" r:id="rId1"/>
  <headerFooter alignWithMargins="0">
    <oddHeader>&amp;C
&amp;RExhibit No. ___(TLK-2)</oddHeader>
    <oddFooter>Page &amp;P of &amp;N</oddFooter>
  </headerFooter>
  <rowBreaks count="1" manualBreakCount="1">
    <brk id="67" max="7" man="1"/>
  </rowBreaks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2"/>
  <dimension ref="A1:G110"/>
  <sheetViews>
    <sheetView topLeftCell="A7" workbookViewId="0">
      <selection activeCell="G40" sqref="G40"/>
    </sheetView>
  </sheetViews>
  <sheetFormatPr defaultColWidth="12.42578125" defaultRowHeight="12"/>
  <cols>
    <col min="1" max="1" width="5.5703125" style="456" customWidth="1"/>
    <col min="2" max="2" width="26.140625" style="455" customWidth="1"/>
    <col min="3" max="3" width="12.42578125" style="455" customWidth="1"/>
    <col min="4" max="4" width="6.7109375" style="455" customWidth="1"/>
    <col min="5" max="16384" width="12.42578125" style="455"/>
  </cols>
  <sheetData>
    <row r="1" spans="1:7">
      <c r="A1" s="453" t="str">
        <f>Inputs!$D$6</f>
        <v>AVISTA UTILITIES</v>
      </c>
      <c r="B1" s="454"/>
      <c r="C1" s="453"/>
      <c r="E1" s="1352" t="s">
        <v>299</v>
      </c>
      <c r="F1" s="1352"/>
      <c r="G1" s="1352"/>
    </row>
    <row r="2" spans="1:7">
      <c r="A2" s="453" t="s">
        <v>142</v>
      </c>
      <c r="B2" s="454"/>
      <c r="C2" s="453"/>
      <c r="E2" s="1353" t="s">
        <v>489</v>
      </c>
      <c r="F2" s="1353"/>
      <c r="G2" s="1353"/>
    </row>
    <row r="3" spans="1:7">
      <c r="A3" s="454" t="str">
        <f>WAElec09_08!$A$4</f>
        <v>TWELVE MONTHS ENDED SEPTEMBER 30, 2008</v>
      </c>
      <c r="B3" s="454"/>
      <c r="C3" s="453"/>
      <c r="E3" s="1353" t="s">
        <v>242</v>
      </c>
      <c r="F3" s="1353"/>
      <c r="G3" s="1353"/>
    </row>
    <row r="4" spans="1:7">
      <c r="A4" s="453" t="s">
        <v>1</v>
      </c>
      <c r="B4" s="454"/>
      <c r="C4" s="453"/>
      <c r="E4" s="457"/>
      <c r="F4" s="458" t="s">
        <v>145</v>
      </c>
      <c r="G4" s="459"/>
    </row>
    <row r="5" spans="1:7">
      <c r="A5" s="456" t="s">
        <v>14</v>
      </c>
    </row>
    <row r="6" spans="1:7" s="456" customFormat="1">
      <c r="A6" s="456" t="s">
        <v>146</v>
      </c>
      <c r="B6" s="460" t="s">
        <v>36</v>
      </c>
      <c r="C6" s="460"/>
      <c r="E6" s="460" t="s">
        <v>147</v>
      </c>
      <c r="F6" s="460" t="s">
        <v>148</v>
      </c>
      <c r="G6" s="460" t="s">
        <v>128</v>
      </c>
    </row>
    <row r="7" spans="1:7">
      <c r="B7" s="462" t="s">
        <v>85</v>
      </c>
    </row>
    <row r="8" spans="1:7" s="465" customFormat="1">
      <c r="A8" s="463">
        <v>1</v>
      </c>
      <c r="B8" s="464" t="s">
        <v>86</v>
      </c>
      <c r="E8" s="466">
        <f>F8+G8</f>
        <v>0</v>
      </c>
      <c r="F8" s="466"/>
      <c r="G8" s="466"/>
    </row>
    <row r="9" spans="1:7">
      <c r="A9" s="456">
        <v>2</v>
      </c>
      <c r="B9" s="462" t="s">
        <v>87</v>
      </c>
      <c r="E9" s="467"/>
      <c r="F9" s="467"/>
      <c r="G9" s="467"/>
    </row>
    <row r="10" spans="1:7">
      <c r="A10" s="456">
        <v>3</v>
      </c>
      <c r="B10" s="462" t="s">
        <v>150</v>
      </c>
      <c r="E10" s="467"/>
      <c r="F10" s="467"/>
      <c r="G10" s="467"/>
    </row>
    <row r="11" spans="1:7">
      <c r="A11" s="456">
        <v>4</v>
      </c>
      <c r="B11" s="462" t="s">
        <v>151</v>
      </c>
      <c r="E11" s="468">
        <f>E8+E9+E10</f>
        <v>0</v>
      </c>
      <c r="F11" s="468">
        <f>F8+F9+F10</f>
        <v>0</v>
      </c>
      <c r="G11" s="468">
        <f>G8+G9+G10</f>
        <v>0</v>
      </c>
    </row>
    <row r="12" spans="1:7">
      <c r="A12" s="456">
        <v>5</v>
      </c>
      <c r="B12" s="462" t="s">
        <v>90</v>
      </c>
      <c r="E12" s="467">
        <f>SUM(F12:G12)</f>
        <v>0</v>
      </c>
      <c r="F12" s="467"/>
      <c r="G12" s="467">
        <v>0</v>
      </c>
    </row>
    <row r="13" spans="1:7">
      <c r="A13" s="456">
        <v>6</v>
      </c>
      <c r="B13" s="462" t="s">
        <v>152</v>
      </c>
      <c r="E13" s="468">
        <f>E11+E12</f>
        <v>0</v>
      </c>
      <c r="F13" s="468">
        <f>F11+F12</f>
        <v>0</v>
      </c>
      <c r="G13" s="468">
        <f>G11+G12</f>
        <v>0</v>
      </c>
    </row>
    <row r="14" spans="1:7">
      <c r="E14" s="469"/>
      <c r="F14" s="469"/>
      <c r="G14" s="469"/>
    </row>
    <row r="15" spans="1:7">
      <c r="B15" s="462" t="s">
        <v>92</v>
      </c>
      <c r="E15" s="469"/>
      <c r="F15" s="469"/>
      <c r="G15" s="469"/>
    </row>
    <row r="16" spans="1:7">
      <c r="B16" s="462" t="s">
        <v>93</v>
      </c>
      <c r="E16" s="469"/>
      <c r="F16" s="469"/>
      <c r="G16" s="469"/>
    </row>
    <row r="17" spans="1:7">
      <c r="A17" s="456">
        <v>7</v>
      </c>
      <c r="B17" s="462" t="s">
        <v>153</v>
      </c>
      <c r="E17" s="467">
        <f>F17+G17</f>
        <v>1430</v>
      </c>
      <c r="F17" s="467">
        <f>801+230</f>
        <v>1031</v>
      </c>
      <c r="G17" s="467">
        <f>309+90</f>
        <v>399</v>
      </c>
    </row>
    <row r="18" spans="1:7">
      <c r="A18" s="456">
        <v>8</v>
      </c>
      <c r="B18" s="462" t="s">
        <v>154</v>
      </c>
      <c r="E18" s="467"/>
      <c r="F18" s="467"/>
      <c r="G18" s="467"/>
    </row>
    <row r="19" spans="1:7">
      <c r="A19" s="456">
        <v>9</v>
      </c>
      <c r="B19" s="462" t="s">
        <v>155</v>
      </c>
      <c r="E19" s="467"/>
      <c r="F19" s="467"/>
      <c r="G19" s="467"/>
    </row>
    <row r="20" spans="1:7">
      <c r="A20" s="456">
        <v>10</v>
      </c>
      <c r="B20" s="462" t="s">
        <v>156</v>
      </c>
      <c r="E20" s="467"/>
      <c r="F20" s="467"/>
      <c r="G20" s="467"/>
    </row>
    <row r="21" spans="1:7">
      <c r="A21" s="456">
        <v>11</v>
      </c>
      <c r="B21" s="462" t="s">
        <v>157</v>
      </c>
      <c r="E21" s="468">
        <f>E17+E18+E19+E20</f>
        <v>1430</v>
      </c>
      <c r="F21" s="468">
        <f>F17+F18+F19+F20</f>
        <v>1031</v>
      </c>
      <c r="G21" s="468">
        <f>G17+G18+G19+G20</f>
        <v>399</v>
      </c>
    </row>
    <row r="22" spans="1:7">
      <c r="E22" s="469"/>
      <c r="F22" s="469"/>
      <c r="G22" s="469"/>
    </row>
    <row r="23" spans="1:7">
      <c r="B23" s="462" t="s">
        <v>98</v>
      </c>
      <c r="E23" s="469"/>
      <c r="F23" s="469"/>
      <c r="G23" s="469"/>
    </row>
    <row r="24" spans="1:7">
      <c r="A24" s="456">
        <v>12</v>
      </c>
      <c r="B24" s="462" t="s">
        <v>153</v>
      </c>
      <c r="E24" s="467">
        <f>F24+G24</f>
        <v>1136</v>
      </c>
      <c r="F24" s="467">
        <v>842</v>
      </c>
      <c r="G24" s="467">
        <v>294</v>
      </c>
    </row>
    <row r="25" spans="1:7">
      <c r="A25" s="456">
        <v>13</v>
      </c>
      <c r="B25" s="462" t="s">
        <v>158</v>
      </c>
      <c r="E25" s="467"/>
      <c r="F25" s="467"/>
      <c r="G25" s="467"/>
    </row>
    <row r="26" spans="1:7">
      <c r="A26" s="456">
        <v>14</v>
      </c>
      <c r="B26" s="462" t="s">
        <v>156</v>
      </c>
      <c r="E26" s="467">
        <f>F26+G26</f>
        <v>-13</v>
      </c>
      <c r="F26" s="467"/>
      <c r="G26" s="470">
        <f>F109</f>
        <v>-13</v>
      </c>
    </row>
    <row r="27" spans="1:7">
      <c r="A27" s="456">
        <v>15</v>
      </c>
      <c r="B27" s="462" t="s">
        <v>159</v>
      </c>
      <c r="E27" s="468">
        <f>E24+E25+E26</f>
        <v>1123</v>
      </c>
      <c r="F27" s="468">
        <f>F24+F25+F26</f>
        <v>842</v>
      </c>
      <c r="G27" s="468">
        <f>G24+G25+G26</f>
        <v>281</v>
      </c>
    </row>
    <row r="28" spans="1:7">
      <c r="E28" s="469"/>
      <c r="F28" s="469"/>
      <c r="G28" s="469"/>
    </row>
    <row r="29" spans="1:7">
      <c r="A29" s="456">
        <v>16</v>
      </c>
      <c r="B29" s="462" t="s">
        <v>101</v>
      </c>
      <c r="E29" s="467">
        <f>F29+G29</f>
        <v>441</v>
      </c>
      <c r="F29" s="467">
        <v>348</v>
      </c>
      <c r="G29" s="467">
        <v>93</v>
      </c>
    </row>
    <row r="30" spans="1:7">
      <c r="A30" s="456">
        <v>17</v>
      </c>
      <c r="B30" s="462" t="s">
        <v>102</v>
      </c>
      <c r="E30" s="467">
        <f>F30+G30</f>
        <v>27</v>
      </c>
      <c r="F30" s="467">
        <v>20</v>
      </c>
      <c r="G30" s="467">
        <v>7</v>
      </c>
    </row>
    <row r="31" spans="1:7">
      <c r="A31" s="456">
        <v>18</v>
      </c>
      <c r="B31" s="462" t="s">
        <v>160</v>
      </c>
      <c r="E31" s="467">
        <f>F31+G31</f>
        <v>38</v>
      </c>
      <c r="F31" s="467">
        <v>31</v>
      </c>
      <c r="G31" s="467">
        <v>7</v>
      </c>
    </row>
    <row r="32" spans="1:7">
      <c r="E32" s="469"/>
      <c r="F32" s="469"/>
      <c r="G32" s="469"/>
    </row>
    <row r="33" spans="1:7">
      <c r="B33" s="462" t="s">
        <v>104</v>
      </c>
      <c r="E33" s="469"/>
      <c r="F33" s="469"/>
      <c r="G33" s="469"/>
    </row>
    <row r="34" spans="1:7">
      <c r="A34" s="456">
        <v>19</v>
      </c>
      <c r="B34" s="462" t="s">
        <v>153</v>
      </c>
      <c r="E34" s="467">
        <f>F34+G34</f>
        <v>994</v>
      </c>
      <c r="F34" s="467">
        <v>715</v>
      </c>
      <c r="G34" s="467">
        <v>279</v>
      </c>
    </row>
    <row r="35" spans="1:7">
      <c r="A35" s="456">
        <v>20</v>
      </c>
      <c r="B35" s="462" t="s">
        <v>158</v>
      </c>
      <c r="E35" s="467"/>
      <c r="F35" s="467"/>
      <c r="G35" s="467"/>
    </row>
    <row r="36" spans="1:7">
      <c r="A36" s="456">
        <v>21</v>
      </c>
      <c r="B36" s="462" t="s">
        <v>156</v>
      </c>
      <c r="E36" s="467"/>
      <c r="F36" s="467"/>
      <c r="G36" s="467"/>
    </row>
    <row r="37" spans="1:7">
      <c r="A37" s="456">
        <v>22</v>
      </c>
      <c r="B37" s="462" t="s">
        <v>161</v>
      </c>
      <c r="E37" s="471">
        <f>E34+E35+E36</f>
        <v>994</v>
      </c>
      <c r="F37" s="471">
        <f>F34+F35+F36</f>
        <v>715</v>
      </c>
      <c r="G37" s="471">
        <f>G34+G35+G36</f>
        <v>279</v>
      </c>
    </row>
    <row r="38" spans="1:7">
      <c r="A38" s="456">
        <v>23</v>
      </c>
      <c r="B38" s="462" t="s">
        <v>106</v>
      </c>
      <c r="E38" s="472">
        <f>E21+E27+E29+E30+E31+E37</f>
        <v>4053</v>
      </c>
      <c r="F38" s="472">
        <f>F21+F27+F29+F30+F31+F37</f>
        <v>2987</v>
      </c>
      <c r="G38" s="472">
        <f>G21+G27+G29+G30+G31+G37</f>
        <v>1066</v>
      </c>
    </row>
    <row r="39" spans="1:7">
      <c r="E39" s="469"/>
      <c r="F39" s="469"/>
      <c r="G39" s="469"/>
    </row>
    <row r="40" spans="1:7">
      <c r="A40" s="456">
        <v>24</v>
      </c>
      <c r="B40" s="462" t="s">
        <v>162</v>
      </c>
      <c r="E40" s="469">
        <f>E13-E38</f>
        <v>-4053</v>
      </c>
      <c r="F40" s="469">
        <f>F13-F38</f>
        <v>-2987</v>
      </c>
      <c r="G40" s="469">
        <f>G13-G38</f>
        <v>-1066</v>
      </c>
    </row>
    <row r="41" spans="1:7">
      <c r="B41" s="462"/>
      <c r="E41" s="469"/>
      <c r="F41" s="469"/>
      <c r="G41" s="469"/>
    </row>
    <row r="42" spans="1:7">
      <c r="B42" s="462" t="s">
        <v>163</v>
      </c>
      <c r="E42" s="469"/>
      <c r="F42" s="469"/>
      <c r="G42" s="469"/>
    </row>
    <row r="43" spans="1:7">
      <c r="A43" s="456">
        <v>25</v>
      </c>
      <c r="B43" s="462" t="s">
        <v>164</v>
      </c>
      <c r="D43" s="473">
        <v>0.35</v>
      </c>
      <c r="E43" s="467">
        <f>F43+G43</f>
        <v>-1418</v>
      </c>
      <c r="F43" s="467">
        <f>ROUND(F40*D43,0)</f>
        <v>-1045</v>
      </c>
      <c r="G43" s="467">
        <f>ROUND(G40*D43,0)</f>
        <v>-373</v>
      </c>
    </row>
    <row r="44" spans="1:7">
      <c r="A44" s="456">
        <v>26</v>
      </c>
      <c r="B44" s="462" t="s">
        <v>165</v>
      </c>
      <c r="E44" s="467"/>
      <c r="F44" s="467"/>
      <c r="G44" s="467"/>
    </row>
    <row r="45" spans="1:7" ht="12.75">
      <c r="A45"/>
      <c r="B45"/>
      <c r="C45"/>
      <c r="D45"/>
      <c r="E45" s="913"/>
      <c r="F45" s="913"/>
      <c r="G45" s="913"/>
    </row>
    <row r="46" spans="1:7">
      <c r="A46" s="259"/>
      <c r="B46" s="262"/>
      <c r="C46" s="256"/>
      <c r="D46" s="256"/>
      <c r="E46" s="269"/>
      <c r="F46" s="269"/>
      <c r="G46" s="269"/>
    </row>
    <row r="47" spans="1:7" s="465" customFormat="1">
      <c r="A47" s="263">
        <v>27</v>
      </c>
      <c r="B47" s="264" t="s">
        <v>113</v>
      </c>
      <c r="C47" s="265"/>
      <c r="D47" s="265"/>
      <c r="E47" s="273">
        <f>E40-SUM(E43:E44)</f>
        <v>-2635</v>
      </c>
      <c r="F47" s="273">
        <f>F40-SUM(F43:F44)</f>
        <v>-1942</v>
      </c>
      <c r="G47" s="273">
        <f>G40-SUM(G43:G44)</f>
        <v>-693</v>
      </c>
    </row>
    <row r="48" spans="1:7">
      <c r="A48" s="259"/>
    </row>
    <row r="49" spans="1:7">
      <c r="A49" s="259"/>
      <c r="B49" s="462" t="s">
        <v>114</v>
      </c>
    </row>
    <row r="50" spans="1:7">
      <c r="A50" s="259"/>
      <c r="B50" s="462" t="s">
        <v>115</v>
      </c>
    </row>
    <row r="51" spans="1:7" s="465" customFormat="1">
      <c r="A51" s="263">
        <v>28</v>
      </c>
      <c r="B51" s="464" t="s">
        <v>167</v>
      </c>
      <c r="E51" s="466"/>
      <c r="F51" s="466"/>
      <c r="G51" s="466"/>
    </row>
    <row r="52" spans="1:7">
      <c r="A52" s="259">
        <v>29</v>
      </c>
      <c r="B52" s="462" t="s">
        <v>168</v>
      </c>
      <c r="E52" s="467"/>
      <c r="F52" s="467"/>
      <c r="G52" s="467"/>
    </row>
    <row r="53" spans="1:7">
      <c r="A53" s="259">
        <v>30</v>
      </c>
      <c r="B53" s="462" t="s">
        <v>169</v>
      </c>
      <c r="E53" s="467"/>
      <c r="F53" s="467"/>
      <c r="G53" s="467"/>
    </row>
    <row r="54" spans="1:7">
      <c r="A54" s="259">
        <v>31</v>
      </c>
      <c r="B54" s="462" t="s">
        <v>170</v>
      </c>
      <c r="E54" s="467"/>
      <c r="F54" s="467"/>
      <c r="G54" s="467"/>
    </row>
    <row r="55" spans="1:7">
      <c r="A55" s="259">
        <v>32</v>
      </c>
      <c r="B55" s="462" t="s">
        <v>171</v>
      </c>
      <c r="E55" s="474"/>
      <c r="F55" s="474"/>
      <c r="G55" s="474"/>
    </row>
    <row r="56" spans="1:7">
      <c r="A56" s="259">
        <v>33</v>
      </c>
      <c r="B56" s="462" t="s">
        <v>172</v>
      </c>
      <c r="E56" s="469">
        <f>E51+E52+E53+E54+E55</f>
        <v>0</v>
      </c>
      <c r="F56" s="469">
        <f>F51+F52+F53+F54+F55</f>
        <v>0</v>
      </c>
      <c r="G56" s="469">
        <f>G51+G52+G53+G54+G55</f>
        <v>0</v>
      </c>
    </row>
    <row r="57" spans="1:7">
      <c r="A57" s="259">
        <v>34</v>
      </c>
      <c r="B57" s="462" t="s">
        <v>121</v>
      </c>
      <c r="E57" s="467"/>
      <c r="F57" s="467"/>
      <c r="G57" s="467"/>
    </row>
    <row r="58" spans="1:7">
      <c r="A58" s="259">
        <v>35</v>
      </c>
      <c r="B58" s="462" t="s">
        <v>122</v>
      </c>
      <c r="E58" s="474"/>
      <c r="F58" s="474"/>
      <c r="G58" s="474"/>
    </row>
    <row r="59" spans="1:7">
      <c r="A59" s="259">
        <v>36</v>
      </c>
      <c r="B59" s="462" t="s">
        <v>173</v>
      </c>
      <c r="E59" s="469">
        <f>E57+E58</f>
        <v>0</v>
      </c>
      <c r="F59" s="469">
        <f>F57+F58</f>
        <v>0</v>
      </c>
      <c r="G59" s="469">
        <f>G57+G58</f>
        <v>0</v>
      </c>
    </row>
    <row r="60" spans="1:7">
      <c r="A60" s="259">
        <v>37</v>
      </c>
      <c r="B60" s="462" t="s">
        <v>124</v>
      </c>
      <c r="E60" s="467"/>
      <c r="F60" s="467"/>
      <c r="G60" s="467"/>
    </row>
    <row r="61" spans="1:7">
      <c r="A61" s="259">
        <v>38</v>
      </c>
      <c r="B61" s="462" t="s">
        <v>125</v>
      </c>
      <c r="E61" s="474"/>
      <c r="F61" s="474"/>
      <c r="G61" s="474"/>
    </row>
    <row r="62" spans="1:7" ht="9" customHeight="1">
      <c r="A62" s="259"/>
    </row>
    <row r="63" spans="1:7" s="465" customFormat="1" ht="12.75" thickBot="1">
      <c r="A63" s="263">
        <v>39</v>
      </c>
      <c r="B63" s="464" t="s">
        <v>126</v>
      </c>
      <c r="E63" s="475">
        <f>E56-E59+E60+E61</f>
        <v>0</v>
      </c>
      <c r="F63" s="475">
        <f>F56-F59+F60+F61</f>
        <v>0</v>
      </c>
      <c r="G63" s="475">
        <f>G56-G59+G60+G61</f>
        <v>0</v>
      </c>
    </row>
    <row r="64" spans="1:7" ht="12.75" thickTop="1"/>
    <row r="65" spans="1:7">
      <c r="A65" s="454" t="str">
        <f>Inputs!$D$6</f>
        <v>AVISTA UTILITIES</v>
      </c>
      <c r="B65" s="454"/>
      <c r="C65" s="454"/>
      <c r="D65" s="476"/>
      <c r="E65" s="477"/>
      <c r="F65" s="476"/>
      <c r="G65" s="478"/>
    </row>
    <row r="66" spans="1:7">
      <c r="A66" s="454" t="s">
        <v>225</v>
      </c>
      <c r="B66" s="454"/>
      <c r="C66" s="454"/>
      <c r="D66" s="476"/>
      <c r="E66" s="477"/>
      <c r="F66" s="476"/>
      <c r="G66" s="478"/>
    </row>
    <row r="67" spans="1:7">
      <c r="A67" s="454" t="str">
        <f>A3</f>
        <v>TWELVE MONTHS ENDED SEPTEMBER 30, 2008</v>
      </c>
      <c r="B67" s="454"/>
      <c r="C67" s="454"/>
      <c r="D67" s="476"/>
      <c r="E67" s="477"/>
      <c r="F67" s="479" t="str">
        <f>E2</f>
        <v>LABOR NON-EXECUTIVE</v>
      </c>
      <c r="G67" s="476"/>
    </row>
    <row r="68" spans="1:7">
      <c r="A68" s="454" t="s">
        <v>226</v>
      </c>
      <c r="B68" s="454"/>
      <c r="C68" s="454"/>
      <c r="D68" s="476"/>
      <c r="E68" s="477"/>
      <c r="F68" s="479" t="str">
        <f>E3</f>
        <v>ADJUSTMENT</v>
      </c>
      <c r="G68" s="476"/>
    </row>
    <row r="69" spans="1:7">
      <c r="B69" s="476"/>
      <c r="C69" s="476"/>
      <c r="D69" s="476"/>
      <c r="E69" s="480"/>
      <c r="F69" s="481" t="str">
        <f>F4</f>
        <v>ELECTRIC</v>
      </c>
      <c r="G69" s="476"/>
    </row>
    <row r="70" spans="1:7">
      <c r="B70" s="476"/>
      <c r="C70" s="476"/>
      <c r="D70" s="476"/>
      <c r="E70" s="477"/>
      <c r="F70" s="479"/>
      <c r="G70" s="483"/>
    </row>
    <row r="71" spans="1:7">
      <c r="B71" s="484" t="s">
        <v>134</v>
      </c>
      <c r="C71" s="485"/>
      <c r="D71" s="476"/>
      <c r="E71" s="477"/>
      <c r="F71" s="481" t="s">
        <v>128</v>
      </c>
      <c r="G71" s="476"/>
    </row>
    <row r="72" spans="1:7">
      <c r="B72" s="462" t="s">
        <v>85</v>
      </c>
      <c r="C72" s="476"/>
      <c r="D72" s="476"/>
      <c r="E72" s="476"/>
      <c r="F72" s="478"/>
      <c r="G72" s="476"/>
    </row>
    <row r="73" spans="1:7">
      <c r="B73" s="464" t="s">
        <v>86</v>
      </c>
      <c r="C73" s="476"/>
      <c r="D73" s="476"/>
      <c r="E73" s="476"/>
      <c r="F73" s="486">
        <f>G8</f>
        <v>0</v>
      </c>
      <c r="G73" s="476"/>
    </row>
    <row r="74" spans="1:7">
      <c r="B74" s="462" t="s">
        <v>87</v>
      </c>
      <c r="C74" s="476"/>
      <c r="D74" s="476"/>
      <c r="E74" s="476"/>
      <c r="F74" s="469">
        <f>G9</f>
        <v>0</v>
      </c>
      <c r="G74" s="476"/>
    </row>
    <row r="75" spans="1:7">
      <c r="B75" s="462" t="s">
        <v>150</v>
      </c>
      <c r="C75" s="476"/>
      <c r="D75" s="476"/>
      <c r="E75" s="476"/>
      <c r="F75" s="472">
        <f>G10</f>
        <v>0</v>
      </c>
      <c r="G75" s="476"/>
    </row>
    <row r="76" spans="1:7">
      <c r="B76" s="462" t="s">
        <v>151</v>
      </c>
      <c r="C76" s="476"/>
      <c r="D76" s="476"/>
      <c r="E76" s="476"/>
      <c r="F76" s="469">
        <f>SUM(F73:F75)</f>
        <v>0</v>
      </c>
      <c r="G76" s="476"/>
    </row>
    <row r="77" spans="1:7">
      <c r="B77" s="462" t="s">
        <v>90</v>
      </c>
      <c r="C77" s="476"/>
      <c r="D77" s="476"/>
      <c r="E77" s="476"/>
      <c r="F77" s="472">
        <f>G12</f>
        <v>0</v>
      </c>
      <c r="G77" s="476"/>
    </row>
    <row r="78" spans="1:7">
      <c r="B78" s="462" t="s">
        <v>152</v>
      </c>
      <c r="C78" s="476"/>
      <c r="D78" s="476"/>
      <c r="E78" s="476"/>
      <c r="F78" s="469">
        <f>F76+F77</f>
        <v>0</v>
      </c>
      <c r="G78" s="476"/>
    </row>
    <row r="79" spans="1:7">
      <c r="C79" s="476"/>
      <c r="D79" s="476"/>
      <c r="E79" s="476"/>
      <c r="F79" s="469"/>
      <c r="G79" s="476"/>
    </row>
    <row r="80" spans="1:7">
      <c r="B80" s="462" t="s">
        <v>92</v>
      </c>
      <c r="C80" s="476"/>
      <c r="D80" s="476"/>
      <c r="E80" s="476"/>
      <c r="F80" s="469"/>
      <c r="G80" s="476"/>
    </row>
    <row r="81" spans="1:7">
      <c r="B81" s="462" t="s">
        <v>93</v>
      </c>
      <c r="C81" s="476"/>
      <c r="D81" s="476"/>
      <c r="E81" s="476"/>
      <c r="F81" s="469"/>
      <c r="G81" s="476"/>
    </row>
    <row r="82" spans="1:7">
      <c r="B82" s="462" t="s">
        <v>153</v>
      </c>
      <c r="C82" s="476"/>
      <c r="D82" s="476"/>
      <c r="E82" s="476"/>
      <c r="F82" s="469">
        <f>G17</f>
        <v>399</v>
      </c>
      <c r="G82" s="476"/>
    </row>
    <row r="83" spans="1:7">
      <c r="B83" s="462" t="s">
        <v>154</v>
      </c>
      <c r="C83" s="476"/>
      <c r="D83" s="476"/>
      <c r="E83" s="476"/>
      <c r="F83" s="469">
        <f>G18</f>
        <v>0</v>
      </c>
      <c r="G83" s="476"/>
    </row>
    <row r="84" spans="1:7">
      <c r="B84" s="462" t="s">
        <v>155</v>
      </c>
      <c r="C84" s="476"/>
      <c r="D84" s="476"/>
      <c r="E84" s="476"/>
      <c r="F84" s="469">
        <f>G19</f>
        <v>0</v>
      </c>
      <c r="G84" s="476"/>
    </row>
    <row r="85" spans="1:7">
      <c r="B85" s="462" t="s">
        <v>156</v>
      </c>
      <c r="C85" s="476"/>
      <c r="D85" s="476"/>
      <c r="E85" s="476"/>
      <c r="F85" s="472">
        <f>G20</f>
        <v>0</v>
      </c>
      <c r="G85" s="476"/>
    </row>
    <row r="86" spans="1:7">
      <c r="B86" s="462" t="s">
        <v>157</v>
      </c>
      <c r="C86" s="476"/>
      <c r="D86" s="476"/>
      <c r="E86" s="476"/>
      <c r="F86" s="469">
        <f>SUM(F82:F85)</f>
        <v>399</v>
      </c>
      <c r="G86" s="476"/>
    </row>
    <row r="87" spans="1:7">
      <c r="C87" s="476"/>
      <c r="D87" s="476"/>
      <c r="E87" s="476"/>
      <c r="F87" s="469"/>
      <c r="G87" s="476"/>
    </row>
    <row r="88" spans="1:7">
      <c r="B88" s="462" t="s">
        <v>98</v>
      </c>
      <c r="C88" s="476"/>
      <c r="D88" s="476"/>
      <c r="E88" s="476"/>
      <c r="F88" s="469"/>
      <c r="G88" s="476"/>
    </row>
    <row r="89" spans="1:7">
      <c r="B89" s="462" t="s">
        <v>153</v>
      </c>
      <c r="C89" s="476"/>
      <c r="D89" s="476"/>
      <c r="E89" s="476"/>
      <c r="F89" s="469">
        <f>G24</f>
        <v>294</v>
      </c>
      <c r="G89" s="476"/>
    </row>
    <row r="90" spans="1:7">
      <c r="B90" s="462" t="s">
        <v>158</v>
      </c>
      <c r="C90" s="476"/>
      <c r="D90" s="476"/>
      <c r="E90" s="476"/>
      <c r="F90" s="469">
        <f>G25</f>
        <v>0</v>
      </c>
      <c r="G90" s="476"/>
    </row>
    <row r="91" spans="1:7">
      <c r="A91" s="455"/>
      <c r="B91" s="462" t="s">
        <v>156</v>
      </c>
      <c r="C91" s="476"/>
      <c r="D91" s="476"/>
      <c r="E91" s="476"/>
      <c r="F91" s="469">
        <v>0</v>
      </c>
      <c r="G91" s="476"/>
    </row>
    <row r="92" spans="1:7">
      <c r="A92" s="455"/>
      <c r="B92" s="462" t="s">
        <v>159</v>
      </c>
      <c r="C92" s="476"/>
      <c r="D92" s="476"/>
      <c r="E92" s="476"/>
      <c r="F92" s="468">
        <f>SUM(F89:F91)</f>
        <v>294</v>
      </c>
      <c r="G92" s="476"/>
    </row>
    <row r="93" spans="1:7">
      <c r="A93" s="455"/>
      <c r="C93" s="476"/>
      <c r="D93" s="476"/>
      <c r="E93" s="476"/>
      <c r="F93" s="469"/>
      <c r="G93" s="476"/>
    </row>
    <row r="94" spans="1:7">
      <c r="A94" s="455"/>
      <c r="B94" s="462" t="s">
        <v>101</v>
      </c>
      <c r="C94" s="476"/>
      <c r="D94" s="476"/>
      <c r="E94" s="476"/>
      <c r="F94" s="469">
        <f>G29</f>
        <v>93</v>
      </c>
      <c r="G94" s="476"/>
    </row>
    <row r="95" spans="1:7">
      <c r="A95" s="455"/>
      <c r="B95" s="462" t="s">
        <v>102</v>
      </c>
      <c r="C95" s="476"/>
      <c r="D95" s="476"/>
      <c r="E95" s="476"/>
      <c r="F95" s="469">
        <f>G30</f>
        <v>7</v>
      </c>
      <c r="G95" s="476"/>
    </row>
    <row r="96" spans="1:7">
      <c r="A96" s="455"/>
      <c r="B96" s="462" t="s">
        <v>160</v>
      </c>
      <c r="C96" s="476"/>
      <c r="D96" s="476"/>
      <c r="E96" s="476"/>
      <c r="F96" s="469">
        <f>G31</f>
        <v>7</v>
      </c>
      <c r="G96" s="476"/>
    </row>
    <row r="97" spans="1:7">
      <c r="A97" s="455"/>
      <c r="C97" s="476"/>
      <c r="D97" s="476"/>
      <c r="E97" s="476"/>
      <c r="F97" s="469"/>
      <c r="G97" s="476"/>
    </row>
    <row r="98" spans="1:7">
      <c r="A98" s="455"/>
      <c r="B98" s="462" t="s">
        <v>104</v>
      </c>
      <c r="C98" s="476"/>
      <c r="D98" s="476"/>
      <c r="E98" s="476"/>
      <c r="F98" s="469"/>
      <c r="G98" s="476"/>
    </row>
    <row r="99" spans="1:7">
      <c r="A99" s="455"/>
      <c r="B99" s="462" t="s">
        <v>153</v>
      </c>
      <c r="C99" s="476"/>
      <c r="D99" s="476"/>
      <c r="E99" s="476"/>
      <c r="F99" s="469">
        <f>G34</f>
        <v>279</v>
      </c>
      <c r="G99" s="476"/>
    </row>
    <row r="100" spans="1:7">
      <c r="A100" s="455"/>
      <c r="B100" s="462" t="s">
        <v>158</v>
      </c>
      <c r="C100" s="476"/>
      <c r="D100" s="476"/>
      <c r="E100" s="476"/>
      <c r="F100" s="469">
        <f>G35</f>
        <v>0</v>
      </c>
      <c r="G100" s="476"/>
    </row>
    <row r="101" spans="1:7">
      <c r="A101" s="455"/>
      <c r="B101" s="462" t="s">
        <v>156</v>
      </c>
      <c r="C101" s="476"/>
      <c r="D101" s="476"/>
      <c r="E101" s="476"/>
      <c r="F101" s="472">
        <f>G36</f>
        <v>0</v>
      </c>
      <c r="G101" s="476"/>
    </row>
    <row r="102" spans="1:7">
      <c r="A102" s="455"/>
      <c r="B102" s="462" t="s">
        <v>161</v>
      </c>
      <c r="C102" s="476"/>
      <c r="D102" s="476"/>
      <c r="E102" s="476"/>
      <c r="F102" s="469">
        <f>F99+F100+F101</f>
        <v>279</v>
      </c>
      <c r="G102" s="476"/>
    </row>
    <row r="103" spans="1:7">
      <c r="A103" s="455"/>
      <c r="B103" s="476"/>
      <c r="C103" s="476"/>
      <c r="D103" s="476"/>
      <c r="E103" s="476"/>
      <c r="F103" s="469"/>
      <c r="G103" s="476"/>
    </row>
    <row r="104" spans="1:7">
      <c r="A104" s="455"/>
      <c r="B104" s="476" t="s">
        <v>106</v>
      </c>
      <c r="C104" s="476"/>
      <c r="D104" s="476"/>
      <c r="E104" s="476"/>
      <c r="F104" s="471">
        <f>F86+F92+F94+F95+F96+F102</f>
        <v>1079</v>
      </c>
      <c r="G104" s="476"/>
    </row>
    <row r="105" spans="1:7">
      <c r="A105" s="455"/>
      <c r="B105" s="476"/>
      <c r="C105" s="476"/>
      <c r="D105" s="476"/>
      <c r="E105" s="476"/>
      <c r="F105" s="469"/>
      <c r="G105" s="476"/>
    </row>
    <row r="106" spans="1:7">
      <c r="A106" s="455"/>
      <c r="B106" s="476" t="s">
        <v>227</v>
      </c>
      <c r="C106" s="476"/>
      <c r="D106" s="476"/>
      <c r="E106" s="476"/>
      <c r="F106" s="472">
        <f>F78-F104</f>
        <v>-1079</v>
      </c>
      <c r="G106" s="476"/>
    </row>
    <row r="107" spans="1:7">
      <c r="A107" s="455"/>
      <c r="B107" s="476"/>
      <c r="C107" s="476"/>
      <c r="D107" s="476"/>
      <c r="E107" s="476"/>
      <c r="F107" s="469"/>
      <c r="G107" s="476"/>
    </row>
    <row r="108" spans="1:7">
      <c r="A108" s="455"/>
      <c r="B108" s="476" t="s">
        <v>228</v>
      </c>
      <c r="C108" s="476"/>
      <c r="D108" s="476"/>
      <c r="E108" s="477"/>
      <c r="F108" s="469"/>
      <c r="G108" s="476"/>
    </row>
    <row r="109" spans="1:7" ht="12.75" thickBot="1">
      <c r="A109" s="455"/>
      <c r="B109" s="488" t="s">
        <v>229</v>
      </c>
      <c r="C109" s="489">
        <f>Inputs!$D$4</f>
        <v>1.2215999999999999E-2</v>
      </c>
      <c r="D109" s="476"/>
      <c r="E109" s="477"/>
      <c r="F109" s="475">
        <f>ROUND(F106*C109,0)</f>
        <v>-13</v>
      </c>
      <c r="G109" s="476"/>
    </row>
    <row r="110" spans="1:7" ht="12.75" thickTop="1">
      <c r="A110" s="455"/>
      <c r="B110" s="476"/>
      <c r="C110" s="476"/>
      <c r="D110" s="476"/>
      <c r="E110" s="477"/>
      <c r="F110" s="476"/>
      <c r="G110" s="478"/>
    </row>
  </sheetData>
  <mergeCells count="3">
    <mergeCell ref="E1:G1"/>
    <mergeCell ref="E2:G2"/>
    <mergeCell ref="E3:G3"/>
  </mergeCells>
  <phoneticPr fontId="0" type="noConversion"/>
  <pageMargins left="0.75" right="0.75" top="0.5" bottom="0.5" header="0.5" footer="0.5"/>
  <pageSetup scale="90" orientation="portrait" r:id="rId1"/>
  <headerFooter alignWithMargins="0"/>
  <rowBreaks count="1" manualBreakCount="1">
    <brk id="64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3"/>
  <dimension ref="A1:G110"/>
  <sheetViews>
    <sheetView topLeftCell="A82" workbookViewId="0">
      <selection activeCell="C109" sqref="C109"/>
    </sheetView>
  </sheetViews>
  <sheetFormatPr defaultColWidth="12.42578125" defaultRowHeight="12"/>
  <cols>
    <col min="1" max="1" width="5.5703125" style="456" customWidth="1"/>
    <col min="2" max="2" width="26.140625" style="455" customWidth="1"/>
    <col min="3" max="3" width="12.42578125" style="455" customWidth="1"/>
    <col min="4" max="4" width="6.7109375" style="455" customWidth="1"/>
    <col min="5" max="16384" width="12.42578125" style="455"/>
  </cols>
  <sheetData>
    <row r="1" spans="1:7">
      <c r="A1" s="453" t="str">
        <f>Inputs!$D$6</f>
        <v>AVISTA UTILITIES</v>
      </c>
      <c r="B1" s="454"/>
      <c r="C1" s="453"/>
      <c r="E1" s="1352" t="s">
        <v>299</v>
      </c>
      <c r="F1" s="1352"/>
      <c r="G1" s="1352"/>
    </row>
    <row r="2" spans="1:7">
      <c r="A2" s="453" t="s">
        <v>142</v>
      </c>
      <c r="B2" s="454"/>
      <c r="C2" s="453"/>
      <c r="E2" s="1353" t="s">
        <v>488</v>
      </c>
      <c r="F2" s="1353"/>
      <c r="G2" s="1353"/>
    </row>
    <row r="3" spans="1:7">
      <c r="A3" s="454" t="str">
        <f>WAElec09_08!$A$4</f>
        <v>TWELVE MONTHS ENDED SEPTEMBER 30, 2008</v>
      </c>
      <c r="B3" s="454"/>
      <c r="C3" s="453"/>
      <c r="E3" s="1353" t="s">
        <v>242</v>
      </c>
      <c r="F3" s="1353"/>
      <c r="G3" s="1353"/>
    </row>
    <row r="4" spans="1:7">
      <c r="A4" s="453" t="s">
        <v>1</v>
      </c>
      <c r="B4" s="454"/>
      <c r="C4" s="453"/>
      <c r="E4" s="457"/>
      <c r="F4" s="458" t="s">
        <v>145</v>
      </c>
      <c r="G4" s="459"/>
    </row>
    <row r="5" spans="1:7">
      <c r="A5" s="456" t="s">
        <v>14</v>
      </c>
    </row>
    <row r="6" spans="1:7" s="456" customFormat="1">
      <c r="A6" s="456" t="s">
        <v>146</v>
      </c>
      <c r="B6" s="460" t="s">
        <v>36</v>
      </c>
      <c r="C6" s="460"/>
      <c r="E6" s="460" t="s">
        <v>147</v>
      </c>
      <c r="F6" s="460" t="s">
        <v>148</v>
      </c>
      <c r="G6" s="460" t="s">
        <v>128</v>
      </c>
    </row>
    <row r="7" spans="1:7">
      <c r="B7" s="462" t="s">
        <v>85</v>
      </c>
    </row>
    <row r="8" spans="1:7" s="465" customFormat="1">
      <c r="A8" s="463">
        <v>1</v>
      </c>
      <c r="B8" s="464" t="s">
        <v>86</v>
      </c>
      <c r="E8" s="466">
        <f>F8+G8</f>
        <v>0</v>
      </c>
      <c r="F8" s="466"/>
      <c r="G8" s="466"/>
    </row>
    <row r="9" spans="1:7">
      <c r="A9" s="456">
        <v>2</v>
      </c>
      <c r="B9" s="462" t="s">
        <v>87</v>
      </c>
      <c r="E9" s="467"/>
      <c r="F9" s="467"/>
      <c r="G9" s="467"/>
    </row>
    <row r="10" spans="1:7">
      <c r="A10" s="456">
        <v>3</v>
      </c>
      <c r="B10" s="462" t="s">
        <v>150</v>
      </c>
      <c r="E10" s="467"/>
      <c r="F10" s="467"/>
      <c r="G10" s="467"/>
    </row>
    <row r="11" spans="1:7">
      <c r="A11" s="456">
        <v>4</v>
      </c>
      <c r="B11" s="462" t="s">
        <v>151</v>
      </c>
      <c r="E11" s="468">
        <f>E8+E9+E10</f>
        <v>0</v>
      </c>
      <c r="F11" s="468">
        <f>F8+F9+F10</f>
        <v>0</v>
      </c>
      <c r="G11" s="468">
        <f>G8+G9+G10</f>
        <v>0</v>
      </c>
    </row>
    <row r="12" spans="1:7">
      <c r="A12" s="456">
        <v>5</v>
      </c>
      <c r="B12" s="462" t="s">
        <v>90</v>
      </c>
      <c r="E12" s="467">
        <f>SUM(F12:G12)</f>
        <v>0</v>
      </c>
      <c r="F12" s="467"/>
      <c r="G12" s="467">
        <v>0</v>
      </c>
    </row>
    <row r="13" spans="1:7">
      <c r="A13" s="456">
        <v>6</v>
      </c>
      <c r="B13" s="462" t="s">
        <v>152</v>
      </c>
      <c r="E13" s="468">
        <f>E11+E12</f>
        <v>0</v>
      </c>
      <c r="F13" s="468">
        <f>F11+F12</f>
        <v>0</v>
      </c>
      <c r="G13" s="468">
        <f>G11+G12</f>
        <v>0</v>
      </c>
    </row>
    <row r="14" spans="1:7">
      <c r="E14" s="469"/>
      <c r="F14" s="469"/>
      <c r="G14" s="469"/>
    </row>
    <row r="15" spans="1:7">
      <c r="B15" s="462" t="s">
        <v>92</v>
      </c>
      <c r="E15" s="469"/>
      <c r="F15" s="469"/>
      <c r="G15" s="469"/>
    </row>
    <row r="16" spans="1:7">
      <c r="B16" s="462" t="s">
        <v>93</v>
      </c>
      <c r="E16" s="469"/>
      <c r="F16" s="469"/>
      <c r="G16" s="469"/>
    </row>
    <row r="17" spans="1:7">
      <c r="A17" s="456">
        <v>7</v>
      </c>
      <c r="B17" s="462" t="s">
        <v>153</v>
      </c>
      <c r="E17" s="467">
        <f>F17+G17</f>
        <v>14</v>
      </c>
      <c r="F17" s="467">
        <v>9</v>
      </c>
      <c r="G17" s="467">
        <v>5</v>
      </c>
    </row>
    <row r="18" spans="1:7">
      <c r="A18" s="456">
        <v>8</v>
      </c>
      <c r="B18" s="462" t="s">
        <v>154</v>
      </c>
      <c r="E18" s="467"/>
      <c r="F18" s="467"/>
      <c r="G18" s="467"/>
    </row>
    <row r="19" spans="1:7">
      <c r="A19" s="456">
        <v>9</v>
      </c>
      <c r="B19" s="462" t="s">
        <v>155</v>
      </c>
      <c r="E19" s="467"/>
      <c r="F19" s="467"/>
      <c r="G19" s="467"/>
    </row>
    <row r="20" spans="1:7">
      <c r="A20" s="456">
        <v>10</v>
      </c>
      <c r="B20" s="462" t="s">
        <v>156</v>
      </c>
      <c r="E20" s="467"/>
      <c r="F20" s="467"/>
      <c r="G20" s="467"/>
    </row>
    <row r="21" spans="1:7">
      <c r="A21" s="456">
        <v>11</v>
      </c>
      <c r="B21" s="462" t="s">
        <v>157</v>
      </c>
      <c r="E21" s="468">
        <f>E17+E18+E19+E20</f>
        <v>14</v>
      </c>
      <c r="F21" s="468">
        <f>F17+F18+F19+F20</f>
        <v>9</v>
      </c>
      <c r="G21" s="468">
        <f>G17+G18+G19+G20</f>
        <v>5</v>
      </c>
    </row>
    <row r="22" spans="1:7">
      <c r="E22" s="469"/>
      <c r="F22" s="469"/>
      <c r="G22" s="469"/>
    </row>
    <row r="23" spans="1:7">
      <c r="B23" s="462" t="s">
        <v>98</v>
      </c>
      <c r="E23" s="469"/>
      <c r="F23" s="469"/>
      <c r="G23" s="469"/>
    </row>
    <row r="24" spans="1:7">
      <c r="A24" s="456">
        <v>12</v>
      </c>
      <c r="B24" s="462" t="s">
        <v>153</v>
      </c>
      <c r="E24" s="467"/>
      <c r="F24" s="467"/>
      <c r="G24" s="467"/>
    </row>
    <row r="25" spans="1:7">
      <c r="A25" s="456">
        <v>13</v>
      </c>
      <c r="B25" s="462" t="s">
        <v>158</v>
      </c>
      <c r="E25" s="467"/>
      <c r="F25" s="467"/>
      <c r="G25" s="467"/>
    </row>
    <row r="26" spans="1:7">
      <c r="A26" s="456">
        <v>14</v>
      </c>
      <c r="B26" s="462" t="s">
        <v>156</v>
      </c>
      <c r="E26" s="467">
        <f>F26+G26</f>
        <v>-2</v>
      </c>
      <c r="F26" s="467"/>
      <c r="G26" s="470">
        <f>F109</f>
        <v>-2</v>
      </c>
    </row>
    <row r="27" spans="1:7">
      <c r="A27" s="456">
        <v>15</v>
      </c>
      <c r="B27" s="462" t="s">
        <v>159</v>
      </c>
      <c r="E27" s="468">
        <f>E24+E25+E26</f>
        <v>-2</v>
      </c>
      <c r="F27" s="468">
        <f>F24+F25+F26</f>
        <v>0</v>
      </c>
      <c r="G27" s="468">
        <f>G24+G25+G26</f>
        <v>-2</v>
      </c>
    </row>
    <row r="28" spans="1:7">
      <c r="E28" s="469"/>
      <c r="F28" s="469"/>
      <c r="G28" s="469"/>
    </row>
    <row r="29" spans="1:7">
      <c r="A29" s="456">
        <v>16</v>
      </c>
      <c r="B29" s="462" t="s">
        <v>101</v>
      </c>
      <c r="E29" s="467"/>
      <c r="F29" s="467"/>
      <c r="G29" s="467"/>
    </row>
    <row r="30" spans="1:7">
      <c r="A30" s="456">
        <v>17</v>
      </c>
      <c r="B30" s="462" t="s">
        <v>102</v>
      </c>
      <c r="E30" s="467"/>
      <c r="F30" s="467"/>
      <c r="G30" s="467"/>
    </row>
    <row r="31" spans="1:7">
      <c r="A31" s="456">
        <v>18</v>
      </c>
      <c r="B31" s="462" t="s">
        <v>160</v>
      </c>
      <c r="E31" s="467"/>
      <c r="F31" s="467"/>
      <c r="G31" s="467"/>
    </row>
    <row r="32" spans="1:7">
      <c r="E32" s="469"/>
      <c r="F32" s="469"/>
      <c r="G32" s="469"/>
    </row>
    <row r="33" spans="1:7">
      <c r="B33" s="462" t="s">
        <v>104</v>
      </c>
      <c r="E33" s="469"/>
      <c r="F33" s="469"/>
      <c r="G33" s="469"/>
    </row>
    <row r="34" spans="1:7">
      <c r="A34" s="456">
        <v>19</v>
      </c>
      <c r="B34" s="462" t="s">
        <v>153</v>
      </c>
      <c r="E34" s="467">
        <f>F34+G34</f>
        <v>354</v>
      </c>
      <c r="F34" s="467">
        <v>230</v>
      </c>
      <c r="G34" s="467">
        <v>124</v>
      </c>
    </row>
    <row r="35" spans="1:7">
      <c r="A35" s="456">
        <v>20</v>
      </c>
      <c r="B35" s="462" t="s">
        <v>158</v>
      </c>
      <c r="E35" s="467"/>
      <c r="F35" s="467"/>
      <c r="G35" s="467"/>
    </row>
    <row r="36" spans="1:7">
      <c r="A36" s="456">
        <v>21</v>
      </c>
      <c r="B36" s="462" t="s">
        <v>156</v>
      </c>
      <c r="E36" s="467"/>
      <c r="F36" s="467"/>
      <c r="G36" s="467"/>
    </row>
    <row r="37" spans="1:7">
      <c r="A37" s="456">
        <v>22</v>
      </c>
      <c r="B37" s="462" t="s">
        <v>161</v>
      </c>
      <c r="E37" s="471">
        <f>E34+E35+E36</f>
        <v>354</v>
      </c>
      <c r="F37" s="471">
        <f>F34+F35+F36</f>
        <v>230</v>
      </c>
      <c r="G37" s="471">
        <f>G34+G35+G36</f>
        <v>124</v>
      </c>
    </row>
    <row r="38" spans="1:7">
      <c r="A38" s="456">
        <v>23</v>
      </c>
      <c r="B38" s="462" t="s">
        <v>106</v>
      </c>
      <c r="E38" s="472">
        <f>E21+E27+E29+E30+E31+E37</f>
        <v>366</v>
      </c>
      <c r="F38" s="472">
        <f>F21+F27+F29+F30+F31+F37</f>
        <v>239</v>
      </c>
      <c r="G38" s="472">
        <f>G21+G27+G29+G30+G31+G37</f>
        <v>127</v>
      </c>
    </row>
    <row r="39" spans="1:7">
      <c r="E39" s="469"/>
      <c r="F39" s="469"/>
      <c r="G39" s="469"/>
    </row>
    <row r="40" spans="1:7">
      <c r="A40" s="456">
        <v>24</v>
      </c>
      <c r="B40" s="462" t="s">
        <v>162</v>
      </c>
      <c r="E40" s="469">
        <f>E13-E38</f>
        <v>-366</v>
      </c>
      <c r="F40" s="469">
        <f>F13-F38</f>
        <v>-239</v>
      </c>
      <c r="G40" s="469">
        <f>G13-G38</f>
        <v>-127</v>
      </c>
    </row>
    <row r="41" spans="1:7">
      <c r="B41" s="462"/>
      <c r="E41" s="469"/>
      <c r="F41" s="469"/>
      <c r="G41" s="469"/>
    </row>
    <row r="42" spans="1:7">
      <c r="B42" s="462" t="s">
        <v>163</v>
      </c>
      <c r="E42" s="469"/>
      <c r="F42" s="469"/>
      <c r="G42" s="469"/>
    </row>
    <row r="43" spans="1:7">
      <c r="A43" s="456">
        <v>25</v>
      </c>
      <c r="B43" s="462" t="s">
        <v>164</v>
      </c>
      <c r="D43" s="473">
        <v>0.35</v>
      </c>
      <c r="E43" s="467">
        <f>F43+G43</f>
        <v>-128</v>
      </c>
      <c r="F43" s="467">
        <f>ROUND(F40*D43,0)</f>
        <v>-84</v>
      </c>
      <c r="G43" s="467">
        <f>ROUND(G40*D43,0)</f>
        <v>-44</v>
      </c>
    </row>
    <row r="44" spans="1:7">
      <c r="A44" s="456">
        <v>26</v>
      </c>
      <c r="B44" s="462" t="s">
        <v>165</v>
      </c>
      <c r="E44" s="467"/>
      <c r="F44" s="467"/>
      <c r="G44" s="467"/>
    </row>
    <row r="45" spans="1:7" ht="12.75">
      <c r="A45"/>
      <c r="B45"/>
      <c r="C45"/>
      <c r="D45"/>
      <c r="E45" s="913"/>
      <c r="F45" s="913"/>
      <c r="G45" s="913"/>
    </row>
    <row r="46" spans="1:7">
      <c r="A46" s="259"/>
      <c r="B46" s="262"/>
      <c r="C46" s="256"/>
      <c r="D46" s="256"/>
      <c r="E46" s="269"/>
      <c r="F46" s="269"/>
      <c r="G46" s="269"/>
    </row>
    <row r="47" spans="1:7" s="465" customFormat="1">
      <c r="A47" s="263">
        <v>27</v>
      </c>
      <c r="B47" s="264" t="s">
        <v>113</v>
      </c>
      <c r="C47" s="265"/>
      <c r="D47" s="265"/>
      <c r="E47" s="273">
        <f>E40-SUM(E43:E44)</f>
        <v>-238</v>
      </c>
      <c r="F47" s="273">
        <f>F40-SUM(F43:F44)</f>
        <v>-155</v>
      </c>
      <c r="G47" s="273">
        <f>G40-SUM(G43:G44)</f>
        <v>-83</v>
      </c>
    </row>
    <row r="48" spans="1:7">
      <c r="A48" s="259"/>
    </row>
    <row r="49" spans="1:7">
      <c r="A49" s="259"/>
      <c r="B49" s="462" t="s">
        <v>114</v>
      </c>
    </row>
    <row r="50" spans="1:7">
      <c r="A50" s="259"/>
      <c r="B50" s="462" t="s">
        <v>115</v>
      </c>
    </row>
    <row r="51" spans="1:7" s="465" customFormat="1">
      <c r="A51" s="263">
        <v>28</v>
      </c>
      <c r="B51" s="464" t="s">
        <v>167</v>
      </c>
      <c r="E51" s="466"/>
      <c r="F51" s="466"/>
      <c r="G51" s="466"/>
    </row>
    <row r="52" spans="1:7">
      <c r="A52" s="259">
        <v>29</v>
      </c>
      <c r="B52" s="462" t="s">
        <v>168</v>
      </c>
      <c r="E52" s="467"/>
      <c r="F52" s="467"/>
      <c r="G52" s="467"/>
    </row>
    <row r="53" spans="1:7">
      <c r="A53" s="259">
        <v>30</v>
      </c>
      <c r="B53" s="462" t="s">
        <v>169</v>
      </c>
      <c r="E53" s="467"/>
      <c r="F53" s="467"/>
      <c r="G53" s="467"/>
    </row>
    <row r="54" spans="1:7">
      <c r="A54" s="259">
        <v>31</v>
      </c>
      <c r="B54" s="462" t="s">
        <v>170</v>
      </c>
      <c r="E54" s="467"/>
      <c r="F54" s="467"/>
      <c r="G54" s="467"/>
    </row>
    <row r="55" spans="1:7">
      <c r="A55" s="259">
        <v>32</v>
      </c>
      <c r="B55" s="462" t="s">
        <v>171</v>
      </c>
      <c r="E55" s="474"/>
      <c r="F55" s="474"/>
      <c r="G55" s="474"/>
    </row>
    <row r="56" spans="1:7">
      <c r="A56" s="259">
        <v>33</v>
      </c>
      <c r="B56" s="462" t="s">
        <v>172</v>
      </c>
      <c r="E56" s="469">
        <f>E51+E52+E53+E54+E55</f>
        <v>0</v>
      </c>
      <c r="F56" s="469">
        <f>F51+F52+F53+F54+F55</f>
        <v>0</v>
      </c>
      <c r="G56" s="469">
        <f>G51+G52+G53+G54+G55</f>
        <v>0</v>
      </c>
    </row>
    <row r="57" spans="1:7">
      <c r="A57" s="259">
        <v>34</v>
      </c>
      <c r="B57" s="462" t="s">
        <v>121</v>
      </c>
      <c r="E57" s="467"/>
      <c r="F57" s="467"/>
      <c r="G57" s="467"/>
    </row>
    <row r="58" spans="1:7">
      <c r="A58" s="259">
        <v>35</v>
      </c>
      <c r="B58" s="462" t="s">
        <v>122</v>
      </c>
      <c r="E58" s="474"/>
      <c r="F58" s="474"/>
      <c r="G58" s="474"/>
    </row>
    <row r="59" spans="1:7">
      <c r="A59" s="259">
        <v>36</v>
      </c>
      <c r="B59" s="462" t="s">
        <v>173</v>
      </c>
      <c r="E59" s="469">
        <f>E57+E58</f>
        <v>0</v>
      </c>
      <c r="F59" s="469">
        <f>F57+F58</f>
        <v>0</v>
      </c>
      <c r="G59" s="469">
        <f>G57+G58</f>
        <v>0</v>
      </c>
    </row>
    <row r="60" spans="1:7">
      <c r="A60" s="259">
        <v>37</v>
      </c>
      <c r="B60" s="462" t="s">
        <v>124</v>
      </c>
      <c r="E60" s="467"/>
      <c r="F60" s="467"/>
      <c r="G60" s="467"/>
    </row>
    <row r="61" spans="1:7">
      <c r="A61" s="259">
        <v>38</v>
      </c>
      <c r="B61" s="462" t="s">
        <v>125</v>
      </c>
      <c r="E61" s="474"/>
      <c r="F61" s="474"/>
      <c r="G61" s="474"/>
    </row>
    <row r="62" spans="1:7" ht="9" customHeight="1">
      <c r="A62" s="259"/>
    </row>
    <row r="63" spans="1:7" s="465" customFormat="1" ht="12.75" thickBot="1">
      <c r="A63" s="263">
        <v>39</v>
      </c>
      <c r="B63" s="464" t="s">
        <v>126</v>
      </c>
      <c r="E63" s="475">
        <f>E56-E59+E60+E61</f>
        <v>0</v>
      </c>
      <c r="F63" s="475">
        <f>F56-F59+F60+F61</f>
        <v>0</v>
      </c>
      <c r="G63" s="475">
        <f>G56-G59+G60+G61</f>
        <v>0</v>
      </c>
    </row>
    <row r="64" spans="1:7" ht="12.75" thickTop="1"/>
    <row r="65" spans="1:7">
      <c r="A65" s="454" t="str">
        <f>Inputs!$D$6</f>
        <v>AVISTA UTILITIES</v>
      </c>
      <c r="B65" s="454"/>
      <c r="C65" s="454"/>
      <c r="D65" s="476"/>
      <c r="E65" s="477"/>
      <c r="F65" s="476"/>
      <c r="G65" s="478"/>
    </row>
    <row r="66" spans="1:7">
      <c r="A66" s="454" t="s">
        <v>225</v>
      </c>
      <c r="B66" s="454"/>
      <c r="C66" s="454"/>
      <c r="D66" s="476"/>
      <c r="E66" s="477"/>
      <c r="F66" s="476"/>
      <c r="G66" s="478"/>
    </row>
    <row r="67" spans="1:7">
      <c r="A67" s="454" t="str">
        <f>A3</f>
        <v>TWELVE MONTHS ENDED SEPTEMBER 30, 2008</v>
      </c>
      <c r="B67" s="454"/>
      <c r="C67" s="454"/>
      <c r="D67" s="476"/>
      <c r="E67" s="477"/>
      <c r="F67" s="479" t="str">
        <f>E2</f>
        <v>LABOR EXECUTIVE</v>
      </c>
      <c r="G67" s="476"/>
    </row>
    <row r="68" spans="1:7">
      <c r="A68" s="454" t="s">
        <v>226</v>
      </c>
      <c r="B68" s="454"/>
      <c r="C68" s="454"/>
      <c r="D68" s="476"/>
      <c r="E68" s="477"/>
      <c r="F68" s="479" t="str">
        <f>E3</f>
        <v>ADJUSTMENT</v>
      </c>
      <c r="G68" s="476"/>
    </row>
    <row r="69" spans="1:7">
      <c r="B69" s="476"/>
      <c r="C69" s="476"/>
      <c r="D69" s="476"/>
      <c r="E69" s="480"/>
      <c r="F69" s="481" t="str">
        <f>F4</f>
        <v>ELECTRIC</v>
      </c>
      <c r="G69" s="476"/>
    </row>
    <row r="70" spans="1:7">
      <c r="B70" s="476"/>
      <c r="C70" s="476"/>
      <c r="D70" s="476"/>
      <c r="E70" s="477"/>
      <c r="F70" s="479"/>
      <c r="G70" s="483"/>
    </row>
    <row r="71" spans="1:7">
      <c r="B71" s="484" t="s">
        <v>134</v>
      </c>
      <c r="C71" s="485"/>
      <c r="D71" s="476"/>
      <c r="E71" s="477"/>
      <c r="F71" s="481" t="s">
        <v>128</v>
      </c>
      <c r="G71" s="476"/>
    </row>
    <row r="72" spans="1:7">
      <c r="B72" s="462" t="s">
        <v>85</v>
      </c>
      <c r="C72" s="476"/>
      <c r="D72" s="476"/>
      <c r="E72" s="476"/>
      <c r="F72" s="478"/>
      <c r="G72" s="476"/>
    </row>
    <row r="73" spans="1:7">
      <c r="B73" s="464" t="s">
        <v>86</v>
      </c>
      <c r="C73" s="476"/>
      <c r="D73" s="476"/>
      <c r="E73" s="476"/>
      <c r="F73" s="486">
        <f>G8</f>
        <v>0</v>
      </c>
      <c r="G73" s="476"/>
    </row>
    <row r="74" spans="1:7">
      <c r="B74" s="462" t="s">
        <v>87</v>
      </c>
      <c r="C74" s="476"/>
      <c r="D74" s="476"/>
      <c r="E74" s="476"/>
      <c r="F74" s="469">
        <f>G9</f>
        <v>0</v>
      </c>
      <c r="G74" s="476"/>
    </row>
    <row r="75" spans="1:7">
      <c r="B75" s="462" t="s">
        <v>150</v>
      </c>
      <c r="C75" s="476"/>
      <c r="D75" s="476"/>
      <c r="E75" s="476"/>
      <c r="F75" s="472">
        <f>G10</f>
        <v>0</v>
      </c>
      <c r="G75" s="476"/>
    </row>
    <row r="76" spans="1:7">
      <c r="B76" s="462" t="s">
        <v>151</v>
      </c>
      <c r="C76" s="476"/>
      <c r="D76" s="476"/>
      <c r="E76" s="476"/>
      <c r="F76" s="469">
        <f>SUM(F73:F75)</f>
        <v>0</v>
      </c>
      <c r="G76" s="476"/>
    </row>
    <row r="77" spans="1:7">
      <c r="B77" s="462" t="s">
        <v>90</v>
      </c>
      <c r="C77" s="476"/>
      <c r="D77" s="476"/>
      <c r="E77" s="476"/>
      <c r="F77" s="472">
        <f>G12</f>
        <v>0</v>
      </c>
      <c r="G77" s="476"/>
    </row>
    <row r="78" spans="1:7">
      <c r="B78" s="462" t="s">
        <v>152</v>
      </c>
      <c r="C78" s="476"/>
      <c r="D78" s="476"/>
      <c r="E78" s="476"/>
      <c r="F78" s="469">
        <f>F76+F77</f>
        <v>0</v>
      </c>
      <c r="G78" s="476"/>
    </row>
    <row r="79" spans="1:7">
      <c r="C79" s="476"/>
      <c r="D79" s="476"/>
      <c r="E79" s="476"/>
      <c r="F79" s="469"/>
      <c r="G79" s="476"/>
    </row>
    <row r="80" spans="1:7">
      <c r="B80" s="462" t="s">
        <v>92</v>
      </c>
      <c r="C80" s="476"/>
      <c r="D80" s="476"/>
      <c r="E80" s="476"/>
      <c r="F80" s="469"/>
      <c r="G80" s="476"/>
    </row>
    <row r="81" spans="1:7">
      <c r="B81" s="462" t="s">
        <v>93</v>
      </c>
      <c r="C81" s="476"/>
      <c r="D81" s="476"/>
      <c r="E81" s="476"/>
      <c r="F81" s="469"/>
      <c r="G81" s="476"/>
    </row>
    <row r="82" spans="1:7">
      <c r="B82" s="462" t="s">
        <v>153</v>
      </c>
      <c r="C82" s="476"/>
      <c r="D82" s="476"/>
      <c r="E82" s="476"/>
      <c r="F82" s="469">
        <f>G17</f>
        <v>5</v>
      </c>
      <c r="G82" s="476"/>
    </row>
    <row r="83" spans="1:7">
      <c r="B83" s="462" t="s">
        <v>154</v>
      </c>
      <c r="C83" s="476"/>
      <c r="D83" s="476"/>
      <c r="E83" s="476"/>
      <c r="F83" s="469">
        <f>G18</f>
        <v>0</v>
      </c>
      <c r="G83" s="476"/>
    </row>
    <row r="84" spans="1:7">
      <c r="B84" s="462" t="s">
        <v>155</v>
      </c>
      <c r="C84" s="476"/>
      <c r="D84" s="476"/>
      <c r="E84" s="476"/>
      <c r="F84" s="469">
        <f>G19</f>
        <v>0</v>
      </c>
      <c r="G84" s="476"/>
    </row>
    <row r="85" spans="1:7">
      <c r="B85" s="462" t="s">
        <v>156</v>
      </c>
      <c r="C85" s="476"/>
      <c r="D85" s="476"/>
      <c r="E85" s="476"/>
      <c r="F85" s="472">
        <f>G20</f>
        <v>0</v>
      </c>
      <c r="G85" s="476"/>
    </row>
    <row r="86" spans="1:7">
      <c r="B86" s="462" t="s">
        <v>157</v>
      </c>
      <c r="C86" s="476"/>
      <c r="D86" s="476"/>
      <c r="E86" s="476"/>
      <c r="F86" s="469">
        <f>SUM(F82:F85)</f>
        <v>5</v>
      </c>
      <c r="G86" s="476"/>
    </row>
    <row r="87" spans="1:7">
      <c r="C87" s="476"/>
      <c r="D87" s="476"/>
      <c r="E87" s="476"/>
      <c r="F87" s="469"/>
      <c r="G87" s="476"/>
    </row>
    <row r="88" spans="1:7">
      <c r="B88" s="462" t="s">
        <v>98</v>
      </c>
      <c r="C88" s="476"/>
      <c r="D88" s="476"/>
      <c r="E88" s="476"/>
      <c r="F88" s="469"/>
      <c r="G88" s="476"/>
    </row>
    <row r="89" spans="1:7">
      <c r="B89" s="462" t="s">
        <v>153</v>
      </c>
      <c r="C89" s="476"/>
      <c r="D89" s="476"/>
      <c r="E89" s="476"/>
      <c r="F89" s="469">
        <f>G24</f>
        <v>0</v>
      </c>
      <c r="G89" s="476"/>
    </row>
    <row r="90" spans="1:7">
      <c r="B90" s="462" t="s">
        <v>158</v>
      </c>
      <c r="C90" s="476"/>
      <c r="D90" s="476"/>
      <c r="E90" s="476"/>
      <c r="F90" s="469">
        <f>G25</f>
        <v>0</v>
      </c>
      <c r="G90" s="476"/>
    </row>
    <row r="91" spans="1:7">
      <c r="A91" s="455"/>
      <c r="B91" s="462" t="s">
        <v>156</v>
      </c>
      <c r="C91" s="476"/>
      <c r="D91" s="476"/>
      <c r="E91" s="476"/>
      <c r="F91" s="469">
        <v>0</v>
      </c>
      <c r="G91" s="476"/>
    </row>
    <row r="92" spans="1:7">
      <c r="A92" s="455"/>
      <c r="B92" s="462" t="s">
        <v>159</v>
      </c>
      <c r="C92" s="476"/>
      <c r="D92" s="476"/>
      <c r="E92" s="476"/>
      <c r="F92" s="468">
        <f>SUM(F89:F91)</f>
        <v>0</v>
      </c>
      <c r="G92" s="476"/>
    </row>
    <row r="93" spans="1:7">
      <c r="A93" s="455"/>
      <c r="C93" s="476"/>
      <c r="D93" s="476"/>
      <c r="E93" s="476"/>
      <c r="F93" s="469"/>
      <c r="G93" s="476"/>
    </row>
    <row r="94" spans="1:7">
      <c r="A94" s="455"/>
      <c r="B94" s="462" t="s">
        <v>101</v>
      </c>
      <c r="C94" s="476"/>
      <c r="D94" s="476"/>
      <c r="E94" s="476"/>
      <c r="F94" s="469">
        <f>G29</f>
        <v>0</v>
      </c>
      <c r="G94" s="476"/>
    </row>
    <row r="95" spans="1:7">
      <c r="A95" s="455"/>
      <c r="B95" s="462" t="s">
        <v>102</v>
      </c>
      <c r="C95" s="476"/>
      <c r="D95" s="476"/>
      <c r="E95" s="476"/>
      <c r="F95" s="469">
        <f>G30</f>
        <v>0</v>
      </c>
      <c r="G95" s="476"/>
    </row>
    <row r="96" spans="1:7">
      <c r="A96" s="455"/>
      <c r="B96" s="462" t="s">
        <v>160</v>
      </c>
      <c r="C96" s="476"/>
      <c r="D96" s="476"/>
      <c r="E96" s="476"/>
      <c r="F96" s="469">
        <f>G31</f>
        <v>0</v>
      </c>
      <c r="G96" s="476"/>
    </row>
    <row r="97" spans="1:7">
      <c r="A97" s="455"/>
      <c r="C97" s="476"/>
      <c r="D97" s="476"/>
      <c r="E97" s="476"/>
      <c r="F97" s="469"/>
      <c r="G97" s="476"/>
    </row>
    <row r="98" spans="1:7">
      <c r="A98" s="455"/>
      <c r="B98" s="462" t="s">
        <v>104</v>
      </c>
      <c r="C98" s="476"/>
      <c r="D98" s="476"/>
      <c r="E98" s="476"/>
      <c r="F98" s="469"/>
      <c r="G98" s="476"/>
    </row>
    <row r="99" spans="1:7">
      <c r="A99" s="455"/>
      <c r="B99" s="462" t="s">
        <v>153</v>
      </c>
      <c r="C99" s="476"/>
      <c r="D99" s="476"/>
      <c r="E99" s="476"/>
      <c r="F99" s="469">
        <f>G34</f>
        <v>124</v>
      </c>
      <c r="G99" s="476"/>
    </row>
    <row r="100" spans="1:7">
      <c r="A100" s="455"/>
      <c r="B100" s="462" t="s">
        <v>158</v>
      </c>
      <c r="C100" s="476"/>
      <c r="D100" s="476"/>
      <c r="E100" s="476"/>
      <c r="F100" s="469">
        <f>G35</f>
        <v>0</v>
      </c>
      <c r="G100" s="476"/>
    </row>
    <row r="101" spans="1:7">
      <c r="A101" s="455"/>
      <c r="B101" s="462" t="s">
        <v>156</v>
      </c>
      <c r="C101" s="476"/>
      <c r="D101" s="476"/>
      <c r="E101" s="476"/>
      <c r="F101" s="472">
        <f>G36</f>
        <v>0</v>
      </c>
      <c r="G101" s="476"/>
    </row>
    <row r="102" spans="1:7">
      <c r="A102" s="455"/>
      <c r="B102" s="462" t="s">
        <v>161</v>
      </c>
      <c r="C102" s="476"/>
      <c r="D102" s="476"/>
      <c r="E102" s="476"/>
      <c r="F102" s="469">
        <f>F99+F100+F101</f>
        <v>124</v>
      </c>
      <c r="G102" s="476"/>
    </row>
    <row r="103" spans="1:7">
      <c r="A103" s="455"/>
      <c r="B103" s="476"/>
      <c r="C103" s="476"/>
      <c r="D103" s="476"/>
      <c r="E103" s="476"/>
      <c r="F103" s="469"/>
      <c r="G103" s="476"/>
    </row>
    <row r="104" spans="1:7">
      <c r="A104" s="455"/>
      <c r="B104" s="476" t="s">
        <v>106</v>
      </c>
      <c r="C104" s="476"/>
      <c r="D104" s="476"/>
      <c r="E104" s="476"/>
      <c r="F104" s="471">
        <f>F86+F92+F94+F95+F96+F102</f>
        <v>129</v>
      </c>
      <c r="G104" s="476"/>
    </row>
    <row r="105" spans="1:7">
      <c r="A105" s="455"/>
      <c r="B105" s="476"/>
      <c r="C105" s="476"/>
      <c r="D105" s="476"/>
      <c r="E105" s="476"/>
      <c r="F105" s="469"/>
      <c r="G105" s="476"/>
    </row>
    <row r="106" spans="1:7">
      <c r="A106" s="455"/>
      <c r="B106" s="476" t="s">
        <v>227</v>
      </c>
      <c r="C106" s="476"/>
      <c r="D106" s="476"/>
      <c r="E106" s="476"/>
      <c r="F106" s="472">
        <f>F78-F104</f>
        <v>-129</v>
      </c>
      <c r="G106" s="476"/>
    </row>
    <row r="107" spans="1:7">
      <c r="A107" s="455"/>
      <c r="B107" s="476"/>
      <c r="C107" s="476"/>
      <c r="D107" s="476"/>
      <c r="E107" s="476"/>
      <c r="F107" s="469"/>
      <c r="G107" s="476"/>
    </row>
    <row r="108" spans="1:7">
      <c r="A108" s="455"/>
      <c r="B108" s="476" t="s">
        <v>228</v>
      </c>
      <c r="C108" s="476"/>
      <c r="D108" s="476"/>
      <c r="E108" s="477"/>
      <c r="F108" s="469"/>
      <c r="G108" s="476"/>
    </row>
    <row r="109" spans="1:7" ht="12.75" thickBot="1">
      <c r="A109" s="455"/>
      <c r="B109" s="488" t="s">
        <v>229</v>
      </c>
      <c r="C109" s="489">
        <f>Inputs!$D$4</f>
        <v>1.2215999999999999E-2</v>
      </c>
      <c r="D109" s="476"/>
      <c r="E109" s="477"/>
      <c r="F109" s="475">
        <f>ROUND(F106*C109,0)</f>
        <v>-2</v>
      </c>
      <c r="G109" s="476"/>
    </row>
    <row r="110" spans="1:7" ht="12.75" thickTop="1">
      <c r="A110" s="455"/>
      <c r="B110" s="476"/>
      <c r="C110" s="476"/>
      <c r="D110" s="476"/>
      <c r="E110" s="477"/>
      <c r="F110" s="476"/>
      <c r="G110" s="478"/>
    </row>
  </sheetData>
  <mergeCells count="3">
    <mergeCell ref="E1:G1"/>
    <mergeCell ref="E2:G2"/>
    <mergeCell ref="E3:G3"/>
  </mergeCells>
  <phoneticPr fontId="0" type="noConversion"/>
  <pageMargins left="0.75" right="0.75" top="0.5" bottom="0.5" header="0.5" footer="0.5"/>
  <pageSetup scale="90" orientation="portrait" r:id="rId1"/>
  <headerFooter alignWithMargins="0"/>
  <rowBreaks count="1" manualBreakCount="1">
    <brk id="64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5"/>
  <dimension ref="A1:G110"/>
  <sheetViews>
    <sheetView topLeftCell="A20" workbookViewId="0">
      <selection activeCell="F51" sqref="F51"/>
    </sheetView>
  </sheetViews>
  <sheetFormatPr defaultColWidth="12.42578125" defaultRowHeight="12"/>
  <cols>
    <col min="1" max="1" width="5.5703125" style="456" customWidth="1"/>
    <col min="2" max="2" width="26.140625" style="455" customWidth="1"/>
    <col min="3" max="3" width="12.42578125" style="455" customWidth="1"/>
    <col min="4" max="4" width="6.7109375" style="455" customWidth="1"/>
    <col min="5" max="16384" width="12.42578125" style="455"/>
  </cols>
  <sheetData>
    <row r="1" spans="1:7">
      <c r="A1" s="453" t="str">
        <f>Inputs!$D$6</f>
        <v>AVISTA UTILITIES</v>
      </c>
      <c r="B1" s="454"/>
      <c r="C1" s="453"/>
    </row>
    <row r="2" spans="1:7">
      <c r="A2" s="453" t="s">
        <v>142</v>
      </c>
      <c r="B2" s="454"/>
      <c r="C2" s="453"/>
      <c r="E2" s="453"/>
      <c r="F2" s="456" t="s">
        <v>299</v>
      </c>
      <c r="G2" s="453"/>
    </row>
    <row r="3" spans="1:7">
      <c r="A3" s="454" t="str">
        <f>WAElec09_08!$A$4</f>
        <v>TWELVE MONTHS ENDED SEPTEMBER 30, 2008</v>
      </c>
      <c r="B3" s="454"/>
      <c r="C3" s="453"/>
      <c r="E3" s="453"/>
      <c r="F3" s="456" t="s">
        <v>503</v>
      </c>
      <c r="G3" s="453"/>
    </row>
    <row r="4" spans="1:7">
      <c r="A4" s="453" t="s">
        <v>1</v>
      </c>
      <c r="B4" s="454"/>
      <c r="C4" s="453"/>
      <c r="E4" s="457"/>
      <c r="F4" s="458" t="s">
        <v>145</v>
      </c>
      <c r="G4" s="459"/>
    </row>
    <row r="5" spans="1:7">
      <c r="A5" s="456" t="s">
        <v>14</v>
      </c>
    </row>
    <row r="6" spans="1:7" s="456" customFormat="1">
      <c r="A6" s="456" t="s">
        <v>146</v>
      </c>
      <c r="B6" s="460" t="s">
        <v>36</v>
      </c>
      <c r="C6" s="460"/>
      <c r="E6" s="460" t="s">
        <v>147</v>
      </c>
      <c r="F6" s="460" t="s">
        <v>148</v>
      </c>
      <c r="G6" s="460" t="s">
        <v>128</v>
      </c>
    </row>
    <row r="7" spans="1:7">
      <c r="B7" s="462" t="s">
        <v>85</v>
      </c>
    </row>
    <row r="8" spans="1:7" s="465" customFormat="1">
      <c r="A8" s="463">
        <v>1</v>
      </c>
      <c r="B8" s="464" t="s">
        <v>86</v>
      </c>
      <c r="E8" s="466">
        <f>F8+G8</f>
        <v>0</v>
      </c>
      <c r="F8" s="466">
        <v>0</v>
      </c>
      <c r="G8" s="466">
        <v>0</v>
      </c>
    </row>
    <row r="9" spans="1:7">
      <c r="A9" s="456">
        <v>2</v>
      </c>
      <c r="B9" s="462" t="s">
        <v>87</v>
      </c>
      <c r="E9" s="467"/>
      <c r="F9" s="467"/>
      <c r="G9" s="467"/>
    </row>
    <row r="10" spans="1:7">
      <c r="A10" s="456">
        <v>3</v>
      </c>
      <c r="B10" s="462" t="s">
        <v>150</v>
      </c>
      <c r="E10" s="467"/>
      <c r="F10" s="467"/>
      <c r="G10" s="467"/>
    </row>
    <row r="11" spans="1:7">
      <c r="A11" s="456">
        <v>4</v>
      </c>
      <c r="B11" s="462" t="s">
        <v>151</v>
      </c>
      <c r="E11" s="468">
        <f>E8+E9+E10</f>
        <v>0</v>
      </c>
      <c r="F11" s="468">
        <f>F8+F9+F10</f>
        <v>0</v>
      </c>
      <c r="G11" s="468">
        <f>G8+G9+G10</f>
        <v>0</v>
      </c>
    </row>
    <row r="12" spans="1:7">
      <c r="A12" s="456">
        <v>5</v>
      </c>
      <c r="B12" s="462" t="s">
        <v>90</v>
      </c>
      <c r="E12" s="467">
        <f>SUM(F12:G12)</f>
        <v>24</v>
      </c>
      <c r="F12" s="467">
        <v>24</v>
      </c>
      <c r="G12" s="467">
        <v>0</v>
      </c>
    </row>
    <row r="13" spans="1:7">
      <c r="A13" s="456">
        <v>6</v>
      </c>
      <c r="B13" s="462" t="s">
        <v>152</v>
      </c>
      <c r="E13" s="468">
        <f>E11+E12</f>
        <v>24</v>
      </c>
      <c r="F13" s="468">
        <f>F11+F12</f>
        <v>24</v>
      </c>
      <c r="G13" s="468">
        <f>G11+G12</f>
        <v>0</v>
      </c>
    </row>
    <row r="14" spans="1:7">
      <c r="E14" s="469"/>
      <c r="F14" s="469"/>
      <c r="G14" s="469"/>
    </row>
    <row r="15" spans="1:7">
      <c r="B15" s="462" t="s">
        <v>92</v>
      </c>
      <c r="E15" s="469"/>
      <c r="F15" s="469"/>
      <c r="G15" s="469"/>
    </row>
    <row r="16" spans="1:7">
      <c r="B16" s="462" t="s">
        <v>93</v>
      </c>
      <c r="E16" s="469"/>
      <c r="F16" s="469"/>
      <c r="G16" s="469"/>
    </row>
    <row r="17" spans="1:7">
      <c r="A17" s="456">
        <v>7</v>
      </c>
      <c r="B17" s="462" t="s">
        <v>153</v>
      </c>
      <c r="E17" s="466">
        <f>F17+G17</f>
        <v>103</v>
      </c>
      <c r="F17" s="467">
        <v>103</v>
      </c>
      <c r="G17" s="467">
        <v>0</v>
      </c>
    </row>
    <row r="18" spans="1:7">
      <c r="A18" s="456">
        <v>8</v>
      </c>
      <c r="B18" s="462" t="s">
        <v>154</v>
      </c>
      <c r="E18" s="467"/>
      <c r="F18" s="467"/>
      <c r="G18" s="467"/>
    </row>
    <row r="19" spans="1:7">
      <c r="A19" s="456">
        <v>9</v>
      </c>
      <c r="B19" s="462" t="s">
        <v>155</v>
      </c>
      <c r="E19" s="467"/>
      <c r="F19" s="467"/>
      <c r="G19" s="467"/>
    </row>
    <row r="20" spans="1:7">
      <c r="A20" s="456">
        <v>10</v>
      </c>
      <c r="B20" s="462" t="s">
        <v>156</v>
      </c>
      <c r="E20" s="467"/>
      <c r="F20" s="467"/>
      <c r="G20" s="467"/>
    </row>
    <row r="21" spans="1:7">
      <c r="A21" s="456">
        <v>11</v>
      </c>
      <c r="B21" s="462" t="s">
        <v>157</v>
      </c>
      <c r="E21" s="468">
        <f>E17+E18+E19+E20</f>
        <v>103</v>
      </c>
      <c r="F21" s="468">
        <f>F17+F18+F19+F20</f>
        <v>103</v>
      </c>
      <c r="G21" s="468">
        <f>G17+G18+G19+G20</f>
        <v>0</v>
      </c>
    </row>
    <row r="22" spans="1:7">
      <c r="E22" s="469"/>
      <c r="F22" s="469"/>
      <c r="G22" s="469"/>
    </row>
    <row r="23" spans="1:7">
      <c r="B23" s="462" t="s">
        <v>98</v>
      </c>
      <c r="E23" s="469"/>
      <c r="F23" s="469"/>
      <c r="G23" s="469"/>
    </row>
    <row r="24" spans="1:7">
      <c r="A24" s="456">
        <v>12</v>
      </c>
      <c r="B24" s="462" t="s">
        <v>153</v>
      </c>
      <c r="E24" s="467"/>
      <c r="F24" s="467"/>
      <c r="G24" s="467"/>
    </row>
    <row r="25" spans="1:7">
      <c r="A25" s="456">
        <v>13</v>
      </c>
      <c r="B25" s="462" t="s">
        <v>158</v>
      </c>
      <c r="E25" s="467"/>
      <c r="F25" s="467"/>
      <c r="G25" s="467"/>
    </row>
    <row r="26" spans="1:7">
      <c r="A26" s="456">
        <v>14</v>
      </c>
      <c r="B26" s="462" t="s">
        <v>156</v>
      </c>
      <c r="E26" s="467">
        <f>F26+G26</f>
        <v>0</v>
      </c>
      <c r="F26" s="467">
        <v>0</v>
      </c>
      <c r="G26" s="470">
        <f>F109</f>
        <v>0</v>
      </c>
    </row>
    <row r="27" spans="1:7">
      <c r="A27" s="456">
        <v>15</v>
      </c>
      <c r="B27" s="462" t="s">
        <v>159</v>
      </c>
      <c r="E27" s="468">
        <f>E24+E25+E26</f>
        <v>0</v>
      </c>
      <c r="F27" s="468">
        <f>F24+F25+F26</f>
        <v>0</v>
      </c>
      <c r="G27" s="468">
        <f>G24+G25+G26</f>
        <v>0</v>
      </c>
    </row>
    <row r="28" spans="1:7">
      <c r="E28" s="469"/>
      <c r="F28" s="469"/>
      <c r="G28" s="469"/>
    </row>
    <row r="29" spans="1:7">
      <c r="A29" s="456">
        <v>16</v>
      </c>
      <c r="B29" s="462" t="s">
        <v>101</v>
      </c>
      <c r="E29" s="467"/>
      <c r="F29" s="467"/>
      <c r="G29" s="467"/>
    </row>
    <row r="30" spans="1:7">
      <c r="A30" s="456">
        <v>17</v>
      </c>
      <c r="B30" s="462" t="s">
        <v>102</v>
      </c>
      <c r="E30" s="467"/>
      <c r="F30" s="467"/>
      <c r="G30" s="467"/>
    </row>
    <row r="31" spans="1:7">
      <c r="A31" s="456">
        <v>18</v>
      </c>
      <c r="B31" s="462" t="s">
        <v>160</v>
      </c>
      <c r="E31" s="467"/>
      <c r="F31" s="467"/>
      <c r="G31" s="467"/>
    </row>
    <row r="32" spans="1:7">
      <c r="E32" s="469"/>
      <c r="F32" s="469"/>
      <c r="G32" s="469"/>
    </row>
    <row r="33" spans="1:7">
      <c r="B33" s="462" t="s">
        <v>104</v>
      </c>
      <c r="E33" s="469"/>
      <c r="F33" s="469"/>
      <c r="G33" s="469"/>
    </row>
    <row r="34" spans="1:7">
      <c r="A34" s="456">
        <v>19</v>
      </c>
      <c r="B34" s="462" t="s">
        <v>153</v>
      </c>
      <c r="E34" s="467">
        <f>F34+G34</f>
        <v>0</v>
      </c>
      <c r="F34" s="467">
        <v>0</v>
      </c>
      <c r="G34" s="467"/>
    </row>
    <row r="35" spans="1:7">
      <c r="A35" s="456">
        <v>20</v>
      </c>
      <c r="B35" s="462" t="s">
        <v>158</v>
      </c>
      <c r="E35" s="467"/>
      <c r="F35" s="467"/>
      <c r="G35" s="467"/>
    </row>
    <row r="36" spans="1:7">
      <c r="A36" s="456">
        <v>21</v>
      </c>
      <c r="B36" s="462" t="s">
        <v>156</v>
      </c>
      <c r="E36" s="467"/>
      <c r="F36" s="467"/>
      <c r="G36" s="467"/>
    </row>
    <row r="37" spans="1:7">
      <c r="A37" s="456">
        <v>22</v>
      </c>
      <c r="B37" s="462" t="s">
        <v>161</v>
      </c>
      <c r="E37" s="471">
        <f>E34+E35+E36</f>
        <v>0</v>
      </c>
      <c r="F37" s="471">
        <f>F34+F35+F36</f>
        <v>0</v>
      </c>
      <c r="G37" s="471">
        <f>G34+G35+G36</f>
        <v>0</v>
      </c>
    </row>
    <row r="38" spans="1:7">
      <c r="A38" s="456">
        <v>23</v>
      </c>
      <c r="B38" s="462" t="s">
        <v>106</v>
      </c>
      <c r="E38" s="472">
        <f>E21+E27+E29+E30+E31+E37</f>
        <v>103</v>
      </c>
      <c r="F38" s="472">
        <f>F21+F27+F29+F30+F31+F37</f>
        <v>103</v>
      </c>
      <c r="G38" s="472">
        <f>G21+G27+G29+G30+G31+G37</f>
        <v>0</v>
      </c>
    </row>
    <row r="39" spans="1:7">
      <c r="E39" s="469"/>
      <c r="F39" s="469"/>
      <c r="G39" s="469"/>
    </row>
    <row r="40" spans="1:7">
      <c r="A40" s="456">
        <v>24</v>
      </c>
      <c r="B40" s="462" t="s">
        <v>162</v>
      </c>
      <c r="E40" s="469">
        <f>E13-E38</f>
        <v>-79</v>
      </c>
      <c r="F40" s="469">
        <f>F13-F38</f>
        <v>-79</v>
      </c>
      <c r="G40" s="469">
        <f>G13-G38</f>
        <v>0</v>
      </c>
    </row>
    <row r="41" spans="1:7">
      <c r="B41" s="462"/>
      <c r="E41" s="469"/>
      <c r="F41" s="469"/>
      <c r="G41" s="469"/>
    </row>
    <row r="42" spans="1:7">
      <c r="B42" s="462" t="s">
        <v>163</v>
      </c>
      <c r="E42" s="469"/>
      <c r="F42" s="469"/>
      <c r="G42" s="469"/>
    </row>
    <row r="43" spans="1:7">
      <c r="A43" s="456">
        <v>25</v>
      </c>
      <c r="B43" s="462" t="s">
        <v>164</v>
      </c>
      <c r="D43" s="473">
        <v>0.35</v>
      </c>
      <c r="E43" s="467">
        <f>F43+G43</f>
        <v>-28</v>
      </c>
      <c r="F43" s="467">
        <f>ROUND(F40*D43,0)</f>
        <v>-28</v>
      </c>
      <c r="G43" s="467">
        <f>ROUND(G40*D43,0)</f>
        <v>0</v>
      </c>
    </row>
    <row r="44" spans="1:7">
      <c r="A44" s="456">
        <v>26</v>
      </c>
      <c r="B44" s="462" t="s">
        <v>165</v>
      </c>
      <c r="E44" s="467"/>
      <c r="F44" s="467"/>
      <c r="G44" s="467"/>
    </row>
    <row r="45" spans="1:7" ht="12.75">
      <c r="A45"/>
      <c r="B45"/>
      <c r="C45"/>
      <c r="D45"/>
      <c r="E45" s="913"/>
      <c r="F45" s="913"/>
      <c r="G45" s="913"/>
    </row>
    <row r="46" spans="1:7">
      <c r="A46" s="259"/>
      <c r="B46" s="262"/>
      <c r="C46" s="256"/>
      <c r="D46" s="256"/>
      <c r="E46" s="269"/>
      <c r="F46" s="269"/>
      <c r="G46" s="269"/>
    </row>
    <row r="47" spans="1:7" s="465" customFormat="1">
      <c r="A47" s="263">
        <v>27</v>
      </c>
      <c r="B47" s="264" t="s">
        <v>113</v>
      </c>
      <c r="C47" s="265"/>
      <c r="D47" s="265"/>
      <c r="E47" s="273">
        <f>E40-SUM(E43:E44)</f>
        <v>-51</v>
      </c>
      <c r="F47" s="273">
        <f>F40-SUM(F43:F44)</f>
        <v>-51</v>
      </c>
      <c r="G47" s="273">
        <f>G40-SUM(G43:G44)</f>
        <v>0</v>
      </c>
    </row>
    <row r="48" spans="1:7">
      <c r="A48" s="259"/>
    </row>
    <row r="49" spans="1:7">
      <c r="A49" s="259"/>
      <c r="B49" s="462" t="s">
        <v>114</v>
      </c>
    </row>
    <row r="50" spans="1:7">
      <c r="A50" s="259"/>
      <c r="B50" s="462" t="s">
        <v>115</v>
      </c>
    </row>
    <row r="51" spans="1:7" s="465" customFormat="1">
      <c r="A51" s="263">
        <v>28</v>
      </c>
      <c r="B51" s="464" t="s">
        <v>167</v>
      </c>
      <c r="E51" s="466"/>
      <c r="F51" s="466"/>
      <c r="G51" s="466"/>
    </row>
    <row r="52" spans="1:7">
      <c r="A52" s="259">
        <v>29</v>
      </c>
      <c r="B52" s="462" t="s">
        <v>168</v>
      </c>
      <c r="E52" s="467"/>
      <c r="F52" s="467"/>
      <c r="G52" s="467"/>
    </row>
    <row r="53" spans="1:7">
      <c r="A53" s="259">
        <v>30</v>
      </c>
      <c r="B53" s="462" t="s">
        <v>169</v>
      </c>
      <c r="E53" s="467"/>
      <c r="F53" s="467"/>
      <c r="G53" s="467"/>
    </row>
    <row r="54" spans="1:7">
      <c r="A54" s="259">
        <v>31</v>
      </c>
      <c r="B54" s="462" t="s">
        <v>170</v>
      </c>
      <c r="E54" s="467"/>
      <c r="F54" s="467"/>
      <c r="G54" s="467"/>
    </row>
    <row r="55" spans="1:7">
      <c r="A55" s="259">
        <v>32</v>
      </c>
      <c r="B55" s="462" t="s">
        <v>171</v>
      </c>
      <c r="E55" s="474"/>
      <c r="F55" s="474"/>
      <c r="G55" s="474"/>
    </row>
    <row r="56" spans="1:7">
      <c r="A56" s="259">
        <v>33</v>
      </c>
      <c r="B56" s="462" t="s">
        <v>172</v>
      </c>
      <c r="E56" s="469">
        <f>E51+E52+E53+E54+E55</f>
        <v>0</v>
      </c>
      <c r="F56" s="469">
        <f>F51+F52+F53+F54+F55</f>
        <v>0</v>
      </c>
      <c r="G56" s="469">
        <f>G51+G52+G53+G54+G55</f>
        <v>0</v>
      </c>
    </row>
    <row r="57" spans="1:7">
      <c r="A57" s="259">
        <v>34</v>
      </c>
      <c r="B57" s="462" t="s">
        <v>121</v>
      </c>
      <c r="E57" s="467"/>
      <c r="F57" s="467"/>
      <c r="G57" s="467"/>
    </row>
    <row r="58" spans="1:7">
      <c r="A58" s="259">
        <v>35</v>
      </c>
      <c r="B58" s="462" t="s">
        <v>122</v>
      </c>
      <c r="E58" s="474"/>
      <c r="F58" s="474"/>
      <c r="G58" s="474"/>
    </row>
    <row r="59" spans="1:7">
      <c r="A59" s="259">
        <v>36</v>
      </c>
      <c r="B59" s="462" t="s">
        <v>173</v>
      </c>
      <c r="E59" s="469">
        <f>E57+E58</f>
        <v>0</v>
      </c>
      <c r="F59" s="469">
        <f>F57+F58</f>
        <v>0</v>
      </c>
      <c r="G59" s="469">
        <f>G57+G58</f>
        <v>0</v>
      </c>
    </row>
    <row r="60" spans="1:7">
      <c r="A60" s="259">
        <v>37</v>
      </c>
      <c r="B60" s="462" t="s">
        <v>124</v>
      </c>
      <c r="E60" s="467"/>
      <c r="F60" s="467"/>
      <c r="G60" s="467"/>
    </row>
    <row r="61" spans="1:7">
      <c r="A61" s="259">
        <v>38</v>
      </c>
      <c r="B61" s="462" t="s">
        <v>125</v>
      </c>
      <c r="E61" s="474"/>
      <c r="F61" s="474"/>
      <c r="G61" s="474"/>
    </row>
    <row r="62" spans="1:7" ht="9" customHeight="1">
      <c r="A62" s="259"/>
    </row>
    <row r="63" spans="1:7" s="465" customFormat="1" ht="12.75" thickBot="1">
      <c r="A63" s="263">
        <v>39</v>
      </c>
      <c r="B63" s="464" t="s">
        <v>126</v>
      </c>
      <c r="E63" s="475">
        <f>E56-E59+E60+E61</f>
        <v>0</v>
      </c>
      <c r="F63" s="475">
        <f>F56-F59+F60+F61</f>
        <v>0</v>
      </c>
      <c r="G63" s="475">
        <f>G56-G59+G60+G61</f>
        <v>0</v>
      </c>
    </row>
    <row r="64" spans="1:7" ht="12.75" thickTop="1"/>
    <row r="65" spans="1:7">
      <c r="A65" s="454" t="str">
        <f>Inputs!$D$6</f>
        <v>AVISTA UTILITIES</v>
      </c>
      <c r="B65" s="454"/>
      <c r="C65" s="454"/>
      <c r="D65" s="476"/>
      <c r="E65" s="477"/>
      <c r="F65" s="476"/>
      <c r="G65" s="478"/>
    </row>
    <row r="66" spans="1:7">
      <c r="A66" s="454" t="s">
        <v>225</v>
      </c>
      <c r="B66" s="454"/>
      <c r="C66" s="454"/>
      <c r="D66" s="476"/>
      <c r="E66" s="477"/>
      <c r="F66" s="476"/>
      <c r="G66" s="478"/>
    </row>
    <row r="67" spans="1:7">
      <c r="A67" s="454" t="str">
        <f>A3</f>
        <v>TWELVE MONTHS ENDED SEPTEMBER 30, 2008</v>
      </c>
      <c r="B67" s="454"/>
      <c r="C67" s="454"/>
      <c r="D67" s="476"/>
      <c r="E67" s="477"/>
      <c r="F67" s="479" t="str">
        <f>F2</f>
        <v>PRO FORMA</v>
      </c>
      <c r="G67" s="476"/>
    </row>
    <row r="68" spans="1:7">
      <c r="A68" s="454" t="s">
        <v>226</v>
      </c>
      <c r="B68" s="454"/>
      <c r="C68" s="454"/>
      <c r="D68" s="476"/>
      <c r="E68" s="477"/>
      <c r="F68" s="479" t="str">
        <f>F3</f>
        <v>TRANSMISSION REV/EXP</v>
      </c>
      <c r="G68" s="476"/>
    </row>
    <row r="69" spans="1:7">
      <c r="B69" s="476"/>
      <c r="C69" s="476"/>
      <c r="D69" s="476"/>
      <c r="E69" s="480"/>
      <c r="F69" s="481" t="str">
        <f>F4</f>
        <v>ELECTRIC</v>
      </c>
      <c r="G69" s="476"/>
    </row>
    <row r="70" spans="1:7">
      <c r="B70" s="476"/>
      <c r="C70" s="476"/>
      <c r="D70" s="476"/>
      <c r="E70" s="477"/>
      <c r="F70" s="479"/>
      <c r="G70" s="483"/>
    </row>
    <row r="71" spans="1:7">
      <c r="B71" s="484" t="s">
        <v>134</v>
      </c>
      <c r="C71" s="485"/>
      <c r="D71" s="476"/>
      <c r="E71" s="477"/>
      <c r="F71" s="481" t="s">
        <v>128</v>
      </c>
      <c r="G71" s="476"/>
    </row>
    <row r="72" spans="1:7">
      <c r="B72" s="462" t="s">
        <v>85</v>
      </c>
      <c r="C72" s="476"/>
      <c r="D72" s="476"/>
      <c r="E72" s="476"/>
      <c r="F72" s="478"/>
      <c r="G72" s="476"/>
    </row>
    <row r="73" spans="1:7">
      <c r="B73" s="464" t="s">
        <v>86</v>
      </c>
      <c r="C73" s="476"/>
      <c r="D73" s="476"/>
      <c r="E73" s="476"/>
      <c r="F73" s="486">
        <f>G8</f>
        <v>0</v>
      </c>
      <c r="G73" s="476"/>
    </row>
    <row r="74" spans="1:7">
      <c r="B74" s="462" t="s">
        <v>87</v>
      </c>
      <c r="C74" s="476"/>
      <c r="D74" s="476"/>
      <c r="E74" s="476"/>
      <c r="F74" s="469">
        <f>G9</f>
        <v>0</v>
      </c>
      <c r="G74" s="476"/>
    </row>
    <row r="75" spans="1:7">
      <c r="B75" s="462" t="s">
        <v>150</v>
      </c>
      <c r="C75" s="476"/>
      <c r="D75" s="476"/>
      <c r="E75" s="476"/>
      <c r="F75" s="472">
        <f>G10</f>
        <v>0</v>
      </c>
      <c r="G75" s="476"/>
    </row>
    <row r="76" spans="1:7">
      <c r="B76" s="462" t="s">
        <v>151</v>
      </c>
      <c r="C76" s="476"/>
      <c r="D76" s="476"/>
      <c r="E76" s="476"/>
      <c r="F76" s="469">
        <f>SUM(F73:F75)</f>
        <v>0</v>
      </c>
      <c r="G76" s="476"/>
    </row>
    <row r="77" spans="1:7">
      <c r="B77" s="462" t="s">
        <v>90</v>
      </c>
      <c r="C77" s="476"/>
      <c r="D77" s="476"/>
      <c r="E77" s="476"/>
      <c r="F77" s="472">
        <f>G12</f>
        <v>0</v>
      </c>
      <c r="G77" s="476"/>
    </row>
    <row r="78" spans="1:7">
      <c r="B78" s="462" t="s">
        <v>152</v>
      </c>
      <c r="C78" s="476"/>
      <c r="D78" s="476"/>
      <c r="E78" s="476"/>
      <c r="F78" s="469">
        <f>F76+F77</f>
        <v>0</v>
      </c>
      <c r="G78" s="476"/>
    </row>
    <row r="79" spans="1:7">
      <c r="C79" s="476"/>
      <c r="D79" s="476"/>
      <c r="E79" s="476"/>
      <c r="F79" s="469"/>
      <c r="G79" s="476"/>
    </row>
    <row r="80" spans="1:7">
      <c r="B80" s="462" t="s">
        <v>92</v>
      </c>
      <c r="C80" s="476"/>
      <c r="D80" s="476"/>
      <c r="E80" s="476"/>
      <c r="F80" s="469"/>
      <c r="G80" s="476"/>
    </row>
    <row r="81" spans="1:7">
      <c r="B81" s="462" t="s">
        <v>93</v>
      </c>
      <c r="C81" s="476"/>
      <c r="D81" s="476"/>
      <c r="E81" s="476"/>
      <c r="F81" s="469"/>
      <c r="G81" s="476"/>
    </row>
    <row r="82" spans="1:7">
      <c r="B82" s="462" t="s">
        <v>153</v>
      </c>
      <c r="C82" s="476"/>
      <c r="D82" s="476"/>
      <c r="E82" s="476"/>
      <c r="F82" s="469">
        <f>G17</f>
        <v>0</v>
      </c>
      <c r="G82" s="476"/>
    </row>
    <row r="83" spans="1:7">
      <c r="B83" s="462" t="s">
        <v>154</v>
      </c>
      <c r="C83" s="476"/>
      <c r="D83" s="476"/>
      <c r="E83" s="476"/>
      <c r="F83" s="469">
        <f>G18</f>
        <v>0</v>
      </c>
      <c r="G83" s="476"/>
    </row>
    <row r="84" spans="1:7">
      <c r="B84" s="462" t="s">
        <v>155</v>
      </c>
      <c r="C84" s="476"/>
      <c r="D84" s="476"/>
      <c r="E84" s="476"/>
      <c r="F84" s="469">
        <f>G19</f>
        <v>0</v>
      </c>
      <c r="G84" s="476"/>
    </row>
    <row r="85" spans="1:7">
      <c r="B85" s="462" t="s">
        <v>156</v>
      </c>
      <c r="C85" s="476"/>
      <c r="D85" s="476"/>
      <c r="E85" s="476"/>
      <c r="F85" s="472">
        <f>G20</f>
        <v>0</v>
      </c>
      <c r="G85" s="476"/>
    </row>
    <row r="86" spans="1:7">
      <c r="B86" s="462" t="s">
        <v>157</v>
      </c>
      <c r="C86" s="476"/>
      <c r="D86" s="476"/>
      <c r="E86" s="476"/>
      <c r="F86" s="469">
        <f>SUM(F82:F85)</f>
        <v>0</v>
      </c>
      <c r="G86" s="476"/>
    </row>
    <row r="87" spans="1:7">
      <c r="C87" s="476"/>
      <c r="D87" s="476"/>
      <c r="E87" s="476"/>
      <c r="F87" s="469"/>
      <c r="G87" s="476"/>
    </row>
    <row r="88" spans="1:7">
      <c r="B88" s="462" t="s">
        <v>98</v>
      </c>
      <c r="C88" s="476"/>
      <c r="D88" s="476"/>
      <c r="E88" s="476"/>
      <c r="F88" s="469"/>
      <c r="G88" s="476"/>
    </row>
    <row r="89" spans="1:7">
      <c r="B89" s="462" t="s">
        <v>153</v>
      </c>
      <c r="C89" s="476"/>
      <c r="D89" s="476"/>
      <c r="E89" s="476"/>
      <c r="F89" s="469">
        <f>G24</f>
        <v>0</v>
      </c>
      <c r="G89" s="476"/>
    </row>
    <row r="90" spans="1:7">
      <c r="B90" s="462" t="s">
        <v>158</v>
      </c>
      <c r="C90" s="476"/>
      <c r="D90" s="476"/>
      <c r="E90" s="476"/>
      <c r="F90" s="469">
        <f>G25</f>
        <v>0</v>
      </c>
      <c r="G90" s="476"/>
    </row>
    <row r="91" spans="1:7">
      <c r="A91" s="455"/>
      <c r="B91" s="462" t="s">
        <v>156</v>
      </c>
      <c r="C91" s="476"/>
      <c r="D91" s="476"/>
      <c r="E91" s="476"/>
      <c r="F91" s="469">
        <v>0</v>
      </c>
      <c r="G91" s="476"/>
    </row>
    <row r="92" spans="1:7">
      <c r="A92" s="455"/>
      <c r="B92" s="462" t="s">
        <v>159</v>
      </c>
      <c r="C92" s="476"/>
      <c r="D92" s="476"/>
      <c r="E92" s="476"/>
      <c r="F92" s="468">
        <f>SUM(F89:F91)</f>
        <v>0</v>
      </c>
      <c r="G92" s="476"/>
    </row>
    <row r="93" spans="1:7">
      <c r="A93" s="455"/>
      <c r="C93" s="476"/>
      <c r="D93" s="476"/>
      <c r="E93" s="476"/>
      <c r="F93" s="469"/>
      <c r="G93" s="476"/>
    </row>
    <row r="94" spans="1:7">
      <c r="A94" s="455"/>
      <c r="B94" s="462" t="s">
        <v>101</v>
      </c>
      <c r="C94" s="476"/>
      <c r="D94" s="476"/>
      <c r="E94" s="476"/>
      <c r="F94" s="469">
        <f>G29</f>
        <v>0</v>
      </c>
      <c r="G94" s="476"/>
    </row>
    <row r="95" spans="1:7">
      <c r="A95" s="455"/>
      <c r="B95" s="462" t="s">
        <v>102</v>
      </c>
      <c r="C95" s="476"/>
      <c r="D95" s="476"/>
      <c r="E95" s="476"/>
      <c r="F95" s="469">
        <f>G30</f>
        <v>0</v>
      </c>
      <c r="G95" s="476"/>
    </row>
    <row r="96" spans="1:7">
      <c r="A96" s="455"/>
      <c r="B96" s="462" t="s">
        <v>160</v>
      </c>
      <c r="C96" s="476"/>
      <c r="D96" s="476"/>
      <c r="E96" s="476"/>
      <c r="F96" s="469">
        <f>G31</f>
        <v>0</v>
      </c>
      <c r="G96" s="476"/>
    </row>
    <row r="97" spans="1:7">
      <c r="A97" s="455"/>
      <c r="C97" s="476"/>
      <c r="D97" s="476"/>
      <c r="E97" s="476"/>
      <c r="F97" s="469"/>
      <c r="G97" s="476"/>
    </row>
    <row r="98" spans="1:7">
      <c r="A98" s="455"/>
      <c r="B98" s="462" t="s">
        <v>104</v>
      </c>
      <c r="C98" s="476"/>
      <c r="D98" s="476"/>
      <c r="E98" s="476"/>
      <c r="F98" s="469"/>
      <c r="G98" s="476"/>
    </row>
    <row r="99" spans="1:7">
      <c r="A99" s="455"/>
      <c r="B99" s="462" t="s">
        <v>153</v>
      </c>
      <c r="C99" s="476"/>
      <c r="D99" s="476"/>
      <c r="E99" s="476"/>
      <c r="F99" s="469">
        <f>G34</f>
        <v>0</v>
      </c>
      <c r="G99" s="476"/>
    </row>
    <row r="100" spans="1:7">
      <c r="A100" s="455"/>
      <c r="B100" s="462" t="s">
        <v>158</v>
      </c>
      <c r="C100" s="476"/>
      <c r="D100" s="476"/>
      <c r="E100" s="476"/>
      <c r="F100" s="469">
        <f>G35</f>
        <v>0</v>
      </c>
      <c r="G100" s="476"/>
    </row>
    <row r="101" spans="1:7">
      <c r="A101" s="455"/>
      <c r="B101" s="462" t="s">
        <v>156</v>
      </c>
      <c r="C101" s="476"/>
      <c r="D101" s="476"/>
      <c r="E101" s="476"/>
      <c r="F101" s="472">
        <f>G36</f>
        <v>0</v>
      </c>
      <c r="G101" s="476"/>
    </row>
    <row r="102" spans="1:7">
      <c r="A102" s="455"/>
      <c r="B102" s="462" t="s">
        <v>161</v>
      </c>
      <c r="C102" s="476"/>
      <c r="D102" s="476"/>
      <c r="E102" s="476"/>
      <c r="F102" s="469">
        <f>F99+F100+F101</f>
        <v>0</v>
      </c>
      <c r="G102" s="476"/>
    </row>
    <row r="103" spans="1:7">
      <c r="A103" s="455"/>
      <c r="B103" s="476"/>
      <c r="C103" s="476"/>
      <c r="D103" s="476"/>
      <c r="E103" s="476"/>
      <c r="F103" s="469"/>
      <c r="G103" s="476"/>
    </row>
    <row r="104" spans="1:7">
      <c r="A104" s="455"/>
      <c r="B104" s="476" t="s">
        <v>106</v>
      </c>
      <c r="C104" s="476"/>
      <c r="D104" s="476"/>
      <c r="E104" s="476"/>
      <c r="F104" s="471">
        <f>F86+F92+F94+F95+F96+F102</f>
        <v>0</v>
      </c>
      <c r="G104" s="476"/>
    </row>
    <row r="105" spans="1:7">
      <c r="A105" s="455"/>
      <c r="B105" s="476"/>
      <c r="C105" s="476"/>
      <c r="D105" s="476"/>
      <c r="E105" s="476"/>
      <c r="F105" s="469"/>
      <c r="G105" s="476"/>
    </row>
    <row r="106" spans="1:7">
      <c r="A106" s="455"/>
      <c r="B106" s="476" t="s">
        <v>227</v>
      </c>
      <c r="C106" s="476"/>
      <c r="D106" s="476"/>
      <c r="E106" s="476"/>
      <c r="F106" s="472">
        <f>F78-F104</f>
        <v>0</v>
      </c>
      <c r="G106" s="476"/>
    </row>
    <row r="107" spans="1:7">
      <c r="A107" s="455"/>
      <c r="B107" s="476"/>
      <c r="C107" s="476"/>
      <c r="D107" s="476"/>
      <c r="E107" s="476"/>
      <c r="F107" s="469"/>
      <c r="G107" s="476"/>
    </row>
    <row r="108" spans="1:7">
      <c r="A108" s="455"/>
      <c r="B108" s="476" t="s">
        <v>228</v>
      </c>
      <c r="C108" s="476"/>
      <c r="D108" s="476"/>
      <c r="E108" s="477"/>
      <c r="F108" s="469"/>
      <c r="G108" s="476"/>
    </row>
    <row r="109" spans="1:7" ht="12.75" thickBot="1">
      <c r="A109" s="455"/>
      <c r="B109" s="488" t="s">
        <v>229</v>
      </c>
      <c r="C109" s="489">
        <f>Inputs!$D$4</f>
        <v>1.2215999999999999E-2</v>
      </c>
      <c r="D109" s="476"/>
      <c r="E109" s="477"/>
      <c r="F109" s="475">
        <f>ROUND(F106*C109,0)</f>
        <v>0</v>
      </c>
      <c r="G109" s="476"/>
    </row>
    <row r="110" spans="1:7" ht="12.75" thickTop="1">
      <c r="A110" s="455"/>
      <c r="B110" s="476"/>
      <c r="C110" s="476"/>
      <c r="D110" s="476"/>
      <c r="E110" s="477"/>
      <c r="F110" s="476"/>
      <c r="G110" s="478"/>
    </row>
  </sheetData>
  <phoneticPr fontId="0" type="noConversion"/>
  <pageMargins left="0.75" right="0.75" top="0.5" bottom="0.5" header="0.5" footer="0.5"/>
  <pageSetup scale="90" orientation="portrait" r:id="rId1"/>
  <headerFooter alignWithMargins="0"/>
  <rowBreaks count="1" manualBreakCount="1">
    <brk id="64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6"/>
  <dimension ref="A1:G110"/>
  <sheetViews>
    <sheetView topLeftCell="A34" workbookViewId="0">
      <selection activeCell="F52" sqref="F52"/>
    </sheetView>
  </sheetViews>
  <sheetFormatPr defaultColWidth="12.42578125" defaultRowHeight="12"/>
  <cols>
    <col min="1" max="1" width="5.5703125" style="456" customWidth="1"/>
    <col min="2" max="2" width="26.140625" style="455" customWidth="1"/>
    <col min="3" max="3" width="12.42578125" style="455" customWidth="1"/>
    <col min="4" max="4" width="6.7109375" style="455" customWidth="1"/>
    <col min="5" max="16384" width="12.42578125" style="455"/>
  </cols>
  <sheetData>
    <row r="1" spans="1:7">
      <c r="A1" s="453" t="str">
        <f>Inputs!$D$6</f>
        <v>AVISTA UTILITIES</v>
      </c>
      <c r="B1" s="454"/>
      <c r="C1" s="453"/>
    </row>
    <row r="2" spans="1:7">
      <c r="A2" s="453" t="s">
        <v>142</v>
      </c>
      <c r="B2" s="454"/>
      <c r="C2" s="453"/>
      <c r="E2" s="453"/>
      <c r="F2" s="456" t="s">
        <v>299</v>
      </c>
      <c r="G2" s="453"/>
    </row>
    <row r="3" spans="1:7">
      <c r="A3" s="454" t="str">
        <f>WAElec09_08!$A$4</f>
        <v>TWELVE MONTHS ENDED SEPTEMBER 30, 2008</v>
      </c>
      <c r="B3" s="454"/>
      <c r="C3" s="453"/>
      <c r="E3" s="453"/>
      <c r="F3" s="456" t="s">
        <v>566</v>
      </c>
      <c r="G3" s="453"/>
    </row>
    <row r="4" spans="1:7">
      <c r="A4" s="453" t="s">
        <v>1</v>
      </c>
      <c r="B4" s="454"/>
      <c r="C4" s="453"/>
      <c r="E4" s="457"/>
      <c r="F4" s="458" t="s">
        <v>145</v>
      </c>
      <c r="G4" s="459"/>
    </row>
    <row r="5" spans="1:7">
      <c r="A5" s="456" t="s">
        <v>14</v>
      </c>
    </row>
    <row r="6" spans="1:7" s="456" customFormat="1">
      <c r="A6" s="456" t="s">
        <v>146</v>
      </c>
      <c r="B6" s="460" t="s">
        <v>36</v>
      </c>
      <c r="C6" s="460"/>
      <c r="E6" s="460" t="s">
        <v>147</v>
      </c>
      <c r="F6" s="460" t="s">
        <v>148</v>
      </c>
      <c r="G6" s="460" t="s">
        <v>128</v>
      </c>
    </row>
    <row r="7" spans="1:7">
      <c r="B7" s="462" t="s">
        <v>85</v>
      </c>
    </row>
    <row r="8" spans="1:7" s="465" customFormat="1">
      <c r="A8" s="463">
        <v>1</v>
      </c>
      <c r="B8" s="464" t="s">
        <v>86</v>
      </c>
      <c r="E8" s="466">
        <f>F8+G8</f>
        <v>0</v>
      </c>
      <c r="F8" s="466"/>
      <c r="G8" s="466"/>
    </row>
    <row r="9" spans="1:7">
      <c r="A9" s="456">
        <v>2</v>
      </c>
      <c r="B9" s="462" t="s">
        <v>87</v>
      </c>
      <c r="E9" s="467"/>
      <c r="F9" s="467"/>
      <c r="G9" s="467"/>
    </row>
    <row r="10" spans="1:7">
      <c r="A10" s="456">
        <v>3</v>
      </c>
      <c r="B10" s="462" t="s">
        <v>150</v>
      </c>
      <c r="E10" s="467"/>
      <c r="F10" s="467"/>
      <c r="G10" s="467"/>
    </row>
    <row r="11" spans="1:7">
      <c r="A11" s="456">
        <v>4</v>
      </c>
      <c r="B11" s="462" t="s">
        <v>151</v>
      </c>
      <c r="E11" s="468">
        <f>E8+E9+E10</f>
        <v>0</v>
      </c>
      <c r="F11" s="468">
        <f>F8+F9+F10</f>
        <v>0</v>
      </c>
      <c r="G11" s="468">
        <f>G8+G9+G10</f>
        <v>0</v>
      </c>
    </row>
    <row r="12" spans="1:7">
      <c r="A12" s="456">
        <v>5</v>
      </c>
      <c r="B12" s="462" t="s">
        <v>90</v>
      </c>
      <c r="E12" s="467">
        <f>SUM(F12:G12)</f>
        <v>0</v>
      </c>
      <c r="F12" s="467"/>
      <c r="G12" s="467">
        <v>0</v>
      </c>
    </row>
    <row r="13" spans="1:7">
      <c r="A13" s="456">
        <v>6</v>
      </c>
      <c r="B13" s="462" t="s">
        <v>152</v>
      </c>
      <c r="E13" s="468">
        <f>E11+E12</f>
        <v>0</v>
      </c>
      <c r="F13" s="468">
        <f>F11+F12</f>
        <v>0</v>
      </c>
      <c r="G13" s="468">
        <f>G11+G12</f>
        <v>0</v>
      </c>
    </row>
    <row r="14" spans="1:7">
      <c r="E14" s="469"/>
      <c r="F14" s="469"/>
      <c r="G14" s="469"/>
    </row>
    <row r="15" spans="1:7">
      <c r="B15" s="462" t="s">
        <v>92</v>
      </c>
      <c r="E15" s="469"/>
      <c r="F15" s="469"/>
      <c r="G15" s="469"/>
    </row>
    <row r="16" spans="1:7">
      <c r="B16" s="462" t="s">
        <v>93</v>
      </c>
      <c r="E16" s="469"/>
      <c r="F16" s="469"/>
      <c r="G16" s="469"/>
    </row>
    <row r="17" spans="1:7">
      <c r="A17" s="456">
        <v>7</v>
      </c>
      <c r="B17" s="462" t="s">
        <v>153</v>
      </c>
      <c r="E17" s="467"/>
      <c r="F17" s="467"/>
      <c r="G17" s="467"/>
    </row>
    <row r="18" spans="1:7">
      <c r="A18" s="456">
        <v>8</v>
      </c>
      <c r="B18" s="462" t="s">
        <v>154</v>
      </c>
      <c r="E18" s="467"/>
      <c r="F18" s="467"/>
      <c r="G18" s="467"/>
    </row>
    <row r="19" spans="1:7">
      <c r="A19" s="456">
        <v>9</v>
      </c>
      <c r="B19" s="462" t="s">
        <v>155</v>
      </c>
      <c r="E19" s="467">
        <f>F19+G19</f>
        <v>-77</v>
      </c>
      <c r="F19" s="467">
        <f>34-111</f>
        <v>-77</v>
      </c>
      <c r="G19" s="467">
        <v>0</v>
      </c>
    </row>
    <row r="20" spans="1:7">
      <c r="A20" s="456">
        <v>10</v>
      </c>
      <c r="B20" s="462" t="s">
        <v>156</v>
      </c>
      <c r="E20" s="467">
        <f>F20+G20</f>
        <v>0</v>
      </c>
      <c r="F20" s="467">
        <v>0</v>
      </c>
      <c r="G20" s="467">
        <v>0</v>
      </c>
    </row>
    <row r="21" spans="1:7">
      <c r="A21" s="456">
        <v>11</v>
      </c>
      <c r="B21" s="462" t="s">
        <v>157</v>
      </c>
      <c r="E21" s="468">
        <f>E17+E18+E19+E20</f>
        <v>-77</v>
      </c>
      <c r="F21" s="468">
        <f>F17+F18+F19+F20</f>
        <v>-77</v>
      </c>
      <c r="G21" s="468">
        <f>G17+G18+G19+G20</f>
        <v>0</v>
      </c>
    </row>
    <row r="22" spans="1:7">
      <c r="E22" s="469"/>
      <c r="F22" s="469"/>
      <c r="G22" s="469"/>
    </row>
    <row r="23" spans="1:7">
      <c r="B23" s="462" t="s">
        <v>98</v>
      </c>
      <c r="E23" s="469"/>
      <c r="F23" s="469"/>
      <c r="G23" s="469"/>
    </row>
    <row r="24" spans="1:7">
      <c r="A24" s="456">
        <v>12</v>
      </c>
      <c r="B24" s="462" t="s">
        <v>153</v>
      </c>
      <c r="E24" s="467"/>
      <c r="F24" s="467"/>
      <c r="G24" s="467"/>
    </row>
    <row r="25" spans="1:7">
      <c r="A25" s="456">
        <v>13</v>
      </c>
      <c r="B25" s="462" t="s">
        <v>158</v>
      </c>
      <c r="E25" s="467">
        <f>F25+G25</f>
        <v>296</v>
      </c>
      <c r="F25" s="467">
        <v>296</v>
      </c>
      <c r="G25" s="467">
        <v>0</v>
      </c>
    </row>
    <row r="26" spans="1:7">
      <c r="A26" s="456">
        <v>14</v>
      </c>
      <c r="B26" s="462" t="s">
        <v>156</v>
      </c>
      <c r="E26" s="467">
        <f>F26+G26</f>
        <v>0</v>
      </c>
      <c r="F26" s="467">
        <v>0</v>
      </c>
      <c r="G26" s="470">
        <f>F109</f>
        <v>0</v>
      </c>
    </row>
    <row r="27" spans="1:7">
      <c r="A27" s="456">
        <v>15</v>
      </c>
      <c r="B27" s="462" t="s">
        <v>159</v>
      </c>
      <c r="E27" s="468">
        <f>E24+E25+E26</f>
        <v>296</v>
      </c>
      <c r="F27" s="468">
        <f>F24+F25+F26</f>
        <v>296</v>
      </c>
      <c r="G27" s="468">
        <f>G24+G25+G26</f>
        <v>0</v>
      </c>
    </row>
    <row r="28" spans="1:7">
      <c r="E28" s="469"/>
      <c r="F28" s="469"/>
      <c r="G28" s="469"/>
    </row>
    <row r="29" spans="1:7">
      <c r="A29" s="456">
        <v>16</v>
      </c>
      <c r="B29" s="462" t="s">
        <v>101</v>
      </c>
      <c r="E29" s="467"/>
      <c r="F29" s="467"/>
      <c r="G29" s="467"/>
    </row>
    <row r="30" spans="1:7">
      <c r="A30" s="456">
        <v>17</v>
      </c>
      <c r="B30" s="462" t="s">
        <v>102</v>
      </c>
      <c r="E30" s="467"/>
      <c r="F30" s="467"/>
      <c r="G30" s="467"/>
    </row>
    <row r="31" spans="1:7">
      <c r="A31" s="456">
        <v>18</v>
      </c>
      <c r="B31" s="462" t="s">
        <v>160</v>
      </c>
      <c r="E31" s="467"/>
      <c r="F31" s="467"/>
      <c r="G31" s="467"/>
    </row>
    <row r="32" spans="1:7">
      <c r="E32" s="469"/>
      <c r="F32" s="469"/>
      <c r="G32" s="469"/>
    </row>
    <row r="33" spans="1:7">
      <c r="B33" s="462" t="s">
        <v>104</v>
      </c>
      <c r="E33" s="469"/>
      <c r="F33" s="469"/>
      <c r="G33" s="469"/>
    </row>
    <row r="34" spans="1:7">
      <c r="A34" s="456">
        <v>19</v>
      </c>
      <c r="B34" s="462" t="s">
        <v>153</v>
      </c>
      <c r="E34" s="467">
        <f>F34+G34</f>
        <v>0</v>
      </c>
      <c r="F34" s="467"/>
      <c r="G34" s="467"/>
    </row>
    <row r="35" spans="1:7">
      <c r="A35" s="456">
        <v>20</v>
      </c>
      <c r="B35" s="462" t="s">
        <v>158</v>
      </c>
      <c r="E35" s="467">
        <f>F35+G35</f>
        <v>509</v>
      </c>
      <c r="F35" s="467">
        <f>398+111</f>
        <v>509</v>
      </c>
      <c r="G35" s="467">
        <v>0</v>
      </c>
    </row>
    <row r="36" spans="1:7">
      <c r="A36" s="456">
        <v>21</v>
      </c>
      <c r="B36" s="462" t="s">
        <v>156</v>
      </c>
      <c r="E36" s="467">
        <f>F36+G36</f>
        <v>0</v>
      </c>
      <c r="F36" s="467">
        <v>0</v>
      </c>
      <c r="G36" s="467"/>
    </row>
    <row r="37" spans="1:7">
      <c r="A37" s="456">
        <v>22</v>
      </c>
      <c r="B37" s="462" t="s">
        <v>161</v>
      </c>
      <c r="E37" s="471">
        <f>E34+E35+E36</f>
        <v>509</v>
      </c>
      <c r="F37" s="471">
        <f>F34+F35+F36</f>
        <v>509</v>
      </c>
      <c r="G37" s="471">
        <f>G34+G35+G36</f>
        <v>0</v>
      </c>
    </row>
    <row r="38" spans="1:7">
      <c r="A38" s="456">
        <v>23</v>
      </c>
      <c r="B38" s="462" t="s">
        <v>106</v>
      </c>
      <c r="E38" s="472">
        <f>E21+E27+E29+E30+E31+E37</f>
        <v>728</v>
      </c>
      <c r="F38" s="472">
        <f>F21+F27+F29+F30+F31+F37</f>
        <v>728</v>
      </c>
      <c r="G38" s="472">
        <f>G21+G27+G29+G30+G31+G37</f>
        <v>0</v>
      </c>
    </row>
    <row r="39" spans="1:7">
      <c r="E39" s="469"/>
      <c r="F39" s="469"/>
      <c r="G39" s="469"/>
    </row>
    <row r="40" spans="1:7">
      <c r="A40" s="456">
        <v>24</v>
      </c>
      <c r="B40" s="462" t="s">
        <v>162</v>
      </c>
      <c r="E40" s="469">
        <f>E13-E38</f>
        <v>-728</v>
      </c>
      <c r="F40" s="469">
        <f>F13-F38</f>
        <v>-728</v>
      </c>
      <c r="G40" s="469">
        <f>G13-G38</f>
        <v>0</v>
      </c>
    </row>
    <row r="41" spans="1:7">
      <c r="B41" s="462"/>
      <c r="E41" s="469"/>
      <c r="F41" s="469"/>
      <c r="G41" s="469"/>
    </row>
    <row r="42" spans="1:7">
      <c r="B42" s="462" t="s">
        <v>163</v>
      </c>
      <c r="E42" s="469"/>
      <c r="F42" s="469"/>
      <c r="G42" s="469"/>
    </row>
    <row r="43" spans="1:7">
      <c r="A43" s="456">
        <v>25</v>
      </c>
      <c r="B43" s="462" t="s">
        <v>164</v>
      </c>
      <c r="D43" s="473">
        <v>0.35</v>
      </c>
      <c r="E43" s="467">
        <f>F43+G43</f>
        <v>-255</v>
      </c>
      <c r="F43" s="467">
        <f>ROUND(F40*D43,0)</f>
        <v>-255</v>
      </c>
      <c r="G43" s="467">
        <f>ROUND(G40*D43,0)</f>
        <v>0</v>
      </c>
    </row>
    <row r="44" spans="1:7">
      <c r="A44" s="456">
        <v>26</v>
      </c>
      <c r="B44" s="462" t="s">
        <v>165</v>
      </c>
      <c r="E44" s="467"/>
      <c r="F44" s="467"/>
      <c r="G44" s="467"/>
    </row>
    <row r="45" spans="1:7" ht="12.75">
      <c r="A45"/>
      <c r="B45"/>
      <c r="C45"/>
      <c r="D45"/>
      <c r="E45" s="913"/>
      <c r="F45" s="913"/>
      <c r="G45" s="913"/>
    </row>
    <row r="46" spans="1:7">
      <c r="A46" s="259"/>
      <c r="B46" s="262"/>
      <c r="C46" s="256"/>
      <c r="D46" s="256"/>
      <c r="E46" s="269"/>
      <c r="F46" s="269"/>
      <c r="G46" s="269"/>
    </row>
    <row r="47" spans="1:7" s="465" customFormat="1">
      <c r="A47" s="263">
        <v>27</v>
      </c>
      <c r="B47" s="264" t="s">
        <v>113</v>
      </c>
      <c r="C47" s="265"/>
      <c r="D47" s="265"/>
      <c r="E47" s="273">
        <f>E40-SUM(E43:E44)</f>
        <v>-473</v>
      </c>
      <c r="F47" s="273">
        <f>F40-SUM(F43:F44)</f>
        <v>-473</v>
      </c>
      <c r="G47" s="273">
        <f>G40-SUM(G43:G44)</f>
        <v>0</v>
      </c>
    </row>
    <row r="48" spans="1:7">
      <c r="A48" s="259"/>
    </row>
    <row r="49" spans="1:7">
      <c r="A49" s="259"/>
      <c r="B49" s="462" t="s">
        <v>114</v>
      </c>
    </row>
    <row r="50" spans="1:7">
      <c r="A50" s="259"/>
      <c r="B50" s="462" t="s">
        <v>115</v>
      </c>
    </row>
    <row r="51" spans="1:7" s="465" customFormat="1">
      <c r="A51" s="263">
        <v>28</v>
      </c>
      <c r="B51" s="464" t="s">
        <v>167</v>
      </c>
      <c r="E51" s="466">
        <f>F51+G51</f>
        <v>349</v>
      </c>
      <c r="F51" s="466">
        <v>349</v>
      </c>
      <c r="G51" s="466">
        <v>0</v>
      </c>
    </row>
    <row r="52" spans="1:7">
      <c r="A52" s="259">
        <v>29</v>
      </c>
      <c r="B52" s="462" t="s">
        <v>168</v>
      </c>
      <c r="E52" s="467">
        <f>F52+G52</f>
        <v>18107</v>
      </c>
      <c r="F52" s="467">
        <v>18107</v>
      </c>
      <c r="G52" s="467">
        <v>0</v>
      </c>
    </row>
    <row r="53" spans="1:7">
      <c r="A53" s="259">
        <v>30</v>
      </c>
      <c r="B53" s="462" t="s">
        <v>169</v>
      </c>
      <c r="E53" s="467">
        <f t="shared" ref="E53:E61" si="0">F53+G53</f>
        <v>9165</v>
      </c>
      <c r="F53" s="467">
        <v>9165</v>
      </c>
      <c r="G53" s="467">
        <v>0</v>
      </c>
    </row>
    <row r="54" spans="1:7">
      <c r="A54" s="259">
        <v>31</v>
      </c>
      <c r="B54" s="462" t="s">
        <v>170</v>
      </c>
      <c r="E54" s="467">
        <f t="shared" si="0"/>
        <v>26515</v>
      </c>
      <c r="F54" s="467">
        <v>26515</v>
      </c>
      <c r="G54" s="467">
        <v>0</v>
      </c>
    </row>
    <row r="55" spans="1:7">
      <c r="A55" s="259">
        <v>32</v>
      </c>
      <c r="B55" s="462" t="s">
        <v>171</v>
      </c>
      <c r="E55" s="467">
        <f t="shared" si="0"/>
        <v>9697</v>
      </c>
      <c r="F55" s="474">
        <v>9697</v>
      </c>
      <c r="G55" s="474">
        <v>0</v>
      </c>
    </row>
    <row r="56" spans="1:7">
      <c r="A56" s="259">
        <v>33</v>
      </c>
      <c r="B56" s="462" t="s">
        <v>172</v>
      </c>
      <c r="E56" s="468">
        <f>E51+E52+E53+E54+E55</f>
        <v>63833</v>
      </c>
      <c r="F56" s="469">
        <f>F51+F52+F53+F54+F55</f>
        <v>63833</v>
      </c>
      <c r="G56" s="469">
        <f>G51+G52+G53+G54+G55</f>
        <v>0</v>
      </c>
    </row>
    <row r="57" spans="1:7">
      <c r="A57" s="259">
        <v>34</v>
      </c>
      <c r="B57" s="462" t="s">
        <v>121</v>
      </c>
      <c r="E57" s="467">
        <f t="shared" si="0"/>
        <v>35387</v>
      </c>
      <c r="F57" s="467">
        <v>35387</v>
      </c>
      <c r="G57" s="467">
        <v>0</v>
      </c>
    </row>
    <row r="58" spans="1:7">
      <c r="A58" s="259">
        <v>35</v>
      </c>
      <c r="B58" s="462" t="s">
        <v>122</v>
      </c>
      <c r="E58" s="467">
        <f t="shared" si="0"/>
        <v>0</v>
      </c>
      <c r="F58" s="474"/>
      <c r="G58" s="474"/>
    </row>
    <row r="59" spans="1:7">
      <c r="A59" s="259">
        <v>36</v>
      </c>
      <c r="B59" s="462" t="s">
        <v>173</v>
      </c>
      <c r="E59" s="468">
        <f>E57+E58</f>
        <v>35387</v>
      </c>
      <c r="F59" s="469">
        <f>F57+F58</f>
        <v>35387</v>
      </c>
      <c r="G59" s="469">
        <f>G57+G58</f>
        <v>0</v>
      </c>
    </row>
    <row r="60" spans="1:7">
      <c r="A60" s="259">
        <v>37</v>
      </c>
      <c r="B60" s="462" t="s">
        <v>124</v>
      </c>
      <c r="E60" s="467">
        <f t="shared" si="0"/>
        <v>0</v>
      </c>
      <c r="F60" s="467"/>
      <c r="G60" s="467"/>
    </row>
    <row r="61" spans="1:7">
      <c r="A61" s="259">
        <v>38</v>
      </c>
      <c r="B61" s="462" t="s">
        <v>125</v>
      </c>
      <c r="E61" s="467">
        <f t="shared" si="0"/>
        <v>-7001</v>
      </c>
      <c r="F61" s="474">
        <v>-7001</v>
      </c>
      <c r="G61" s="474">
        <v>0</v>
      </c>
    </row>
    <row r="62" spans="1:7" ht="9" customHeight="1">
      <c r="A62" s="259"/>
      <c r="E62" s="1089"/>
    </row>
    <row r="63" spans="1:7" s="465" customFormat="1" ht="12.75" thickBot="1">
      <c r="A63" s="263">
        <v>39</v>
      </c>
      <c r="B63" s="464" t="s">
        <v>126</v>
      </c>
      <c r="E63" s="475">
        <f>E56-E59+E60+E61</f>
        <v>21445</v>
      </c>
      <c r="F63" s="475">
        <f>F56-F59+F60+F61</f>
        <v>21445</v>
      </c>
      <c r="G63" s="475">
        <f>G56-G59+G60+G61</f>
        <v>0</v>
      </c>
    </row>
    <row r="64" spans="1:7" ht="12.75" thickTop="1"/>
    <row r="65" spans="1:7">
      <c r="A65" s="454" t="str">
        <f>Inputs!$D$6</f>
        <v>AVISTA UTILITIES</v>
      </c>
      <c r="B65" s="454"/>
      <c r="C65" s="454"/>
      <c r="D65" s="476"/>
      <c r="E65" s="477"/>
      <c r="F65" s="476"/>
      <c r="G65" s="478"/>
    </row>
    <row r="66" spans="1:7">
      <c r="A66" s="454" t="s">
        <v>225</v>
      </c>
      <c r="B66" s="454"/>
      <c r="C66" s="454"/>
      <c r="D66" s="476"/>
      <c r="E66" s="477"/>
      <c r="F66" s="476"/>
      <c r="G66" s="478"/>
    </row>
    <row r="67" spans="1:7">
      <c r="A67" s="454" t="str">
        <f>A3</f>
        <v>TWELVE MONTHS ENDED SEPTEMBER 30, 2008</v>
      </c>
      <c r="B67" s="454"/>
      <c r="C67" s="454"/>
      <c r="D67" s="476"/>
      <c r="E67" s="477"/>
      <c r="F67" s="479" t="str">
        <f>F2</f>
        <v>PRO FORMA</v>
      </c>
      <c r="G67" s="476"/>
    </row>
    <row r="68" spans="1:7">
      <c r="A68" s="454" t="s">
        <v>226</v>
      </c>
      <c r="B68" s="454"/>
      <c r="C68" s="454"/>
      <c r="D68" s="476"/>
      <c r="E68" s="477"/>
      <c r="F68" s="479" t="str">
        <f>F3</f>
        <v>CAPITAL ADDITIONS 2008</v>
      </c>
      <c r="G68" s="476"/>
    </row>
    <row r="69" spans="1:7">
      <c r="B69" s="476"/>
      <c r="C69" s="476"/>
      <c r="D69" s="476"/>
      <c r="E69" s="480"/>
      <c r="F69" s="481" t="str">
        <f>F4</f>
        <v>ELECTRIC</v>
      </c>
      <c r="G69" s="476"/>
    </row>
    <row r="70" spans="1:7">
      <c r="B70" s="476"/>
      <c r="C70" s="476"/>
      <c r="D70" s="476"/>
      <c r="E70" s="477"/>
      <c r="F70" s="479"/>
      <c r="G70" s="483"/>
    </row>
    <row r="71" spans="1:7">
      <c r="B71" s="484" t="s">
        <v>134</v>
      </c>
      <c r="C71" s="485"/>
      <c r="D71" s="476"/>
      <c r="E71" s="477"/>
      <c r="F71" s="481" t="s">
        <v>128</v>
      </c>
      <c r="G71" s="476"/>
    </row>
    <row r="72" spans="1:7">
      <c r="B72" s="462" t="s">
        <v>85</v>
      </c>
      <c r="C72" s="476"/>
      <c r="D72" s="476"/>
      <c r="E72" s="476"/>
      <c r="F72" s="478"/>
      <c r="G72" s="476"/>
    </row>
    <row r="73" spans="1:7">
      <c r="B73" s="464" t="s">
        <v>86</v>
      </c>
      <c r="C73" s="476"/>
      <c r="D73" s="476"/>
      <c r="E73" s="476"/>
      <c r="F73" s="486">
        <f>G8</f>
        <v>0</v>
      </c>
      <c r="G73" s="476"/>
    </row>
    <row r="74" spans="1:7">
      <c r="B74" s="462" t="s">
        <v>87</v>
      </c>
      <c r="C74" s="476"/>
      <c r="D74" s="476"/>
      <c r="E74" s="476"/>
      <c r="F74" s="469">
        <f>G9</f>
        <v>0</v>
      </c>
      <c r="G74" s="476"/>
    </row>
    <row r="75" spans="1:7">
      <c r="B75" s="462" t="s">
        <v>150</v>
      </c>
      <c r="C75" s="476"/>
      <c r="D75" s="476"/>
      <c r="E75" s="476"/>
      <c r="F75" s="472">
        <f>G10</f>
        <v>0</v>
      </c>
      <c r="G75" s="476"/>
    </row>
    <row r="76" spans="1:7">
      <c r="B76" s="462" t="s">
        <v>151</v>
      </c>
      <c r="C76" s="476"/>
      <c r="D76" s="476"/>
      <c r="E76" s="476"/>
      <c r="F76" s="469">
        <f>SUM(F73:F75)</f>
        <v>0</v>
      </c>
      <c r="G76" s="476"/>
    </row>
    <row r="77" spans="1:7">
      <c r="B77" s="462" t="s">
        <v>90</v>
      </c>
      <c r="C77" s="476"/>
      <c r="D77" s="476"/>
      <c r="E77" s="476"/>
      <c r="F77" s="472">
        <f>G12</f>
        <v>0</v>
      </c>
      <c r="G77" s="476"/>
    </row>
    <row r="78" spans="1:7">
      <c r="B78" s="462" t="s">
        <v>152</v>
      </c>
      <c r="C78" s="476"/>
      <c r="D78" s="476"/>
      <c r="E78" s="476"/>
      <c r="F78" s="469">
        <f>F76+F77</f>
        <v>0</v>
      </c>
      <c r="G78" s="476"/>
    </row>
    <row r="79" spans="1:7">
      <c r="C79" s="476"/>
      <c r="D79" s="476"/>
      <c r="E79" s="476"/>
      <c r="F79" s="469"/>
      <c r="G79" s="476"/>
    </row>
    <row r="80" spans="1:7">
      <c r="B80" s="462" t="s">
        <v>92</v>
      </c>
      <c r="C80" s="476"/>
      <c r="D80" s="476"/>
      <c r="E80" s="476"/>
      <c r="F80" s="469"/>
      <c r="G80" s="476"/>
    </row>
    <row r="81" spans="1:7">
      <c r="B81" s="462" t="s">
        <v>93</v>
      </c>
      <c r="C81" s="476"/>
      <c r="D81" s="476"/>
      <c r="E81" s="476"/>
      <c r="F81" s="469"/>
      <c r="G81" s="476"/>
    </row>
    <row r="82" spans="1:7">
      <c r="B82" s="462" t="s">
        <v>153</v>
      </c>
      <c r="C82" s="476"/>
      <c r="D82" s="476"/>
      <c r="E82" s="476"/>
      <c r="F82" s="469">
        <f>G17</f>
        <v>0</v>
      </c>
      <c r="G82" s="476"/>
    </row>
    <row r="83" spans="1:7">
      <c r="B83" s="462" t="s">
        <v>154</v>
      </c>
      <c r="C83" s="476"/>
      <c r="D83" s="476"/>
      <c r="E83" s="476"/>
      <c r="F83" s="469">
        <f>G18</f>
        <v>0</v>
      </c>
      <c r="G83" s="476"/>
    </row>
    <row r="84" spans="1:7">
      <c r="B84" s="462" t="s">
        <v>155</v>
      </c>
      <c r="C84" s="476"/>
      <c r="D84" s="476"/>
      <c r="E84" s="476"/>
      <c r="F84" s="469">
        <f>G19</f>
        <v>0</v>
      </c>
      <c r="G84" s="476"/>
    </row>
    <row r="85" spans="1:7">
      <c r="B85" s="462" t="s">
        <v>156</v>
      </c>
      <c r="C85" s="476"/>
      <c r="D85" s="476"/>
      <c r="E85" s="476"/>
      <c r="F85" s="472">
        <f>G20</f>
        <v>0</v>
      </c>
      <c r="G85" s="476"/>
    </row>
    <row r="86" spans="1:7">
      <c r="B86" s="462" t="s">
        <v>157</v>
      </c>
      <c r="C86" s="476"/>
      <c r="D86" s="476"/>
      <c r="E86" s="476"/>
      <c r="F86" s="469">
        <f>SUM(F82:F85)</f>
        <v>0</v>
      </c>
      <c r="G86" s="476"/>
    </row>
    <row r="87" spans="1:7">
      <c r="C87" s="476"/>
      <c r="D87" s="476"/>
      <c r="E87" s="476"/>
      <c r="F87" s="469"/>
      <c r="G87" s="476"/>
    </row>
    <row r="88" spans="1:7">
      <c r="B88" s="462" t="s">
        <v>98</v>
      </c>
      <c r="C88" s="476"/>
      <c r="D88" s="476"/>
      <c r="E88" s="476"/>
      <c r="F88" s="469"/>
      <c r="G88" s="476"/>
    </row>
    <row r="89" spans="1:7">
      <c r="B89" s="462" t="s">
        <v>153</v>
      </c>
      <c r="C89" s="476"/>
      <c r="D89" s="476"/>
      <c r="E89" s="476"/>
      <c r="F89" s="469">
        <f>G24</f>
        <v>0</v>
      </c>
      <c r="G89" s="476"/>
    </row>
    <row r="90" spans="1:7">
      <c r="B90" s="462" t="s">
        <v>158</v>
      </c>
      <c r="C90" s="476"/>
      <c r="D90" s="476"/>
      <c r="E90" s="476"/>
      <c r="F90" s="469">
        <f>G25</f>
        <v>0</v>
      </c>
      <c r="G90" s="476"/>
    </row>
    <row r="91" spans="1:7">
      <c r="A91" s="455"/>
      <c r="B91" s="462" t="s">
        <v>156</v>
      </c>
      <c r="C91" s="476"/>
      <c r="D91" s="476"/>
      <c r="E91" s="476"/>
      <c r="F91" s="469">
        <v>0</v>
      </c>
      <c r="G91" s="476"/>
    </row>
    <row r="92" spans="1:7">
      <c r="A92" s="455"/>
      <c r="B92" s="462" t="s">
        <v>159</v>
      </c>
      <c r="C92" s="476"/>
      <c r="D92" s="476"/>
      <c r="E92" s="476"/>
      <c r="F92" s="468">
        <f>SUM(F89:F91)</f>
        <v>0</v>
      </c>
      <c r="G92" s="476"/>
    </row>
    <row r="93" spans="1:7">
      <c r="A93" s="455"/>
      <c r="C93" s="476"/>
      <c r="D93" s="476"/>
      <c r="E93" s="476"/>
      <c r="F93" s="469"/>
      <c r="G93" s="476"/>
    </row>
    <row r="94" spans="1:7">
      <c r="A94" s="455"/>
      <c r="B94" s="462" t="s">
        <v>101</v>
      </c>
      <c r="C94" s="476"/>
      <c r="D94" s="476"/>
      <c r="E94" s="476"/>
      <c r="F94" s="469">
        <f>G29</f>
        <v>0</v>
      </c>
      <c r="G94" s="476"/>
    </row>
    <row r="95" spans="1:7">
      <c r="A95" s="455"/>
      <c r="B95" s="462" t="s">
        <v>102</v>
      </c>
      <c r="C95" s="476"/>
      <c r="D95" s="476"/>
      <c r="E95" s="476"/>
      <c r="F95" s="469">
        <f>G30</f>
        <v>0</v>
      </c>
      <c r="G95" s="476"/>
    </row>
    <row r="96" spans="1:7">
      <c r="A96" s="455"/>
      <c r="B96" s="462" t="s">
        <v>160</v>
      </c>
      <c r="C96" s="476"/>
      <c r="D96" s="476"/>
      <c r="E96" s="476"/>
      <c r="F96" s="469">
        <f>G31</f>
        <v>0</v>
      </c>
      <c r="G96" s="476"/>
    </row>
    <row r="97" spans="1:7">
      <c r="A97" s="455"/>
      <c r="C97" s="476"/>
      <c r="D97" s="476"/>
      <c r="E97" s="476"/>
      <c r="F97" s="469"/>
      <c r="G97" s="476"/>
    </row>
    <row r="98" spans="1:7">
      <c r="A98" s="455"/>
      <c r="B98" s="462" t="s">
        <v>104</v>
      </c>
      <c r="C98" s="476"/>
      <c r="D98" s="476"/>
      <c r="E98" s="476"/>
      <c r="F98" s="469"/>
      <c r="G98" s="476"/>
    </row>
    <row r="99" spans="1:7">
      <c r="A99" s="455"/>
      <c r="B99" s="462" t="s">
        <v>153</v>
      </c>
      <c r="C99" s="476"/>
      <c r="D99" s="476"/>
      <c r="E99" s="476"/>
      <c r="F99" s="469">
        <f>G34</f>
        <v>0</v>
      </c>
      <c r="G99" s="476"/>
    </row>
    <row r="100" spans="1:7">
      <c r="A100" s="455"/>
      <c r="B100" s="462" t="s">
        <v>158</v>
      </c>
      <c r="C100" s="476"/>
      <c r="D100" s="476"/>
      <c r="E100" s="476"/>
      <c r="F100" s="469">
        <f>G35</f>
        <v>0</v>
      </c>
      <c r="G100" s="476"/>
    </row>
    <row r="101" spans="1:7">
      <c r="A101" s="455"/>
      <c r="B101" s="462" t="s">
        <v>156</v>
      </c>
      <c r="C101" s="476"/>
      <c r="D101" s="476"/>
      <c r="E101" s="476"/>
      <c r="F101" s="472">
        <f>G36</f>
        <v>0</v>
      </c>
      <c r="G101" s="476"/>
    </row>
    <row r="102" spans="1:7">
      <c r="A102" s="455"/>
      <c r="B102" s="462" t="s">
        <v>161</v>
      </c>
      <c r="C102" s="476"/>
      <c r="D102" s="476"/>
      <c r="E102" s="476"/>
      <c r="F102" s="469">
        <f>F99+F100+F101</f>
        <v>0</v>
      </c>
      <c r="G102" s="476"/>
    </row>
    <row r="103" spans="1:7">
      <c r="A103" s="455"/>
      <c r="B103" s="476"/>
      <c r="C103" s="476"/>
      <c r="D103" s="476"/>
      <c r="E103" s="476"/>
      <c r="F103" s="469"/>
      <c r="G103" s="476"/>
    </row>
    <row r="104" spans="1:7">
      <c r="A104" s="455"/>
      <c r="B104" s="476" t="s">
        <v>106</v>
      </c>
      <c r="C104" s="476"/>
      <c r="D104" s="476"/>
      <c r="E104" s="476"/>
      <c r="F104" s="471">
        <f>F86+F92+F94+F95+F96+F102</f>
        <v>0</v>
      </c>
      <c r="G104" s="476"/>
    </row>
    <row r="105" spans="1:7">
      <c r="A105" s="455"/>
      <c r="B105" s="476"/>
      <c r="C105" s="476"/>
      <c r="D105" s="476"/>
      <c r="E105" s="476"/>
      <c r="F105" s="469"/>
      <c r="G105" s="476"/>
    </row>
    <row r="106" spans="1:7">
      <c r="A106" s="455"/>
      <c r="B106" s="476" t="s">
        <v>227</v>
      </c>
      <c r="C106" s="476"/>
      <c r="D106" s="476"/>
      <c r="E106" s="476"/>
      <c r="F106" s="472">
        <f>F78-F104</f>
        <v>0</v>
      </c>
      <c r="G106" s="476"/>
    </row>
    <row r="107" spans="1:7">
      <c r="A107" s="455"/>
      <c r="B107" s="476"/>
      <c r="C107" s="476"/>
      <c r="D107" s="476"/>
      <c r="E107" s="476"/>
      <c r="F107" s="469"/>
      <c r="G107" s="476"/>
    </row>
    <row r="108" spans="1:7">
      <c r="A108" s="455"/>
      <c r="B108" s="476" t="s">
        <v>228</v>
      </c>
      <c r="C108" s="476"/>
      <c r="D108" s="476"/>
      <c r="E108" s="477"/>
      <c r="F108" s="469"/>
      <c r="G108" s="476"/>
    </row>
    <row r="109" spans="1:7" ht="12.75" thickBot="1">
      <c r="A109" s="455"/>
      <c r="B109" s="488" t="s">
        <v>229</v>
      </c>
      <c r="C109" s="489">
        <f>Inputs!$D$4</f>
        <v>1.2215999999999999E-2</v>
      </c>
      <c r="D109" s="476"/>
      <c r="E109" s="477"/>
      <c r="F109" s="475">
        <f>ROUND(F106*C109,0)</f>
        <v>0</v>
      </c>
      <c r="G109" s="476"/>
    </row>
    <row r="110" spans="1:7" ht="12.75" thickTop="1">
      <c r="A110" s="455"/>
      <c r="B110" s="476"/>
      <c r="C110" s="476"/>
      <c r="D110" s="476"/>
      <c r="E110" s="477"/>
      <c r="F110" s="476"/>
      <c r="G110" s="478"/>
    </row>
  </sheetData>
  <phoneticPr fontId="0" type="noConversion"/>
  <pageMargins left="0.75" right="0.75" top="0.5" bottom="0.5" header="0.5" footer="0.5"/>
  <pageSetup scale="90" orientation="portrait" r:id="rId1"/>
  <headerFooter alignWithMargins="0"/>
  <rowBreaks count="1" manualBreakCount="1">
    <brk id="64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7"/>
  <dimension ref="A1:H110"/>
  <sheetViews>
    <sheetView topLeftCell="A37" zoomScaleNormal="100" workbookViewId="0">
      <selection activeCell="F62" sqref="F62"/>
    </sheetView>
  </sheetViews>
  <sheetFormatPr defaultRowHeight="12.75"/>
  <cols>
    <col min="1" max="1" width="5.5703125" style="47" customWidth="1"/>
    <col min="2" max="2" width="26.140625" style="44" customWidth="1"/>
    <col min="3" max="3" width="12.42578125" style="44" customWidth="1"/>
    <col min="4" max="4" width="6.7109375" style="44" customWidth="1"/>
    <col min="5" max="8" width="12.42578125" style="44" customWidth="1"/>
  </cols>
  <sheetData>
    <row r="1" spans="1:8">
      <c r="A1" s="42" t="str">
        <f>Inputs!$D$6</f>
        <v>AVISTA UTILITIES</v>
      </c>
      <c r="B1" s="43"/>
      <c r="C1" s="42"/>
    </row>
    <row r="2" spans="1:8">
      <c r="A2" s="42" t="s">
        <v>142</v>
      </c>
      <c r="B2" s="43"/>
      <c r="C2" s="42"/>
      <c r="E2" s="42"/>
      <c r="F2" s="456" t="s">
        <v>299</v>
      </c>
      <c r="G2" s="42"/>
    </row>
    <row r="3" spans="1:8">
      <c r="A3" s="43" t="str">
        <f>WAElec09_08!$A$4</f>
        <v>TWELVE MONTHS ENDED SEPTEMBER 30, 2008</v>
      </c>
      <c r="B3" s="43"/>
      <c r="C3" s="42"/>
      <c r="E3" s="42"/>
      <c r="F3" s="456" t="s">
        <v>567</v>
      </c>
      <c r="G3" s="42"/>
    </row>
    <row r="4" spans="1:8">
      <c r="A4" s="42" t="s">
        <v>1</v>
      </c>
      <c r="B4" s="43"/>
      <c r="C4" s="42"/>
      <c r="E4" s="45"/>
      <c r="F4" s="670" t="s">
        <v>145</v>
      </c>
      <c r="G4" s="46"/>
    </row>
    <row r="5" spans="1:8">
      <c r="A5" s="47" t="s">
        <v>14</v>
      </c>
    </row>
    <row r="6" spans="1:8">
      <c r="A6" s="47" t="s">
        <v>146</v>
      </c>
      <c r="B6" s="48" t="s">
        <v>36</v>
      </c>
      <c r="C6" s="48"/>
      <c r="D6" s="47"/>
      <c r="E6" s="48" t="s">
        <v>147</v>
      </c>
      <c r="F6" s="48" t="s">
        <v>148</v>
      </c>
      <c r="G6" s="48" t="s">
        <v>128</v>
      </c>
      <c r="H6" s="49" t="s">
        <v>149</v>
      </c>
    </row>
    <row r="7" spans="1:8">
      <c r="B7" s="50" t="s">
        <v>85</v>
      </c>
    </row>
    <row r="8" spans="1:8">
      <c r="A8" s="51">
        <v>1</v>
      </c>
      <c r="B8" s="52" t="s">
        <v>86</v>
      </c>
      <c r="C8" s="53"/>
      <c r="D8" s="53"/>
      <c r="E8" s="54">
        <f>F8+G8</f>
        <v>0</v>
      </c>
      <c r="F8" s="54">
        <v>0</v>
      </c>
      <c r="G8" s="54">
        <v>0</v>
      </c>
      <c r="H8" s="53" t="str">
        <f t="shared" ref="H8:H13" si="0">IF(E8=F8+G8," ","ERROR")</f>
        <v xml:space="preserve"> </v>
      </c>
    </row>
    <row r="9" spans="1:8">
      <c r="A9" s="47">
        <v>2</v>
      </c>
      <c r="B9" s="50" t="s">
        <v>87</v>
      </c>
      <c r="E9" s="55"/>
      <c r="F9" s="55"/>
      <c r="G9" s="55"/>
      <c r="H9" s="53" t="str">
        <f t="shared" si="0"/>
        <v xml:space="preserve"> </v>
      </c>
    </row>
    <row r="10" spans="1:8">
      <c r="A10" s="47">
        <v>3</v>
      </c>
      <c r="B10" s="50" t="s">
        <v>150</v>
      </c>
      <c r="E10" s="55"/>
      <c r="F10" s="55"/>
      <c r="G10" s="55"/>
      <c r="H10" s="53" t="str">
        <f t="shared" si="0"/>
        <v xml:space="preserve"> </v>
      </c>
    </row>
    <row r="11" spans="1:8">
      <c r="A11" s="47">
        <v>4</v>
      </c>
      <c r="B11" s="50" t="s">
        <v>151</v>
      </c>
      <c r="E11" s="56">
        <f>E8+E9+E10</f>
        <v>0</v>
      </c>
      <c r="F11" s="56">
        <f>F8+F9+F10</f>
        <v>0</v>
      </c>
      <c r="G11" s="56">
        <f>G8+G9+G10</f>
        <v>0</v>
      </c>
      <c r="H11" s="53" t="str">
        <f t="shared" si="0"/>
        <v xml:space="preserve"> </v>
      </c>
    </row>
    <row r="12" spans="1:8">
      <c r="A12" s="47">
        <v>5</v>
      </c>
      <c r="B12" s="50" t="s">
        <v>90</v>
      </c>
      <c r="E12" s="55"/>
      <c r="F12" s="55"/>
      <c r="G12" s="55"/>
      <c r="H12" s="53" t="str">
        <f t="shared" si="0"/>
        <v xml:space="preserve"> </v>
      </c>
    </row>
    <row r="13" spans="1:8">
      <c r="A13" s="47">
        <v>6</v>
      </c>
      <c r="B13" s="50" t="s">
        <v>152</v>
      </c>
      <c r="E13" s="56">
        <f>E11+E12</f>
        <v>0</v>
      </c>
      <c r="F13" s="56">
        <f>F11+F12</f>
        <v>0</v>
      </c>
      <c r="G13" s="56">
        <f>G11+G12</f>
        <v>0</v>
      </c>
      <c r="H13" s="53" t="str">
        <f t="shared" si="0"/>
        <v xml:space="preserve"> </v>
      </c>
    </row>
    <row r="14" spans="1:8">
      <c r="E14" s="58"/>
      <c r="F14" s="58"/>
      <c r="G14" s="58"/>
      <c r="H14" s="53"/>
    </row>
    <row r="15" spans="1:8">
      <c r="B15" s="50" t="s">
        <v>92</v>
      </c>
      <c r="E15" s="58"/>
      <c r="F15" s="58"/>
      <c r="G15" s="58"/>
      <c r="H15" s="53"/>
    </row>
    <row r="16" spans="1:8">
      <c r="B16" s="50" t="s">
        <v>93</v>
      </c>
      <c r="E16" s="58"/>
      <c r="F16" s="58"/>
      <c r="G16" s="58"/>
      <c r="H16" s="53"/>
    </row>
    <row r="17" spans="1:8">
      <c r="A17" s="47">
        <v>7</v>
      </c>
      <c r="B17" s="50" t="s">
        <v>153</v>
      </c>
      <c r="E17" s="55">
        <f>F17+G17</f>
        <v>0</v>
      </c>
      <c r="F17" s="55"/>
      <c r="G17" s="55"/>
      <c r="H17" s="53" t="str">
        <f>IF(E17=F17+G17," ","ERROR")</f>
        <v xml:space="preserve"> </v>
      </c>
    </row>
    <row r="18" spans="1:8">
      <c r="A18" s="47">
        <v>8</v>
      </c>
      <c r="B18" s="50" t="s">
        <v>154</v>
      </c>
      <c r="E18" s="55"/>
      <c r="F18" s="55"/>
      <c r="G18" s="55"/>
      <c r="H18" s="53" t="str">
        <f>IF(E18=F18+G18," ","ERROR")</f>
        <v xml:space="preserve"> </v>
      </c>
    </row>
    <row r="19" spans="1:8">
      <c r="A19" s="47">
        <v>9</v>
      </c>
      <c r="B19" s="50" t="s">
        <v>155</v>
      </c>
      <c r="E19" s="55">
        <f>F19+G19</f>
        <v>722</v>
      </c>
      <c r="F19" s="55">
        <f>572+150</f>
        <v>722</v>
      </c>
      <c r="G19" s="55">
        <v>0</v>
      </c>
      <c r="H19" s="53" t="str">
        <f>IF(E19=F19+G19," ","ERROR")</f>
        <v xml:space="preserve"> </v>
      </c>
    </row>
    <row r="20" spans="1:8">
      <c r="A20" s="47">
        <v>10</v>
      </c>
      <c r="B20" s="50" t="s">
        <v>156</v>
      </c>
      <c r="E20" s="55">
        <f>F20+G20</f>
        <v>477</v>
      </c>
      <c r="F20" s="55">
        <f>369+108</f>
        <v>477</v>
      </c>
      <c r="G20" s="55">
        <v>0</v>
      </c>
      <c r="H20" s="53" t="str">
        <f>IF(E20=F20+G20," ","ERROR")</f>
        <v xml:space="preserve"> </v>
      </c>
    </row>
    <row r="21" spans="1:8">
      <c r="A21" s="47">
        <v>11</v>
      </c>
      <c r="B21" s="50" t="s">
        <v>157</v>
      </c>
      <c r="E21" s="56">
        <f>E17+E18+E19+E20</f>
        <v>1199</v>
      </c>
      <c r="F21" s="56">
        <f>F17+F18+F19+F20</f>
        <v>1199</v>
      </c>
      <c r="G21" s="56">
        <f>G17+G18+G19+G20</f>
        <v>0</v>
      </c>
      <c r="H21" s="53" t="str">
        <f>IF(E21=F21+G21," ","ERROR")</f>
        <v xml:space="preserve"> </v>
      </c>
    </row>
    <row r="22" spans="1:8">
      <c r="E22" s="58"/>
      <c r="F22" s="58"/>
      <c r="G22" s="58"/>
      <c r="H22" s="53"/>
    </row>
    <row r="23" spans="1:8">
      <c r="B23" s="50" t="s">
        <v>98</v>
      </c>
      <c r="E23" s="58"/>
      <c r="F23" s="58"/>
      <c r="G23" s="58"/>
      <c r="H23" s="53"/>
    </row>
    <row r="24" spans="1:8">
      <c r="A24" s="47">
        <v>12</v>
      </c>
      <c r="B24" s="50" t="s">
        <v>153</v>
      </c>
      <c r="E24" s="55"/>
      <c r="F24" s="55"/>
      <c r="G24" s="55"/>
      <c r="H24" s="53" t="str">
        <f>IF(E24=F24+G24," ","ERROR")</f>
        <v xml:space="preserve"> </v>
      </c>
    </row>
    <row r="25" spans="1:8">
      <c r="A25" s="47">
        <v>13</v>
      </c>
      <c r="B25" s="50" t="s">
        <v>158</v>
      </c>
      <c r="E25" s="55">
        <f>F25+G25</f>
        <v>810</v>
      </c>
      <c r="F25" s="55">
        <v>810</v>
      </c>
      <c r="G25" s="55">
        <v>0</v>
      </c>
      <c r="H25" s="53" t="str">
        <f>IF(E25=F25+G25," ","ERROR")</f>
        <v xml:space="preserve"> </v>
      </c>
    </row>
    <row r="26" spans="1:8">
      <c r="A26" s="47">
        <v>14</v>
      </c>
      <c r="B26" s="50" t="s">
        <v>156</v>
      </c>
      <c r="E26" s="55">
        <f>F26+G26</f>
        <v>429</v>
      </c>
      <c r="F26" s="55">
        <v>429</v>
      </c>
      <c r="G26" s="1131">
        <f>F109</f>
        <v>0</v>
      </c>
      <c r="H26" s="53" t="str">
        <f>IF(E26=F26+G26," ","ERROR")</f>
        <v xml:space="preserve"> </v>
      </c>
    </row>
    <row r="27" spans="1:8">
      <c r="A27" s="47">
        <v>15</v>
      </c>
      <c r="B27" s="50" t="s">
        <v>159</v>
      </c>
      <c r="E27" s="56">
        <f>E24+E25+E26</f>
        <v>1239</v>
      </c>
      <c r="F27" s="56">
        <f>F24+F25+F26</f>
        <v>1239</v>
      </c>
      <c r="G27" s="56">
        <f>G24+G25+G26</f>
        <v>0</v>
      </c>
      <c r="H27" s="53" t="str">
        <f>IF(E27=F27+G27," ","ERROR")</f>
        <v xml:space="preserve"> </v>
      </c>
    </row>
    <row r="28" spans="1:8">
      <c r="E28" s="58"/>
      <c r="F28" s="58"/>
      <c r="G28" s="58"/>
      <c r="H28" s="53"/>
    </row>
    <row r="29" spans="1:8">
      <c r="A29" s="47">
        <v>16</v>
      </c>
      <c r="B29" s="50" t="s">
        <v>101</v>
      </c>
      <c r="E29" s="55">
        <f>SUM(F29:G29)</f>
        <v>0</v>
      </c>
      <c r="F29" s="55">
        <v>0</v>
      </c>
      <c r="G29" s="55">
        <v>0</v>
      </c>
      <c r="H29" s="53" t="str">
        <f>IF(E29=F29+G29," ","ERROR")</f>
        <v xml:space="preserve"> </v>
      </c>
    </row>
    <row r="30" spans="1:8">
      <c r="A30" s="47">
        <v>17</v>
      </c>
      <c r="B30" s="50" t="s">
        <v>102</v>
      </c>
      <c r="E30" s="55"/>
      <c r="F30" s="55"/>
      <c r="G30" s="55"/>
      <c r="H30" s="53" t="str">
        <f>IF(E30=F30+G30," ","ERROR")</f>
        <v xml:space="preserve"> </v>
      </c>
    </row>
    <row r="31" spans="1:8">
      <c r="A31" s="47">
        <v>18</v>
      </c>
      <c r="B31" s="50" t="s">
        <v>160</v>
      </c>
      <c r="E31" s="55"/>
      <c r="F31" s="55"/>
      <c r="G31" s="55"/>
      <c r="H31" s="53" t="str">
        <f>IF(E31=F31+G31," ","ERROR")</f>
        <v xml:space="preserve"> </v>
      </c>
    </row>
    <row r="32" spans="1:8">
      <c r="E32" s="58"/>
      <c r="F32" s="58"/>
      <c r="G32" s="58"/>
      <c r="H32" s="53"/>
    </row>
    <row r="33" spans="1:8">
      <c r="B33" s="50" t="s">
        <v>104</v>
      </c>
      <c r="E33" s="58"/>
      <c r="F33" s="58"/>
      <c r="G33" s="58"/>
      <c r="H33" s="53"/>
    </row>
    <row r="34" spans="1:8">
      <c r="A34" s="47">
        <v>19</v>
      </c>
      <c r="B34" s="50" t="s">
        <v>153</v>
      </c>
      <c r="E34" s="55">
        <f>SUM(F34:G34)</f>
        <v>0</v>
      </c>
      <c r="F34" s="55">
        <v>0</v>
      </c>
      <c r="G34" s="55">
        <v>0</v>
      </c>
      <c r="H34" s="53" t="str">
        <f>IF(E34=F34+G34," ","ERROR")</f>
        <v xml:space="preserve"> </v>
      </c>
    </row>
    <row r="35" spans="1:8">
      <c r="A35" s="47">
        <v>20</v>
      </c>
      <c r="B35" s="50" t="s">
        <v>158</v>
      </c>
      <c r="E35" s="55">
        <f>SUM(F35:G35)</f>
        <v>1784</v>
      </c>
      <c r="F35" s="55">
        <f>1100+684</f>
        <v>1784</v>
      </c>
      <c r="G35" s="55">
        <v>0</v>
      </c>
      <c r="H35" s="53" t="str">
        <f>IF(E35=F35+G35," ","ERROR")</f>
        <v xml:space="preserve"> </v>
      </c>
    </row>
    <row r="36" spans="1:8">
      <c r="A36" s="47">
        <v>21</v>
      </c>
      <c r="B36" s="50" t="s">
        <v>156</v>
      </c>
      <c r="E36" s="55">
        <f>SUM(F36:G36)</f>
        <v>249</v>
      </c>
      <c r="F36" s="55">
        <f>75+174</f>
        <v>249</v>
      </c>
      <c r="G36" s="55">
        <v>0</v>
      </c>
      <c r="H36" s="53" t="str">
        <f>IF(E36=F36+G36," ","ERROR")</f>
        <v xml:space="preserve"> </v>
      </c>
    </row>
    <row r="37" spans="1:8">
      <c r="A37" s="47">
        <v>22</v>
      </c>
      <c r="B37" s="50" t="s">
        <v>161</v>
      </c>
      <c r="E37" s="60">
        <f>E34+E35+E36</f>
        <v>2033</v>
      </c>
      <c r="F37" s="60">
        <f>F34+F35+F36</f>
        <v>2033</v>
      </c>
      <c r="G37" s="60">
        <f>G34+G35+G36</f>
        <v>0</v>
      </c>
      <c r="H37" s="53" t="str">
        <f>IF(E37=F37+G37," ","ERROR")</f>
        <v xml:space="preserve"> </v>
      </c>
    </row>
    <row r="38" spans="1:8">
      <c r="A38" s="47">
        <v>23</v>
      </c>
      <c r="B38" s="50" t="s">
        <v>106</v>
      </c>
      <c r="E38" s="61">
        <f>E21+E27+E29+E30+E31+E37</f>
        <v>4471</v>
      </c>
      <c r="F38" s="61">
        <f>F21+F27+F29+F30+F31+F37</f>
        <v>4471</v>
      </c>
      <c r="G38" s="61">
        <f>G21+G27+G29+G30+G31+G37</f>
        <v>0</v>
      </c>
      <c r="H38" s="53" t="str">
        <f>IF(E38=F38+G38," ","ERROR")</f>
        <v xml:space="preserve"> </v>
      </c>
    </row>
    <row r="39" spans="1:8">
      <c r="E39" s="58"/>
      <c r="F39" s="58"/>
      <c r="G39" s="58"/>
      <c r="H39" s="53"/>
    </row>
    <row r="40" spans="1:8">
      <c r="A40" s="47">
        <v>24</v>
      </c>
      <c r="B40" s="50" t="s">
        <v>162</v>
      </c>
      <c r="E40" s="58">
        <f>E13-E38</f>
        <v>-4471</v>
      </c>
      <c r="F40" s="58">
        <f>F13-F38</f>
        <v>-4471</v>
      </c>
      <c r="G40" s="58">
        <f>G13-G38</f>
        <v>0</v>
      </c>
      <c r="H40" s="53" t="str">
        <f>IF(E40=F40+G40," ","ERROR")</f>
        <v xml:space="preserve"> </v>
      </c>
    </row>
    <row r="41" spans="1:8">
      <c r="B41" s="50"/>
      <c r="E41" s="58"/>
      <c r="F41" s="58"/>
      <c r="G41" s="58"/>
      <c r="H41" s="53"/>
    </row>
    <row r="42" spans="1:8">
      <c r="B42" s="50" t="s">
        <v>163</v>
      </c>
      <c r="E42" s="58"/>
      <c r="F42" s="58"/>
      <c r="G42" s="58"/>
      <c r="H42" s="53"/>
    </row>
    <row r="43" spans="1:8">
      <c r="A43" s="47">
        <v>25</v>
      </c>
      <c r="B43" s="50" t="s">
        <v>164</v>
      </c>
      <c r="D43" s="62">
        <v>0.35</v>
      </c>
      <c r="E43" s="55">
        <f>F43+G43</f>
        <v>-1565</v>
      </c>
      <c r="F43" s="55">
        <f>ROUND(F40*D43,0)</f>
        <v>-1565</v>
      </c>
      <c r="G43" s="55">
        <f>ROUND(G40*D43,0)</f>
        <v>0</v>
      </c>
      <c r="H43" s="53" t="str">
        <f>IF(E43=F43+G43," ","ERROR")</f>
        <v xml:space="preserve"> </v>
      </c>
    </row>
    <row r="44" spans="1:8">
      <c r="A44" s="47">
        <v>26</v>
      </c>
      <c r="B44" s="50" t="s">
        <v>165</v>
      </c>
      <c r="E44" s="55"/>
      <c r="F44" s="55"/>
      <c r="G44" s="55"/>
      <c r="H44" s="53" t="str">
        <f>IF(E44=F44+G44," ","ERROR")</f>
        <v xml:space="preserve"> </v>
      </c>
    </row>
    <row r="45" spans="1:8">
      <c r="A45"/>
      <c r="B45"/>
      <c r="C45"/>
      <c r="D45"/>
      <c r="E45" s="913"/>
      <c r="F45" s="913"/>
      <c r="G45" s="913"/>
      <c r="H45" s="53" t="str">
        <f>IF(E45=F45+G45," ","ERROR")</f>
        <v xml:space="preserve"> </v>
      </c>
    </row>
    <row r="46" spans="1:8">
      <c r="A46" s="259"/>
      <c r="B46" s="262"/>
      <c r="C46" s="256"/>
      <c r="D46" s="256"/>
      <c r="E46" s="269"/>
      <c r="F46" s="269"/>
      <c r="G46" s="269"/>
      <c r="H46" s="53"/>
    </row>
    <row r="47" spans="1:8">
      <c r="A47" s="263">
        <v>27</v>
      </c>
      <c r="B47" s="264" t="s">
        <v>113</v>
      </c>
      <c r="C47" s="265"/>
      <c r="D47" s="265"/>
      <c r="E47" s="273">
        <f>E40-SUM(E43:E44)</f>
        <v>-2906</v>
      </c>
      <c r="F47" s="273">
        <f>F40-SUM(F43:F44)</f>
        <v>-2906</v>
      </c>
      <c r="G47" s="273">
        <f>G40-SUM(G43:G44)</f>
        <v>0</v>
      </c>
      <c r="H47" s="53" t="str">
        <f>IF(E47=F47+G47," ","ERROR")</f>
        <v xml:space="preserve"> </v>
      </c>
    </row>
    <row r="48" spans="1:8">
      <c r="A48" s="259"/>
      <c r="H48" s="53"/>
    </row>
    <row r="49" spans="1:8">
      <c r="A49" s="259"/>
      <c r="B49" s="50" t="s">
        <v>114</v>
      </c>
      <c r="H49" s="53"/>
    </row>
    <row r="50" spans="1:8">
      <c r="A50" s="259"/>
      <c r="B50" s="50" t="s">
        <v>115</v>
      </c>
      <c r="H50" s="53"/>
    </row>
    <row r="51" spans="1:8">
      <c r="A51" s="263">
        <v>28</v>
      </c>
      <c r="B51" s="52" t="s">
        <v>167</v>
      </c>
      <c r="C51" s="53"/>
      <c r="D51" s="53"/>
      <c r="E51" s="54">
        <f>F51+G51</f>
        <v>5498</v>
      </c>
      <c r="F51" s="54">
        <v>5498</v>
      </c>
      <c r="G51" s="54">
        <v>0</v>
      </c>
      <c r="H51" s="53" t="str">
        <f t="shared" ref="H51:H61" si="1">IF(E51=F51+G51," ","ERROR")</f>
        <v xml:space="preserve"> </v>
      </c>
    </row>
    <row r="52" spans="1:8">
      <c r="A52" s="259">
        <v>29</v>
      </c>
      <c r="B52" s="50" t="s">
        <v>168</v>
      </c>
      <c r="E52" s="55">
        <f>F52+G52</f>
        <v>24825</v>
      </c>
      <c r="F52" s="55">
        <v>24825</v>
      </c>
      <c r="G52" s="55">
        <v>0</v>
      </c>
      <c r="H52" s="53" t="str">
        <f t="shared" si="1"/>
        <v xml:space="preserve"> </v>
      </c>
    </row>
    <row r="53" spans="1:8">
      <c r="A53" s="259">
        <v>30</v>
      </c>
      <c r="B53" s="50" t="s">
        <v>169</v>
      </c>
      <c r="E53" s="55">
        <f>F53+G53</f>
        <v>7245</v>
      </c>
      <c r="F53" s="55">
        <v>7245</v>
      </c>
      <c r="G53" s="55">
        <v>0</v>
      </c>
      <c r="H53" s="53" t="str">
        <f t="shared" si="1"/>
        <v xml:space="preserve"> </v>
      </c>
    </row>
    <row r="54" spans="1:8">
      <c r="A54" s="259">
        <v>31</v>
      </c>
      <c r="B54" s="50" t="s">
        <v>170</v>
      </c>
      <c r="E54" s="55">
        <f>F54+G54</f>
        <v>29017</v>
      </c>
      <c r="F54" s="55">
        <v>29017</v>
      </c>
      <c r="G54" s="55">
        <v>0</v>
      </c>
      <c r="H54" s="53" t="str">
        <f t="shared" si="1"/>
        <v xml:space="preserve"> </v>
      </c>
    </row>
    <row r="55" spans="1:8">
      <c r="A55" s="259">
        <v>32</v>
      </c>
      <c r="B55" s="50" t="s">
        <v>171</v>
      </c>
      <c r="E55" s="55">
        <f>F55+G55</f>
        <v>11865</v>
      </c>
      <c r="F55" s="59">
        <v>11865</v>
      </c>
      <c r="G55" s="59">
        <v>0</v>
      </c>
      <c r="H55" s="53" t="str">
        <f t="shared" si="1"/>
        <v xml:space="preserve"> </v>
      </c>
    </row>
    <row r="56" spans="1:8">
      <c r="A56" s="259">
        <v>33</v>
      </c>
      <c r="B56" s="50" t="s">
        <v>172</v>
      </c>
      <c r="E56" s="56">
        <f>E51+E52+E53+E54+E55</f>
        <v>78450</v>
      </c>
      <c r="F56" s="58">
        <f>F51+F52+F53+F54+F55</f>
        <v>78450</v>
      </c>
      <c r="G56" s="58">
        <f>G51+G52+G53+G54+G55</f>
        <v>0</v>
      </c>
      <c r="H56" s="53" t="str">
        <f t="shared" si="1"/>
        <v xml:space="preserve"> </v>
      </c>
    </row>
    <row r="57" spans="1:8">
      <c r="A57" s="259">
        <v>34</v>
      </c>
      <c r="B57" s="50" t="s">
        <v>121</v>
      </c>
      <c r="E57" s="55">
        <f>F57+G57</f>
        <v>47867</v>
      </c>
      <c r="F57" s="55">
        <v>47867</v>
      </c>
      <c r="G57" s="55">
        <v>0</v>
      </c>
      <c r="H57" s="53" t="str">
        <f t="shared" si="1"/>
        <v xml:space="preserve"> </v>
      </c>
    </row>
    <row r="58" spans="1:8">
      <c r="A58" s="259">
        <v>35</v>
      </c>
      <c r="B58" s="50" t="s">
        <v>122</v>
      </c>
      <c r="E58" s="59"/>
      <c r="F58" s="59"/>
      <c r="G58" s="59"/>
      <c r="H58" s="53" t="str">
        <f t="shared" si="1"/>
        <v xml:space="preserve"> </v>
      </c>
    </row>
    <row r="59" spans="1:8">
      <c r="A59" s="259">
        <v>36</v>
      </c>
      <c r="B59" s="50" t="s">
        <v>173</v>
      </c>
      <c r="E59" s="58">
        <f>E57+E58</f>
        <v>47867</v>
      </c>
      <c r="F59" s="58">
        <f>F57+F58</f>
        <v>47867</v>
      </c>
      <c r="G59" s="58">
        <f>G57+G58</f>
        <v>0</v>
      </c>
      <c r="H59" s="53" t="str">
        <f t="shared" si="1"/>
        <v xml:space="preserve"> </v>
      </c>
    </row>
    <row r="60" spans="1:8">
      <c r="A60" s="259">
        <v>37</v>
      </c>
      <c r="B60" s="50" t="s">
        <v>124</v>
      </c>
      <c r="E60" s="55"/>
      <c r="F60" s="55"/>
      <c r="G60" s="55"/>
      <c r="H60" s="53" t="str">
        <f t="shared" si="1"/>
        <v xml:space="preserve"> </v>
      </c>
    </row>
    <row r="61" spans="1:8">
      <c r="A61" s="259">
        <v>38</v>
      </c>
      <c r="B61" s="50" t="s">
        <v>125</v>
      </c>
      <c r="E61" s="59">
        <f>F61+G61</f>
        <v>-7647</v>
      </c>
      <c r="F61" s="59">
        <v>-7647</v>
      </c>
      <c r="G61" s="59">
        <v>0</v>
      </c>
      <c r="H61" s="53" t="str">
        <f t="shared" si="1"/>
        <v xml:space="preserve"> </v>
      </c>
    </row>
    <row r="62" spans="1:8" ht="11.25" customHeight="1">
      <c r="A62" s="259"/>
      <c r="H62" s="53"/>
    </row>
    <row r="63" spans="1:8" ht="13.5" thickBot="1">
      <c r="A63" s="263">
        <v>39</v>
      </c>
      <c r="B63" s="52" t="s">
        <v>126</v>
      </c>
      <c r="C63" s="53"/>
      <c r="D63" s="53"/>
      <c r="E63" s="63">
        <f>E56-E59+E60+E61</f>
        <v>22936</v>
      </c>
      <c r="F63" s="63">
        <f>F56-F59+F60+F61</f>
        <v>22936</v>
      </c>
      <c r="G63" s="63">
        <f>G56-G59+G60+G61</f>
        <v>0</v>
      </c>
      <c r="H63" s="53" t="str">
        <f>IF(E63=F63+G63," ","ERROR")</f>
        <v xml:space="preserve"> </v>
      </c>
    </row>
    <row r="64" spans="1:8" ht="13.5" thickTop="1">
      <c r="A64" s="44"/>
      <c r="B64" s="69"/>
      <c r="C64" s="69"/>
      <c r="D64" s="69"/>
      <c r="E64" s="671"/>
      <c r="F64" s="672"/>
      <c r="G64" s="69"/>
      <c r="H64" s="69"/>
    </row>
    <row r="65" spans="1:7">
      <c r="A65" s="454" t="str">
        <f>Inputs!$D$6</f>
        <v>AVISTA UTILITIES</v>
      </c>
      <c r="B65" s="454"/>
      <c r="C65" s="454"/>
      <c r="D65" s="476"/>
      <c r="E65" s="477"/>
      <c r="F65" s="476"/>
      <c r="G65" s="478"/>
    </row>
    <row r="66" spans="1:7">
      <c r="A66" s="454" t="s">
        <v>225</v>
      </c>
      <c r="B66" s="454"/>
      <c r="C66" s="454"/>
      <c r="D66" s="476"/>
      <c r="E66" s="477"/>
      <c r="F66" s="476"/>
      <c r="G66" s="478"/>
    </row>
    <row r="67" spans="1:7">
      <c r="A67" s="454" t="str">
        <f>A3</f>
        <v>TWELVE MONTHS ENDED SEPTEMBER 30, 2008</v>
      </c>
      <c r="B67" s="454"/>
      <c r="C67" s="454"/>
      <c r="D67" s="476"/>
      <c r="E67" s="477"/>
      <c r="F67" s="479" t="str">
        <f>F2</f>
        <v>PRO FORMA</v>
      </c>
      <c r="G67" s="476"/>
    </row>
    <row r="68" spans="1:7">
      <c r="A68" s="454" t="s">
        <v>226</v>
      </c>
      <c r="B68" s="454"/>
      <c r="C68" s="454"/>
      <c r="D68" s="476"/>
      <c r="E68" s="477"/>
      <c r="F68" s="479" t="str">
        <f>F3</f>
        <v>CAPITAL ADDITIONS 2009</v>
      </c>
      <c r="G68" s="476"/>
    </row>
    <row r="69" spans="1:7">
      <c r="A69" s="456"/>
      <c r="B69" s="476"/>
      <c r="C69" s="476"/>
      <c r="D69" s="476"/>
      <c r="E69" s="480"/>
      <c r="F69" s="481" t="str">
        <f>F4</f>
        <v>ELECTRIC</v>
      </c>
      <c r="G69" s="476"/>
    </row>
    <row r="70" spans="1:7">
      <c r="A70" s="456"/>
      <c r="B70" s="476"/>
      <c r="C70" s="476"/>
      <c r="D70" s="476"/>
      <c r="E70" s="477"/>
      <c r="F70" s="479"/>
      <c r="G70" s="483"/>
    </row>
    <row r="71" spans="1:7">
      <c r="A71" s="456"/>
      <c r="B71" s="484" t="s">
        <v>134</v>
      </c>
      <c r="C71" s="485"/>
      <c r="D71" s="476"/>
      <c r="E71" s="477"/>
      <c r="F71" s="481" t="s">
        <v>128</v>
      </c>
      <c r="G71" s="476"/>
    </row>
    <row r="72" spans="1:7">
      <c r="A72" s="456"/>
      <c r="B72" s="462" t="s">
        <v>85</v>
      </c>
      <c r="C72" s="476"/>
      <c r="D72" s="476"/>
      <c r="E72" s="476"/>
      <c r="F72" s="478"/>
      <c r="G72" s="476"/>
    </row>
    <row r="73" spans="1:7">
      <c r="A73" s="456"/>
      <c r="B73" s="464" t="s">
        <v>86</v>
      </c>
      <c r="C73" s="476"/>
      <c r="D73" s="476"/>
      <c r="E73" s="476"/>
      <c r="F73" s="486">
        <f>G8</f>
        <v>0</v>
      </c>
      <c r="G73" s="476"/>
    </row>
    <row r="74" spans="1:7">
      <c r="A74" s="456"/>
      <c r="B74" s="462" t="s">
        <v>87</v>
      </c>
      <c r="C74" s="476"/>
      <c r="D74" s="476"/>
      <c r="E74" s="476"/>
      <c r="F74" s="469">
        <f>G9</f>
        <v>0</v>
      </c>
      <c r="G74" s="476"/>
    </row>
    <row r="75" spans="1:7">
      <c r="A75" s="456"/>
      <c r="B75" s="462" t="s">
        <v>150</v>
      </c>
      <c r="C75" s="476"/>
      <c r="D75" s="476"/>
      <c r="E75" s="476"/>
      <c r="F75" s="472">
        <f>G10</f>
        <v>0</v>
      </c>
      <c r="G75" s="476"/>
    </row>
    <row r="76" spans="1:7">
      <c r="A76" s="456"/>
      <c r="B76" s="462" t="s">
        <v>151</v>
      </c>
      <c r="C76" s="476"/>
      <c r="D76" s="476"/>
      <c r="E76" s="476"/>
      <c r="F76" s="469">
        <f>SUM(F73:F75)</f>
        <v>0</v>
      </c>
      <c r="G76" s="476"/>
    </row>
    <row r="77" spans="1:7">
      <c r="A77" s="456"/>
      <c r="B77" s="462" t="s">
        <v>90</v>
      </c>
      <c r="C77" s="476"/>
      <c r="D77" s="476"/>
      <c r="E77" s="476"/>
      <c r="F77" s="472">
        <f>G12</f>
        <v>0</v>
      </c>
      <c r="G77" s="476"/>
    </row>
    <row r="78" spans="1:7">
      <c r="A78" s="456"/>
      <c r="B78" s="462" t="s">
        <v>152</v>
      </c>
      <c r="C78" s="476"/>
      <c r="D78" s="476"/>
      <c r="E78" s="476"/>
      <c r="F78" s="469">
        <f>F76+F77</f>
        <v>0</v>
      </c>
      <c r="G78" s="476"/>
    </row>
    <row r="79" spans="1:7">
      <c r="A79" s="456"/>
      <c r="B79" s="455"/>
      <c r="C79" s="476"/>
      <c r="D79" s="476"/>
      <c r="E79" s="476"/>
      <c r="F79" s="469"/>
      <c r="G79" s="476"/>
    </row>
    <row r="80" spans="1:7">
      <c r="A80" s="456"/>
      <c r="B80" s="462" t="s">
        <v>92</v>
      </c>
      <c r="C80" s="476"/>
      <c r="D80" s="476"/>
      <c r="E80" s="476"/>
      <c r="F80" s="469"/>
      <c r="G80" s="476"/>
    </row>
    <row r="81" spans="1:7">
      <c r="A81" s="456"/>
      <c r="B81" s="462" t="s">
        <v>93</v>
      </c>
      <c r="C81" s="476"/>
      <c r="D81" s="476"/>
      <c r="E81" s="476"/>
      <c r="F81" s="469"/>
      <c r="G81" s="476"/>
    </row>
    <row r="82" spans="1:7">
      <c r="A82" s="456"/>
      <c r="B82" s="462" t="s">
        <v>153</v>
      </c>
      <c r="C82" s="476"/>
      <c r="D82" s="476"/>
      <c r="E82" s="476"/>
      <c r="F82" s="469">
        <f>G17</f>
        <v>0</v>
      </c>
      <c r="G82" s="476"/>
    </row>
    <row r="83" spans="1:7">
      <c r="A83" s="456"/>
      <c r="B83" s="462" t="s">
        <v>154</v>
      </c>
      <c r="C83" s="476"/>
      <c r="D83" s="476"/>
      <c r="E83" s="476"/>
      <c r="F83" s="469">
        <f>G18</f>
        <v>0</v>
      </c>
      <c r="G83" s="476"/>
    </row>
    <row r="84" spans="1:7">
      <c r="A84" s="456"/>
      <c r="B84" s="462" t="s">
        <v>155</v>
      </c>
      <c r="C84" s="476"/>
      <c r="D84" s="476"/>
      <c r="E84" s="476"/>
      <c r="F84" s="469">
        <f>G19</f>
        <v>0</v>
      </c>
      <c r="G84" s="476"/>
    </row>
    <row r="85" spans="1:7">
      <c r="A85" s="456"/>
      <c r="B85" s="462" t="s">
        <v>156</v>
      </c>
      <c r="C85" s="476"/>
      <c r="D85" s="476"/>
      <c r="E85" s="476"/>
      <c r="F85" s="472">
        <f>G20</f>
        <v>0</v>
      </c>
      <c r="G85" s="476"/>
    </row>
    <row r="86" spans="1:7">
      <c r="A86" s="456"/>
      <c r="B86" s="462" t="s">
        <v>157</v>
      </c>
      <c r="C86" s="476"/>
      <c r="D86" s="476"/>
      <c r="E86" s="476"/>
      <c r="F86" s="469">
        <f>SUM(F82:F85)</f>
        <v>0</v>
      </c>
      <c r="G86" s="476"/>
    </row>
    <row r="87" spans="1:7">
      <c r="A87" s="456"/>
      <c r="B87" s="455"/>
      <c r="C87" s="476"/>
      <c r="D87" s="476"/>
      <c r="E87" s="476"/>
      <c r="F87" s="469"/>
      <c r="G87" s="476"/>
    </row>
    <row r="88" spans="1:7">
      <c r="A88" s="456"/>
      <c r="B88" s="462" t="s">
        <v>98</v>
      </c>
      <c r="C88" s="476"/>
      <c r="D88" s="476"/>
      <c r="E88" s="476"/>
      <c r="F88" s="469"/>
      <c r="G88" s="476"/>
    </row>
    <row r="89" spans="1:7">
      <c r="A89" s="456"/>
      <c r="B89" s="462" t="s">
        <v>153</v>
      </c>
      <c r="C89" s="476"/>
      <c r="D89" s="476"/>
      <c r="E89" s="476"/>
      <c r="F89" s="469">
        <f>G24</f>
        <v>0</v>
      </c>
      <c r="G89" s="476"/>
    </row>
    <row r="90" spans="1:7">
      <c r="A90" s="456"/>
      <c r="B90" s="462" t="s">
        <v>158</v>
      </c>
      <c r="C90" s="476"/>
      <c r="D90" s="476"/>
      <c r="E90" s="476"/>
      <c r="F90" s="469">
        <f>G25</f>
        <v>0</v>
      </c>
      <c r="G90" s="476"/>
    </row>
    <row r="91" spans="1:7">
      <c r="A91" s="455"/>
      <c r="B91" s="462" t="s">
        <v>156</v>
      </c>
      <c r="C91" s="476"/>
      <c r="D91" s="476"/>
      <c r="E91" s="476"/>
      <c r="F91" s="469">
        <v>0</v>
      </c>
      <c r="G91" s="476"/>
    </row>
    <row r="92" spans="1:7">
      <c r="A92" s="455"/>
      <c r="B92" s="462" t="s">
        <v>159</v>
      </c>
      <c r="C92" s="476"/>
      <c r="D92" s="476"/>
      <c r="E92" s="476"/>
      <c r="F92" s="468">
        <f>SUM(F89:F91)</f>
        <v>0</v>
      </c>
      <c r="G92" s="476"/>
    </row>
    <row r="93" spans="1:7">
      <c r="A93" s="455"/>
      <c r="B93" s="455"/>
      <c r="C93" s="476"/>
      <c r="D93" s="476"/>
      <c r="E93" s="476"/>
      <c r="F93" s="469"/>
      <c r="G93" s="476"/>
    </row>
    <row r="94" spans="1:7">
      <c r="A94" s="455"/>
      <c r="B94" s="462" t="s">
        <v>101</v>
      </c>
      <c r="C94" s="476"/>
      <c r="D94" s="476"/>
      <c r="E94" s="476"/>
      <c r="F94" s="469">
        <f>G29</f>
        <v>0</v>
      </c>
      <c r="G94" s="476"/>
    </row>
    <row r="95" spans="1:7">
      <c r="A95" s="455"/>
      <c r="B95" s="462" t="s">
        <v>102</v>
      </c>
      <c r="C95" s="476"/>
      <c r="D95" s="476"/>
      <c r="E95" s="476"/>
      <c r="F95" s="469">
        <f>G30</f>
        <v>0</v>
      </c>
      <c r="G95" s="476"/>
    </row>
    <row r="96" spans="1:7">
      <c r="A96" s="455"/>
      <c r="B96" s="462" t="s">
        <v>160</v>
      </c>
      <c r="C96" s="476"/>
      <c r="D96" s="476"/>
      <c r="E96" s="476"/>
      <c r="F96" s="469">
        <f>G31</f>
        <v>0</v>
      </c>
      <c r="G96" s="476"/>
    </row>
    <row r="97" spans="1:7">
      <c r="A97" s="455"/>
      <c r="B97" s="455"/>
      <c r="C97" s="476"/>
      <c r="D97" s="476"/>
      <c r="E97" s="476"/>
      <c r="F97" s="469"/>
      <c r="G97" s="476"/>
    </row>
    <row r="98" spans="1:7">
      <c r="A98" s="455"/>
      <c r="B98" s="462" t="s">
        <v>104</v>
      </c>
      <c r="C98" s="476"/>
      <c r="D98" s="476"/>
      <c r="E98" s="476"/>
      <c r="F98" s="469"/>
      <c r="G98" s="476"/>
    </row>
    <row r="99" spans="1:7">
      <c r="A99" s="455"/>
      <c r="B99" s="462" t="s">
        <v>153</v>
      </c>
      <c r="C99" s="476"/>
      <c r="D99" s="476"/>
      <c r="E99" s="476"/>
      <c r="F99" s="469">
        <f>G34</f>
        <v>0</v>
      </c>
      <c r="G99" s="476"/>
    </row>
    <row r="100" spans="1:7">
      <c r="A100" s="455"/>
      <c r="B100" s="462" t="s">
        <v>158</v>
      </c>
      <c r="C100" s="476"/>
      <c r="D100" s="476"/>
      <c r="E100" s="476"/>
      <c r="F100" s="469">
        <f>G35</f>
        <v>0</v>
      </c>
      <c r="G100" s="476"/>
    </row>
    <row r="101" spans="1:7">
      <c r="A101" s="455"/>
      <c r="B101" s="462" t="s">
        <v>156</v>
      </c>
      <c r="C101" s="476"/>
      <c r="D101" s="476"/>
      <c r="E101" s="476"/>
      <c r="F101" s="472">
        <f>G36</f>
        <v>0</v>
      </c>
      <c r="G101" s="476"/>
    </row>
    <row r="102" spans="1:7">
      <c r="A102" s="455"/>
      <c r="B102" s="462" t="s">
        <v>161</v>
      </c>
      <c r="C102" s="476"/>
      <c r="D102" s="476"/>
      <c r="E102" s="476"/>
      <c r="F102" s="469">
        <f>F99+F100+F101</f>
        <v>0</v>
      </c>
      <c r="G102" s="476"/>
    </row>
    <row r="103" spans="1:7">
      <c r="A103" s="455"/>
      <c r="B103" s="476"/>
      <c r="C103" s="476"/>
      <c r="D103" s="476"/>
      <c r="E103" s="476"/>
      <c r="F103" s="469"/>
      <c r="G103" s="476"/>
    </row>
    <row r="104" spans="1:7">
      <c r="A104" s="455"/>
      <c r="B104" s="476" t="s">
        <v>106</v>
      </c>
      <c r="C104" s="476"/>
      <c r="D104" s="476"/>
      <c r="E104" s="476"/>
      <c r="F104" s="471">
        <f>F86+F92+F94+F95+F96+F102</f>
        <v>0</v>
      </c>
      <c r="G104" s="476"/>
    </row>
    <row r="105" spans="1:7">
      <c r="A105" s="455"/>
      <c r="B105" s="476"/>
      <c r="C105" s="476"/>
      <c r="D105" s="476"/>
      <c r="E105" s="476"/>
      <c r="F105" s="469"/>
      <c r="G105" s="476"/>
    </row>
    <row r="106" spans="1:7">
      <c r="A106" s="455"/>
      <c r="B106" s="476" t="s">
        <v>227</v>
      </c>
      <c r="C106" s="476"/>
      <c r="D106" s="476"/>
      <c r="E106" s="476"/>
      <c r="F106" s="472">
        <f>F78-F104</f>
        <v>0</v>
      </c>
      <c r="G106" s="476"/>
    </row>
    <row r="107" spans="1:7">
      <c r="A107" s="455"/>
      <c r="B107" s="476"/>
      <c r="C107" s="476"/>
      <c r="D107" s="476"/>
      <c r="E107" s="476"/>
      <c r="F107" s="469"/>
      <c r="G107" s="476"/>
    </row>
    <row r="108" spans="1:7">
      <c r="A108" s="455"/>
      <c r="B108" s="476" t="s">
        <v>228</v>
      </c>
      <c r="C108" s="476"/>
      <c r="D108" s="476"/>
      <c r="E108" s="477"/>
      <c r="F108" s="469"/>
      <c r="G108" s="476"/>
    </row>
    <row r="109" spans="1:7" ht="13.5" thickBot="1">
      <c r="A109" s="455"/>
      <c r="B109" s="488" t="s">
        <v>229</v>
      </c>
      <c r="C109" s="489">
        <f>Inputs!$D$4</f>
        <v>1.2215999999999999E-2</v>
      </c>
      <c r="D109" s="476"/>
      <c r="E109" s="477"/>
      <c r="F109" s="475">
        <f>ROUND(F106*C109,0)</f>
        <v>0</v>
      </c>
      <c r="G109" s="476"/>
    </row>
    <row r="110" spans="1:7" ht="13.5" thickTop="1"/>
  </sheetData>
  <phoneticPr fontId="0" type="noConversion"/>
  <pageMargins left="0.75" right="0.75" top="0.5" bottom="0.5" header="0.5" footer="0.5"/>
  <pageSetup scale="90" orientation="portrait" r:id="rId1"/>
  <headerFooter alignWithMargins="0"/>
  <rowBreaks count="1" manualBreakCount="1">
    <brk id="6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BM84"/>
  <sheetViews>
    <sheetView showGridLines="0" zoomScale="75" zoomScaleNormal="75" workbookViewId="0">
      <pane xSplit="5" ySplit="10" topLeftCell="AP35" activePane="bottomRight" state="frozen"/>
      <selection activeCell="AQ48" sqref="AQ48"/>
      <selection pane="topRight" activeCell="AQ48" sqref="AQ48"/>
      <selection pane="bottomLeft" activeCell="AQ48" sqref="AQ48"/>
      <selection pane="bottomRight" activeCell="Z85" sqref="Z85"/>
    </sheetView>
  </sheetViews>
  <sheetFormatPr defaultColWidth="10.7109375" defaultRowHeight="12"/>
  <cols>
    <col min="1" max="1" width="13.140625" style="3" customWidth="1"/>
    <col min="2" max="3" width="1.7109375" style="2" customWidth="1"/>
    <col min="4" max="4" width="33.7109375" style="2" customWidth="1"/>
    <col min="5" max="5" width="11.7109375" style="721" customWidth="1"/>
    <col min="6" max="6" width="11.7109375" style="4" customWidth="1"/>
    <col min="7" max="7" width="13.85546875" style="4" customWidth="1"/>
    <col min="8" max="11" width="11.7109375" style="4" customWidth="1"/>
    <col min="12" max="12" width="12.85546875" style="4" customWidth="1"/>
    <col min="13" max="13" width="11.42578125" style="4" customWidth="1"/>
    <col min="14" max="14" width="9.85546875" style="4" bestFit="1" customWidth="1"/>
    <col min="15" max="15" width="10.5703125" style="4" bestFit="1" customWidth="1"/>
    <col min="16" max="16" width="10" style="4" bestFit="1" customWidth="1"/>
    <col min="17" max="17" width="10.28515625" style="4" customWidth="1"/>
    <col min="18" max="18" width="11" style="4" customWidth="1"/>
    <col min="19" max="19" width="10.5703125" style="4" bestFit="1" customWidth="1"/>
    <col min="20" max="20" width="8.28515625" style="4" customWidth="1"/>
    <col min="21" max="21" width="12.85546875" style="4" customWidth="1"/>
    <col min="22" max="22" width="12.5703125" style="4" customWidth="1"/>
    <col min="23" max="23" width="10.85546875" style="4" bestFit="1" customWidth="1"/>
    <col min="24" max="24" width="13.7109375" style="4" customWidth="1"/>
    <col min="25" max="25" width="14.140625" style="4" customWidth="1"/>
    <col min="26" max="26" width="13.140625" style="4" customWidth="1"/>
    <col min="27" max="27" width="15" style="4" customWidth="1"/>
    <col min="28" max="28" width="11" style="4" bestFit="1" customWidth="1"/>
    <col min="29" max="29" width="11.140625" style="4" customWidth="1"/>
    <col min="30" max="30" width="5.5703125" style="4" hidden="1" customWidth="1"/>
    <col min="31" max="32" width="2.28515625" style="4" hidden="1" customWidth="1"/>
    <col min="33" max="33" width="10.42578125" style="4" bestFit="1" customWidth="1"/>
    <col min="34" max="34" width="13.28515625" style="4" customWidth="1"/>
    <col min="35" max="35" width="15" style="4" customWidth="1"/>
    <col min="36" max="37" width="13.28515625" style="4" bestFit="1" customWidth="1"/>
    <col min="38" max="38" width="15" style="4" bestFit="1" customWidth="1"/>
    <col min="39" max="39" width="13.85546875" style="4" bestFit="1" customWidth="1"/>
    <col min="40" max="40" width="13.28515625" style="4" bestFit="1" customWidth="1"/>
    <col min="41" max="41" width="14.28515625" style="4" bestFit="1" customWidth="1"/>
    <col min="42" max="42" width="14.42578125" style="721" bestFit="1" customWidth="1"/>
    <col min="43" max="43" width="14.42578125" style="4" customWidth="1"/>
    <col min="44" max="46" width="13.28515625" style="4" bestFit="1" customWidth="1"/>
    <col min="47" max="47" width="16.7109375" style="4" customWidth="1"/>
    <col min="48" max="50" width="14.42578125" style="4" bestFit="1" customWidth="1"/>
    <col min="51" max="51" width="14.42578125" style="4" customWidth="1"/>
    <col min="52" max="52" width="14.140625" style="4" customWidth="1"/>
    <col min="53" max="53" width="14.42578125" style="4" hidden="1" customWidth="1"/>
    <col min="54" max="54" width="12.42578125" style="4" hidden="1" customWidth="1"/>
    <col min="55" max="55" width="6.85546875" style="4" hidden="1" customWidth="1"/>
    <col min="56" max="56" width="12.140625" style="4" bestFit="1" customWidth="1"/>
    <col min="57" max="57" width="11.7109375" style="4" hidden="1" customWidth="1"/>
    <col min="58" max="58" width="5.140625" style="2" customWidth="1"/>
    <col min="59" max="59" width="2.85546875" style="2" customWidth="1"/>
    <col min="60" max="60" width="11.85546875" style="2" customWidth="1"/>
    <col min="61" max="61" width="2.7109375" style="2" customWidth="1"/>
    <col min="62" max="62" width="11" style="2" customWidth="1"/>
    <col min="63" max="63" width="6.85546875" style="2" customWidth="1"/>
    <col min="64" max="65" width="9.7109375" style="2" customWidth="1"/>
    <col min="66" max="66" width="10.7109375" style="2" customWidth="1"/>
    <col min="67" max="67" width="6.85546875" style="2" customWidth="1"/>
    <col min="68" max="16384" width="10.7109375" style="2"/>
  </cols>
  <sheetData>
    <row r="1" spans="1:60">
      <c r="A1" s="1" t="s">
        <v>423</v>
      </c>
      <c r="D1" s="3"/>
      <c r="E1" s="943"/>
      <c r="AC1" s="1356"/>
      <c r="AI1" s="1356"/>
    </row>
    <row r="2" spans="1:60">
      <c r="A2" s="1" t="s">
        <v>425</v>
      </c>
      <c r="D2" s="3"/>
      <c r="E2" s="943"/>
      <c r="F2" s="4" t="s">
        <v>663</v>
      </c>
      <c r="AC2" s="1356"/>
      <c r="AI2" s="1356"/>
    </row>
    <row r="3" spans="1:60">
      <c r="A3" s="1" t="s">
        <v>424</v>
      </c>
      <c r="D3" s="3"/>
      <c r="F3" s="1338" t="s">
        <v>664</v>
      </c>
      <c r="AC3" s="1356"/>
      <c r="AI3" s="1356"/>
    </row>
    <row r="4" spans="1:60">
      <c r="A4" s="1" t="str">
        <f>Inputs!D2</f>
        <v>TWELVE MONTHS ENDED SEPTEMBER 30, 2008</v>
      </c>
      <c r="D4" s="3"/>
      <c r="F4" s="1338"/>
      <c r="X4" s="31"/>
      <c r="AC4" s="1357"/>
      <c r="AE4" s="31"/>
      <c r="AF4" s="6"/>
      <c r="AI4" s="1356"/>
      <c r="BC4" s="6"/>
    </row>
    <row r="5" spans="1:60">
      <c r="A5" s="1" t="s">
        <v>426</v>
      </c>
      <c r="D5" s="3"/>
      <c r="X5" s="31"/>
      <c r="AC5" s="1357"/>
      <c r="AE5" s="31"/>
      <c r="AF5" s="6"/>
      <c r="AI5" s="1356"/>
      <c r="AO5" s="9"/>
      <c r="AP5" s="932"/>
      <c r="BC5" s="6"/>
    </row>
    <row r="6" spans="1:60" s="8" customFormat="1" ht="12.75">
      <c r="A6" s="7"/>
      <c r="D6" s="7"/>
      <c r="E6" s="932"/>
      <c r="F6" s="1028"/>
      <c r="G6" s="1358"/>
      <c r="H6" s="1358"/>
      <c r="I6" s="1028"/>
      <c r="J6" s="1358"/>
      <c r="K6" s="1358"/>
      <c r="L6" s="11"/>
      <c r="M6" s="1358"/>
      <c r="N6" s="9"/>
      <c r="O6" s="1358"/>
      <c r="P6" s="1358"/>
      <c r="Q6" s="1358"/>
      <c r="R6" s="1358"/>
      <c r="S6" s="1358"/>
      <c r="T6" s="1358"/>
      <c r="U6" s="1358"/>
      <c r="V6" s="11"/>
      <c r="W6" s="1358"/>
      <c r="X6" s="1028"/>
      <c r="Y6" s="11"/>
      <c r="Z6" s="11"/>
      <c r="AA6" s="1359"/>
      <c r="AB6" s="9"/>
      <c r="AC6" s="1360"/>
      <c r="AD6" s="9"/>
      <c r="AE6" s="1028"/>
      <c r="AF6" s="6"/>
      <c r="AG6" s="9"/>
      <c r="AH6" s="1358"/>
      <c r="AI6" s="1361"/>
      <c r="AJ6" s="9"/>
      <c r="AK6" s="9"/>
      <c r="AL6" s="9"/>
      <c r="AM6" s="9"/>
      <c r="AN6" s="9"/>
      <c r="AO6" s="9"/>
      <c r="AP6" s="932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6"/>
      <c r="BD6" s="9"/>
      <c r="BE6" s="9"/>
    </row>
    <row r="7" spans="1:60" s="8" customFormat="1" ht="12" customHeight="1">
      <c r="A7" s="12"/>
      <c r="B7" s="13"/>
      <c r="C7" s="14"/>
      <c r="D7" s="15"/>
      <c r="E7" s="722" t="s">
        <v>2</v>
      </c>
      <c r="F7" s="16" t="s">
        <v>3</v>
      </c>
      <c r="G7" s="16" t="s">
        <v>262</v>
      </c>
      <c r="H7" s="16" t="s">
        <v>4</v>
      </c>
      <c r="I7" s="16" t="s">
        <v>5</v>
      </c>
      <c r="J7" s="16" t="s">
        <v>6</v>
      </c>
      <c r="K7" s="16"/>
      <c r="L7" s="722"/>
      <c r="M7" s="16" t="s">
        <v>8</v>
      </c>
      <c r="N7" s="16"/>
      <c r="O7" s="16" t="s">
        <v>9</v>
      </c>
      <c r="P7" s="16"/>
      <c r="Q7" s="16"/>
      <c r="R7" s="16"/>
      <c r="S7" s="16" t="s">
        <v>10</v>
      </c>
      <c r="T7" s="722"/>
      <c r="U7" s="722" t="s">
        <v>9</v>
      </c>
      <c r="V7" s="722" t="s">
        <v>270</v>
      </c>
      <c r="W7" s="16" t="s">
        <v>9</v>
      </c>
      <c r="X7" s="722" t="s">
        <v>12</v>
      </c>
      <c r="Y7" s="1362" t="s">
        <v>11</v>
      </c>
      <c r="Z7" s="1362"/>
      <c r="AA7" s="1362" t="s">
        <v>486</v>
      </c>
      <c r="AB7" s="1362"/>
      <c r="AC7" s="1363" t="s">
        <v>11</v>
      </c>
      <c r="AD7" s="722"/>
      <c r="AE7" s="722"/>
      <c r="AF7" s="722"/>
      <c r="AG7" s="16"/>
      <c r="AH7" s="1029" t="s">
        <v>542</v>
      </c>
      <c r="AI7" s="1364" t="s">
        <v>542</v>
      </c>
      <c r="AJ7" s="1029" t="s">
        <v>542</v>
      </c>
      <c r="AK7" s="1029" t="s">
        <v>542</v>
      </c>
      <c r="AL7" s="1029" t="s">
        <v>542</v>
      </c>
      <c r="AM7" s="1029" t="s">
        <v>542</v>
      </c>
      <c r="AN7" s="1029" t="s">
        <v>542</v>
      </c>
      <c r="AO7" s="1029" t="s">
        <v>542</v>
      </c>
      <c r="AP7" s="1029" t="s">
        <v>542</v>
      </c>
      <c r="AQ7" s="1029" t="s">
        <v>542</v>
      </c>
      <c r="AR7" s="1029" t="s">
        <v>542</v>
      </c>
      <c r="AS7" s="1029" t="s">
        <v>542</v>
      </c>
      <c r="AT7" s="1029" t="s">
        <v>542</v>
      </c>
      <c r="AU7" s="1029" t="s">
        <v>542</v>
      </c>
      <c r="AV7" s="1029" t="s">
        <v>542</v>
      </c>
      <c r="AW7" s="1029" t="s">
        <v>542</v>
      </c>
      <c r="AX7" s="1029" t="s">
        <v>542</v>
      </c>
      <c r="AY7" s="1029" t="s">
        <v>542</v>
      </c>
      <c r="AZ7" s="1029" t="s">
        <v>542</v>
      </c>
      <c r="BA7" s="1029" t="s">
        <v>542</v>
      </c>
      <c r="BB7" s="1029"/>
      <c r="BC7" s="1029"/>
      <c r="BD7" s="16"/>
      <c r="BE7" s="722"/>
    </row>
    <row r="8" spans="1:60" s="8" customFormat="1">
      <c r="A8" s="17" t="s">
        <v>14</v>
      </c>
      <c r="B8" s="18"/>
      <c r="C8" s="19"/>
      <c r="D8" s="20"/>
      <c r="E8" s="933" t="s">
        <v>15</v>
      </c>
      <c r="F8" s="21" t="s">
        <v>16</v>
      </c>
      <c r="G8" s="21" t="s">
        <v>17</v>
      </c>
      <c r="H8" s="21" t="s">
        <v>18</v>
      </c>
      <c r="I8" s="21" t="s">
        <v>19</v>
      </c>
      <c r="J8" s="21" t="s">
        <v>20</v>
      </c>
      <c r="K8" s="21" t="s">
        <v>22</v>
      </c>
      <c r="L8" s="933" t="s">
        <v>99</v>
      </c>
      <c r="M8" s="21" t="s">
        <v>23</v>
      </c>
      <c r="N8" s="21" t="s">
        <v>24</v>
      </c>
      <c r="O8" s="21" t="s">
        <v>26</v>
      </c>
      <c r="P8" s="21" t="s">
        <v>27</v>
      </c>
      <c r="Q8" s="21" t="s">
        <v>28</v>
      </c>
      <c r="R8" s="21" t="s">
        <v>29</v>
      </c>
      <c r="S8" s="21" t="s">
        <v>30</v>
      </c>
      <c r="T8" s="933"/>
      <c r="U8" s="933" t="s">
        <v>264</v>
      </c>
      <c r="V8" s="933" t="s">
        <v>8</v>
      </c>
      <c r="W8" s="21" t="s">
        <v>32</v>
      </c>
      <c r="X8" s="933" t="s">
        <v>33</v>
      </c>
      <c r="Y8" s="1365" t="s">
        <v>511</v>
      </c>
      <c r="Z8" s="21" t="s">
        <v>496</v>
      </c>
      <c r="AA8" s="21" t="s">
        <v>413</v>
      </c>
      <c r="AB8" s="1365" t="s">
        <v>608</v>
      </c>
      <c r="AC8" s="1366" t="s">
        <v>31</v>
      </c>
      <c r="AD8" s="21"/>
      <c r="AE8" s="933"/>
      <c r="AF8" s="21"/>
      <c r="AG8" s="21" t="s">
        <v>34</v>
      </c>
      <c r="AH8" s="1367" t="s">
        <v>25</v>
      </c>
      <c r="AI8" s="1368" t="s">
        <v>548</v>
      </c>
      <c r="AJ8" s="21" t="s">
        <v>490</v>
      </c>
      <c r="AK8" s="21" t="s">
        <v>490</v>
      </c>
      <c r="AL8" s="21" t="s">
        <v>118</v>
      </c>
      <c r="AM8" s="21" t="s">
        <v>493</v>
      </c>
      <c r="AN8" s="21" t="s">
        <v>493</v>
      </c>
      <c r="AO8" s="21" t="s">
        <v>687</v>
      </c>
      <c r="AP8" s="21" t="s">
        <v>605</v>
      </c>
      <c r="AQ8" s="21" t="s">
        <v>677</v>
      </c>
      <c r="AR8" s="21" t="s">
        <v>570</v>
      </c>
      <c r="AS8" s="21" t="s">
        <v>571</v>
      </c>
      <c r="AT8" s="21" t="s">
        <v>572</v>
      </c>
      <c r="AU8" s="21" t="s">
        <v>601</v>
      </c>
      <c r="AV8" s="21" t="s">
        <v>574</v>
      </c>
      <c r="AW8" s="21" t="s">
        <v>667</v>
      </c>
      <c r="AX8" s="21" t="s">
        <v>668</v>
      </c>
      <c r="AY8" s="21" t="s">
        <v>670</v>
      </c>
      <c r="AZ8" s="21" t="s">
        <v>671</v>
      </c>
      <c r="BA8" s="21" t="s">
        <v>513</v>
      </c>
      <c r="BB8" s="21"/>
      <c r="BC8" s="21"/>
      <c r="BD8" s="21" t="s">
        <v>13</v>
      </c>
      <c r="BE8" s="933"/>
    </row>
    <row r="9" spans="1:60" s="8" customFormat="1">
      <c r="A9" s="22" t="s">
        <v>35</v>
      </c>
      <c r="B9" s="23"/>
      <c r="C9" s="24"/>
      <c r="D9" s="25" t="s">
        <v>36</v>
      </c>
      <c r="E9" s="934" t="s">
        <v>37</v>
      </c>
      <c r="F9" s="26" t="s">
        <v>38</v>
      </c>
      <c r="G9" s="26" t="s">
        <v>39</v>
      </c>
      <c r="H9" s="26" t="s">
        <v>40</v>
      </c>
      <c r="I9" s="26" t="s">
        <v>18</v>
      </c>
      <c r="J9" s="26" t="s">
        <v>41</v>
      </c>
      <c r="K9" s="26" t="s">
        <v>43</v>
      </c>
      <c r="L9" s="934" t="s">
        <v>556</v>
      </c>
      <c r="M9" s="26" t="s">
        <v>25</v>
      </c>
      <c r="N9" s="26" t="s">
        <v>44</v>
      </c>
      <c r="O9" s="26" t="s">
        <v>47</v>
      </c>
      <c r="P9" s="26" t="s">
        <v>48</v>
      </c>
      <c r="Q9" s="26" t="s">
        <v>49</v>
      </c>
      <c r="R9" s="26" t="s">
        <v>49</v>
      </c>
      <c r="S9" s="26" t="s">
        <v>50</v>
      </c>
      <c r="T9" s="934" t="s">
        <v>51</v>
      </c>
      <c r="U9" s="934" t="s">
        <v>265</v>
      </c>
      <c r="V9" s="934" t="s">
        <v>45</v>
      </c>
      <c r="W9" s="26" t="s">
        <v>54</v>
      </c>
      <c r="X9" s="934" t="s">
        <v>597</v>
      </c>
      <c r="Y9" s="1369" t="s">
        <v>47</v>
      </c>
      <c r="Z9" s="26" t="s">
        <v>497</v>
      </c>
      <c r="AA9" s="26"/>
      <c r="AB9" s="1369" t="s">
        <v>568</v>
      </c>
      <c r="AC9" s="1370" t="s">
        <v>52</v>
      </c>
      <c r="AD9" s="26"/>
      <c r="AE9" s="934"/>
      <c r="AF9" s="26"/>
      <c r="AG9" s="26" t="s">
        <v>55</v>
      </c>
      <c r="AH9" s="934" t="s">
        <v>46</v>
      </c>
      <c r="AI9" s="1370" t="s">
        <v>519</v>
      </c>
      <c r="AJ9" s="26" t="s">
        <v>602</v>
      </c>
      <c r="AK9" s="26" t="s">
        <v>491</v>
      </c>
      <c r="AL9" s="26" t="s">
        <v>492</v>
      </c>
      <c r="AM9" s="1371" t="s">
        <v>559</v>
      </c>
      <c r="AN9" s="1371" t="s">
        <v>560</v>
      </c>
      <c r="AO9" s="1371" t="s">
        <v>661</v>
      </c>
      <c r="AP9" s="26" t="s">
        <v>606</v>
      </c>
      <c r="AQ9" s="26" t="s">
        <v>678</v>
      </c>
      <c r="AR9" s="26" t="s">
        <v>569</v>
      </c>
      <c r="AS9" s="26" t="s">
        <v>8</v>
      </c>
      <c r="AT9" s="26" t="s">
        <v>573</v>
      </c>
      <c r="AU9" s="26" t="s">
        <v>600</v>
      </c>
      <c r="AV9" s="26"/>
      <c r="AW9" s="26" t="s">
        <v>49</v>
      </c>
      <c r="AX9" s="26" t="s">
        <v>669</v>
      </c>
      <c r="AY9" s="26"/>
      <c r="AZ9" s="26" t="s">
        <v>582</v>
      </c>
      <c r="BA9" s="26"/>
      <c r="BB9" s="1371"/>
      <c r="BC9" s="26" t="s">
        <v>56</v>
      </c>
      <c r="BD9" s="26" t="s">
        <v>55</v>
      </c>
      <c r="BE9" s="934"/>
    </row>
    <row r="10" spans="1:60" s="1372" customFormat="1">
      <c r="A10" s="3"/>
      <c r="D10" s="1372" t="s">
        <v>57</v>
      </c>
      <c r="E10" s="935" t="s">
        <v>58</v>
      </c>
      <c r="F10" s="31" t="s">
        <v>59</v>
      </c>
      <c r="G10" s="31" t="s">
        <v>60</v>
      </c>
      <c r="H10" s="31" t="s">
        <v>61</v>
      </c>
      <c r="I10" s="31" t="s">
        <v>62</v>
      </c>
      <c r="J10" s="31" t="s">
        <v>63</v>
      </c>
      <c r="K10" s="31" t="s">
        <v>64</v>
      </c>
      <c r="L10" s="31" t="s">
        <v>65</v>
      </c>
      <c r="M10" s="31" t="s">
        <v>66</v>
      </c>
      <c r="N10" s="31" t="s">
        <v>68</v>
      </c>
      <c r="O10" s="31" t="s">
        <v>67</v>
      </c>
      <c r="P10" s="31" t="s">
        <v>69</v>
      </c>
      <c r="Q10" s="31" t="s">
        <v>310</v>
      </c>
      <c r="R10" s="31" t="s">
        <v>311</v>
      </c>
      <c r="S10" s="31" t="s">
        <v>70</v>
      </c>
      <c r="T10" s="945" t="s">
        <v>71</v>
      </c>
      <c r="U10" s="945" t="s">
        <v>72</v>
      </c>
      <c r="V10" s="31" t="s">
        <v>73</v>
      </c>
      <c r="W10" s="31" t="s">
        <v>74</v>
      </c>
      <c r="X10" s="31" t="s">
        <v>75</v>
      </c>
      <c r="Y10" s="31" t="s">
        <v>76</v>
      </c>
      <c r="Z10" s="31" t="s">
        <v>312</v>
      </c>
      <c r="AA10" s="31" t="s">
        <v>77</v>
      </c>
      <c r="AB10" s="1324" t="s">
        <v>78</v>
      </c>
      <c r="AC10" s="1373" t="s">
        <v>79</v>
      </c>
      <c r="AD10" s="1324"/>
      <c r="AE10" s="1324"/>
      <c r="AF10" s="1324"/>
      <c r="AG10" s="1324" t="s">
        <v>660</v>
      </c>
      <c r="AH10" s="945" t="s">
        <v>81</v>
      </c>
      <c r="AI10" s="1373" t="s">
        <v>82</v>
      </c>
      <c r="AJ10" s="31" t="s">
        <v>83</v>
      </c>
      <c r="AK10" s="31" t="s">
        <v>84</v>
      </c>
      <c r="AL10" s="31" t="s">
        <v>296</v>
      </c>
      <c r="AM10" s="31" t="s">
        <v>300</v>
      </c>
      <c r="AN10" s="31" t="s">
        <v>301</v>
      </c>
      <c r="AO10" s="31" t="s">
        <v>302</v>
      </c>
      <c r="AP10" s="31" t="s">
        <v>303</v>
      </c>
      <c r="AQ10" s="31" t="s">
        <v>561</v>
      </c>
      <c r="AR10" s="31" t="s">
        <v>562</v>
      </c>
      <c r="AS10" s="31" t="s">
        <v>512</v>
      </c>
      <c r="AT10" s="31" t="s">
        <v>494</v>
      </c>
      <c r="AU10" s="31" t="s">
        <v>495</v>
      </c>
      <c r="AV10" s="31" t="s">
        <v>563</v>
      </c>
      <c r="AW10" s="31" t="s">
        <v>564</v>
      </c>
      <c r="AX10" s="31" t="s">
        <v>565</v>
      </c>
      <c r="AY10" s="31" t="s">
        <v>665</v>
      </c>
      <c r="AZ10" s="31" t="s">
        <v>666</v>
      </c>
      <c r="BA10" s="31" t="s">
        <v>679</v>
      </c>
      <c r="BB10" s="31"/>
      <c r="BC10" s="31" t="s">
        <v>475</v>
      </c>
      <c r="BD10" s="31" t="s">
        <v>498</v>
      </c>
      <c r="BE10" s="945"/>
    </row>
    <row r="11" spans="1:60">
      <c r="T11" s="946"/>
      <c r="AC11" s="1374"/>
      <c r="AH11" s="946"/>
      <c r="AI11" s="1374"/>
      <c r="BE11" s="946"/>
    </row>
    <row r="12" spans="1:60">
      <c r="B12" s="2" t="s">
        <v>427</v>
      </c>
      <c r="T12" s="946"/>
      <c r="AC12" s="1374"/>
      <c r="AH12" s="946"/>
      <c r="AI12" s="1374"/>
      <c r="BE12" s="946"/>
    </row>
    <row r="13" spans="1:60" s="33" customFormat="1" ht="12.75">
      <c r="A13" s="32">
        <v>1</v>
      </c>
      <c r="B13" s="33" t="s">
        <v>428</v>
      </c>
      <c r="E13" s="936">
        <f>ResultSumEl!F8</f>
        <v>407849</v>
      </c>
      <c r="F13" s="76">
        <f>DFITAMA!$F8</f>
        <v>0</v>
      </c>
      <c r="G13" s="76">
        <f>BldGain!$F8</f>
        <v>0</v>
      </c>
      <c r="H13" s="76">
        <f>ColstripAFUDC!$F8</f>
        <v>0</v>
      </c>
      <c r="I13" s="76">
        <f>ColstripCommon!$F8</f>
        <v>0</v>
      </c>
      <c r="J13" s="76">
        <f>'KF-BP_Summ'!$F8</f>
        <v>0</v>
      </c>
      <c r="K13" s="76">
        <f>CustAdv!$F8</f>
        <v>0</v>
      </c>
      <c r="L13" s="76">
        <f>'DeprTrue-up'!$F8</f>
        <v>0</v>
      </c>
      <c r="M13" s="76">
        <f>'WA-SettleEx'!$F8</f>
        <v>0</v>
      </c>
      <c r="N13" s="78">
        <f>SUM(E13:M13)</f>
        <v>407849</v>
      </c>
      <c r="O13" s="76">
        <f>BandO!$F8</f>
        <v>-13744</v>
      </c>
      <c r="P13" s="76">
        <f>PropTax!$F8</f>
        <v>0</v>
      </c>
      <c r="Q13" s="76">
        <f>UncollExp!$F8</f>
        <v>0</v>
      </c>
      <c r="R13" s="76">
        <f>RegExp!$F8</f>
        <v>0</v>
      </c>
      <c r="S13" s="76">
        <f>InjDam!$F8</f>
        <v>0</v>
      </c>
      <c r="T13" s="76">
        <f>FIT!$F8</f>
        <v>0</v>
      </c>
      <c r="U13" s="76">
        <f>ElimPowerCost!$F8</f>
        <v>-32702</v>
      </c>
      <c r="V13" s="76">
        <f>NezPerce!$F8</f>
        <v>0</v>
      </c>
      <c r="W13" s="76">
        <f>ElimAR!$F8</f>
        <v>0</v>
      </c>
      <c r="X13" s="76">
        <f>SubSpace!$F8</f>
        <v>0</v>
      </c>
      <c r="Y13" s="76">
        <f>ExciseTax!$F8</f>
        <v>0</v>
      </c>
      <c r="Z13" s="76">
        <f>GainsLoss!$F8</f>
        <v>0</v>
      </c>
      <c r="AA13" s="76">
        <f>RevNormalztn!$F8</f>
        <v>28750</v>
      </c>
      <c r="AB13" s="76">
        <f>MiscRestate!$F8</f>
        <v>0</v>
      </c>
      <c r="AC13" s="1375">
        <f>DebtInt!$F8</f>
        <v>0</v>
      </c>
      <c r="AD13" s="76"/>
      <c r="AE13" s="76"/>
      <c r="AF13" s="76"/>
      <c r="AG13" s="78">
        <f>SUM(N13:AF13)</f>
        <v>390153</v>
      </c>
      <c r="AH13" s="76">
        <f>PFPSWA!$F8</f>
        <v>0</v>
      </c>
      <c r="AI13" s="1375">
        <f>'PFProdFctr-WA'!$F8</f>
        <v>0</v>
      </c>
      <c r="AJ13" s="76">
        <f>PFLabor!$F8</f>
        <v>0</v>
      </c>
      <c r="AK13" s="76">
        <f>PFExec!$F8</f>
        <v>0</v>
      </c>
      <c r="AL13" s="76">
        <f>PFTrans!$F8</f>
        <v>0</v>
      </c>
      <c r="AM13" s="76">
        <f>PFCapx2008!$F8</f>
        <v>0</v>
      </c>
      <c r="AN13" s="76">
        <f>PFCapx2009!$F8</f>
        <v>0</v>
      </c>
      <c r="AO13" s="76">
        <f>PFNoxon2010!$F8</f>
        <v>0</v>
      </c>
      <c r="AP13" s="76">
        <f>PFAssetMgmt!$F8</f>
        <v>0</v>
      </c>
      <c r="AQ13" s="76">
        <f>PFInfoServ!$F8</f>
        <v>0</v>
      </c>
      <c r="AR13" s="76">
        <f>PFSR_Relicense!$F8</f>
        <v>0</v>
      </c>
      <c r="AS13" s="76">
        <f>PFCDAtribe!$F8</f>
        <v>0</v>
      </c>
      <c r="AT13" s="76">
        <f>PFMoLease!$F8</f>
        <v>0</v>
      </c>
      <c r="AU13" s="76">
        <f>PFColstripEmiss!$F8</f>
        <v>0</v>
      </c>
      <c r="AV13" s="76">
        <f>PFIncentives!$F8</f>
        <v>0</v>
      </c>
      <c r="AW13" s="76">
        <f>'PFO&amp;MPlant'!$F8</f>
        <v>0</v>
      </c>
      <c r="AX13" s="76">
        <f>PFEmpBen!$F8</f>
        <v>0</v>
      </c>
      <c r="AY13" s="76">
        <f>PFInsur!$F8</f>
        <v>0</v>
      </c>
      <c r="AZ13" s="76">
        <f>PFClarkFork!$F8</f>
        <v>0</v>
      </c>
      <c r="BA13" s="76">
        <f>PF20open!$F8</f>
        <v>0</v>
      </c>
      <c r="BB13" s="76"/>
      <c r="BC13" s="78"/>
      <c r="BD13" s="78">
        <f t="shared" ref="BD13:BD18" si="0">SUM(AG13:BC13)</f>
        <v>390153</v>
      </c>
      <c r="BE13" s="76"/>
      <c r="BF13" s="723"/>
      <c r="BG13" s="723"/>
      <c r="BH13" s="723"/>
    </row>
    <row r="14" spans="1:60" s="34" customFormat="1">
      <c r="A14" s="32">
        <v>2</v>
      </c>
      <c r="B14" s="34" t="s">
        <v>429</v>
      </c>
      <c r="E14" s="937">
        <f>ResultSumEl!F9</f>
        <v>800</v>
      </c>
      <c r="F14" s="74">
        <f>DFITAMA!$F9</f>
        <v>0</v>
      </c>
      <c r="G14" s="74">
        <f>BldGain!$F9</f>
        <v>0</v>
      </c>
      <c r="H14" s="74">
        <f>ColstripAFUDC!$F9</f>
        <v>0</v>
      </c>
      <c r="I14" s="74">
        <f>ColstripCommon!$F9</f>
        <v>0</v>
      </c>
      <c r="J14" s="74">
        <f>'KF-BP_Summ'!$F9</f>
        <v>0</v>
      </c>
      <c r="K14" s="74">
        <f>CustAdv!$F9</f>
        <v>0</v>
      </c>
      <c r="L14" s="74">
        <f>'DeprTrue-up'!$F9</f>
        <v>0</v>
      </c>
      <c r="M14" s="74">
        <f>'WA-SettleEx'!$F9</f>
        <v>0</v>
      </c>
      <c r="N14" s="74">
        <f>SUM(E14:M14)</f>
        <v>800</v>
      </c>
      <c r="O14" s="74">
        <f>BandO!$F9</f>
        <v>0</v>
      </c>
      <c r="P14" s="74">
        <f>PropTax!$F9</f>
        <v>0</v>
      </c>
      <c r="Q14" s="74">
        <f>UncollExp!$F9</f>
        <v>0</v>
      </c>
      <c r="R14" s="74">
        <f>RegExp!$F9</f>
        <v>0</v>
      </c>
      <c r="S14" s="74">
        <f>InjDam!$F9</f>
        <v>0</v>
      </c>
      <c r="T14" s="74">
        <f>FIT!$F9</f>
        <v>0</v>
      </c>
      <c r="U14" s="74">
        <f>ElimPowerCost!$F9</f>
        <v>0</v>
      </c>
      <c r="V14" s="74">
        <f>NezPerce!$F9</f>
        <v>0</v>
      </c>
      <c r="W14" s="74">
        <f>ElimAR!$F9</f>
        <v>0</v>
      </c>
      <c r="X14" s="74">
        <f>SubSpace!$F9</f>
        <v>0</v>
      </c>
      <c r="Y14" s="74">
        <f>ExciseTax!$F9</f>
        <v>0</v>
      </c>
      <c r="Z14" s="74">
        <f>GainsLoss!$F9</f>
        <v>0</v>
      </c>
      <c r="AA14" s="74">
        <f>RevNormalztn!$F9</f>
        <v>0</v>
      </c>
      <c r="AB14" s="74">
        <f>MiscRestate!$F9</f>
        <v>0</v>
      </c>
      <c r="AC14" s="1376">
        <f>DebtInt!$F9</f>
        <v>0</v>
      </c>
      <c r="AD14" s="74"/>
      <c r="AE14" s="74"/>
      <c r="AF14" s="74"/>
      <c r="AG14" s="74">
        <f>SUM(N14:AF14)</f>
        <v>800</v>
      </c>
      <c r="AH14" s="74">
        <f>PFPSWA!$F9</f>
        <v>0</v>
      </c>
      <c r="AI14" s="1376">
        <f>'PFProdFctr-WA'!$F9</f>
        <v>0</v>
      </c>
      <c r="AJ14" s="74">
        <f>PFLabor!$F9</f>
        <v>0</v>
      </c>
      <c r="AK14" s="74">
        <f>PFExec!$F9</f>
        <v>0</v>
      </c>
      <c r="AL14" s="74">
        <f>PFTrans!$F9</f>
        <v>0</v>
      </c>
      <c r="AM14" s="74">
        <f>PFCapx2008!$F9</f>
        <v>0</v>
      </c>
      <c r="AN14" s="74">
        <f>PFCapx2009!$F9</f>
        <v>0</v>
      </c>
      <c r="AO14" s="74">
        <f>PFNoxon2010!$F9</f>
        <v>0</v>
      </c>
      <c r="AP14" s="937">
        <f>PFAssetMgmt!$F9</f>
        <v>0</v>
      </c>
      <c r="AQ14" s="74">
        <f>PFInfoServ!$F9</f>
        <v>0</v>
      </c>
      <c r="AR14" s="74">
        <f>PFSR_Relicense!$F9</f>
        <v>0</v>
      </c>
      <c r="AS14" s="74">
        <f>PFCDAtribe!$F9</f>
        <v>0</v>
      </c>
      <c r="AT14" s="74">
        <f>PFMoLease!$F9</f>
        <v>0</v>
      </c>
      <c r="AU14" s="74">
        <f>PFColstripEmiss!$F9</f>
        <v>0</v>
      </c>
      <c r="AV14" s="74">
        <f>PFIncentives!$F9</f>
        <v>0</v>
      </c>
      <c r="AW14" s="74">
        <f>'PFO&amp;MPlant'!$F9</f>
        <v>0</v>
      </c>
      <c r="AX14" s="74">
        <f>PFEmpBen!$F9</f>
        <v>0</v>
      </c>
      <c r="AY14" s="74">
        <f>PFInsur!$F9</f>
        <v>0</v>
      </c>
      <c r="AZ14" s="74">
        <f>PFClarkFork!$F9</f>
        <v>0</v>
      </c>
      <c r="BA14" s="74">
        <f>PF20open!$F9</f>
        <v>0</v>
      </c>
      <c r="BB14" s="74"/>
      <c r="BC14" s="74"/>
      <c r="BD14" s="74">
        <f t="shared" si="0"/>
        <v>800</v>
      </c>
      <c r="BE14" s="74"/>
    </row>
    <row r="15" spans="1:60" s="34" customFormat="1">
      <c r="A15" s="32">
        <v>3</v>
      </c>
      <c r="B15" s="34" t="s">
        <v>430</v>
      </c>
      <c r="E15" s="938">
        <f>ResultSumEl!F10</f>
        <v>126479</v>
      </c>
      <c r="F15" s="75">
        <f>DFITAMA!$F10</f>
        <v>0</v>
      </c>
      <c r="G15" s="75">
        <f>BldGain!$F10</f>
        <v>0</v>
      </c>
      <c r="H15" s="75">
        <f>ColstripAFUDC!$F10</f>
        <v>0</v>
      </c>
      <c r="I15" s="75">
        <f>ColstripCommon!$F10</f>
        <v>0</v>
      </c>
      <c r="J15" s="75">
        <f>'KF-BP_Summ'!$F10</f>
        <v>0</v>
      </c>
      <c r="K15" s="75">
        <f>CustAdv!$F10</f>
        <v>0</v>
      </c>
      <c r="L15" s="75">
        <f>'DeprTrue-up'!$F10</f>
        <v>0</v>
      </c>
      <c r="M15" s="75">
        <f>'WA-SettleEx'!$F10</f>
        <v>0</v>
      </c>
      <c r="N15" s="75">
        <f>SUM(E15:M15)</f>
        <v>126479</v>
      </c>
      <c r="O15" s="75">
        <f>BandO!$F10</f>
        <v>0</v>
      </c>
      <c r="P15" s="75">
        <f>PropTax!$F10</f>
        <v>0</v>
      </c>
      <c r="Q15" s="75">
        <f>UncollExp!$F10</f>
        <v>0</v>
      </c>
      <c r="R15" s="75">
        <f>RegExp!$F10</f>
        <v>0</v>
      </c>
      <c r="S15" s="75">
        <f>InjDam!$F10</f>
        <v>0</v>
      </c>
      <c r="T15" s="75">
        <f>FIT!$F10</f>
        <v>0</v>
      </c>
      <c r="U15" s="75">
        <f>ElimPowerCost!$F10</f>
        <v>0</v>
      </c>
      <c r="V15" s="75">
        <f>NezPerce!$F10</f>
        <v>0</v>
      </c>
      <c r="W15" s="75">
        <f>ElimAR!$F10</f>
        <v>0</v>
      </c>
      <c r="X15" s="75">
        <f>SubSpace!$F10</f>
        <v>0</v>
      </c>
      <c r="Y15" s="75">
        <f>ExciseTax!$F10</f>
        <v>0</v>
      </c>
      <c r="Z15" s="75">
        <f>GainsLoss!$F10</f>
        <v>0</v>
      </c>
      <c r="AA15" s="75">
        <f>RevNormalztn!$F10</f>
        <v>0</v>
      </c>
      <c r="AB15" s="75">
        <f>MiscRestate!$F10</f>
        <v>0</v>
      </c>
      <c r="AC15" s="1377">
        <f>DebtInt!$F10</f>
        <v>0</v>
      </c>
      <c r="AD15" s="75"/>
      <c r="AE15" s="75"/>
      <c r="AF15" s="75"/>
      <c r="AG15" s="75">
        <f>SUM(N15:AF15)</f>
        <v>126479</v>
      </c>
      <c r="AH15" s="75">
        <f>PFPSWA!$F10</f>
        <v>-49086</v>
      </c>
      <c r="AI15" s="1377">
        <f>'PFProdFctr-WA'!$F10</f>
        <v>-3350</v>
      </c>
      <c r="AJ15" s="75">
        <f>PFLabor!$F10</f>
        <v>0</v>
      </c>
      <c r="AK15" s="75">
        <f>PFExec!$F10</f>
        <v>0</v>
      </c>
      <c r="AL15" s="75">
        <f>PFTrans!$F10</f>
        <v>0</v>
      </c>
      <c r="AM15" s="75">
        <f>PFCapx2008!$F10</f>
        <v>0</v>
      </c>
      <c r="AN15" s="75">
        <f>PFCapx2009!$F10</f>
        <v>0</v>
      </c>
      <c r="AO15" s="75">
        <f>PFNoxon2010!$F10</f>
        <v>0</v>
      </c>
      <c r="AP15" s="938">
        <f>PFAssetMgmt!$F10</f>
        <v>0</v>
      </c>
      <c r="AQ15" s="75">
        <f>PFInfoServ!$F10</f>
        <v>0</v>
      </c>
      <c r="AR15" s="75">
        <f>PFSR_Relicense!$F10</f>
        <v>0</v>
      </c>
      <c r="AS15" s="75">
        <f>PFCDAtribe!$F10</f>
        <v>0</v>
      </c>
      <c r="AT15" s="75">
        <f>PFMoLease!$F10</f>
        <v>0</v>
      </c>
      <c r="AU15" s="75">
        <f>PFColstripEmiss!$F10</f>
        <v>0</v>
      </c>
      <c r="AV15" s="75">
        <f>PFIncentives!$F10</f>
        <v>0</v>
      </c>
      <c r="AW15" s="75">
        <f>'PFO&amp;MPlant'!$F10</f>
        <v>0</v>
      </c>
      <c r="AX15" s="75">
        <f>PFEmpBen!$F10</f>
        <v>0</v>
      </c>
      <c r="AY15" s="75">
        <f>PFInsur!$F10</f>
        <v>0</v>
      </c>
      <c r="AZ15" s="75">
        <f>PFClarkFork!$F10</f>
        <v>0</v>
      </c>
      <c r="BA15" s="75">
        <f>PF20open!$F10</f>
        <v>0</v>
      </c>
      <c r="BB15" s="75"/>
      <c r="BC15" s="75"/>
      <c r="BD15" s="75">
        <f t="shared" si="0"/>
        <v>74043</v>
      </c>
      <c r="BE15" s="75"/>
    </row>
    <row r="16" spans="1:60" s="34" customFormat="1">
      <c r="A16" s="32">
        <v>4</v>
      </c>
      <c r="C16" s="34" t="s">
        <v>431</v>
      </c>
      <c r="E16" s="939">
        <f t="shared" ref="E16:M16" si="1">SUM(E13:E15)</f>
        <v>535128</v>
      </c>
      <c r="F16" s="34">
        <f t="shared" si="1"/>
        <v>0</v>
      </c>
      <c r="G16" s="34">
        <f t="shared" si="1"/>
        <v>0</v>
      </c>
      <c r="H16" s="34">
        <f t="shared" si="1"/>
        <v>0</v>
      </c>
      <c r="I16" s="34">
        <f t="shared" si="1"/>
        <v>0</v>
      </c>
      <c r="J16" s="34">
        <f t="shared" si="1"/>
        <v>0</v>
      </c>
      <c r="K16" s="34">
        <f t="shared" si="1"/>
        <v>0</v>
      </c>
      <c r="L16" s="34">
        <f t="shared" si="1"/>
        <v>0</v>
      </c>
      <c r="M16" s="34">
        <f t="shared" si="1"/>
        <v>0</v>
      </c>
      <c r="N16" s="34">
        <f t="shared" ref="N16:T16" si="2">SUM(N13:N15)</f>
        <v>535128</v>
      </c>
      <c r="O16" s="34">
        <f t="shared" si="2"/>
        <v>-13744</v>
      </c>
      <c r="P16" s="34">
        <f t="shared" si="2"/>
        <v>0</v>
      </c>
      <c r="Q16" s="34">
        <f t="shared" si="2"/>
        <v>0</v>
      </c>
      <c r="R16" s="34">
        <f t="shared" si="2"/>
        <v>0</v>
      </c>
      <c r="S16" s="34">
        <f t="shared" si="2"/>
        <v>0</v>
      </c>
      <c r="T16" s="34">
        <f t="shared" si="2"/>
        <v>0</v>
      </c>
      <c r="U16" s="34">
        <f t="shared" ref="U16:AC16" si="3">SUM(U13:U15)</f>
        <v>-32702</v>
      </c>
      <c r="V16" s="34">
        <f t="shared" si="3"/>
        <v>0</v>
      </c>
      <c r="W16" s="34">
        <f t="shared" si="3"/>
        <v>0</v>
      </c>
      <c r="X16" s="34">
        <f t="shared" si="3"/>
        <v>0</v>
      </c>
      <c r="Y16" s="34">
        <f t="shared" si="3"/>
        <v>0</v>
      </c>
      <c r="Z16" s="34">
        <f t="shared" si="3"/>
        <v>0</v>
      </c>
      <c r="AA16" s="34">
        <f t="shared" si="3"/>
        <v>28750</v>
      </c>
      <c r="AB16" s="34">
        <f t="shared" si="3"/>
        <v>0</v>
      </c>
      <c r="AC16" s="1378">
        <f t="shared" si="3"/>
        <v>0</v>
      </c>
      <c r="AG16" s="34">
        <f t="shared" ref="AG16:AN16" si="4">SUM(AG13:AG15)</f>
        <v>517432</v>
      </c>
      <c r="AH16" s="34">
        <f t="shared" si="4"/>
        <v>-49086</v>
      </c>
      <c r="AI16" s="1378">
        <f t="shared" si="4"/>
        <v>-3350</v>
      </c>
      <c r="AJ16" s="34">
        <f t="shared" si="4"/>
        <v>0</v>
      </c>
      <c r="AK16" s="34">
        <f t="shared" si="4"/>
        <v>0</v>
      </c>
      <c r="AL16" s="34">
        <f t="shared" si="4"/>
        <v>0</v>
      </c>
      <c r="AM16" s="34">
        <f t="shared" si="4"/>
        <v>0</v>
      </c>
      <c r="AN16" s="34">
        <f t="shared" si="4"/>
        <v>0</v>
      </c>
      <c r="AO16" s="34">
        <f>SUM(AO13:AO15)</f>
        <v>0</v>
      </c>
      <c r="AP16" s="939">
        <f t="shared" ref="AP16:BA16" si="5">SUM(AP13:AP15)</f>
        <v>0</v>
      </c>
      <c r="AQ16" s="34">
        <f t="shared" si="5"/>
        <v>0</v>
      </c>
      <c r="AR16" s="34">
        <f t="shared" si="5"/>
        <v>0</v>
      </c>
      <c r="AS16" s="34">
        <f t="shared" si="5"/>
        <v>0</v>
      </c>
      <c r="AT16" s="34">
        <f>SUM(AT13:AT15)</f>
        <v>0</v>
      </c>
      <c r="AU16" s="34">
        <f t="shared" si="5"/>
        <v>0</v>
      </c>
      <c r="AV16" s="34">
        <f t="shared" si="5"/>
        <v>0</v>
      </c>
      <c r="AW16" s="34">
        <f t="shared" si="5"/>
        <v>0</v>
      </c>
      <c r="AX16" s="34">
        <f t="shared" si="5"/>
        <v>0</v>
      </c>
      <c r="AY16" s="34">
        <f t="shared" si="5"/>
        <v>0</v>
      </c>
      <c r="AZ16" s="34">
        <f t="shared" si="5"/>
        <v>0</v>
      </c>
      <c r="BA16" s="34">
        <f t="shared" si="5"/>
        <v>0</v>
      </c>
      <c r="BD16" s="34">
        <f t="shared" si="0"/>
        <v>464996</v>
      </c>
    </row>
    <row r="17" spans="1:57" s="34" customFormat="1">
      <c r="A17" s="32">
        <v>5</v>
      </c>
      <c r="B17" s="34" t="s">
        <v>432</v>
      </c>
      <c r="E17" s="938">
        <f>ResultSumEl!F12</f>
        <v>36572</v>
      </c>
      <c r="F17" s="75">
        <f>DFITAMA!$F12</f>
        <v>0</v>
      </c>
      <c r="G17" s="75">
        <f>BldGain!$F12</f>
        <v>0</v>
      </c>
      <c r="H17" s="75">
        <f>ColstripAFUDC!$F12</f>
        <v>0</v>
      </c>
      <c r="I17" s="75">
        <f>ColstripCommon!$F12</f>
        <v>0</v>
      </c>
      <c r="J17" s="75">
        <f>'KF-BP_Summ'!$F12</f>
        <v>0</v>
      </c>
      <c r="K17" s="75">
        <f>CustAdv!$F12</f>
        <v>0</v>
      </c>
      <c r="L17" s="75">
        <f>'DeprTrue-up'!$F12</f>
        <v>0</v>
      </c>
      <c r="M17" s="75">
        <f>'WA-SettleEx'!$F12</f>
        <v>0</v>
      </c>
      <c r="N17" s="75">
        <f>SUM(E17:M17)</f>
        <v>36572</v>
      </c>
      <c r="O17" s="75">
        <f>BandO!$F12</f>
        <v>-16</v>
      </c>
      <c r="P17" s="75">
        <f>PropTax!$F12</f>
        <v>0</v>
      </c>
      <c r="Q17" s="75">
        <f>UncollExp!$F12</f>
        <v>0</v>
      </c>
      <c r="R17" s="75">
        <f>RegExp!$F12</f>
        <v>0</v>
      </c>
      <c r="S17" s="75">
        <f>InjDam!$F12</f>
        <v>0</v>
      </c>
      <c r="T17" s="75">
        <f>FIT!$F12</f>
        <v>0</v>
      </c>
      <c r="U17" s="75">
        <f>ElimPowerCost!$F12</f>
        <v>0</v>
      </c>
      <c r="V17" s="75">
        <f>NezPerce!$F12</f>
        <v>0</v>
      </c>
      <c r="W17" s="75">
        <f>ElimAR!$F12</f>
        <v>0</v>
      </c>
      <c r="X17" s="75">
        <f>SubSpace!$F12</f>
        <v>0</v>
      </c>
      <c r="Y17" s="75">
        <f>ExciseTax!$F12</f>
        <v>0</v>
      </c>
      <c r="Z17" s="75">
        <f>GainsLoss!$F12</f>
        <v>0</v>
      </c>
      <c r="AA17" s="75">
        <f>RevNormalztn!$F12</f>
        <v>432</v>
      </c>
      <c r="AB17" s="75">
        <f>MiscRestate!$F12</f>
        <v>0</v>
      </c>
      <c r="AC17" s="1377">
        <f>DebtInt!$F12</f>
        <v>0</v>
      </c>
      <c r="AD17" s="75"/>
      <c r="AE17" s="75"/>
      <c r="AF17" s="75"/>
      <c r="AG17" s="75">
        <f>SUM(N17:AF17)</f>
        <v>36988</v>
      </c>
      <c r="AH17" s="75">
        <f>PFPSWA!$F12</f>
        <v>-27028</v>
      </c>
      <c r="AI17" s="1377">
        <f>'PFProdFctr-WA'!$F12</f>
        <v>-304</v>
      </c>
      <c r="AJ17" s="75">
        <f>PFLabor!$F12</f>
        <v>0</v>
      </c>
      <c r="AK17" s="75">
        <f>PFExec!$F12</f>
        <v>0</v>
      </c>
      <c r="AL17" s="75">
        <f>PFTrans!$F12</f>
        <v>24</v>
      </c>
      <c r="AM17" s="75">
        <f>PFCapx2008!$F12</f>
        <v>0</v>
      </c>
      <c r="AN17" s="75">
        <f>PFCapx2009!$F12</f>
        <v>0</v>
      </c>
      <c r="AO17" s="75">
        <f>PFNoxon2010!$F12</f>
        <v>0</v>
      </c>
      <c r="AP17" s="938">
        <f>PFAssetMgmt!$F12</f>
        <v>0</v>
      </c>
      <c r="AQ17" s="75">
        <f>PFInfoServ!$F12</f>
        <v>0</v>
      </c>
      <c r="AR17" s="75">
        <f>PFSR_Relicense!$F12</f>
        <v>0</v>
      </c>
      <c r="AS17" s="75">
        <f>PFCDAtribe!$F12</f>
        <v>0</v>
      </c>
      <c r="AT17" s="75">
        <f>PFMoLease!$F12</f>
        <v>0</v>
      </c>
      <c r="AU17" s="75">
        <f>PFColstripEmiss!$F12</f>
        <v>0</v>
      </c>
      <c r="AV17" s="75">
        <f>PFIncentives!$F12</f>
        <v>0</v>
      </c>
      <c r="AW17" s="75">
        <f>'PFO&amp;MPlant'!$F12</f>
        <v>0</v>
      </c>
      <c r="AX17" s="75">
        <f>PFEmpBen!$F12</f>
        <v>0</v>
      </c>
      <c r="AY17" s="75">
        <f>PFInsur!$F12</f>
        <v>0</v>
      </c>
      <c r="AZ17" s="75">
        <f>PFClarkFork!$F12</f>
        <v>0</v>
      </c>
      <c r="BA17" s="75">
        <f>PF20open!$F12</f>
        <v>0</v>
      </c>
      <c r="BB17" s="75"/>
      <c r="BC17" s="75"/>
      <c r="BD17" s="75">
        <f t="shared" si="0"/>
        <v>9680</v>
      </c>
      <c r="BE17" s="75"/>
    </row>
    <row r="18" spans="1:57" s="34" customFormat="1">
      <c r="A18" s="32">
        <v>6</v>
      </c>
      <c r="C18" s="34" t="s">
        <v>433</v>
      </c>
      <c r="E18" s="939">
        <f t="shared" ref="E18:M18" si="6">SUM(E16:E17)</f>
        <v>571700</v>
      </c>
      <c r="F18" s="34">
        <f t="shared" si="6"/>
        <v>0</v>
      </c>
      <c r="G18" s="34">
        <f t="shared" si="6"/>
        <v>0</v>
      </c>
      <c r="H18" s="34">
        <f t="shared" si="6"/>
        <v>0</v>
      </c>
      <c r="I18" s="34">
        <f t="shared" si="6"/>
        <v>0</v>
      </c>
      <c r="J18" s="34">
        <f t="shared" si="6"/>
        <v>0</v>
      </c>
      <c r="K18" s="34">
        <f t="shared" si="6"/>
        <v>0</v>
      </c>
      <c r="L18" s="34">
        <f t="shared" si="6"/>
        <v>0</v>
      </c>
      <c r="M18" s="34">
        <f t="shared" si="6"/>
        <v>0</v>
      </c>
      <c r="N18" s="34">
        <f t="shared" ref="N18:T18" si="7">SUM(N16:N17)</f>
        <v>571700</v>
      </c>
      <c r="O18" s="34">
        <f t="shared" si="7"/>
        <v>-13760</v>
      </c>
      <c r="P18" s="34">
        <f t="shared" si="7"/>
        <v>0</v>
      </c>
      <c r="Q18" s="34">
        <f t="shared" si="7"/>
        <v>0</v>
      </c>
      <c r="R18" s="34">
        <f t="shared" si="7"/>
        <v>0</v>
      </c>
      <c r="S18" s="34">
        <f t="shared" si="7"/>
        <v>0</v>
      </c>
      <c r="T18" s="34">
        <f t="shared" si="7"/>
        <v>0</v>
      </c>
      <c r="U18" s="34">
        <f t="shared" ref="U18:AC18" si="8">SUM(U16:U17)</f>
        <v>-32702</v>
      </c>
      <c r="V18" s="34">
        <f t="shared" si="8"/>
        <v>0</v>
      </c>
      <c r="W18" s="34">
        <f t="shared" si="8"/>
        <v>0</v>
      </c>
      <c r="X18" s="34">
        <f t="shared" si="8"/>
        <v>0</v>
      </c>
      <c r="Y18" s="34">
        <f t="shared" si="8"/>
        <v>0</v>
      </c>
      <c r="Z18" s="34">
        <f t="shared" si="8"/>
        <v>0</v>
      </c>
      <c r="AA18" s="34">
        <f t="shared" si="8"/>
        <v>29182</v>
      </c>
      <c r="AB18" s="34">
        <f t="shared" si="8"/>
        <v>0</v>
      </c>
      <c r="AC18" s="1378">
        <f t="shared" si="8"/>
        <v>0</v>
      </c>
      <c r="AG18" s="34">
        <f t="shared" ref="AG18:AN18" si="9">SUM(AG16:AG17)</f>
        <v>554420</v>
      </c>
      <c r="AH18" s="34">
        <f t="shared" si="9"/>
        <v>-76114</v>
      </c>
      <c r="AI18" s="1378">
        <f t="shared" si="9"/>
        <v>-3654</v>
      </c>
      <c r="AJ18" s="34">
        <f t="shared" si="9"/>
        <v>0</v>
      </c>
      <c r="AK18" s="34">
        <f t="shared" si="9"/>
        <v>0</v>
      </c>
      <c r="AL18" s="34">
        <f t="shared" si="9"/>
        <v>24</v>
      </c>
      <c r="AM18" s="34">
        <f t="shared" si="9"/>
        <v>0</v>
      </c>
      <c r="AN18" s="34">
        <f t="shared" si="9"/>
        <v>0</v>
      </c>
      <c r="AO18" s="34">
        <f>SUM(AO16:AO17)</f>
        <v>0</v>
      </c>
      <c r="AP18" s="939">
        <f t="shared" ref="AP18:BA18" si="10">SUM(AP16:AP17)</f>
        <v>0</v>
      </c>
      <c r="AQ18" s="34">
        <f t="shared" si="10"/>
        <v>0</v>
      </c>
      <c r="AR18" s="34">
        <f t="shared" si="10"/>
        <v>0</v>
      </c>
      <c r="AS18" s="34">
        <f t="shared" si="10"/>
        <v>0</v>
      </c>
      <c r="AT18" s="34">
        <f>SUM(AT16:AT17)</f>
        <v>0</v>
      </c>
      <c r="AU18" s="34">
        <f t="shared" si="10"/>
        <v>0</v>
      </c>
      <c r="AV18" s="34">
        <f t="shared" si="10"/>
        <v>0</v>
      </c>
      <c r="AW18" s="34">
        <f t="shared" si="10"/>
        <v>0</v>
      </c>
      <c r="AX18" s="34">
        <f t="shared" si="10"/>
        <v>0</v>
      </c>
      <c r="AY18" s="34">
        <f t="shared" si="10"/>
        <v>0</v>
      </c>
      <c r="AZ18" s="34">
        <f t="shared" si="10"/>
        <v>0</v>
      </c>
      <c r="BA18" s="34">
        <f t="shared" si="10"/>
        <v>0</v>
      </c>
      <c r="BD18" s="34">
        <f t="shared" si="0"/>
        <v>474676</v>
      </c>
    </row>
    <row r="19" spans="1:57" s="34" customFormat="1">
      <c r="A19" s="32"/>
      <c r="E19" s="937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1376"/>
      <c r="AD19" s="74"/>
      <c r="AE19" s="74"/>
      <c r="AF19" s="74"/>
      <c r="AG19" s="74"/>
      <c r="AH19" s="74"/>
      <c r="AI19" s="1376"/>
      <c r="AJ19" s="74"/>
      <c r="AK19" s="74"/>
      <c r="AL19" s="74"/>
      <c r="AM19" s="74"/>
      <c r="AN19" s="74"/>
      <c r="AO19" s="74"/>
      <c r="AP19" s="937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</row>
    <row r="20" spans="1:57" s="34" customFormat="1">
      <c r="A20" s="32"/>
      <c r="B20" s="34" t="s">
        <v>434</v>
      </c>
      <c r="E20" s="937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1376"/>
      <c r="AD20" s="74"/>
      <c r="AE20" s="74"/>
      <c r="AF20" s="74"/>
      <c r="AG20" s="74"/>
      <c r="AH20" s="74"/>
      <c r="AI20" s="1376"/>
      <c r="AJ20" s="74"/>
      <c r="AK20" s="74"/>
      <c r="AL20" s="74"/>
      <c r="AM20" s="74"/>
      <c r="AN20" s="74"/>
      <c r="AO20" s="74"/>
      <c r="AP20" s="937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</row>
    <row r="21" spans="1:57" s="34" customFormat="1">
      <c r="A21" s="32"/>
      <c r="B21" s="34" t="s">
        <v>435</v>
      </c>
      <c r="E21" s="937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1376"/>
      <c r="AD21" s="74"/>
      <c r="AE21" s="74"/>
      <c r="AF21" s="74"/>
      <c r="AG21" s="74"/>
      <c r="AH21" s="74"/>
      <c r="AI21" s="1376"/>
      <c r="AJ21" s="74"/>
      <c r="AK21" s="74"/>
      <c r="AL21" s="74"/>
      <c r="AM21" s="74"/>
      <c r="AN21" s="74"/>
      <c r="AO21" s="74"/>
      <c r="AP21" s="937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>
        <f t="shared" ref="BD21:BD26" si="11">SUM(AG21:BC21)</f>
        <v>0</v>
      </c>
      <c r="BE21" s="74"/>
    </row>
    <row r="22" spans="1:57" s="34" customFormat="1">
      <c r="A22" s="32">
        <v>7</v>
      </c>
      <c r="C22" s="34" t="s">
        <v>436</v>
      </c>
      <c r="E22" s="937">
        <f>ResultSumEl!F17</f>
        <v>175800</v>
      </c>
      <c r="F22" s="74">
        <f>DFITAMA!$F17</f>
        <v>0</v>
      </c>
      <c r="G22" s="74">
        <f>BldGain!$F17</f>
        <v>0</v>
      </c>
      <c r="H22" s="74">
        <f>ColstripAFUDC!$F17</f>
        <v>0</v>
      </c>
      <c r="I22" s="74">
        <f>ColstripCommon!$F17</f>
        <v>0</v>
      </c>
      <c r="J22" s="74">
        <f>'KF-BP_Summ'!$F17</f>
        <v>0</v>
      </c>
      <c r="K22" s="74">
        <f>CustAdv!$F17</f>
        <v>0</v>
      </c>
      <c r="L22" s="74">
        <f>'DeprTrue-up'!$F17</f>
        <v>0</v>
      </c>
      <c r="M22" s="74">
        <f>'WA-SettleEx'!$F17</f>
        <v>0</v>
      </c>
      <c r="N22" s="74">
        <f>SUM(E22:M22)</f>
        <v>175800</v>
      </c>
      <c r="O22" s="74">
        <f>BandO!$F17</f>
        <v>0</v>
      </c>
      <c r="P22" s="74">
        <f>PropTax!$F17</f>
        <v>0</v>
      </c>
      <c r="Q22" s="74">
        <f>UncollExp!$F17</f>
        <v>0</v>
      </c>
      <c r="R22" s="74">
        <f>RegExp!$F17</f>
        <v>0</v>
      </c>
      <c r="S22" s="74">
        <f>InjDam!$F17</f>
        <v>0</v>
      </c>
      <c r="T22" s="74">
        <f>FIT!$F17</f>
        <v>0</v>
      </c>
      <c r="U22" s="74">
        <f>ElimPowerCost!$F17</f>
        <v>-17668</v>
      </c>
      <c r="V22" s="74">
        <f>NezPerce!$F17</f>
        <v>9</v>
      </c>
      <c r="W22" s="74">
        <f>ElimAR!$F17</f>
        <v>0</v>
      </c>
      <c r="X22" s="74">
        <f>SubSpace!$F17</f>
        <v>0</v>
      </c>
      <c r="Y22" s="74">
        <f>ExciseTax!$F17</f>
        <v>0</v>
      </c>
      <c r="Z22" s="74">
        <f>GainsLoss!$F17</f>
        <v>0</v>
      </c>
      <c r="AA22" s="74">
        <f>RevNormalztn!$F17</f>
        <v>-70</v>
      </c>
      <c r="AB22" s="74">
        <f>MiscRestate!$F17</f>
        <v>0</v>
      </c>
      <c r="AC22" s="1376">
        <f>DebtInt!$F17</f>
        <v>0</v>
      </c>
      <c r="AD22" s="74"/>
      <c r="AE22" s="74"/>
      <c r="AF22" s="74"/>
      <c r="AG22" s="74">
        <f>SUM(N22:AF22)</f>
        <v>158071</v>
      </c>
      <c r="AH22" s="74">
        <f>PFPSWA!$F17</f>
        <v>1003.5</v>
      </c>
      <c r="AI22" s="1376">
        <f>'PFProdFctr-WA'!$F17</f>
        <v>-8749</v>
      </c>
      <c r="AJ22" s="74">
        <f>PFLabor!$F17</f>
        <v>1031</v>
      </c>
      <c r="AK22" s="74">
        <f>PFExec!$F17</f>
        <v>9</v>
      </c>
      <c r="AL22" s="74">
        <f>PFTrans!$F17</f>
        <v>103</v>
      </c>
      <c r="AM22" s="74">
        <f>PFCapx2008!$F17</f>
        <v>0</v>
      </c>
      <c r="AN22" s="74">
        <f>PFCapx2009!$F17</f>
        <v>0</v>
      </c>
      <c r="AO22" s="74">
        <f>PFNoxon2010!$F17</f>
        <v>0</v>
      </c>
      <c r="AP22" s="937">
        <f>PFAssetMgmt!$F17</f>
        <v>874</v>
      </c>
      <c r="AQ22" s="74">
        <f>PFInfoServ!$F17</f>
        <v>0</v>
      </c>
      <c r="AR22" s="74">
        <f>PFSR_Relicense!$F17</f>
        <v>1677</v>
      </c>
      <c r="AS22" s="74">
        <f>PFCDAtribe!$F17</f>
        <v>0</v>
      </c>
      <c r="AT22" s="74">
        <f>PFMoLease!$F17</f>
        <v>0</v>
      </c>
      <c r="AU22" s="74">
        <f>PFColstripEmiss!$F17</f>
        <v>1873</v>
      </c>
      <c r="AV22" s="74">
        <f>PFIncentives!$F17</f>
        <v>0</v>
      </c>
      <c r="AW22" s="74">
        <f>'PFO&amp;MPlant'!$F17</f>
        <v>0</v>
      </c>
      <c r="AX22" s="74">
        <f>PFEmpBen!$F17</f>
        <v>1041</v>
      </c>
      <c r="AY22" s="74">
        <f>PFInsur!$F17</f>
        <v>0</v>
      </c>
      <c r="AZ22" s="74">
        <f>PFClarkFork!$F17</f>
        <v>656</v>
      </c>
      <c r="BA22" s="74">
        <f>PF20open!$F17</f>
        <v>0</v>
      </c>
      <c r="BB22" s="74"/>
      <c r="BC22" s="74"/>
      <c r="BD22" s="74">
        <f t="shared" si="11"/>
        <v>157589.5</v>
      </c>
      <c r="BE22" s="74"/>
    </row>
    <row r="23" spans="1:57" s="34" customFormat="1">
      <c r="A23" s="32">
        <v>8</v>
      </c>
      <c r="C23" s="34" t="s">
        <v>437</v>
      </c>
      <c r="E23" s="937">
        <f>ResultSumEl!F18</f>
        <v>147076</v>
      </c>
      <c r="F23" s="74">
        <f>DFITAMA!$F18</f>
        <v>0</v>
      </c>
      <c r="G23" s="74">
        <f>BldGain!$F18</f>
        <v>0</v>
      </c>
      <c r="H23" s="74">
        <f>ColstripAFUDC!$F18</f>
        <v>0</v>
      </c>
      <c r="I23" s="74">
        <f>ColstripCommon!$F18</f>
        <v>0</v>
      </c>
      <c r="J23" s="74">
        <f>'KF-BP_Summ'!$F18</f>
        <v>0</v>
      </c>
      <c r="K23" s="74">
        <f>CustAdv!$F18</f>
        <v>0</v>
      </c>
      <c r="L23" s="74">
        <f>'DeprTrue-up'!$F18</f>
        <v>0</v>
      </c>
      <c r="M23" s="74">
        <f>'WA-SettleEx'!$F18</f>
        <v>0</v>
      </c>
      <c r="N23" s="74">
        <f>SUM(E23:M23)</f>
        <v>147076</v>
      </c>
      <c r="O23" s="74">
        <f>BandO!$F18</f>
        <v>0</v>
      </c>
      <c r="P23" s="74">
        <f>PropTax!$F18</f>
        <v>0</v>
      </c>
      <c r="Q23" s="74">
        <f>UncollExp!$F18</f>
        <v>0</v>
      </c>
      <c r="R23" s="74">
        <f>RegExp!$F18</f>
        <v>0</v>
      </c>
      <c r="S23" s="74">
        <f>InjDam!$F18</f>
        <v>0</v>
      </c>
      <c r="T23" s="74">
        <f>FIT!$F18</f>
        <v>0</v>
      </c>
      <c r="U23" s="74">
        <f>ElimPowerCost!$F18</f>
        <v>0</v>
      </c>
      <c r="V23" s="74">
        <f>NezPerce!$F18</f>
        <v>0</v>
      </c>
      <c r="W23" s="74">
        <f>ElimAR!$F18</f>
        <v>0</v>
      </c>
      <c r="X23" s="74">
        <f>SubSpace!$F18</f>
        <v>0</v>
      </c>
      <c r="Y23" s="74">
        <f>ExciseTax!$F18</f>
        <v>0</v>
      </c>
      <c r="Z23" s="74">
        <f>GainsLoss!$F18</f>
        <v>0</v>
      </c>
      <c r="AA23" s="74">
        <f>RevNormalztn!$F18</f>
        <v>0</v>
      </c>
      <c r="AB23" s="74">
        <f>MiscRestate!$F18</f>
        <v>0</v>
      </c>
      <c r="AC23" s="1376">
        <f>DebtInt!$F18</f>
        <v>0</v>
      </c>
      <c r="AD23" s="74"/>
      <c r="AE23" s="74"/>
      <c r="AF23" s="74"/>
      <c r="AG23" s="74">
        <f>SUM(N23:AF23)</f>
        <v>147076</v>
      </c>
      <c r="AH23" s="74">
        <f>PFPSWA!$F18</f>
        <v>-66497</v>
      </c>
      <c r="AI23" s="1376">
        <f>'PFProdFctr-WA'!$F18</f>
        <v>-3859</v>
      </c>
      <c r="AJ23" s="74">
        <f>PFLabor!$F18</f>
        <v>0</v>
      </c>
      <c r="AK23" s="74">
        <f>PFExec!$F18</f>
        <v>0</v>
      </c>
      <c r="AL23" s="74">
        <f>PFTrans!$F18</f>
        <v>0</v>
      </c>
      <c r="AM23" s="74">
        <f>PFCapx2008!$F18</f>
        <v>0</v>
      </c>
      <c r="AN23" s="74">
        <f>PFCapx2009!$F18</f>
        <v>0</v>
      </c>
      <c r="AO23" s="74">
        <f>PFNoxon2010!$F18</f>
        <v>0</v>
      </c>
      <c r="AP23" s="937">
        <f>PFAssetMgmt!$F18</f>
        <v>0</v>
      </c>
      <c r="AQ23" s="74">
        <f>PFInfoServ!$F18</f>
        <v>0</v>
      </c>
      <c r="AR23" s="74">
        <f>PFSR_Relicense!$F18</f>
        <v>0</v>
      </c>
      <c r="AS23" s="74">
        <f>PFCDAtribe!$F18</f>
        <v>0</v>
      </c>
      <c r="AT23" s="74">
        <f>PFMoLease!$F18</f>
        <v>0</v>
      </c>
      <c r="AU23" s="74">
        <f>PFColstripEmiss!$F18</f>
        <v>0</v>
      </c>
      <c r="AV23" s="74">
        <f>PFIncentives!$F18</f>
        <v>0</v>
      </c>
      <c r="AW23" s="74">
        <f>'PFO&amp;MPlant'!$F18</f>
        <v>0</v>
      </c>
      <c r="AX23" s="74">
        <f>PFEmpBen!$F18</f>
        <v>0</v>
      </c>
      <c r="AY23" s="74">
        <f>PFInsur!$F18</f>
        <v>0</v>
      </c>
      <c r="AZ23" s="74">
        <f>PFClarkFork!$F18</f>
        <v>0</v>
      </c>
      <c r="BA23" s="74">
        <f>PF20open!$F18</f>
        <v>0</v>
      </c>
      <c r="BB23" s="74"/>
      <c r="BC23" s="74"/>
      <c r="BD23" s="74">
        <f t="shared" si="11"/>
        <v>76720</v>
      </c>
      <c r="BE23" s="74"/>
    </row>
    <row r="24" spans="1:57" s="34" customFormat="1">
      <c r="A24" s="32">
        <v>9</v>
      </c>
      <c r="C24" s="34" t="s">
        <v>438</v>
      </c>
      <c r="E24" s="937">
        <f>ResultSumEl!F19</f>
        <v>23675</v>
      </c>
      <c r="F24" s="74">
        <f>DFITAMA!$F19</f>
        <v>0</v>
      </c>
      <c r="G24" s="74">
        <f>BldGain!$F19</f>
        <v>0</v>
      </c>
      <c r="H24" s="74">
        <f>ColstripAFUDC!$F19</f>
        <v>-202</v>
      </c>
      <c r="I24" s="74">
        <f>ColstripCommon!$F19</f>
        <v>0</v>
      </c>
      <c r="J24" s="74">
        <f>'KF-BP_Summ'!$F19</f>
        <v>0</v>
      </c>
      <c r="K24" s="74">
        <f>CustAdv!$F19</f>
        <v>0</v>
      </c>
      <c r="L24" s="74">
        <f>'DeprTrue-up'!$F19</f>
        <v>-685</v>
      </c>
      <c r="M24" s="74">
        <f>'WA-SettleEx'!$F19</f>
        <v>0</v>
      </c>
      <c r="N24" s="74">
        <f>SUM(E24:M24)</f>
        <v>22788</v>
      </c>
      <c r="O24" s="74">
        <f>BandO!$F19</f>
        <v>0</v>
      </c>
      <c r="P24" s="74">
        <f>PropTax!$F19</f>
        <v>0</v>
      </c>
      <c r="Q24" s="74">
        <f>UncollExp!$F19</f>
        <v>0</v>
      </c>
      <c r="R24" s="74">
        <f>RegExp!$F19</f>
        <v>0</v>
      </c>
      <c r="S24" s="74">
        <f>InjDam!$F19</f>
        <v>0</v>
      </c>
      <c r="T24" s="74">
        <f>FIT!$F19</f>
        <v>0</v>
      </c>
      <c r="U24" s="74">
        <f>ElimPowerCost!$F19</f>
        <v>0</v>
      </c>
      <c r="V24" s="74">
        <f>NezPerce!$F19</f>
        <v>0</v>
      </c>
      <c r="W24" s="74">
        <f>ElimAR!$F19</f>
        <v>0</v>
      </c>
      <c r="X24" s="74">
        <f>SubSpace!$F19</f>
        <v>0</v>
      </c>
      <c r="Y24" s="74">
        <f>ExciseTax!$F19</f>
        <v>0</v>
      </c>
      <c r="Z24" s="74">
        <f>GainsLoss!$F19</f>
        <v>0</v>
      </c>
      <c r="AA24" s="74">
        <f>RevNormalztn!$F19</f>
        <v>2688</v>
      </c>
      <c r="AB24" s="74">
        <f>MiscRestate!$F19</f>
        <v>0</v>
      </c>
      <c r="AC24" s="1376">
        <f>DebtInt!$F19</f>
        <v>0</v>
      </c>
      <c r="AD24" s="74"/>
      <c r="AE24" s="74"/>
      <c r="AF24" s="74"/>
      <c r="AG24" s="74">
        <f>SUM(N24:AF24)</f>
        <v>25476</v>
      </c>
      <c r="AH24" s="74">
        <f>PFPSWA!$F19</f>
        <v>0</v>
      </c>
      <c r="AI24" s="1376">
        <f>'PFProdFctr-WA'!$F19</f>
        <v>-767</v>
      </c>
      <c r="AJ24" s="74">
        <f>PFLabor!$F19</f>
        <v>0</v>
      </c>
      <c r="AK24" s="74">
        <f>PFExec!$F19</f>
        <v>0</v>
      </c>
      <c r="AL24" s="74">
        <f>PFTrans!$F19</f>
        <v>0</v>
      </c>
      <c r="AM24" s="74">
        <f>PFCapx2008!$F19</f>
        <v>-77</v>
      </c>
      <c r="AN24" s="74">
        <f>PFCapx2009!$F19</f>
        <v>722</v>
      </c>
      <c r="AO24" s="74">
        <f>PFNoxon2010!$F19</f>
        <v>158</v>
      </c>
      <c r="AP24" s="937">
        <f>PFAssetMgmt!$F19</f>
        <v>0</v>
      </c>
      <c r="AQ24" s="74">
        <f>PFInfoServ!$F19</f>
        <v>0</v>
      </c>
      <c r="AR24" s="74">
        <f>PFSR_Relicense!$F19</f>
        <v>1959</v>
      </c>
      <c r="AS24" s="74">
        <f>PFCDAtribe!$F19</f>
        <v>829</v>
      </c>
      <c r="AT24" s="74">
        <f>PFMoLease!$F19</f>
        <v>3516</v>
      </c>
      <c r="AU24" s="74">
        <f>PFColstripEmiss!$F19</f>
        <v>0</v>
      </c>
      <c r="AV24" s="74">
        <f>PFIncentives!$F19</f>
        <v>0</v>
      </c>
      <c r="AW24" s="74">
        <f>'PFO&amp;MPlant'!$F19</f>
        <v>0</v>
      </c>
      <c r="AX24" s="74">
        <f>PFEmpBen!$F19</f>
        <v>0</v>
      </c>
      <c r="AY24" s="74">
        <f>PFInsur!$F19</f>
        <v>0</v>
      </c>
      <c r="AZ24" s="74">
        <f>PFClarkFork!$F19</f>
        <v>0</v>
      </c>
      <c r="BA24" s="74">
        <f>PF20open!$F19</f>
        <v>0</v>
      </c>
      <c r="BB24" s="74"/>
      <c r="BC24" s="74"/>
      <c r="BD24" s="74">
        <f t="shared" si="11"/>
        <v>31816</v>
      </c>
      <c r="BE24" s="74"/>
    </row>
    <row r="25" spans="1:57" s="34" customFormat="1">
      <c r="A25" s="32">
        <v>10</v>
      </c>
      <c r="C25" s="34" t="s">
        <v>439</v>
      </c>
      <c r="E25" s="938">
        <f>ResultSumEl!F20</f>
        <v>8935</v>
      </c>
      <c r="F25" s="75">
        <f>DFITAMA!$F20</f>
        <v>0</v>
      </c>
      <c r="G25" s="75">
        <f>BldGain!$F20</f>
        <v>0</v>
      </c>
      <c r="H25" s="75">
        <f>ColstripAFUDC!$F20</f>
        <v>0</v>
      </c>
      <c r="I25" s="75">
        <f>ColstripCommon!$F20</f>
        <v>0</v>
      </c>
      <c r="J25" s="75">
        <f>'KF-BP_Summ'!$F20</f>
        <v>0</v>
      </c>
      <c r="K25" s="75">
        <f>CustAdv!$F20</f>
        <v>0</v>
      </c>
      <c r="L25" s="75">
        <f>'DeprTrue-up'!$F20</f>
        <v>0</v>
      </c>
      <c r="M25" s="75">
        <f>'WA-SettleEx'!$F20</f>
        <v>0</v>
      </c>
      <c r="N25" s="75">
        <f>SUM(E25:M25)</f>
        <v>8935</v>
      </c>
      <c r="O25" s="75">
        <f>BandO!$F20</f>
        <v>0</v>
      </c>
      <c r="P25" s="75">
        <f>PropTax!$F20</f>
        <v>2085</v>
      </c>
      <c r="Q25" s="75">
        <f>UncollExp!$F20</f>
        <v>0</v>
      </c>
      <c r="R25" s="75">
        <f>RegExp!$F20</f>
        <v>0</v>
      </c>
      <c r="S25" s="75">
        <f>InjDam!$F20</f>
        <v>0</v>
      </c>
      <c r="T25" s="75">
        <f>FIT!$F20</f>
        <v>0</v>
      </c>
      <c r="U25" s="75">
        <f>ElimPowerCost!$F20</f>
        <v>0</v>
      </c>
      <c r="V25" s="75">
        <f>NezPerce!$F20</f>
        <v>0</v>
      </c>
      <c r="W25" s="75">
        <f>ElimAR!$F20</f>
        <v>0</v>
      </c>
      <c r="X25" s="75">
        <f>SubSpace!$F20</f>
        <v>0</v>
      </c>
      <c r="Y25" s="75">
        <f>ExciseTax!$F20</f>
        <v>0</v>
      </c>
      <c r="Z25" s="75">
        <f>GainsLoss!$F20</f>
        <v>0</v>
      </c>
      <c r="AA25" s="75">
        <f>RevNormalztn!$F20</f>
        <v>0</v>
      </c>
      <c r="AB25" s="75">
        <f>MiscRestate!$F20</f>
        <v>0</v>
      </c>
      <c r="AC25" s="1377">
        <f>DebtInt!$F20</f>
        <v>0</v>
      </c>
      <c r="AD25" s="75"/>
      <c r="AE25" s="75"/>
      <c r="AF25" s="75"/>
      <c r="AG25" s="75">
        <f>SUM(N25:AF25)</f>
        <v>11020</v>
      </c>
      <c r="AH25" s="75">
        <f>PFPSWA!$F20</f>
        <v>0</v>
      </c>
      <c r="AI25" s="1377">
        <f>'PFProdFctr-WA'!$F20</f>
        <v>-201</v>
      </c>
      <c r="AJ25" s="75">
        <f>PFLabor!$F20</f>
        <v>0</v>
      </c>
      <c r="AK25" s="75">
        <f>PFExec!$F20</f>
        <v>0</v>
      </c>
      <c r="AL25" s="75">
        <f>PFTrans!$F20</f>
        <v>0</v>
      </c>
      <c r="AM25" s="75">
        <f>PFCapx2008!$F20</f>
        <v>0</v>
      </c>
      <c r="AN25" s="75">
        <f>PFCapx2009!$F20</f>
        <v>477</v>
      </c>
      <c r="AO25" s="75">
        <f>PFNoxon2010!$F20</f>
        <v>82</v>
      </c>
      <c r="AP25" s="938">
        <f>PFAssetMgmt!$F20</f>
        <v>0</v>
      </c>
      <c r="AQ25" s="75">
        <f>PFInfoServ!$F20</f>
        <v>0</v>
      </c>
      <c r="AR25" s="75">
        <f>PFSR_Relicense!$F20</f>
        <v>0</v>
      </c>
      <c r="AS25" s="75">
        <f>PFCDAtribe!$F20</f>
        <v>0</v>
      </c>
      <c r="AT25" s="75">
        <f>PFMoLease!$F20</f>
        <v>0</v>
      </c>
      <c r="AU25" s="75">
        <f>PFColstripEmiss!$F20</f>
        <v>0</v>
      </c>
      <c r="AV25" s="75">
        <f>PFIncentives!$F20</f>
        <v>0</v>
      </c>
      <c r="AW25" s="75">
        <f>'PFO&amp;MPlant'!$F20</f>
        <v>0</v>
      </c>
      <c r="AX25" s="75">
        <f>PFEmpBen!$F20</f>
        <v>0</v>
      </c>
      <c r="AY25" s="75">
        <f>PFInsur!$F20</f>
        <v>0</v>
      </c>
      <c r="AZ25" s="75">
        <f>PFClarkFork!$F20</f>
        <v>0</v>
      </c>
      <c r="BA25" s="75">
        <f>PF20open!$F20</f>
        <v>0</v>
      </c>
      <c r="BB25" s="75"/>
      <c r="BC25" s="75"/>
      <c r="BD25" s="75">
        <f t="shared" si="11"/>
        <v>11378</v>
      </c>
      <c r="BE25" s="75"/>
    </row>
    <row r="26" spans="1:57" s="34" customFormat="1">
      <c r="A26" s="32">
        <v>11</v>
      </c>
      <c r="D26" s="34" t="s">
        <v>440</v>
      </c>
      <c r="E26" s="939">
        <f t="shared" ref="E26:M26" si="12">SUM(E22:E25)</f>
        <v>355486</v>
      </c>
      <c r="F26" s="34">
        <f t="shared" si="12"/>
        <v>0</v>
      </c>
      <c r="G26" s="34">
        <f t="shared" si="12"/>
        <v>0</v>
      </c>
      <c r="H26" s="34">
        <f t="shared" si="12"/>
        <v>-202</v>
      </c>
      <c r="I26" s="34">
        <f t="shared" si="12"/>
        <v>0</v>
      </c>
      <c r="J26" s="34">
        <f t="shared" si="12"/>
        <v>0</v>
      </c>
      <c r="K26" s="34">
        <f t="shared" si="12"/>
        <v>0</v>
      </c>
      <c r="L26" s="34">
        <f t="shared" si="12"/>
        <v>-685</v>
      </c>
      <c r="M26" s="34">
        <f t="shared" si="12"/>
        <v>0</v>
      </c>
      <c r="N26" s="34">
        <f t="shared" ref="N26:T26" si="13">SUM(N22:N25)</f>
        <v>354599</v>
      </c>
      <c r="O26" s="34">
        <f t="shared" si="13"/>
        <v>0</v>
      </c>
      <c r="P26" s="34">
        <f t="shared" si="13"/>
        <v>2085</v>
      </c>
      <c r="Q26" s="34">
        <f t="shared" si="13"/>
        <v>0</v>
      </c>
      <c r="R26" s="34">
        <f t="shared" si="13"/>
        <v>0</v>
      </c>
      <c r="S26" s="34">
        <f t="shared" si="13"/>
        <v>0</v>
      </c>
      <c r="T26" s="34">
        <f t="shared" si="13"/>
        <v>0</v>
      </c>
      <c r="U26" s="34">
        <f t="shared" ref="U26:AC26" si="14">SUM(U22:U25)</f>
        <v>-17668</v>
      </c>
      <c r="V26" s="34">
        <f t="shared" si="14"/>
        <v>9</v>
      </c>
      <c r="W26" s="34">
        <f t="shared" si="14"/>
        <v>0</v>
      </c>
      <c r="X26" s="34">
        <f t="shared" si="14"/>
        <v>0</v>
      </c>
      <c r="Y26" s="34">
        <f t="shared" si="14"/>
        <v>0</v>
      </c>
      <c r="Z26" s="34">
        <f t="shared" si="14"/>
        <v>0</v>
      </c>
      <c r="AA26" s="34">
        <f t="shared" si="14"/>
        <v>2618</v>
      </c>
      <c r="AB26" s="34">
        <f t="shared" si="14"/>
        <v>0</v>
      </c>
      <c r="AC26" s="1378">
        <f t="shared" si="14"/>
        <v>0</v>
      </c>
      <c r="AG26" s="34">
        <f t="shared" ref="AG26:AN26" si="15">SUM(AG22:AG25)</f>
        <v>341643</v>
      </c>
      <c r="AH26" s="34">
        <f t="shared" si="15"/>
        <v>-65493.5</v>
      </c>
      <c r="AI26" s="1378">
        <f t="shared" si="15"/>
        <v>-13576</v>
      </c>
      <c r="AJ26" s="34">
        <f t="shared" si="15"/>
        <v>1031</v>
      </c>
      <c r="AK26" s="34">
        <f t="shared" si="15"/>
        <v>9</v>
      </c>
      <c r="AL26" s="34">
        <f t="shared" si="15"/>
        <v>103</v>
      </c>
      <c r="AM26" s="34">
        <f t="shared" si="15"/>
        <v>-77</v>
      </c>
      <c r="AN26" s="34">
        <f t="shared" si="15"/>
        <v>1199</v>
      </c>
      <c r="AO26" s="34">
        <f>SUM(AO22:AO25)</f>
        <v>240</v>
      </c>
      <c r="AP26" s="939">
        <f t="shared" ref="AP26:BC26" si="16">SUM(AP22:AP25)</f>
        <v>874</v>
      </c>
      <c r="AQ26" s="34">
        <f t="shared" si="16"/>
        <v>0</v>
      </c>
      <c r="AR26" s="34">
        <f t="shared" si="16"/>
        <v>3636</v>
      </c>
      <c r="AS26" s="34">
        <f t="shared" si="16"/>
        <v>829</v>
      </c>
      <c r="AT26" s="34">
        <f>SUM(AT22:AT25)</f>
        <v>3516</v>
      </c>
      <c r="AU26" s="34">
        <f t="shared" si="16"/>
        <v>1873</v>
      </c>
      <c r="AV26" s="34">
        <f t="shared" si="16"/>
        <v>0</v>
      </c>
      <c r="AW26" s="34">
        <f t="shared" si="16"/>
        <v>0</v>
      </c>
      <c r="AX26" s="34">
        <f t="shared" si="16"/>
        <v>1041</v>
      </c>
      <c r="AY26" s="34">
        <f t="shared" si="16"/>
        <v>0</v>
      </c>
      <c r="AZ26" s="34">
        <f t="shared" si="16"/>
        <v>656</v>
      </c>
      <c r="BA26" s="34">
        <f t="shared" si="16"/>
        <v>0</v>
      </c>
      <c r="BC26" s="34">
        <f t="shared" si="16"/>
        <v>0</v>
      </c>
      <c r="BD26" s="34">
        <f t="shared" si="11"/>
        <v>277503.5</v>
      </c>
    </row>
    <row r="27" spans="1:57" s="34" customFormat="1">
      <c r="A27" s="32"/>
      <c r="E27" s="937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1376"/>
      <c r="AD27" s="74"/>
      <c r="AE27" s="74"/>
      <c r="AF27" s="74"/>
      <c r="AG27" s="74"/>
      <c r="AH27" s="74"/>
      <c r="AI27" s="1376"/>
      <c r="AJ27" s="74"/>
      <c r="AK27" s="74"/>
      <c r="AL27" s="74"/>
      <c r="AM27" s="74"/>
      <c r="AN27" s="74"/>
      <c r="AO27" s="74"/>
      <c r="AP27" s="937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</row>
    <row r="28" spans="1:57" s="34" customFormat="1">
      <c r="A28" s="32"/>
      <c r="B28" s="34" t="s">
        <v>441</v>
      </c>
      <c r="E28" s="937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1376"/>
      <c r="AD28" s="74"/>
      <c r="AE28" s="74"/>
      <c r="AF28" s="74"/>
      <c r="AG28" s="74"/>
      <c r="AH28" s="74"/>
      <c r="AI28" s="1376"/>
      <c r="AJ28" s="74"/>
      <c r="AK28" s="74"/>
      <c r="AL28" s="74"/>
      <c r="AM28" s="74"/>
      <c r="AN28" s="74"/>
      <c r="AO28" s="74"/>
      <c r="AP28" s="937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>
        <f>SUM(AG28:BC28)</f>
        <v>0</v>
      </c>
      <c r="BE28" s="74"/>
    </row>
    <row r="29" spans="1:57" s="34" customFormat="1">
      <c r="A29" s="32">
        <v>12</v>
      </c>
      <c r="C29" s="34" t="s">
        <v>436</v>
      </c>
      <c r="E29" s="937">
        <f>ResultSumEl!F24</f>
        <v>17279</v>
      </c>
      <c r="F29" s="74">
        <f>DFITAMA!$F24</f>
        <v>0</v>
      </c>
      <c r="G29" s="74">
        <f>BldGain!$F24</f>
        <v>0</v>
      </c>
      <c r="H29" s="74">
        <f>ColstripAFUDC!$F24</f>
        <v>0</v>
      </c>
      <c r="I29" s="74">
        <f>ColstripCommon!$F24</f>
        <v>0</v>
      </c>
      <c r="J29" s="74">
        <f>'KF-BP_Summ'!$F24</f>
        <v>0</v>
      </c>
      <c r="K29" s="74">
        <f>CustAdv!$F24</f>
        <v>0</v>
      </c>
      <c r="L29" s="74">
        <f>'DeprTrue-up'!$F24</f>
        <v>0</v>
      </c>
      <c r="M29" s="74">
        <f>'WA-SettleEx'!$F24</f>
        <v>0</v>
      </c>
      <c r="N29" s="74">
        <f>SUM(E29:M29)</f>
        <v>17279</v>
      </c>
      <c r="O29" s="74">
        <f>BandO!$F24</f>
        <v>0</v>
      </c>
      <c r="P29" s="74">
        <f>PropTax!$F24</f>
        <v>0</v>
      </c>
      <c r="Q29" s="74">
        <f>UncollExp!$F24</f>
        <v>0</v>
      </c>
      <c r="R29" s="74">
        <f>RegExp!$F24</f>
        <v>0</v>
      </c>
      <c r="S29" s="74">
        <f>InjDam!$F24</f>
        <v>0</v>
      </c>
      <c r="T29" s="74">
        <f>FIT!$F24</f>
        <v>0</v>
      </c>
      <c r="U29" s="74">
        <f>ElimPowerCost!$F24</f>
        <v>0</v>
      </c>
      <c r="V29" s="74">
        <f>NezPerce!$F24</f>
        <v>0</v>
      </c>
      <c r="W29" s="74">
        <f>ElimAR!$F24</f>
        <v>0</v>
      </c>
      <c r="X29" s="74">
        <f>SubSpace!$F24</f>
        <v>0</v>
      </c>
      <c r="Y29" s="74">
        <f>ExciseTax!$F24</f>
        <v>0</v>
      </c>
      <c r="Z29" s="74">
        <f>GainsLoss!$F24</f>
        <v>0</v>
      </c>
      <c r="AA29" s="74">
        <f>RevNormalztn!$F24</f>
        <v>0</v>
      </c>
      <c r="AB29" s="74">
        <f>MiscRestate!$F24</f>
        <v>0</v>
      </c>
      <c r="AC29" s="1376">
        <f>DebtInt!$F24</f>
        <v>0</v>
      </c>
      <c r="AD29" s="74"/>
      <c r="AE29" s="74"/>
      <c r="AF29" s="74"/>
      <c r="AG29" s="74">
        <f>SUM(N29:AF29)</f>
        <v>17279</v>
      </c>
      <c r="AH29" s="74">
        <f>PFPSWA!$F24</f>
        <v>0</v>
      </c>
      <c r="AI29" s="1376">
        <f>'PFProdFctr-WA'!$F24</f>
        <v>0</v>
      </c>
      <c r="AJ29" s="74">
        <f>PFLabor!$F24</f>
        <v>842</v>
      </c>
      <c r="AK29" s="74">
        <f>PFExec!$F24</f>
        <v>0</v>
      </c>
      <c r="AL29" s="74">
        <f>PFTrans!$F24</f>
        <v>0</v>
      </c>
      <c r="AM29" s="74">
        <f>PFCapx2008!$F24</f>
        <v>0</v>
      </c>
      <c r="AN29" s="74">
        <f>PFCapx2009!$F24</f>
        <v>0</v>
      </c>
      <c r="AO29" s="74">
        <f>PFNoxon2010!$F24</f>
        <v>0</v>
      </c>
      <c r="AP29" s="937">
        <f>PFAssetMgmt!$F24</f>
        <v>2023</v>
      </c>
      <c r="AQ29" s="74">
        <f>PFInfoServ!$F24</f>
        <v>0</v>
      </c>
      <c r="AR29" s="74">
        <f>PFSR_Relicense!$F24</f>
        <v>0</v>
      </c>
      <c r="AS29" s="74">
        <f>PFCDAtribe!$F24</f>
        <v>0</v>
      </c>
      <c r="AT29" s="74">
        <f>PFMoLease!$F24</f>
        <v>0</v>
      </c>
      <c r="AU29" s="74">
        <f>PFColstripEmiss!$F24</f>
        <v>0</v>
      </c>
      <c r="AV29" s="74">
        <f>PFIncentives!$F24</f>
        <v>0</v>
      </c>
      <c r="AW29" s="74">
        <f>'PFO&amp;MPlant'!$F24</f>
        <v>0</v>
      </c>
      <c r="AX29" s="74">
        <f>PFEmpBen!$F24</f>
        <v>778</v>
      </c>
      <c r="AY29" s="74">
        <f>PFInsur!$F24</f>
        <v>0</v>
      </c>
      <c r="AZ29" s="74">
        <f>PFClarkFork!$F24</f>
        <v>0</v>
      </c>
      <c r="BA29" s="74">
        <f>PF20open!$F24</f>
        <v>0</v>
      </c>
      <c r="BB29" s="74"/>
      <c r="BC29" s="74"/>
      <c r="BD29" s="74">
        <f>SUM(AG29:BC29)</f>
        <v>20922</v>
      </c>
      <c r="BE29" s="74"/>
    </row>
    <row r="30" spans="1:57" s="34" customFormat="1">
      <c r="A30" s="32">
        <v>13</v>
      </c>
      <c r="C30" s="34" t="s">
        <v>442</v>
      </c>
      <c r="E30" s="937">
        <f>ResultSumEl!F25</f>
        <v>14599</v>
      </c>
      <c r="F30" s="74">
        <f>DFITAMA!$F25</f>
        <v>0</v>
      </c>
      <c r="G30" s="74">
        <f>BldGain!$F25</f>
        <v>0</v>
      </c>
      <c r="H30" s="74">
        <f>ColstripAFUDC!$F25</f>
        <v>0</v>
      </c>
      <c r="I30" s="74">
        <f>ColstripCommon!$F25</f>
        <v>0</v>
      </c>
      <c r="J30" s="74">
        <f>'KF-BP_Summ'!$F25</f>
        <v>0</v>
      </c>
      <c r="K30" s="74">
        <f>CustAdv!$F25</f>
        <v>0</v>
      </c>
      <c r="L30" s="74">
        <f>'DeprTrue-up'!$F25</f>
        <v>857</v>
      </c>
      <c r="M30" s="74">
        <f>'WA-SettleEx'!$F25</f>
        <v>0</v>
      </c>
      <c r="N30" s="74">
        <f>SUM(E30:M30)</f>
        <v>15456</v>
      </c>
      <c r="O30" s="74">
        <f>BandO!$F25</f>
        <v>0</v>
      </c>
      <c r="P30" s="74">
        <f>PropTax!$F25</f>
        <v>0</v>
      </c>
      <c r="Q30" s="74">
        <f>UncollExp!$F25</f>
        <v>0</v>
      </c>
      <c r="R30" s="74">
        <f>RegExp!$F25</f>
        <v>0</v>
      </c>
      <c r="S30" s="74">
        <f>InjDam!$F25</f>
        <v>0</v>
      </c>
      <c r="T30" s="74">
        <f>FIT!$F25</f>
        <v>0</v>
      </c>
      <c r="U30" s="74">
        <f>ElimPowerCost!$F25</f>
        <v>0</v>
      </c>
      <c r="V30" s="74">
        <f>NezPerce!$F25</f>
        <v>0</v>
      </c>
      <c r="W30" s="74">
        <f>ElimAR!$F25</f>
        <v>0</v>
      </c>
      <c r="X30" s="74">
        <f>SubSpace!$F25</f>
        <v>0</v>
      </c>
      <c r="Y30" s="74">
        <f>ExciseTax!$F25</f>
        <v>0</v>
      </c>
      <c r="Z30" s="74">
        <f>GainsLoss!$F25</f>
        <v>-122</v>
      </c>
      <c r="AA30" s="74">
        <f>RevNormalztn!$F25</f>
        <v>0</v>
      </c>
      <c r="AB30" s="74">
        <f>MiscRestate!$F25</f>
        <v>0</v>
      </c>
      <c r="AC30" s="1376">
        <f>DebtInt!$F25</f>
        <v>0</v>
      </c>
      <c r="AD30" s="74"/>
      <c r="AE30" s="74"/>
      <c r="AF30" s="74"/>
      <c r="AG30" s="74">
        <f>SUM(N30:AF30)</f>
        <v>15334</v>
      </c>
      <c r="AH30" s="74">
        <f>PFPSWA!$F25</f>
        <v>0</v>
      </c>
      <c r="AI30" s="1376">
        <f>'PFProdFctr-WA'!$F25</f>
        <v>0</v>
      </c>
      <c r="AJ30" s="74">
        <f>PFLabor!$F25</f>
        <v>0</v>
      </c>
      <c r="AK30" s="74">
        <f>PFExec!$F25</f>
        <v>0</v>
      </c>
      <c r="AL30" s="74">
        <f>PFTrans!$F25</f>
        <v>0</v>
      </c>
      <c r="AM30" s="74">
        <f>PFCapx2008!$F25</f>
        <v>296</v>
      </c>
      <c r="AN30" s="74">
        <f>PFCapx2009!$F25</f>
        <v>810</v>
      </c>
      <c r="AO30" s="74">
        <f>PFNoxon2010!$F25</f>
        <v>0</v>
      </c>
      <c r="AP30" s="937">
        <f>PFAssetMgmt!$F25</f>
        <v>0</v>
      </c>
      <c r="AQ30" s="74">
        <f>PFInfoServ!$F25</f>
        <v>0</v>
      </c>
      <c r="AR30" s="74">
        <f>PFSR_Relicense!$F25</f>
        <v>0</v>
      </c>
      <c r="AS30" s="74">
        <f>PFCDAtribe!$F25</f>
        <v>0</v>
      </c>
      <c r="AT30" s="74">
        <f>PFMoLease!$F25</f>
        <v>0</v>
      </c>
      <c r="AU30" s="74">
        <f>PFColstripEmiss!$F25</f>
        <v>0</v>
      </c>
      <c r="AV30" s="74">
        <f>PFIncentives!$F25</f>
        <v>0</v>
      </c>
      <c r="AW30" s="74">
        <f>'PFO&amp;MPlant'!$F25</f>
        <v>0</v>
      </c>
      <c r="AX30" s="74">
        <f>PFEmpBen!$F25</f>
        <v>0</v>
      </c>
      <c r="AY30" s="74">
        <f>PFInsur!$F25</f>
        <v>0</v>
      </c>
      <c r="AZ30" s="74">
        <f>PFClarkFork!$F25</f>
        <v>0</v>
      </c>
      <c r="BA30" s="74">
        <f>PF20open!$F25</f>
        <v>0</v>
      </c>
      <c r="BB30" s="74"/>
      <c r="BC30" s="74"/>
      <c r="BD30" s="74">
        <f>SUM(AG30:BC30)</f>
        <v>16440</v>
      </c>
      <c r="BE30" s="74"/>
    </row>
    <row r="31" spans="1:57" s="34" customFormat="1">
      <c r="A31" s="32">
        <v>14</v>
      </c>
      <c r="C31" s="34" t="s">
        <v>439</v>
      </c>
      <c r="E31" s="938">
        <f>ResultSumEl!F26</f>
        <v>33186</v>
      </c>
      <c r="F31" s="75">
        <f>DFITAMA!$F26</f>
        <v>0</v>
      </c>
      <c r="G31" s="75">
        <f>BldGain!$F26</f>
        <v>0</v>
      </c>
      <c r="H31" s="75">
        <f>ColstripAFUDC!$F26</f>
        <v>0</v>
      </c>
      <c r="I31" s="75">
        <f>ColstripCommon!$F26</f>
        <v>0</v>
      </c>
      <c r="J31" s="75">
        <f>'KF-BP_Summ'!$F26</f>
        <v>0</v>
      </c>
      <c r="K31" s="75">
        <f>CustAdv!$F26</f>
        <v>0</v>
      </c>
      <c r="L31" s="75">
        <f>'DeprTrue-up'!$F26</f>
        <v>0</v>
      </c>
      <c r="M31" s="75">
        <f>'WA-SettleEx'!$F26</f>
        <v>0</v>
      </c>
      <c r="N31" s="75">
        <f>SUM(E31:M31)</f>
        <v>33186</v>
      </c>
      <c r="O31" s="75">
        <f>BandO!$F26</f>
        <v>-13726</v>
      </c>
      <c r="P31" s="75">
        <f>PropTax!$F26</f>
        <v>-643</v>
      </c>
      <c r="Q31" s="75">
        <f>UncollExp!$F26</f>
        <v>0</v>
      </c>
      <c r="R31" s="75">
        <f>RegExp!$F26</f>
        <v>0</v>
      </c>
      <c r="S31" s="75">
        <f>InjDam!$F26</f>
        <v>0</v>
      </c>
      <c r="T31" s="75">
        <f>FIT!$F26</f>
        <v>0</v>
      </c>
      <c r="U31" s="75">
        <f>ElimPowerCost!$F26</f>
        <v>-1262</v>
      </c>
      <c r="V31" s="75">
        <f>NezPerce!$F26</f>
        <v>0</v>
      </c>
      <c r="W31" s="75">
        <f>ElimAR!$F26</f>
        <v>0</v>
      </c>
      <c r="X31" s="75">
        <f>SubSpace!$F26</f>
        <v>0</v>
      </c>
      <c r="Y31" s="75">
        <f>ExciseTax!$F26</f>
        <v>31</v>
      </c>
      <c r="Z31" s="75">
        <f>GainsLoss!$F26</f>
        <v>0</v>
      </c>
      <c r="AA31" s="75">
        <f>RevNormalztn!$F26</f>
        <v>1127</v>
      </c>
      <c r="AB31" s="75">
        <f>MiscRestate!$F26</f>
        <v>0</v>
      </c>
      <c r="AC31" s="1377">
        <f>DebtInt!$F26</f>
        <v>0</v>
      </c>
      <c r="AD31" s="75"/>
      <c r="AE31" s="75"/>
      <c r="AF31" s="75"/>
      <c r="AG31" s="75">
        <f>SUM(N31:AF31)</f>
        <v>18713</v>
      </c>
      <c r="AH31" s="75">
        <f>PFPSWA!$F26</f>
        <v>0</v>
      </c>
      <c r="AI31" s="1377">
        <f>'PFProdFctr-WA'!$F26</f>
        <v>0</v>
      </c>
      <c r="AJ31" s="75">
        <f>PFLabor!$F26</f>
        <v>0</v>
      </c>
      <c r="AK31" s="75">
        <f>PFExec!$F26</f>
        <v>0</v>
      </c>
      <c r="AL31" s="75">
        <f>PFTrans!$F26</f>
        <v>0</v>
      </c>
      <c r="AM31" s="75">
        <f>PFCapx2008!$F26</f>
        <v>0</v>
      </c>
      <c r="AN31" s="75">
        <f>PFCapx2009!$F26</f>
        <v>429</v>
      </c>
      <c r="AO31" s="75">
        <f>PFNoxon2010!$F26</f>
        <v>0</v>
      </c>
      <c r="AP31" s="938">
        <f>PFAssetMgmt!$F26</f>
        <v>0</v>
      </c>
      <c r="AQ31" s="75">
        <f>PFInfoServ!$F26</f>
        <v>0</v>
      </c>
      <c r="AR31" s="75">
        <f>PFSR_Relicense!$F26</f>
        <v>0</v>
      </c>
      <c r="AS31" s="75">
        <f>PFCDAtribe!$F26</f>
        <v>0</v>
      </c>
      <c r="AT31" s="75">
        <f>PFMoLease!$F26</f>
        <v>0</v>
      </c>
      <c r="AU31" s="75">
        <f>PFColstripEmiss!$F26</f>
        <v>0</v>
      </c>
      <c r="AV31" s="75">
        <f>PFIncentives!$F26</f>
        <v>0</v>
      </c>
      <c r="AW31" s="75">
        <f>'PFO&amp;MPlant'!$F26</f>
        <v>0</v>
      </c>
      <c r="AX31" s="75">
        <f>PFEmpBen!$F26</f>
        <v>0</v>
      </c>
      <c r="AY31" s="75">
        <f>PFInsur!$F26</f>
        <v>0</v>
      </c>
      <c r="AZ31" s="75">
        <f>PFClarkFork!$F26</f>
        <v>0</v>
      </c>
      <c r="BA31" s="75">
        <f>PF20open!$F26</f>
        <v>0</v>
      </c>
      <c r="BB31" s="75"/>
      <c r="BC31" s="75"/>
      <c r="BD31" s="75">
        <f>SUM(AG31:BC31)</f>
        <v>19142</v>
      </c>
      <c r="BE31" s="75"/>
    </row>
    <row r="32" spans="1:57" s="34" customFormat="1">
      <c r="A32" s="32">
        <v>15</v>
      </c>
      <c r="D32" s="34" t="s">
        <v>443</v>
      </c>
      <c r="E32" s="939">
        <f t="shared" ref="E32:M32" si="17">SUM(E29:E31)</f>
        <v>65064</v>
      </c>
      <c r="F32" s="34">
        <f t="shared" si="17"/>
        <v>0</v>
      </c>
      <c r="G32" s="34">
        <f t="shared" si="17"/>
        <v>0</v>
      </c>
      <c r="H32" s="34">
        <f t="shared" si="17"/>
        <v>0</v>
      </c>
      <c r="I32" s="34">
        <f t="shared" si="17"/>
        <v>0</v>
      </c>
      <c r="J32" s="34">
        <f t="shared" si="17"/>
        <v>0</v>
      </c>
      <c r="K32" s="34">
        <f t="shared" si="17"/>
        <v>0</v>
      </c>
      <c r="L32" s="34">
        <f t="shared" si="17"/>
        <v>857</v>
      </c>
      <c r="M32" s="34">
        <f t="shared" si="17"/>
        <v>0</v>
      </c>
      <c r="N32" s="34">
        <f t="shared" ref="N32:T32" si="18">SUM(N29:N31)</f>
        <v>65921</v>
      </c>
      <c r="O32" s="34">
        <f t="shared" si="18"/>
        <v>-13726</v>
      </c>
      <c r="P32" s="34">
        <f t="shared" si="18"/>
        <v>-643</v>
      </c>
      <c r="Q32" s="34">
        <f t="shared" si="18"/>
        <v>0</v>
      </c>
      <c r="R32" s="34">
        <f t="shared" si="18"/>
        <v>0</v>
      </c>
      <c r="S32" s="34">
        <f t="shared" si="18"/>
        <v>0</v>
      </c>
      <c r="T32" s="34">
        <f t="shared" si="18"/>
        <v>0</v>
      </c>
      <c r="U32" s="34">
        <f t="shared" ref="U32:AC32" si="19">SUM(U29:U31)</f>
        <v>-1262</v>
      </c>
      <c r="V32" s="34">
        <f t="shared" si="19"/>
        <v>0</v>
      </c>
      <c r="W32" s="34">
        <f t="shared" si="19"/>
        <v>0</v>
      </c>
      <c r="X32" s="34">
        <f t="shared" si="19"/>
        <v>0</v>
      </c>
      <c r="Y32" s="34">
        <f t="shared" si="19"/>
        <v>31</v>
      </c>
      <c r="Z32" s="34">
        <f t="shared" si="19"/>
        <v>-122</v>
      </c>
      <c r="AA32" s="34">
        <f t="shared" si="19"/>
        <v>1127</v>
      </c>
      <c r="AB32" s="34">
        <f t="shared" si="19"/>
        <v>0</v>
      </c>
      <c r="AC32" s="1378">
        <f t="shared" si="19"/>
        <v>0</v>
      </c>
      <c r="AG32" s="34">
        <f t="shared" ref="AG32:AN32" si="20">SUM(AG29:AG31)</f>
        <v>51326</v>
      </c>
      <c r="AH32" s="34">
        <f t="shared" si="20"/>
        <v>0</v>
      </c>
      <c r="AI32" s="1378">
        <f t="shared" si="20"/>
        <v>0</v>
      </c>
      <c r="AJ32" s="34">
        <f t="shared" si="20"/>
        <v>842</v>
      </c>
      <c r="AK32" s="34">
        <f t="shared" si="20"/>
        <v>0</v>
      </c>
      <c r="AL32" s="34">
        <f t="shared" si="20"/>
        <v>0</v>
      </c>
      <c r="AM32" s="34">
        <f t="shared" si="20"/>
        <v>296</v>
      </c>
      <c r="AN32" s="34">
        <f t="shared" si="20"/>
        <v>1239</v>
      </c>
      <c r="AO32" s="34">
        <f>SUM(AO29:AO31)</f>
        <v>0</v>
      </c>
      <c r="AP32" s="939">
        <f t="shared" ref="AP32:BC32" si="21">SUM(AP29:AP31)</f>
        <v>2023</v>
      </c>
      <c r="AQ32" s="34">
        <f t="shared" si="21"/>
        <v>0</v>
      </c>
      <c r="AR32" s="34">
        <f t="shared" si="21"/>
        <v>0</v>
      </c>
      <c r="AS32" s="34">
        <f t="shared" si="21"/>
        <v>0</v>
      </c>
      <c r="AT32" s="34">
        <f>SUM(AT29:AT31)</f>
        <v>0</v>
      </c>
      <c r="AU32" s="34">
        <f t="shared" si="21"/>
        <v>0</v>
      </c>
      <c r="AV32" s="34">
        <f t="shared" si="21"/>
        <v>0</v>
      </c>
      <c r="AW32" s="34">
        <f t="shared" si="21"/>
        <v>0</v>
      </c>
      <c r="AX32" s="34">
        <f t="shared" si="21"/>
        <v>778</v>
      </c>
      <c r="AY32" s="34">
        <f t="shared" si="21"/>
        <v>0</v>
      </c>
      <c r="AZ32" s="34">
        <f t="shared" si="21"/>
        <v>0</v>
      </c>
      <c r="BA32" s="34">
        <f t="shared" si="21"/>
        <v>0</v>
      </c>
      <c r="BC32" s="34">
        <f t="shared" si="21"/>
        <v>0</v>
      </c>
      <c r="BD32" s="34">
        <f>SUM(AG32:BC32)</f>
        <v>56504</v>
      </c>
    </row>
    <row r="33" spans="1:65" s="34" customFormat="1">
      <c r="A33" s="32"/>
      <c r="E33" s="937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1376"/>
      <c r="AD33" s="74"/>
      <c r="AE33" s="74"/>
      <c r="AF33" s="74"/>
      <c r="AG33" s="74"/>
      <c r="AH33" s="74"/>
      <c r="AI33" s="1376"/>
      <c r="AJ33" s="74"/>
      <c r="AK33" s="74"/>
      <c r="AL33" s="74"/>
      <c r="AM33" s="74"/>
      <c r="AN33" s="74"/>
      <c r="AO33" s="74"/>
      <c r="AP33" s="937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</row>
    <row r="34" spans="1:65" s="34" customFormat="1">
      <c r="A34" s="32">
        <v>16</v>
      </c>
      <c r="B34" s="34" t="s">
        <v>444</v>
      </c>
      <c r="E34" s="937">
        <f>ResultSumEl!F29</f>
        <v>8559</v>
      </c>
      <c r="F34" s="74">
        <f>DFITAMA!$F29</f>
        <v>0</v>
      </c>
      <c r="G34" s="74">
        <f>BldGain!$F29</f>
        <v>0</v>
      </c>
      <c r="H34" s="74">
        <f>ColstripAFUDC!$F29</f>
        <v>0</v>
      </c>
      <c r="I34" s="74">
        <f>ColstripCommon!$F29</f>
        <v>0</v>
      </c>
      <c r="J34" s="74">
        <f>'KF-BP_Summ'!$F29</f>
        <v>0</v>
      </c>
      <c r="K34" s="74">
        <f>CustAdv!$F29</f>
        <v>0</v>
      </c>
      <c r="L34" s="74">
        <f>'DeprTrue-up'!$F29</f>
        <v>0</v>
      </c>
      <c r="M34" s="74">
        <f>'WA-SettleEx'!$F29</f>
        <v>0</v>
      </c>
      <c r="N34" s="74">
        <f>SUM(E34:M34)</f>
        <v>8559</v>
      </c>
      <c r="O34" s="74">
        <f>BandO!$F29</f>
        <v>0</v>
      </c>
      <c r="P34" s="74">
        <f>PropTax!$F29</f>
        <v>0</v>
      </c>
      <c r="Q34" s="74">
        <f>UncollExp!$F29</f>
        <v>-108</v>
      </c>
      <c r="R34" s="74">
        <f>RegExp!$F29</f>
        <v>0</v>
      </c>
      <c r="S34" s="74">
        <f>InjDam!$F29</f>
        <v>0</v>
      </c>
      <c r="T34" s="74">
        <f>FIT!$F29</f>
        <v>0</v>
      </c>
      <c r="U34" s="74">
        <f>ElimPowerCost!$F29</f>
        <v>-104</v>
      </c>
      <c r="V34" s="74">
        <f>NezPerce!$F29</f>
        <v>0</v>
      </c>
      <c r="W34" s="74">
        <f>ElimAR!$F29</f>
        <v>-516</v>
      </c>
      <c r="X34" s="74">
        <f>SubSpace!$F29</f>
        <v>0</v>
      </c>
      <c r="Y34" s="74">
        <f>ExciseTax!$F29</f>
        <v>0</v>
      </c>
      <c r="Z34" s="74">
        <f>GainsLoss!$F29</f>
        <v>0</v>
      </c>
      <c r="AA34" s="74">
        <f>RevNormalztn!$F29</f>
        <v>76</v>
      </c>
      <c r="AB34" s="74">
        <f>MiscRestate!$F29</f>
        <v>0</v>
      </c>
      <c r="AC34" s="1376">
        <f>DebtInt!$F29</f>
        <v>0</v>
      </c>
      <c r="AD34" s="74"/>
      <c r="AE34" s="74"/>
      <c r="AF34" s="74"/>
      <c r="AG34" s="74">
        <f>SUM(N34:AF34)</f>
        <v>7907</v>
      </c>
      <c r="AH34" s="74">
        <f>PFPSWA!$F29</f>
        <v>0</v>
      </c>
      <c r="AI34" s="1376">
        <f>'PFProdFctr-WA'!$F29</f>
        <v>0</v>
      </c>
      <c r="AJ34" s="74">
        <f>PFLabor!$F29</f>
        <v>348</v>
      </c>
      <c r="AK34" s="74">
        <f>PFExec!$F29</f>
        <v>0</v>
      </c>
      <c r="AL34" s="74">
        <f>PFTrans!$F29</f>
        <v>0</v>
      </c>
      <c r="AM34" s="74">
        <f>PFCapx2008!$F29</f>
        <v>0</v>
      </c>
      <c r="AN34" s="74">
        <f>PFCapx2009!$F29</f>
        <v>0</v>
      </c>
      <c r="AO34" s="74">
        <f>PFNoxon2010!$F29</f>
        <v>0</v>
      </c>
      <c r="AP34" s="937">
        <f>PFAssetMgmt!$F29</f>
        <v>0</v>
      </c>
      <c r="AQ34" s="74">
        <f>PFInfoServ!$F29</f>
        <v>0</v>
      </c>
      <c r="AR34" s="74">
        <f>PFSR_Relicense!$F29</f>
        <v>0</v>
      </c>
      <c r="AS34" s="74">
        <f>PFCDAtribe!$F29</f>
        <v>0</v>
      </c>
      <c r="AT34" s="74">
        <f>PFMoLease!$F29</f>
        <v>0</v>
      </c>
      <c r="AU34" s="74">
        <f>PFColstripEmiss!$F29</f>
        <v>0</v>
      </c>
      <c r="AV34" s="74">
        <f>PFIncentives!$F29</f>
        <v>0</v>
      </c>
      <c r="AW34" s="74">
        <f>'PFO&amp;MPlant'!$F29</f>
        <v>0</v>
      </c>
      <c r="AX34" s="74">
        <f>PFEmpBen!$F29</f>
        <v>329</v>
      </c>
      <c r="AY34" s="74">
        <f>PFInsur!$F29</f>
        <v>0</v>
      </c>
      <c r="AZ34" s="74">
        <f>PFClarkFork!$F29</f>
        <v>0</v>
      </c>
      <c r="BA34" s="74">
        <f>PF20open!$F29</f>
        <v>0</v>
      </c>
      <c r="BB34" s="74"/>
      <c r="BC34" s="74"/>
      <c r="BD34" s="74">
        <f>SUM(AG34:BC34)</f>
        <v>8584</v>
      </c>
      <c r="BE34" s="74"/>
      <c r="BF34" s="1379"/>
      <c r="BG34" s="1380"/>
      <c r="BJ34" s="740"/>
      <c r="BK34" s="735"/>
      <c r="BL34" s="735"/>
      <c r="BM34" s="735"/>
    </row>
    <row r="35" spans="1:65" s="34" customFormat="1">
      <c r="A35" s="32">
        <v>17</v>
      </c>
      <c r="B35" s="34" t="s">
        <v>445</v>
      </c>
      <c r="E35" s="937">
        <f>ResultSumEl!F30</f>
        <v>11359</v>
      </c>
      <c r="F35" s="74">
        <f>DFITAMA!$F30</f>
        <v>0</v>
      </c>
      <c r="G35" s="74">
        <f>BldGain!$F30</f>
        <v>0</v>
      </c>
      <c r="H35" s="74">
        <f>ColstripAFUDC!$F30</f>
        <v>0</v>
      </c>
      <c r="I35" s="74">
        <f>ColstripCommon!$F30</f>
        <v>0</v>
      </c>
      <c r="J35" s="74">
        <f>'KF-BP_Summ'!$F30</f>
        <v>0</v>
      </c>
      <c r="K35" s="74">
        <f>CustAdv!$F30</f>
        <v>0</v>
      </c>
      <c r="L35" s="74">
        <f>'DeprTrue-up'!$F30</f>
        <v>0</v>
      </c>
      <c r="M35" s="74">
        <f>'WA-SettleEx'!$F30</f>
        <v>0</v>
      </c>
      <c r="N35" s="74">
        <f>SUM(E35:M35)</f>
        <v>11359</v>
      </c>
      <c r="O35" s="74">
        <f>BandO!$F30</f>
        <v>0</v>
      </c>
      <c r="P35" s="74">
        <f>PropTax!$F30</f>
        <v>0</v>
      </c>
      <c r="Q35" s="74">
        <f>UncollExp!$F30</f>
        <v>0</v>
      </c>
      <c r="R35" s="74">
        <f>RegExp!$F30</f>
        <v>0</v>
      </c>
      <c r="S35" s="74">
        <f>InjDam!$F30</f>
        <v>0</v>
      </c>
      <c r="T35" s="74">
        <f>FIT!$F30</f>
        <v>0</v>
      </c>
      <c r="U35" s="74">
        <f>ElimPowerCost!$F30</f>
        <v>0</v>
      </c>
      <c r="V35" s="74">
        <f>NezPerce!$F30</f>
        <v>0</v>
      </c>
      <c r="W35" s="74">
        <f>ElimAR!$F30</f>
        <v>0</v>
      </c>
      <c r="X35" s="74">
        <f>SubSpace!$F30</f>
        <v>0</v>
      </c>
      <c r="Y35" s="74">
        <f>ExciseTax!$F30</f>
        <v>0</v>
      </c>
      <c r="Z35" s="74">
        <f>GainsLoss!$F30</f>
        <v>0</v>
      </c>
      <c r="AA35" s="74">
        <f>RevNormalztn!$F30</f>
        <v>-10688</v>
      </c>
      <c r="AB35" s="74">
        <f>MiscRestate!$F30</f>
        <v>0</v>
      </c>
      <c r="AC35" s="1376">
        <f>DebtInt!$F30</f>
        <v>0</v>
      </c>
      <c r="AD35" s="74"/>
      <c r="AE35" s="74"/>
      <c r="AF35" s="74"/>
      <c r="AG35" s="74">
        <f>SUM(N35:AF35)</f>
        <v>671</v>
      </c>
      <c r="AH35" s="74">
        <f>PFPSWA!$F30</f>
        <v>0</v>
      </c>
      <c r="AI35" s="1376">
        <f>'PFProdFctr-WA'!$F30</f>
        <v>0</v>
      </c>
      <c r="AJ35" s="74">
        <f>PFLabor!$F30</f>
        <v>20</v>
      </c>
      <c r="AK35" s="74">
        <f>PFExec!$F30</f>
        <v>0</v>
      </c>
      <c r="AL35" s="74">
        <f>PFTrans!$F30</f>
        <v>0</v>
      </c>
      <c r="AM35" s="74">
        <f>PFCapx2008!$F30</f>
        <v>0</v>
      </c>
      <c r="AN35" s="74">
        <f>PFCapx2009!$F30</f>
        <v>0</v>
      </c>
      <c r="AO35" s="74">
        <f>PFNoxon2010!$F30</f>
        <v>0</v>
      </c>
      <c r="AP35" s="937">
        <f>PFAssetMgmt!$F30</f>
        <v>0</v>
      </c>
      <c r="AQ35" s="74">
        <f>PFInfoServ!$F30</f>
        <v>0</v>
      </c>
      <c r="AR35" s="74">
        <f>PFSR_Relicense!$F30</f>
        <v>0</v>
      </c>
      <c r="AS35" s="74">
        <f>PFCDAtribe!$F30</f>
        <v>0</v>
      </c>
      <c r="AT35" s="74">
        <f>PFMoLease!$F30</f>
        <v>0</v>
      </c>
      <c r="AU35" s="74">
        <f>PFColstripEmiss!$F30</f>
        <v>0</v>
      </c>
      <c r="AV35" s="74">
        <f>PFIncentives!$F30</f>
        <v>0</v>
      </c>
      <c r="AW35" s="74">
        <f>'PFO&amp;MPlant'!$F30</f>
        <v>0</v>
      </c>
      <c r="AX35" s="74">
        <f>PFEmpBen!$F30</f>
        <v>19</v>
      </c>
      <c r="AY35" s="74">
        <f>PFInsur!$F30</f>
        <v>0</v>
      </c>
      <c r="AZ35" s="74">
        <f>PFClarkFork!$F30</f>
        <v>0</v>
      </c>
      <c r="BA35" s="74">
        <f>PF20open!$F30</f>
        <v>0</v>
      </c>
      <c r="BB35" s="74"/>
      <c r="BC35" s="74"/>
      <c r="BD35" s="74">
        <f>SUM(AG35:BC35)</f>
        <v>710</v>
      </c>
      <c r="BE35" s="74"/>
      <c r="BH35" s="1381"/>
      <c r="BJ35" s="741"/>
      <c r="BK35" s="741"/>
      <c r="BL35" s="741"/>
      <c r="BM35" s="735"/>
    </row>
    <row r="36" spans="1:65" s="34" customFormat="1">
      <c r="A36" s="32">
        <v>18</v>
      </c>
      <c r="B36" s="34" t="s">
        <v>446</v>
      </c>
      <c r="E36" s="937">
        <f>ResultSumEl!F31</f>
        <v>696</v>
      </c>
      <c r="F36" s="74">
        <f>DFITAMA!$F31</f>
        <v>0</v>
      </c>
      <c r="G36" s="74">
        <f>BldGain!$F31</f>
        <v>0</v>
      </c>
      <c r="H36" s="74">
        <f>ColstripAFUDC!$F31</f>
        <v>0</v>
      </c>
      <c r="I36" s="74">
        <f>ColstripCommon!$F31</f>
        <v>0</v>
      </c>
      <c r="J36" s="74">
        <f>'KF-BP_Summ'!$F31</f>
        <v>0</v>
      </c>
      <c r="K36" s="74">
        <f>CustAdv!$F31</f>
        <v>0</v>
      </c>
      <c r="L36" s="74">
        <f>'DeprTrue-up'!$F31</f>
        <v>0</v>
      </c>
      <c r="M36" s="74">
        <f>'WA-SettleEx'!$F31</f>
        <v>0</v>
      </c>
      <c r="N36" s="74">
        <f>SUM(E36:M36)</f>
        <v>696</v>
      </c>
      <c r="O36" s="74">
        <f>BandO!$F31</f>
        <v>0</v>
      </c>
      <c r="P36" s="74">
        <f>PropTax!$F31</f>
        <v>0</v>
      </c>
      <c r="Q36" s="74">
        <f>UncollExp!$F31</f>
        <v>0</v>
      </c>
      <c r="R36" s="74">
        <f>RegExp!$F31</f>
        <v>0</v>
      </c>
      <c r="S36" s="74">
        <f>InjDam!$F31</f>
        <v>0</v>
      </c>
      <c r="T36" s="74">
        <f>FIT!$F31</f>
        <v>0</v>
      </c>
      <c r="U36" s="74">
        <f>ElimPowerCost!$F31</f>
        <v>0</v>
      </c>
      <c r="V36" s="74">
        <f>NezPerce!$F31</f>
        <v>0</v>
      </c>
      <c r="W36" s="74">
        <f>ElimAR!$F31</f>
        <v>0</v>
      </c>
      <c r="X36" s="74">
        <f>SubSpace!$F31</f>
        <v>0</v>
      </c>
      <c r="Y36" s="74">
        <f>ExciseTax!$F31</f>
        <v>0</v>
      </c>
      <c r="Z36" s="74">
        <f>GainsLoss!$F31</f>
        <v>0</v>
      </c>
      <c r="AA36" s="74">
        <f>RevNormalztn!$F31</f>
        <v>0</v>
      </c>
      <c r="AB36" s="74">
        <f>MiscRestate!$F31</f>
        <v>0</v>
      </c>
      <c r="AC36" s="1376">
        <f>DebtInt!$F31</f>
        <v>0</v>
      </c>
      <c r="AD36" s="74"/>
      <c r="AE36" s="74"/>
      <c r="AF36" s="74"/>
      <c r="AG36" s="74">
        <f>SUM(N36:AF36)</f>
        <v>696</v>
      </c>
      <c r="AH36" s="74">
        <f>PFPSWA!$F31</f>
        <v>0</v>
      </c>
      <c r="AI36" s="1376">
        <f>'PFProdFctr-WA'!$F31</f>
        <v>0</v>
      </c>
      <c r="AJ36" s="74">
        <f>PFLabor!$F31</f>
        <v>31</v>
      </c>
      <c r="AK36" s="74">
        <f>PFExec!$F31</f>
        <v>0</v>
      </c>
      <c r="AL36" s="74">
        <f>PFTrans!$F31</f>
        <v>0</v>
      </c>
      <c r="AM36" s="74">
        <f>PFCapx2008!$F31</f>
        <v>0</v>
      </c>
      <c r="AN36" s="74">
        <f>PFCapx2009!$F31</f>
        <v>0</v>
      </c>
      <c r="AO36" s="74">
        <f>PFNoxon2010!$F31</f>
        <v>0</v>
      </c>
      <c r="AP36" s="937">
        <f>PFAssetMgmt!$F31</f>
        <v>0</v>
      </c>
      <c r="AQ36" s="74">
        <f>PFInfoServ!$F31</f>
        <v>0</v>
      </c>
      <c r="AR36" s="74">
        <f>PFSR_Relicense!$F31</f>
        <v>0</v>
      </c>
      <c r="AS36" s="74">
        <f>PFCDAtribe!$F31</f>
        <v>0</v>
      </c>
      <c r="AT36" s="74">
        <f>PFMoLease!$F31</f>
        <v>0</v>
      </c>
      <c r="AU36" s="74">
        <f>PFColstripEmiss!$F31</f>
        <v>0</v>
      </c>
      <c r="AV36" s="74">
        <f>PFIncentives!$F31</f>
        <v>0</v>
      </c>
      <c r="AW36" s="74">
        <f>'PFO&amp;MPlant'!$F31</f>
        <v>0</v>
      </c>
      <c r="AX36" s="74">
        <f>PFEmpBen!$F31</f>
        <v>30</v>
      </c>
      <c r="AY36" s="74">
        <f>PFInsur!$F31</f>
        <v>0</v>
      </c>
      <c r="AZ36" s="74">
        <f>PFClarkFork!$F31</f>
        <v>0</v>
      </c>
      <c r="BA36" s="74">
        <f>PF20open!$F31</f>
        <v>0</v>
      </c>
      <c r="BB36" s="74"/>
      <c r="BC36" s="74"/>
      <c r="BD36" s="74">
        <f>SUM(AG36:BC36)</f>
        <v>757</v>
      </c>
      <c r="BE36" s="74"/>
      <c r="BH36" s="1381"/>
    </row>
    <row r="37" spans="1:65" s="34" customFormat="1">
      <c r="E37" s="937"/>
      <c r="F37" s="74">
        <f>DFITAMA!$F32</f>
        <v>0</v>
      </c>
      <c r="G37" s="74">
        <f>BldGain!$F32</f>
        <v>0</v>
      </c>
      <c r="H37" s="74">
        <f>ColstripAFUDC!$F32</f>
        <v>0</v>
      </c>
      <c r="I37" s="74">
        <f>ColstripCommon!$F32</f>
        <v>0</v>
      </c>
      <c r="J37" s="74">
        <f>'KF-BP_Summ'!$F32</f>
        <v>0</v>
      </c>
      <c r="K37" s="74">
        <f>CustAdv!$F32</f>
        <v>0</v>
      </c>
      <c r="L37" s="74">
        <f>'DeprTrue-up'!$F32</f>
        <v>0</v>
      </c>
      <c r="M37" s="74">
        <f>'WA-SettleEx'!$F32</f>
        <v>0</v>
      </c>
      <c r="N37" s="74"/>
      <c r="O37" s="74">
        <f>BandO!$F32</f>
        <v>0</v>
      </c>
      <c r="P37" s="74">
        <f>PropTax!$F32</f>
        <v>0</v>
      </c>
      <c r="Q37" s="74">
        <f>UncollExp!$F32</f>
        <v>0</v>
      </c>
      <c r="R37" s="74">
        <f>RegExp!$F32</f>
        <v>0</v>
      </c>
      <c r="S37" s="74">
        <f>InjDam!$F32</f>
        <v>0</v>
      </c>
      <c r="T37" s="74">
        <f>FIT!$F32</f>
        <v>0</v>
      </c>
      <c r="U37" s="74">
        <f>ElimPowerCost!$F32</f>
        <v>0</v>
      </c>
      <c r="V37" s="74">
        <f>NezPerce!$F32</f>
        <v>0</v>
      </c>
      <c r="W37" s="74">
        <f>ElimAR!$F32</f>
        <v>0</v>
      </c>
      <c r="X37" s="74">
        <f>SubSpace!$F32</f>
        <v>0</v>
      </c>
      <c r="Y37" s="74">
        <f>ExciseTax!$F32</f>
        <v>0</v>
      </c>
      <c r="Z37" s="74">
        <f>GainsLoss!$F32</f>
        <v>0</v>
      </c>
      <c r="AA37" s="74">
        <f>RevNormalztn!$F32</f>
        <v>0</v>
      </c>
      <c r="AB37" s="74">
        <f>MiscRestate!$F32</f>
        <v>0</v>
      </c>
      <c r="AC37" s="1376">
        <f>DebtInt!$F32</f>
        <v>0</v>
      </c>
      <c r="AD37" s="74"/>
      <c r="AE37" s="74"/>
      <c r="AF37" s="74"/>
      <c r="AG37" s="74"/>
      <c r="AH37" s="74">
        <f>PFPSWA!$F32</f>
        <v>0</v>
      </c>
      <c r="AI37" s="1376">
        <f>'PFProdFctr-WA'!$F32</f>
        <v>0</v>
      </c>
      <c r="AJ37" s="74">
        <f>PFLabor!$F32</f>
        <v>0</v>
      </c>
      <c r="AK37" s="74">
        <f>PFExec!$F32</f>
        <v>0</v>
      </c>
      <c r="AL37" s="74">
        <f>PFTrans!$F32</f>
        <v>0</v>
      </c>
      <c r="AM37" s="74">
        <f>PFCapx2008!$F32</f>
        <v>0</v>
      </c>
      <c r="AN37" s="74">
        <f>PFCapx2009!$F32</f>
        <v>0</v>
      </c>
      <c r="AO37" s="74">
        <f>PFNoxon2010!$F32</f>
        <v>0</v>
      </c>
      <c r="AP37" s="937">
        <f>PFAssetMgmt!$F32</f>
        <v>0</v>
      </c>
      <c r="AQ37" s="74">
        <f>PFInfoServ!$F32</f>
        <v>0</v>
      </c>
      <c r="AR37" s="74">
        <f>PFSR_Relicense!$F32</f>
        <v>0</v>
      </c>
      <c r="AS37" s="74">
        <f>PFCDAtribe!$F32</f>
        <v>0</v>
      </c>
      <c r="AT37" s="74">
        <f>PFMoLease!$F32</f>
        <v>0</v>
      </c>
      <c r="AU37" s="74">
        <f>PFColstripEmiss!$F32</f>
        <v>0</v>
      </c>
      <c r="AV37" s="74">
        <f>PFIncentives!$F32</f>
        <v>0</v>
      </c>
      <c r="AW37" s="74">
        <f>'PFO&amp;MPlant'!$F32</f>
        <v>0</v>
      </c>
      <c r="AX37" s="74">
        <f>PFEmpBen!$F32</f>
        <v>0</v>
      </c>
      <c r="AY37" s="74">
        <f>PFInsur!$F32</f>
        <v>0</v>
      </c>
      <c r="AZ37" s="74">
        <f>PFClarkFork!$F32</f>
        <v>0</v>
      </c>
      <c r="BA37" s="74">
        <f>PF20open!$F32</f>
        <v>0</v>
      </c>
      <c r="BB37" s="74"/>
      <c r="BC37" s="74"/>
      <c r="BD37" s="74"/>
      <c r="BE37" s="74"/>
    </row>
    <row r="38" spans="1:65" s="34" customFormat="1">
      <c r="A38" s="32"/>
      <c r="B38" s="34" t="s">
        <v>447</v>
      </c>
      <c r="E38" s="937"/>
      <c r="F38" s="74">
        <f>DFITAMA!$F33</f>
        <v>0</v>
      </c>
      <c r="G38" s="74">
        <f>BldGain!$F33</f>
        <v>0</v>
      </c>
      <c r="H38" s="74">
        <f>ColstripAFUDC!$F33</f>
        <v>0</v>
      </c>
      <c r="I38" s="74">
        <f>ColstripCommon!$F33</f>
        <v>0</v>
      </c>
      <c r="J38" s="74">
        <f>'KF-BP_Summ'!$F33</f>
        <v>0</v>
      </c>
      <c r="K38" s="74">
        <f>CustAdv!$F33</f>
        <v>0</v>
      </c>
      <c r="L38" s="74">
        <f>'DeprTrue-up'!$F33</f>
        <v>0</v>
      </c>
      <c r="M38" s="74">
        <f>'WA-SettleEx'!$F33</f>
        <v>0</v>
      </c>
      <c r="N38" s="74"/>
      <c r="O38" s="74">
        <f>BandO!$F33</f>
        <v>0</v>
      </c>
      <c r="P38" s="74">
        <f>PropTax!$F33</f>
        <v>0</v>
      </c>
      <c r="Q38" s="74">
        <f>UncollExp!$F33</f>
        <v>0</v>
      </c>
      <c r="R38" s="74">
        <f>RegExp!$F33</f>
        <v>0</v>
      </c>
      <c r="S38" s="74">
        <f>InjDam!$F33</f>
        <v>0</v>
      </c>
      <c r="T38" s="74">
        <f>FIT!$F33</f>
        <v>0</v>
      </c>
      <c r="U38" s="74">
        <f>ElimPowerCost!$F33</f>
        <v>0</v>
      </c>
      <c r="V38" s="74">
        <f>NezPerce!$F33</f>
        <v>0</v>
      </c>
      <c r="W38" s="74">
        <f>ElimAR!$F33</f>
        <v>0</v>
      </c>
      <c r="X38" s="74">
        <f>SubSpace!$F33</f>
        <v>0</v>
      </c>
      <c r="Y38" s="74">
        <f>ExciseTax!$F33</f>
        <v>0</v>
      </c>
      <c r="Z38" s="74">
        <f>GainsLoss!$F33</f>
        <v>0</v>
      </c>
      <c r="AA38" s="74">
        <f>RevNormalztn!$F33</f>
        <v>0</v>
      </c>
      <c r="AB38" s="74">
        <f>MiscRestate!$F33</f>
        <v>0</v>
      </c>
      <c r="AC38" s="1376">
        <f>DebtInt!$F33</f>
        <v>0</v>
      </c>
      <c r="AD38" s="74"/>
      <c r="AE38" s="74"/>
      <c r="AF38" s="74"/>
      <c r="AG38" s="74"/>
      <c r="AH38" s="74">
        <f>PFPSWA!$F33</f>
        <v>0</v>
      </c>
      <c r="AI38" s="1376">
        <f>'PFProdFctr-WA'!$F33</f>
        <v>0</v>
      </c>
      <c r="AJ38" s="74">
        <f>PFLabor!$F33</f>
        <v>0</v>
      </c>
      <c r="AK38" s="74">
        <f>PFExec!$F33</f>
        <v>0</v>
      </c>
      <c r="AL38" s="74">
        <f>PFTrans!$F33</f>
        <v>0</v>
      </c>
      <c r="AM38" s="74">
        <f>PFCapx2008!$F33</f>
        <v>0</v>
      </c>
      <c r="AN38" s="74">
        <f>PFCapx2009!$F33</f>
        <v>0</v>
      </c>
      <c r="AO38" s="74">
        <f>PFNoxon2010!$F33</f>
        <v>0</v>
      </c>
      <c r="AP38" s="937">
        <f>PFAssetMgmt!$F33</f>
        <v>0</v>
      </c>
      <c r="AQ38" s="74">
        <f>PFInfoServ!$F33</f>
        <v>0</v>
      </c>
      <c r="AR38" s="74">
        <f>PFSR_Relicense!$F33</f>
        <v>0</v>
      </c>
      <c r="AS38" s="74">
        <f>PFCDAtribe!$F33</f>
        <v>0</v>
      </c>
      <c r="AT38" s="74">
        <f>PFMoLease!$F33</f>
        <v>0</v>
      </c>
      <c r="AU38" s="74">
        <f>PFColstripEmiss!$F33</f>
        <v>0</v>
      </c>
      <c r="AV38" s="74">
        <f>PFIncentives!$F33</f>
        <v>0</v>
      </c>
      <c r="AW38" s="74">
        <f>'PFO&amp;MPlant'!$F33</f>
        <v>0</v>
      </c>
      <c r="AX38" s="74">
        <f>PFEmpBen!$F33</f>
        <v>0</v>
      </c>
      <c r="AY38" s="74">
        <f>PFInsur!$F33</f>
        <v>0</v>
      </c>
      <c r="AZ38" s="74">
        <f>PFClarkFork!$F33</f>
        <v>0</v>
      </c>
      <c r="BA38" s="74">
        <f>PF20open!$F33</f>
        <v>0</v>
      </c>
      <c r="BB38" s="74"/>
      <c r="BC38" s="74"/>
      <c r="BD38" s="74"/>
      <c r="BE38" s="74"/>
    </row>
    <row r="39" spans="1:65" s="34" customFormat="1">
      <c r="A39" s="32">
        <v>19</v>
      </c>
      <c r="C39" s="34" t="s">
        <v>436</v>
      </c>
      <c r="E39" s="937">
        <f>ResultSumEl!F34</f>
        <v>35147</v>
      </c>
      <c r="F39" s="74">
        <f>DFITAMA!$F34</f>
        <v>0</v>
      </c>
      <c r="G39" s="74">
        <f>BldGain!$F34</f>
        <v>0</v>
      </c>
      <c r="H39" s="74">
        <f>ColstripAFUDC!$F34</f>
        <v>0</v>
      </c>
      <c r="I39" s="74">
        <f>ColstripCommon!$F34</f>
        <v>0</v>
      </c>
      <c r="J39" s="74">
        <f>'KF-BP_Summ'!$F34</f>
        <v>0</v>
      </c>
      <c r="K39" s="74">
        <f>CustAdv!$F34</f>
        <v>0</v>
      </c>
      <c r="L39" s="74">
        <f>'DeprTrue-up'!$F34</f>
        <v>0</v>
      </c>
      <c r="M39" s="74">
        <f>'WA-SettleEx'!$F34</f>
        <v>0</v>
      </c>
      <c r="N39" s="74">
        <f>SUM(E39:M39)</f>
        <v>35147</v>
      </c>
      <c r="O39" s="74">
        <f>BandO!$F34</f>
        <v>0</v>
      </c>
      <c r="P39" s="74">
        <f>PropTax!$F34</f>
        <v>0</v>
      </c>
      <c r="Q39" s="74">
        <f>UncollExp!$F34</f>
        <v>0</v>
      </c>
      <c r="R39" s="74">
        <f>RegExp!$F34</f>
        <v>80</v>
      </c>
      <c r="S39" s="74">
        <f>InjDam!$F34</f>
        <v>86</v>
      </c>
      <c r="T39" s="74">
        <f>FIT!$F34</f>
        <v>0</v>
      </c>
      <c r="U39" s="74">
        <f>ElimPowerCost!$F34</f>
        <v>-62</v>
      </c>
      <c r="V39" s="74">
        <f>NezPerce!$F34</f>
        <v>0</v>
      </c>
      <c r="W39" s="74">
        <f>ElimAR!$F34</f>
        <v>0</v>
      </c>
      <c r="X39" s="74">
        <f>SubSpace!$F34</f>
        <v>-8</v>
      </c>
      <c r="Y39" s="74">
        <f>ExciseTax!$F34</f>
        <v>0</v>
      </c>
      <c r="Z39" s="74">
        <f>GainsLoss!$F34</f>
        <v>0</v>
      </c>
      <c r="AA39" s="74">
        <f>RevNormalztn!$F34</f>
        <v>58</v>
      </c>
      <c r="AB39" s="74">
        <f>MiscRestate!$F34</f>
        <v>-214</v>
      </c>
      <c r="AC39" s="1376">
        <f>DebtInt!$F34</f>
        <v>0</v>
      </c>
      <c r="AD39" s="74"/>
      <c r="AE39" s="74"/>
      <c r="AF39" s="74"/>
      <c r="AG39" s="74">
        <f>SUM(N39:AF39)</f>
        <v>35087</v>
      </c>
      <c r="AH39" s="74">
        <f>PFPSWA!$F34</f>
        <v>0</v>
      </c>
      <c r="AI39" s="1376">
        <f>'PFProdFctr-WA'!$F34</f>
        <v>0</v>
      </c>
      <c r="AJ39" s="74">
        <f>PFLabor!$F34</f>
        <v>715</v>
      </c>
      <c r="AK39" s="74">
        <f>PFExec!$F34</f>
        <v>230</v>
      </c>
      <c r="AL39" s="74">
        <f>PFTrans!$F34</f>
        <v>0</v>
      </c>
      <c r="AM39" s="74">
        <f>PFCapx2008!$F34</f>
        <v>0</v>
      </c>
      <c r="AN39" s="74">
        <f>PFCapx2009!$F34</f>
        <v>0</v>
      </c>
      <c r="AO39" s="74">
        <f>PFNoxon2010!$F34</f>
        <v>0</v>
      </c>
      <c r="AP39" s="937">
        <f>PFAssetMgmt!$F34</f>
        <v>0</v>
      </c>
      <c r="AQ39" s="74">
        <f>PFInfoServ!$F34</f>
        <v>1752</v>
      </c>
      <c r="AR39" s="74">
        <f>PFSR_Relicense!$F34</f>
        <v>0</v>
      </c>
      <c r="AS39" s="74">
        <f>PFCDAtribe!$F34</f>
        <v>0</v>
      </c>
      <c r="AT39" s="74">
        <f>PFMoLease!$F34</f>
        <v>0</v>
      </c>
      <c r="AU39" s="74">
        <f>PFColstripEmiss!$F34</f>
        <v>0</v>
      </c>
      <c r="AV39" s="74">
        <f>PFIncentives!$F34</f>
        <v>550</v>
      </c>
      <c r="AW39" s="74">
        <f>'PFO&amp;MPlant'!$F34</f>
        <v>0</v>
      </c>
      <c r="AX39" s="74">
        <f>PFEmpBen!$F34</f>
        <v>1768</v>
      </c>
      <c r="AY39" s="74">
        <f>PFInsur!$F34</f>
        <v>283</v>
      </c>
      <c r="AZ39" s="74">
        <f>PFClarkFork!$F34</f>
        <v>0</v>
      </c>
      <c r="BA39" s="74">
        <f>PF20open!$F34</f>
        <v>0</v>
      </c>
      <c r="BB39" s="74"/>
      <c r="BC39" s="74"/>
      <c r="BD39" s="74">
        <f>SUM(AG39:BC39)</f>
        <v>40385</v>
      </c>
      <c r="BE39" s="74"/>
    </row>
    <row r="40" spans="1:65" s="34" customFormat="1">
      <c r="A40" s="32">
        <v>20</v>
      </c>
      <c r="C40" s="34" t="s">
        <v>442</v>
      </c>
      <c r="E40" s="937">
        <f>ResultSumEl!F35</f>
        <v>7022</v>
      </c>
      <c r="F40" s="74">
        <f>DFITAMA!$F35</f>
        <v>0</v>
      </c>
      <c r="G40" s="74">
        <f>BldGain!$F35</f>
        <v>0</v>
      </c>
      <c r="H40" s="74">
        <f>ColstripAFUDC!$F35</f>
        <v>0</v>
      </c>
      <c r="I40" s="74">
        <f>ColstripCommon!$F35</f>
        <v>0</v>
      </c>
      <c r="J40" s="74">
        <f>'KF-BP_Summ'!$F35</f>
        <v>0</v>
      </c>
      <c r="K40" s="74">
        <f>CustAdv!$F35</f>
        <v>0</v>
      </c>
      <c r="L40" s="74">
        <f>'DeprTrue-up'!$F35</f>
        <v>-232</v>
      </c>
      <c r="M40" s="74">
        <f>'WA-SettleEx'!$F35</f>
        <v>0</v>
      </c>
      <c r="N40" s="74">
        <f>SUM(E40:M40)</f>
        <v>6790</v>
      </c>
      <c r="O40" s="74">
        <f>BandO!$F35</f>
        <v>0</v>
      </c>
      <c r="P40" s="74">
        <f>PropTax!$F35</f>
        <v>0</v>
      </c>
      <c r="Q40" s="74">
        <f>UncollExp!$F35</f>
        <v>0</v>
      </c>
      <c r="R40" s="74">
        <f>RegExp!$F35</f>
        <v>0</v>
      </c>
      <c r="S40" s="74">
        <f>InjDam!$F35</f>
        <v>0</v>
      </c>
      <c r="T40" s="74">
        <f>FIT!$F35</f>
        <v>0</v>
      </c>
      <c r="U40" s="74">
        <f>ElimPowerCost!$F35</f>
        <v>0</v>
      </c>
      <c r="V40" s="74">
        <f>NezPerce!$F35</f>
        <v>0</v>
      </c>
      <c r="W40" s="74">
        <f>ElimAR!$F35</f>
        <v>0</v>
      </c>
      <c r="X40" s="74">
        <f>SubSpace!$F35</f>
        <v>0</v>
      </c>
      <c r="Y40" s="74">
        <f>ExciseTax!$F35</f>
        <v>0</v>
      </c>
      <c r="Z40" s="74">
        <f>GainsLoss!$F35</f>
        <v>0</v>
      </c>
      <c r="AA40" s="74">
        <f>RevNormalztn!$F35</f>
        <v>0</v>
      </c>
      <c r="AB40" s="74">
        <f>MiscRestate!$F35</f>
        <v>0</v>
      </c>
      <c r="AC40" s="1376">
        <f>DebtInt!$F35</f>
        <v>0</v>
      </c>
      <c r="AD40" s="74"/>
      <c r="AE40" s="74"/>
      <c r="AF40" s="74"/>
      <c r="AG40" s="74">
        <f>SUM(N40:AF40)</f>
        <v>6790</v>
      </c>
      <c r="AH40" s="74">
        <f>PFPSWA!$F35</f>
        <v>0</v>
      </c>
      <c r="AI40" s="1376">
        <f>'PFProdFctr-WA'!$F35</f>
        <v>0</v>
      </c>
      <c r="AJ40" s="74">
        <f>PFLabor!$F35</f>
        <v>0</v>
      </c>
      <c r="AK40" s="74">
        <f>PFExec!$F35</f>
        <v>0</v>
      </c>
      <c r="AL40" s="74">
        <f>PFTrans!$F35</f>
        <v>0</v>
      </c>
      <c r="AM40" s="74">
        <f>PFCapx2008!$F35</f>
        <v>509</v>
      </c>
      <c r="AN40" s="74">
        <f>PFCapx2009!$F35</f>
        <v>1784</v>
      </c>
      <c r="AO40" s="74">
        <f>PFNoxon2010!$F35</f>
        <v>0</v>
      </c>
      <c r="AP40" s="937">
        <f>PFAssetMgmt!$F35</f>
        <v>0</v>
      </c>
      <c r="AQ40" s="74">
        <f>PFInfoServ!$F35</f>
        <v>0</v>
      </c>
      <c r="AR40" s="74">
        <f>PFSR_Relicense!$F35</f>
        <v>0</v>
      </c>
      <c r="AS40" s="74">
        <f>PFCDAtribe!$F35</f>
        <v>0</v>
      </c>
      <c r="AT40" s="74">
        <f>PFMoLease!$F35</f>
        <v>0</v>
      </c>
      <c r="AU40" s="74">
        <f>PFColstripEmiss!$F35</f>
        <v>0</v>
      </c>
      <c r="AV40" s="74">
        <f>PFIncentives!$F35</f>
        <v>0</v>
      </c>
      <c r="AW40" s="74">
        <f>'PFO&amp;MPlant'!$F35</f>
        <v>0</v>
      </c>
      <c r="AX40" s="74">
        <f>PFEmpBen!$F35</f>
        <v>0</v>
      </c>
      <c r="AY40" s="74">
        <f>PFInsur!$F35</f>
        <v>0</v>
      </c>
      <c r="AZ40" s="74">
        <f>PFClarkFork!$F35</f>
        <v>0</v>
      </c>
      <c r="BA40" s="74">
        <f>PF20open!$F35</f>
        <v>0</v>
      </c>
      <c r="BB40" s="74"/>
      <c r="BC40" s="74"/>
      <c r="BD40" s="74">
        <f>SUM(AG40:BC40)</f>
        <v>9083</v>
      </c>
      <c r="BE40" s="74"/>
    </row>
    <row r="41" spans="1:65" s="34" customFormat="1">
      <c r="A41" s="32">
        <v>21</v>
      </c>
      <c r="C41" s="34" t="s">
        <v>439</v>
      </c>
      <c r="E41" s="938">
        <f>ResultSumEl!F36</f>
        <v>0</v>
      </c>
      <c r="F41" s="75">
        <f>DFITAMA!$F36</f>
        <v>0</v>
      </c>
      <c r="G41" s="75">
        <f>BldGain!$F36</f>
        <v>0</v>
      </c>
      <c r="H41" s="75">
        <f>ColstripAFUDC!$F36</f>
        <v>0</v>
      </c>
      <c r="I41" s="75">
        <f>ColstripCommon!$F36</f>
        <v>0</v>
      </c>
      <c r="J41" s="75">
        <f>'KF-BP_Summ'!$F36</f>
        <v>0</v>
      </c>
      <c r="K41" s="75">
        <f>CustAdv!$F36</f>
        <v>0</v>
      </c>
      <c r="L41" s="75">
        <f>'DeprTrue-up'!$F36</f>
        <v>0</v>
      </c>
      <c r="M41" s="75">
        <f>'WA-SettleEx'!$F36</f>
        <v>0</v>
      </c>
      <c r="N41" s="75">
        <f>SUM(E41:M41)</f>
        <v>0</v>
      </c>
      <c r="O41" s="75">
        <f>BandO!$F36</f>
        <v>0</v>
      </c>
      <c r="P41" s="75">
        <f>PropTax!$F36</f>
        <v>3</v>
      </c>
      <c r="Q41" s="75">
        <f>UncollExp!$F36</f>
        <v>0</v>
      </c>
      <c r="R41" s="75">
        <f>RegExp!$F36</f>
        <v>0</v>
      </c>
      <c r="S41" s="75">
        <f>InjDam!$F36</f>
        <v>0</v>
      </c>
      <c r="T41" s="75">
        <f>FIT!$F36</f>
        <v>0</v>
      </c>
      <c r="U41" s="75">
        <f>ElimPowerCost!$F36</f>
        <v>0</v>
      </c>
      <c r="V41" s="75">
        <f>NezPerce!$F36</f>
        <v>0</v>
      </c>
      <c r="W41" s="75">
        <f>ElimAR!$F36</f>
        <v>0</v>
      </c>
      <c r="X41" s="75">
        <f>SubSpace!$F36</f>
        <v>0</v>
      </c>
      <c r="Y41" s="75">
        <f>ExciseTax!$F36</f>
        <v>0</v>
      </c>
      <c r="Z41" s="75">
        <f>GainsLoss!$F36</f>
        <v>0</v>
      </c>
      <c r="AA41" s="75">
        <f>RevNormalztn!$F36</f>
        <v>0</v>
      </c>
      <c r="AB41" s="75">
        <f>MiscRestate!$F36</f>
        <v>0</v>
      </c>
      <c r="AC41" s="1377">
        <f>DebtInt!$F36</f>
        <v>0</v>
      </c>
      <c r="AD41" s="75"/>
      <c r="AE41" s="75"/>
      <c r="AF41" s="75"/>
      <c r="AG41" s="75">
        <f>SUM(N41:AF41)</f>
        <v>3</v>
      </c>
      <c r="AH41" s="75">
        <f>PFPSWA!$F36</f>
        <v>0</v>
      </c>
      <c r="AI41" s="1377">
        <f>'PFProdFctr-WA'!$F36</f>
        <v>0</v>
      </c>
      <c r="AJ41" s="75">
        <f>PFLabor!$F36</f>
        <v>0</v>
      </c>
      <c r="AK41" s="75">
        <f>PFExec!$F36</f>
        <v>0</v>
      </c>
      <c r="AL41" s="75">
        <f>PFTrans!$F36</f>
        <v>0</v>
      </c>
      <c r="AM41" s="75">
        <f>PFCapx2008!$F36</f>
        <v>0</v>
      </c>
      <c r="AN41" s="75">
        <f>PFCapx2009!$F36</f>
        <v>249</v>
      </c>
      <c r="AO41" s="75">
        <f>PFNoxon2010!$F36</f>
        <v>0</v>
      </c>
      <c r="AP41" s="938">
        <f>PFAssetMgmt!$F36</f>
        <v>0</v>
      </c>
      <c r="AQ41" s="75">
        <f>PFInfoServ!$F36</f>
        <v>0</v>
      </c>
      <c r="AR41" s="75">
        <f>PFSR_Relicense!$F36</f>
        <v>0</v>
      </c>
      <c r="AS41" s="75">
        <f>PFCDAtribe!$F36</f>
        <v>0</v>
      </c>
      <c r="AT41" s="75">
        <f>PFMoLease!$F36</f>
        <v>0</v>
      </c>
      <c r="AU41" s="75">
        <f>PFColstripEmiss!$F36</f>
        <v>0</v>
      </c>
      <c r="AV41" s="75">
        <f>PFIncentives!$F36</f>
        <v>0</v>
      </c>
      <c r="AW41" s="75">
        <f>'PFO&amp;MPlant'!$F36</f>
        <v>0</v>
      </c>
      <c r="AX41" s="75">
        <f>PFEmpBen!$F36</f>
        <v>0</v>
      </c>
      <c r="AY41" s="75">
        <f>PFInsur!$F36</f>
        <v>0</v>
      </c>
      <c r="AZ41" s="75">
        <f>PFClarkFork!$F36</f>
        <v>0</v>
      </c>
      <c r="BA41" s="75">
        <f>PF20open!$F36</f>
        <v>0</v>
      </c>
      <c r="BB41" s="75"/>
      <c r="BC41" s="75"/>
      <c r="BD41" s="75">
        <f>SUM(AG41:BC41)</f>
        <v>252</v>
      </c>
      <c r="BE41" s="75"/>
    </row>
    <row r="42" spans="1:65" s="34" customFormat="1">
      <c r="A42" s="32">
        <v>22</v>
      </c>
      <c r="D42" s="34" t="s">
        <v>448</v>
      </c>
      <c r="E42" s="940">
        <f t="shared" ref="E42:M42" si="22">SUM(E39:E41)</f>
        <v>42169</v>
      </c>
      <c r="F42" s="239">
        <f t="shared" si="22"/>
        <v>0</v>
      </c>
      <c r="G42" s="239">
        <f t="shared" si="22"/>
        <v>0</v>
      </c>
      <c r="H42" s="239">
        <f t="shared" si="22"/>
        <v>0</v>
      </c>
      <c r="I42" s="239">
        <f t="shared" si="22"/>
        <v>0</v>
      </c>
      <c r="J42" s="239">
        <f t="shared" si="22"/>
        <v>0</v>
      </c>
      <c r="K42" s="239">
        <f t="shared" si="22"/>
        <v>0</v>
      </c>
      <c r="L42" s="239">
        <f t="shared" si="22"/>
        <v>-232</v>
      </c>
      <c r="M42" s="239">
        <f t="shared" si="22"/>
        <v>0</v>
      </c>
      <c r="N42" s="239">
        <f t="shared" ref="N42:T42" si="23">SUM(N39:N41)</f>
        <v>41937</v>
      </c>
      <c r="O42" s="239">
        <f t="shared" si="23"/>
        <v>0</v>
      </c>
      <c r="P42" s="239">
        <f t="shared" si="23"/>
        <v>3</v>
      </c>
      <c r="Q42" s="239">
        <f t="shared" si="23"/>
        <v>0</v>
      </c>
      <c r="R42" s="239">
        <f t="shared" si="23"/>
        <v>80</v>
      </c>
      <c r="S42" s="239">
        <f t="shared" si="23"/>
        <v>86</v>
      </c>
      <c r="T42" s="239">
        <f t="shared" si="23"/>
        <v>0</v>
      </c>
      <c r="U42" s="239">
        <f t="shared" ref="U42:AC42" si="24">SUM(U39:U41)</f>
        <v>-62</v>
      </c>
      <c r="V42" s="239">
        <f t="shared" si="24"/>
        <v>0</v>
      </c>
      <c r="W42" s="239">
        <f t="shared" si="24"/>
        <v>0</v>
      </c>
      <c r="X42" s="239">
        <f t="shared" si="24"/>
        <v>-8</v>
      </c>
      <c r="Y42" s="239">
        <f t="shared" si="24"/>
        <v>0</v>
      </c>
      <c r="Z42" s="239">
        <f t="shared" si="24"/>
        <v>0</v>
      </c>
      <c r="AA42" s="239">
        <f t="shared" si="24"/>
        <v>58</v>
      </c>
      <c r="AB42" s="239">
        <f t="shared" si="24"/>
        <v>-214</v>
      </c>
      <c r="AC42" s="1382">
        <f t="shared" si="24"/>
        <v>0</v>
      </c>
      <c r="AD42" s="239"/>
      <c r="AE42" s="239"/>
      <c r="AF42" s="239"/>
      <c r="AG42" s="239">
        <f>SUM(AG39:AG41)</f>
        <v>41880</v>
      </c>
      <c r="AH42" s="239">
        <f t="shared" ref="AH42:AN42" si="25">SUM(AH39:AH41)</f>
        <v>0</v>
      </c>
      <c r="AI42" s="1382">
        <f t="shared" si="25"/>
        <v>0</v>
      </c>
      <c r="AJ42" s="239">
        <f t="shared" si="25"/>
        <v>715</v>
      </c>
      <c r="AK42" s="239">
        <f t="shared" si="25"/>
        <v>230</v>
      </c>
      <c r="AL42" s="239">
        <f t="shared" si="25"/>
        <v>0</v>
      </c>
      <c r="AM42" s="239">
        <f t="shared" si="25"/>
        <v>509</v>
      </c>
      <c r="AN42" s="239">
        <f t="shared" si="25"/>
        <v>2033</v>
      </c>
      <c r="AO42" s="239">
        <f>SUM(AO39:AO41)</f>
        <v>0</v>
      </c>
      <c r="AP42" s="940">
        <f t="shared" ref="AP42:BC42" si="26">SUM(AP39:AP41)</f>
        <v>0</v>
      </c>
      <c r="AQ42" s="239">
        <f t="shared" si="26"/>
        <v>1752</v>
      </c>
      <c r="AR42" s="239">
        <f t="shared" si="26"/>
        <v>0</v>
      </c>
      <c r="AS42" s="239">
        <f t="shared" si="26"/>
        <v>0</v>
      </c>
      <c r="AT42" s="239">
        <f>SUM(AT39:AT41)</f>
        <v>0</v>
      </c>
      <c r="AU42" s="239">
        <f t="shared" si="26"/>
        <v>0</v>
      </c>
      <c r="AV42" s="239">
        <f t="shared" si="26"/>
        <v>550</v>
      </c>
      <c r="AW42" s="239">
        <f t="shared" si="26"/>
        <v>0</v>
      </c>
      <c r="AX42" s="239">
        <f t="shared" si="26"/>
        <v>1768</v>
      </c>
      <c r="AY42" s="239">
        <f t="shared" si="26"/>
        <v>283</v>
      </c>
      <c r="AZ42" s="239">
        <f t="shared" si="26"/>
        <v>0</v>
      </c>
      <c r="BA42" s="239">
        <f t="shared" si="26"/>
        <v>0</v>
      </c>
      <c r="BB42" s="239"/>
      <c r="BC42" s="239">
        <f t="shared" si="26"/>
        <v>0</v>
      </c>
      <c r="BD42" s="239">
        <f>SUM(AG42:BC42)</f>
        <v>49720</v>
      </c>
      <c r="BE42" s="239"/>
    </row>
    <row r="43" spans="1:65" s="34" customFormat="1" ht="18" customHeight="1">
      <c r="A43" s="32">
        <v>23</v>
      </c>
      <c r="B43" s="34" t="s">
        <v>449</v>
      </c>
      <c r="E43" s="940">
        <f t="shared" ref="E43:M43" si="27">E42+E36+E35+E34+E32+E26</f>
        <v>483333</v>
      </c>
      <c r="F43" s="239">
        <f t="shared" si="27"/>
        <v>0</v>
      </c>
      <c r="G43" s="239">
        <f t="shared" si="27"/>
        <v>0</v>
      </c>
      <c r="H43" s="239">
        <f t="shared" si="27"/>
        <v>-202</v>
      </c>
      <c r="I43" s="239">
        <f t="shared" si="27"/>
        <v>0</v>
      </c>
      <c r="J43" s="239">
        <f t="shared" si="27"/>
        <v>0</v>
      </c>
      <c r="K43" s="239">
        <f t="shared" si="27"/>
        <v>0</v>
      </c>
      <c r="L43" s="239">
        <f t="shared" si="27"/>
        <v>-60</v>
      </c>
      <c r="M43" s="239">
        <f t="shared" si="27"/>
        <v>0</v>
      </c>
      <c r="N43" s="239">
        <f t="shared" ref="N43:T43" si="28">N42+N36+N35+N34+N32+N26</f>
        <v>483071</v>
      </c>
      <c r="O43" s="239">
        <f t="shared" si="28"/>
        <v>-13726</v>
      </c>
      <c r="P43" s="239">
        <f t="shared" si="28"/>
        <v>1445</v>
      </c>
      <c r="Q43" s="239">
        <f t="shared" si="28"/>
        <v>-108</v>
      </c>
      <c r="R43" s="239">
        <f t="shared" si="28"/>
        <v>80</v>
      </c>
      <c r="S43" s="239">
        <f t="shared" si="28"/>
        <v>86</v>
      </c>
      <c r="T43" s="239">
        <f t="shared" si="28"/>
        <v>0</v>
      </c>
      <c r="U43" s="239">
        <f t="shared" ref="U43:AC43" si="29">U42+U36+U35+U34+U32+U26</f>
        <v>-19096</v>
      </c>
      <c r="V43" s="239">
        <f t="shared" si="29"/>
        <v>9</v>
      </c>
      <c r="W43" s="239">
        <f t="shared" si="29"/>
        <v>-516</v>
      </c>
      <c r="X43" s="239">
        <f t="shared" si="29"/>
        <v>-8</v>
      </c>
      <c r="Y43" s="239">
        <f t="shared" si="29"/>
        <v>31</v>
      </c>
      <c r="Z43" s="239">
        <f t="shared" si="29"/>
        <v>-122</v>
      </c>
      <c r="AA43" s="239">
        <f t="shared" si="29"/>
        <v>-6809</v>
      </c>
      <c r="AB43" s="239">
        <f t="shared" si="29"/>
        <v>-214</v>
      </c>
      <c r="AC43" s="1382">
        <f t="shared" si="29"/>
        <v>0</v>
      </c>
      <c r="AD43" s="239"/>
      <c r="AE43" s="239"/>
      <c r="AF43" s="239"/>
      <c r="AG43" s="239">
        <f>AG42+AG36+AG35+AG34+AG32+AG26</f>
        <v>444123</v>
      </c>
      <c r="AH43" s="239">
        <f t="shared" ref="AH43:AN43" si="30">AH42+AH36+AH35+AH34+AH32+AH26</f>
        <v>-65493.5</v>
      </c>
      <c r="AI43" s="1382">
        <f t="shared" si="30"/>
        <v>-13576</v>
      </c>
      <c r="AJ43" s="239">
        <f t="shared" si="30"/>
        <v>2987</v>
      </c>
      <c r="AK43" s="239">
        <f t="shared" si="30"/>
        <v>239</v>
      </c>
      <c r="AL43" s="239">
        <f t="shared" si="30"/>
        <v>103</v>
      </c>
      <c r="AM43" s="239">
        <f t="shared" si="30"/>
        <v>728</v>
      </c>
      <c r="AN43" s="239">
        <f t="shared" si="30"/>
        <v>4471</v>
      </c>
      <c r="AO43" s="239">
        <f>AO42+AO36+AO35+AO34+AO32+AO26</f>
        <v>240</v>
      </c>
      <c r="AP43" s="940">
        <f t="shared" ref="AP43:BC43" si="31">AP42+AP36+AP35+AP34+AP32+AP26</f>
        <v>2897</v>
      </c>
      <c r="AQ43" s="239">
        <f t="shared" si="31"/>
        <v>1752</v>
      </c>
      <c r="AR43" s="239">
        <f t="shared" si="31"/>
        <v>3636</v>
      </c>
      <c r="AS43" s="239">
        <f t="shared" si="31"/>
        <v>829</v>
      </c>
      <c r="AT43" s="239">
        <f>AT42+AT36+AT35+AT34+AT32+AT26</f>
        <v>3516</v>
      </c>
      <c r="AU43" s="239">
        <f t="shared" si="31"/>
        <v>1873</v>
      </c>
      <c r="AV43" s="239">
        <f t="shared" si="31"/>
        <v>550</v>
      </c>
      <c r="AW43" s="239">
        <f t="shared" si="31"/>
        <v>0</v>
      </c>
      <c r="AX43" s="239">
        <f t="shared" si="31"/>
        <v>3965</v>
      </c>
      <c r="AY43" s="239">
        <f t="shared" si="31"/>
        <v>283</v>
      </c>
      <c r="AZ43" s="239">
        <f t="shared" si="31"/>
        <v>656</v>
      </c>
      <c r="BA43" s="239">
        <f t="shared" si="31"/>
        <v>0</v>
      </c>
      <c r="BB43" s="239"/>
      <c r="BC43" s="239">
        <f t="shared" si="31"/>
        <v>0</v>
      </c>
      <c r="BD43" s="239">
        <f>SUM(AG43:BC43)</f>
        <v>393778.5</v>
      </c>
      <c r="BE43" s="239"/>
    </row>
    <row r="44" spans="1:65" s="34" customFormat="1">
      <c r="A44" s="32"/>
      <c r="E44" s="939"/>
      <c r="AC44" s="1378"/>
      <c r="AI44" s="1378"/>
      <c r="AP44" s="939"/>
    </row>
    <row r="45" spans="1:65" s="34" customFormat="1">
      <c r="A45" s="32">
        <v>24</v>
      </c>
      <c r="B45" s="34" t="s">
        <v>450</v>
      </c>
      <c r="E45" s="939">
        <f t="shared" ref="E45:J45" si="32">E18-E43</f>
        <v>88367</v>
      </c>
      <c r="F45" s="34">
        <f t="shared" si="32"/>
        <v>0</v>
      </c>
      <c r="G45" s="34">
        <f t="shared" si="32"/>
        <v>0</v>
      </c>
      <c r="H45" s="34">
        <f t="shared" si="32"/>
        <v>202</v>
      </c>
      <c r="I45" s="34">
        <f t="shared" si="32"/>
        <v>0</v>
      </c>
      <c r="J45" s="34">
        <f t="shared" si="32"/>
        <v>0</v>
      </c>
      <c r="K45" s="34">
        <f>K18-K43</f>
        <v>0</v>
      </c>
      <c r="L45" s="34">
        <f>L18-L43</f>
        <v>60</v>
      </c>
      <c r="M45" s="34">
        <f>M18-M43</f>
        <v>0</v>
      </c>
      <c r="N45" s="34">
        <f t="shared" ref="N45:T45" si="33">N18-N43</f>
        <v>88629</v>
      </c>
      <c r="O45" s="34">
        <f t="shared" si="33"/>
        <v>-34</v>
      </c>
      <c r="P45" s="34">
        <f t="shared" si="33"/>
        <v>-1445</v>
      </c>
      <c r="Q45" s="34">
        <f t="shared" si="33"/>
        <v>108</v>
      </c>
      <c r="R45" s="34">
        <f t="shared" si="33"/>
        <v>-80</v>
      </c>
      <c r="S45" s="34">
        <f t="shared" si="33"/>
        <v>-86</v>
      </c>
      <c r="T45" s="34">
        <f t="shared" si="33"/>
        <v>0</v>
      </c>
      <c r="U45" s="34">
        <f t="shared" ref="U45:AC45" si="34">U18-U43</f>
        <v>-13606</v>
      </c>
      <c r="V45" s="34">
        <f t="shared" si="34"/>
        <v>-9</v>
      </c>
      <c r="W45" s="34">
        <f t="shared" si="34"/>
        <v>516</v>
      </c>
      <c r="X45" s="34">
        <f t="shared" si="34"/>
        <v>8</v>
      </c>
      <c r="Y45" s="34">
        <f t="shared" si="34"/>
        <v>-31</v>
      </c>
      <c r="Z45" s="34">
        <f t="shared" si="34"/>
        <v>122</v>
      </c>
      <c r="AA45" s="34">
        <f t="shared" si="34"/>
        <v>35991</v>
      </c>
      <c r="AB45" s="34">
        <f t="shared" si="34"/>
        <v>214</v>
      </c>
      <c r="AC45" s="1378">
        <f t="shared" si="34"/>
        <v>0</v>
      </c>
      <c r="AG45" s="34">
        <f t="shared" ref="AG45:AN45" si="35">AG18-AG43</f>
        <v>110297</v>
      </c>
      <c r="AH45" s="34">
        <f t="shared" si="35"/>
        <v>-10620.5</v>
      </c>
      <c r="AI45" s="1378">
        <f t="shared" si="35"/>
        <v>9922</v>
      </c>
      <c r="AJ45" s="34">
        <f t="shared" si="35"/>
        <v>-2987</v>
      </c>
      <c r="AK45" s="34">
        <f t="shared" si="35"/>
        <v>-239</v>
      </c>
      <c r="AL45" s="34">
        <f t="shared" si="35"/>
        <v>-79</v>
      </c>
      <c r="AM45" s="34">
        <f t="shared" si="35"/>
        <v>-728</v>
      </c>
      <c r="AN45" s="34">
        <f t="shared" si="35"/>
        <v>-4471</v>
      </c>
      <c r="AO45" s="34">
        <f>AO18-AO43</f>
        <v>-240</v>
      </c>
      <c r="AP45" s="939">
        <f t="shared" ref="AP45:AY45" si="36">AP18-AP43</f>
        <v>-2897</v>
      </c>
      <c r="AQ45" s="34">
        <f>AQ18-AQ43</f>
        <v>-1752</v>
      </c>
      <c r="AR45" s="34">
        <f t="shared" si="36"/>
        <v>-3636</v>
      </c>
      <c r="AS45" s="34">
        <f t="shared" si="36"/>
        <v>-829</v>
      </c>
      <c r="AT45" s="34">
        <f>AT18-AT43</f>
        <v>-3516</v>
      </c>
      <c r="AU45" s="34">
        <f t="shared" si="36"/>
        <v>-1873</v>
      </c>
      <c r="AV45" s="34">
        <f t="shared" si="36"/>
        <v>-550</v>
      </c>
      <c r="AW45" s="34">
        <f>AW18-AW43</f>
        <v>0</v>
      </c>
      <c r="AX45" s="34">
        <f t="shared" si="36"/>
        <v>-3965</v>
      </c>
      <c r="AY45" s="34">
        <f t="shared" si="36"/>
        <v>-283</v>
      </c>
      <c r="AZ45" s="34">
        <f>AZ18-AZ43</f>
        <v>-656</v>
      </c>
      <c r="BA45" s="34">
        <f>BA18-BA43</f>
        <v>0</v>
      </c>
      <c r="BC45" s="34">
        <f>BC18-BC43</f>
        <v>0</v>
      </c>
      <c r="BD45" s="34">
        <f>SUM(AG45:BC45)</f>
        <v>80897.5</v>
      </c>
    </row>
    <row r="46" spans="1:65" s="34" customFormat="1">
      <c r="A46" s="32"/>
      <c r="E46" s="937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1376"/>
      <c r="AD46" s="74"/>
      <c r="AE46" s="74"/>
      <c r="AF46" s="74"/>
      <c r="AG46" s="74"/>
      <c r="AH46" s="74"/>
      <c r="AI46" s="1376"/>
      <c r="AJ46" s="74"/>
      <c r="AK46" s="74"/>
      <c r="AL46" s="74"/>
      <c r="AM46" s="74"/>
      <c r="AN46" s="74"/>
      <c r="AO46" s="74"/>
      <c r="AP46" s="937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</row>
    <row r="47" spans="1:65" s="34" customFormat="1">
      <c r="A47" s="32"/>
      <c r="B47" s="34" t="s">
        <v>451</v>
      </c>
      <c r="E47" s="937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1376"/>
      <c r="AD47" s="74"/>
      <c r="AE47" s="74"/>
      <c r="AF47" s="74"/>
      <c r="AG47" s="74"/>
      <c r="AH47" s="74"/>
      <c r="AI47" s="1376"/>
      <c r="AJ47" s="74"/>
      <c r="AK47" s="74"/>
      <c r="AL47" s="74"/>
      <c r="AM47" s="74"/>
      <c r="AN47" s="74"/>
      <c r="AO47" s="74"/>
      <c r="AP47" s="937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</row>
    <row r="48" spans="1:65" s="34" customFormat="1">
      <c r="A48" s="32">
        <v>25</v>
      </c>
      <c r="B48" s="34" t="s">
        <v>452</v>
      </c>
      <c r="E48" s="937">
        <f>ResultSumEl!F43</f>
        <v>16759</v>
      </c>
      <c r="F48" s="74">
        <f>DFITAMA!$F43</f>
        <v>0</v>
      </c>
      <c r="G48" s="74">
        <f>BldGain!$F43</f>
        <v>0</v>
      </c>
      <c r="H48" s="74">
        <f>ColstripAFUDC!$F43</f>
        <v>0</v>
      </c>
      <c r="I48" s="74">
        <f>ColstripCommon!$F43</f>
        <v>0</v>
      </c>
      <c r="J48" s="74">
        <f>'KF-BP_Summ'!$F43</f>
        <v>0</v>
      </c>
      <c r="K48" s="74">
        <f>CustAdv!$F43</f>
        <v>0</v>
      </c>
      <c r="L48" s="74">
        <f>'DeprTrue-up'!$F43</f>
        <v>21</v>
      </c>
      <c r="M48" s="74">
        <f>'WA-SettleEx'!$F43</f>
        <v>0</v>
      </c>
      <c r="N48" s="74">
        <f>SUM(E48:M48)</f>
        <v>16780</v>
      </c>
      <c r="O48" s="74">
        <f>BandO!$F43</f>
        <v>-12</v>
      </c>
      <c r="P48" s="74">
        <f>PropTax!$F43</f>
        <v>-506</v>
      </c>
      <c r="Q48" s="74">
        <f>UncollExp!$F43</f>
        <v>38</v>
      </c>
      <c r="R48" s="74">
        <f>RegExp!$F43</f>
        <v>-28</v>
      </c>
      <c r="S48" s="74">
        <f>InjDam!$F43</f>
        <v>-30</v>
      </c>
      <c r="T48" s="74">
        <f>FIT!$F43</f>
        <v>1715</v>
      </c>
      <c r="U48" s="74">
        <f>ElimPowerCost!$F43</f>
        <v>-10946</v>
      </c>
      <c r="V48" s="74">
        <f>NezPerce!$F43</f>
        <v>-3</v>
      </c>
      <c r="W48" s="74">
        <f>ElimAR!$F43</f>
        <v>181</v>
      </c>
      <c r="X48" s="74">
        <f>SubSpace!$F43</f>
        <v>3</v>
      </c>
      <c r="Y48" s="74">
        <f>ExciseTax!$F43</f>
        <v>-11</v>
      </c>
      <c r="Z48" s="74">
        <f>GainsLoss!$F43</f>
        <v>43</v>
      </c>
      <c r="AA48" s="74">
        <f>RevNormalztn!$F43</f>
        <v>12597</v>
      </c>
      <c r="AB48" s="74">
        <f>MiscRestate!$F43</f>
        <v>75</v>
      </c>
      <c r="AC48" s="1376">
        <f>DebtInt!$F43</f>
        <v>-894.37865999999917</v>
      </c>
      <c r="AD48" s="74"/>
      <c r="AE48" s="74"/>
      <c r="AF48" s="74"/>
      <c r="AG48" s="74">
        <f>SUM(N48:AF48)</f>
        <v>19001.621340000002</v>
      </c>
      <c r="AH48" s="74">
        <f>PFPSWA!$F43</f>
        <v>-3717</v>
      </c>
      <c r="AI48" s="1376">
        <f>'PFProdFctr-WA'!$F43</f>
        <v>3473</v>
      </c>
      <c r="AJ48" s="74">
        <f>PFLabor!$F43</f>
        <v>-1045</v>
      </c>
      <c r="AK48" s="74">
        <f>PFExec!$F43</f>
        <v>-84</v>
      </c>
      <c r="AL48" s="74">
        <f>PFTrans!$F43</f>
        <v>-28</v>
      </c>
      <c r="AM48" s="74">
        <f>PFCapx2008!$F43</f>
        <v>-255</v>
      </c>
      <c r="AN48" s="74">
        <f>PFCapx2009!$F43</f>
        <v>-1565</v>
      </c>
      <c r="AO48" s="74">
        <f>PFNoxon2010!$F43</f>
        <v>-84</v>
      </c>
      <c r="AP48" s="937">
        <f>PFAssetMgmt!$F43</f>
        <v>-1014</v>
      </c>
      <c r="AQ48" s="74">
        <f>PFInfoServ!$F43</f>
        <v>-613</v>
      </c>
      <c r="AR48" s="74">
        <f>PFSR_Relicense!$F43</f>
        <v>-1273</v>
      </c>
      <c r="AS48" s="74">
        <f>PFCDAtribe!$F43</f>
        <v>-290</v>
      </c>
      <c r="AT48" s="74">
        <f>PFMoLease!$F43</f>
        <v>-1231</v>
      </c>
      <c r="AU48" s="74">
        <f>PFColstripEmiss!$F43</f>
        <v>-656</v>
      </c>
      <c r="AV48" s="74">
        <f>PFIncentives!$F43</f>
        <v>-193</v>
      </c>
      <c r="AW48" s="74">
        <f>'PFO&amp;MPlant'!$F43</f>
        <v>0</v>
      </c>
      <c r="AX48" s="74">
        <f>PFEmpBen!$F43</f>
        <v>-1388</v>
      </c>
      <c r="AY48" s="74">
        <f>PFInsur!$F43</f>
        <v>-99</v>
      </c>
      <c r="AZ48" s="74">
        <f>PFClarkFork!$F43</f>
        <v>-230</v>
      </c>
      <c r="BA48" s="74">
        <f>PF20open!$F43</f>
        <v>0</v>
      </c>
      <c r="BB48" s="74"/>
      <c r="BC48" s="74"/>
      <c r="BD48" s="74">
        <f>SUM(AG48:BC48)</f>
        <v>8709.6213400000015</v>
      </c>
      <c r="BE48" s="74"/>
      <c r="BI48" s="33"/>
    </row>
    <row r="49" spans="1:65" s="34" customFormat="1">
      <c r="A49" s="32">
        <v>26</v>
      </c>
      <c r="B49" s="34" t="s">
        <v>453</v>
      </c>
      <c r="E49" s="937">
        <f>ResultSumEl!F44</f>
        <v>3070</v>
      </c>
      <c r="F49" s="74">
        <f>DFITAMA!$F44</f>
        <v>0</v>
      </c>
      <c r="G49" s="74">
        <f>BldGain!$F44</f>
        <v>0</v>
      </c>
      <c r="H49" s="74">
        <f>ColstripAFUDC!$F44</f>
        <v>0</v>
      </c>
      <c r="I49" s="74">
        <f>ColstripCommon!$F44</f>
        <v>0</v>
      </c>
      <c r="J49" s="74">
        <f>'KF-BP_Summ'!$F44</f>
        <v>56</v>
      </c>
      <c r="K49" s="74">
        <f>CustAdv!$F44</f>
        <v>0</v>
      </c>
      <c r="L49" s="74">
        <f>'DeprTrue-up'!$F44</f>
        <v>0</v>
      </c>
      <c r="M49" s="74">
        <f>'WA-SettleEx'!$F44</f>
        <v>0</v>
      </c>
      <c r="N49" s="74">
        <f>SUM(E49:M49)</f>
        <v>3126</v>
      </c>
      <c r="O49" s="74">
        <f>BandO!$F44</f>
        <v>0</v>
      </c>
      <c r="P49" s="74">
        <f>PropTax!$F44</f>
        <v>0</v>
      </c>
      <c r="Q49" s="74">
        <f>UncollExp!$F44</f>
        <v>0</v>
      </c>
      <c r="R49" s="74">
        <f>RegExp!$F44</f>
        <v>0</v>
      </c>
      <c r="S49" s="74">
        <f>InjDam!$F44</f>
        <v>0</v>
      </c>
      <c r="T49" s="74">
        <f>FIT!$F44</f>
        <v>36</v>
      </c>
      <c r="U49" s="74">
        <f>ElimPowerCost!$F44</f>
        <v>6184</v>
      </c>
      <c r="V49" s="74">
        <f>NezPerce!$F44</f>
        <v>0</v>
      </c>
      <c r="W49" s="74">
        <f>ElimAR!$F44</f>
        <v>0</v>
      </c>
      <c r="X49" s="74">
        <f>SubSpace!$F44</f>
        <v>0</v>
      </c>
      <c r="Y49" s="74">
        <f>ExciseTax!$F44</f>
        <v>0</v>
      </c>
      <c r="Z49" s="74">
        <f>GainsLoss!$F44</f>
        <v>0</v>
      </c>
      <c r="AA49" s="74">
        <f>RevNormalztn!$F44</f>
        <v>0</v>
      </c>
      <c r="AB49" s="74">
        <f>MiscRestate!$F44</f>
        <v>0</v>
      </c>
      <c r="AC49" s="1376">
        <f>DebtInt!$F44</f>
        <v>0</v>
      </c>
      <c r="AD49" s="74"/>
      <c r="AE49" s="74"/>
      <c r="AF49" s="74"/>
      <c r="AG49" s="74">
        <f>SUM(N49:AF49)</f>
        <v>9346</v>
      </c>
      <c r="AH49" s="74">
        <f>PFPSWA!$F44</f>
        <v>0</v>
      </c>
      <c r="AI49" s="1376">
        <f>'PFProdFctr-WA'!$F44</f>
        <v>0</v>
      </c>
      <c r="AJ49" s="74">
        <f>PFLabor!$F44</f>
        <v>0</v>
      </c>
      <c r="AK49" s="74">
        <f>PFExec!$F44</f>
        <v>0</v>
      </c>
      <c r="AL49" s="74">
        <f>PFTrans!$F44</f>
        <v>0</v>
      </c>
      <c r="AM49" s="74">
        <f>PFCapx2008!$F44</f>
        <v>0</v>
      </c>
      <c r="AN49" s="74">
        <f>PFCapx2009!$F44</f>
        <v>0</v>
      </c>
      <c r="AO49" s="74">
        <f>PFNoxon2010!$F44</f>
        <v>0</v>
      </c>
      <c r="AP49" s="937">
        <f>PFAssetMgmt!$F44</f>
        <v>0</v>
      </c>
      <c r="AQ49" s="74">
        <f>PFInfoServ!$F44</f>
        <v>0</v>
      </c>
      <c r="AR49" s="74">
        <f>PFSR_Relicense!$F44</f>
        <v>0</v>
      </c>
      <c r="AS49" s="74">
        <f>PFCDAtribe!$F44</f>
        <v>0</v>
      </c>
      <c r="AT49" s="74">
        <f>PFMoLease!$F44</f>
        <v>0</v>
      </c>
      <c r="AU49" s="74">
        <f>PFColstripEmiss!$F44</f>
        <v>0</v>
      </c>
      <c r="AV49" s="74">
        <f>PFIncentives!$F44</f>
        <v>0</v>
      </c>
      <c r="AW49" s="74">
        <f>'PFO&amp;MPlant'!$F44</f>
        <v>0</v>
      </c>
      <c r="AX49" s="74">
        <f>PFEmpBen!$F44</f>
        <v>0</v>
      </c>
      <c r="AY49" s="74">
        <f>PFInsur!$F44</f>
        <v>0</v>
      </c>
      <c r="AZ49" s="74">
        <f>PFClarkFork!$F44</f>
        <v>0</v>
      </c>
      <c r="BA49" s="74">
        <f>PF20open!$F44</f>
        <v>0</v>
      </c>
      <c r="BB49" s="74"/>
      <c r="BC49" s="74"/>
      <c r="BD49" s="74">
        <f>SUM(AG49:BC49)</f>
        <v>9346</v>
      </c>
      <c r="BE49" s="74"/>
      <c r="BH49" s="33"/>
      <c r="BI49" s="2"/>
    </row>
    <row r="50" spans="1:65" s="34" customFormat="1">
      <c r="A50" s="32"/>
      <c r="E50" s="938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1377"/>
      <c r="AD50" s="75"/>
      <c r="AE50" s="75"/>
      <c r="AF50" s="75"/>
      <c r="AG50" s="75"/>
      <c r="AH50" s="75"/>
      <c r="AI50" s="1377"/>
      <c r="AJ50" s="75"/>
      <c r="AK50" s="75"/>
      <c r="AL50" s="75"/>
      <c r="AM50" s="75"/>
      <c r="AN50" s="75"/>
      <c r="AO50" s="75"/>
      <c r="AP50" s="938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H50" s="2"/>
      <c r="BI50" s="2"/>
      <c r="BJ50" s="2"/>
      <c r="BK50" s="2"/>
      <c r="BL50" s="2"/>
      <c r="BM50" s="2"/>
    </row>
    <row r="51" spans="1:65">
      <c r="AC51" s="1356"/>
      <c r="AI51" s="1356"/>
      <c r="BJ51" s="33"/>
      <c r="BK51" s="33"/>
      <c r="BL51" s="33"/>
      <c r="BM51" s="33"/>
    </row>
    <row r="52" spans="1:65" s="33" customFormat="1" ht="12.75" thickBot="1">
      <c r="A52" s="32">
        <v>27</v>
      </c>
      <c r="B52" s="33" t="s">
        <v>454</v>
      </c>
      <c r="E52" s="941">
        <f>E45-SUM(E48:E50)</f>
        <v>68538</v>
      </c>
      <c r="F52" s="238">
        <f>F45-SUM(F48:F50)</f>
        <v>0</v>
      </c>
      <c r="G52" s="238">
        <f t="shared" ref="G52:V52" si="37">G45-SUM(G48:G50)</f>
        <v>0</v>
      </c>
      <c r="H52" s="238">
        <f t="shared" si="37"/>
        <v>202</v>
      </c>
      <c r="I52" s="238">
        <f t="shared" si="37"/>
        <v>0</v>
      </c>
      <c r="J52" s="238">
        <f t="shared" si="37"/>
        <v>-56</v>
      </c>
      <c r="K52" s="238">
        <f>K45-SUM(K48:K50)</f>
        <v>0</v>
      </c>
      <c r="L52" s="238">
        <f>L45-SUM(L48:L50)</f>
        <v>39</v>
      </c>
      <c r="M52" s="238">
        <f>M45-SUM(M48:M50)</f>
        <v>0</v>
      </c>
      <c r="N52" s="238">
        <f t="shared" si="37"/>
        <v>68723</v>
      </c>
      <c r="O52" s="238">
        <f t="shared" si="37"/>
        <v>-22</v>
      </c>
      <c r="P52" s="238">
        <f t="shared" si="37"/>
        <v>-939</v>
      </c>
      <c r="Q52" s="238">
        <f t="shared" si="37"/>
        <v>70</v>
      </c>
      <c r="R52" s="238">
        <f t="shared" si="37"/>
        <v>-52</v>
      </c>
      <c r="S52" s="238">
        <f t="shared" si="37"/>
        <v>-56</v>
      </c>
      <c r="T52" s="238">
        <f t="shared" si="37"/>
        <v>-1751</v>
      </c>
      <c r="U52" s="238">
        <f>U45-SUM(U48:U50)</f>
        <v>-8844</v>
      </c>
      <c r="V52" s="238">
        <f t="shared" si="37"/>
        <v>-6</v>
      </c>
      <c r="W52" s="238">
        <f t="shared" ref="W52:AC52" si="38">W45-SUM(W48:W50)</f>
        <v>335</v>
      </c>
      <c r="X52" s="238">
        <f t="shared" si="38"/>
        <v>5</v>
      </c>
      <c r="Y52" s="238">
        <f t="shared" si="38"/>
        <v>-20</v>
      </c>
      <c r="Z52" s="238">
        <f t="shared" si="38"/>
        <v>79</v>
      </c>
      <c r="AA52" s="238">
        <f t="shared" si="38"/>
        <v>23394</v>
      </c>
      <c r="AB52" s="238">
        <f t="shared" si="38"/>
        <v>139</v>
      </c>
      <c r="AC52" s="1383">
        <f t="shared" si="38"/>
        <v>894.37865999999917</v>
      </c>
      <c r="AD52" s="238"/>
      <c r="AE52" s="238"/>
      <c r="AF52" s="238"/>
      <c r="AG52" s="238">
        <f t="shared" ref="AG52:AM52" si="39">AG45-SUM(AG48:AG50)</f>
        <v>81949.378660000002</v>
      </c>
      <c r="AH52" s="238">
        <f t="shared" si="39"/>
        <v>-6903.5</v>
      </c>
      <c r="AI52" s="1383">
        <f>AI45-SUM(AI48:AI50)</f>
        <v>6449</v>
      </c>
      <c r="AJ52" s="238">
        <f t="shared" si="39"/>
        <v>-1942</v>
      </c>
      <c r="AK52" s="238">
        <f t="shared" si="39"/>
        <v>-155</v>
      </c>
      <c r="AL52" s="238">
        <f t="shared" si="39"/>
        <v>-51</v>
      </c>
      <c r="AM52" s="238">
        <f t="shared" si="39"/>
        <v>-473</v>
      </c>
      <c r="AN52" s="238">
        <f t="shared" ref="AN52:BC52" si="40">AN45-SUM(AN48:AN50)</f>
        <v>-2906</v>
      </c>
      <c r="AO52" s="238">
        <f>AO45-SUM(AO48:AO50)</f>
        <v>-156</v>
      </c>
      <c r="AP52" s="941">
        <f t="shared" si="40"/>
        <v>-1883</v>
      </c>
      <c r="AQ52" s="238">
        <f>AQ45-SUM(AQ48:AQ50)</f>
        <v>-1139</v>
      </c>
      <c r="AR52" s="238">
        <f t="shared" si="40"/>
        <v>-2363</v>
      </c>
      <c r="AS52" s="238">
        <f t="shared" si="40"/>
        <v>-539</v>
      </c>
      <c r="AT52" s="238">
        <f>AT45-SUM(AT48:AT50)</f>
        <v>-2285</v>
      </c>
      <c r="AU52" s="238">
        <f t="shared" si="40"/>
        <v>-1217</v>
      </c>
      <c r="AV52" s="238">
        <f t="shared" si="40"/>
        <v>-357</v>
      </c>
      <c r="AW52" s="238">
        <f>AW45-SUM(AW48:AW50)</f>
        <v>0</v>
      </c>
      <c r="AX52" s="238">
        <f t="shared" si="40"/>
        <v>-2577</v>
      </c>
      <c r="AY52" s="238">
        <f t="shared" si="40"/>
        <v>-184</v>
      </c>
      <c r="AZ52" s="238">
        <f>AZ45-SUM(AZ48:AZ50)</f>
        <v>-426</v>
      </c>
      <c r="BA52" s="238">
        <f>BA45-SUM(BA48:BA50)</f>
        <v>0</v>
      </c>
      <c r="BB52" s="238"/>
      <c r="BC52" s="238">
        <f t="shared" si="40"/>
        <v>0</v>
      </c>
      <c r="BD52" s="238">
        <f>SUM(AG52:BC52)</f>
        <v>62841.878660000002</v>
      </c>
      <c r="BE52" s="238"/>
      <c r="BH52" s="2"/>
      <c r="BI52" s="2"/>
      <c r="BJ52" s="2"/>
      <c r="BK52" s="2"/>
      <c r="BL52" s="2"/>
      <c r="BM52" s="2"/>
    </row>
    <row r="53" spans="1:65" ht="12.75" thickTop="1">
      <c r="AC53" s="1356"/>
      <c r="AI53" s="1356"/>
    </row>
    <row r="54" spans="1:65">
      <c r="B54" s="2" t="s">
        <v>455</v>
      </c>
      <c r="AC54" s="1356"/>
      <c r="AI54" s="1356"/>
    </row>
    <row r="55" spans="1:65">
      <c r="B55" s="2" t="s">
        <v>456</v>
      </c>
      <c r="AC55" s="1356"/>
      <c r="AI55" s="1356"/>
      <c r="BJ55" s="33"/>
      <c r="BK55" s="33"/>
      <c r="BL55" s="33"/>
      <c r="BM55" s="33"/>
    </row>
    <row r="56" spans="1:65" s="33" customFormat="1">
      <c r="A56" s="32">
        <v>28</v>
      </c>
      <c r="C56" s="33" t="s">
        <v>457</v>
      </c>
      <c r="E56" s="936">
        <f>ResultSumEl!F51</f>
        <v>22439</v>
      </c>
      <c r="F56" s="78">
        <f>DFITAMA!$F51</f>
        <v>0</v>
      </c>
      <c r="G56" s="78">
        <f>BldGain!$F51</f>
        <v>0</v>
      </c>
      <c r="H56" s="78">
        <f>ColstripAFUDC!$F51</f>
        <v>0</v>
      </c>
      <c r="I56" s="78">
        <f>ColstripCommon!$F51</f>
        <v>0</v>
      </c>
      <c r="J56" s="78">
        <f>'KF-BP_Summ'!$F51</f>
        <v>0</v>
      </c>
      <c r="K56" s="78">
        <f>CustAdv!$F51</f>
        <v>0</v>
      </c>
      <c r="L56" s="78">
        <f>'DeprTrue-up'!$F51</f>
        <v>0</v>
      </c>
      <c r="M56" s="78">
        <f>'WA-SettleEx'!$F51</f>
        <v>0</v>
      </c>
      <c r="N56" s="78">
        <f>SUM(E56:M56)</f>
        <v>22439</v>
      </c>
      <c r="O56" s="78">
        <f>BandO!$F51</f>
        <v>0</v>
      </c>
      <c r="P56" s="78">
        <f>PropTax!$F51</f>
        <v>0</v>
      </c>
      <c r="Q56" s="78">
        <f>UncollExp!$F51</f>
        <v>0</v>
      </c>
      <c r="R56" s="78">
        <f>RegExp!$F51</f>
        <v>0</v>
      </c>
      <c r="S56" s="78">
        <f>InjDam!$F51</f>
        <v>0</v>
      </c>
      <c r="T56" s="78">
        <f>FIT!$F51</f>
        <v>0</v>
      </c>
      <c r="U56" s="78">
        <f>ElimPowerCost!$F51</f>
        <v>0</v>
      </c>
      <c r="V56" s="78">
        <f>NezPerce!$F51</f>
        <v>0</v>
      </c>
      <c r="W56" s="78">
        <f>ElimAR!$F51</f>
        <v>0</v>
      </c>
      <c r="X56" s="78">
        <f>SubSpace!$F51</f>
        <v>0</v>
      </c>
      <c r="Y56" s="78">
        <f>ExciseTax!$F51</f>
        <v>0</v>
      </c>
      <c r="Z56" s="78">
        <f>GainsLoss!$F51</f>
        <v>0</v>
      </c>
      <c r="AA56" s="78">
        <f>RevNormalztn!$F51</f>
        <v>0</v>
      </c>
      <c r="AB56" s="78">
        <f>MiscRestate!$F51</f>
        <v>0</v>
      </c>
      <c r="AC56" s="1384">
        <f>DebtInt!$F51</f>
        <v>0</v>
      </c>
      <c r="AD56" s="78"/>
      <c r="AE56" s="78"/>
      <c r="AF56" s="78"/>
      <c r="AG56" s="78">
        <f>SUM(N56:AF56)</f>
        <v>22439</v>
      </c>
      <c r="AH56" s="78">
        <f>PFPSWA!$F51</f>
        <v>0</v>
      </c>
      <c r="AI56" s="1384">
        <f>'PFProdFctr-WA'!$F51</f>
        <v>-2377</v>
      </c>
      <c r="AJ56" s="78">
        <f>PFLabor!$F51</f>
        <v>0</v>
      </c>
      <c r="AK56" s="78">
        <f>PFExec!$F51</f>
        <v>0</v>
      </c>
      <c r="AL56" s="78">
        <f>PFTrans!$F51</f>
        <v>0</v>
      </c>
      <c r="AM56" s="78">
        <f>PFCapx2008!$F51</f>
        <v>349</v>
      </c>
      <c r="AN56" s="78">
        <f>PFCapx2009!$F51</f>
        <v>5498</v>
      </c>
      <c r="AO56" s="78">
        <f>PFNoxon2010!$F51</f>
        <v>0</v>
      </c>
      <c r="AP56" s="936">
        <f>PFAssetMgmt!$F51</f>
        <v>0</v>
      </c>
      <c r="AQ56" s="78">
        <f>PFInfoServ!$F51</f>
        <v>0</v>
      </c>
      <c r="AR56" s="78">
        <f>PFSR_Relicense!$F51</f>
        <v>26703</v>
      </c>
      <c r="AS56" s="78">
        <f>PFCDAtribe!$F51</f>
        <v>25866</v>
      </c>
      <c r="AT56" s="78">
        <f>PFMoLease!$F51</f>
        <v>0</v>
      </c>
      <c r="AU56" s="78">
        <f>PFColstripEmiss!$F51</f>
        <v>0</v>
      </c>
      <c r="AV56" s="78">
        <f>PFIncentives!$F51</f>
        <v>0</v>
      </c>
      <c r="AW56" s="78">
        <f>'PFO&amp;MPlant'!$F51</f>
        <v>0</v>
      </c>
      <c r="AX56" s="78">
        <f>PFEmpBen!$F51</f>
        <v>0</v>
      </c>
      <c r="AY56" s="78">
        <f>PFInsur!$F51</f>
        <v>0</v>
      </c>
      <c r="AZ56" s="78">
        <f>PFClarkFork!$F51</f>
        <v>0</v>
      </c>
      <c r="BA56" s="78">
        <f>PF20open!$F51</f>
        <v>0</v>
      </c>
      <c r="BB56" s="78"/>
      <c r="BC56" s="78"/>
      <c r="BD56" s="78">
        <f t="shared" ref="BD56:BD61" si="41">SUM(AG56:BC56)</f>
        <v>78478</v>
      </c>
      <c r="BE56" s="78"/>
      <c r="BH56" s="2"/>
      <c r="BI56" s="2"/>
      <c r="BJ56" s="34"/>
      <c r="BK56" s="34"/>
      <c r="BL56" s="34"/>
      <c r="BM56" s="34"/>
    </row>
    <row r="57" spans="1:65" s="34" customFormat="1">
      <c r="A57" s="32">
        <v>29</v>
      </c>
      <c r="C57" s="34" t="s">
        <v>458</v>
      </c>
      <c r="E57" s="937">
        <f>ResultSumEl!F52</f>
        <v>656077</v>
      </c>
      <c r="F57" s="74">
        <f>DFITAMA!$F52</f>
        <v>0</v>
      </c>
      <c r="G57" s="74">
        <f>BldGain!$F52</f>
        <v>0</v>
      </c>
      <c r="H57" s="74">
        <f>ColstripAFUDC!$F52</f>
        <v>-7452</v>
      </c>
      <c r="I57" s="74">
        <f>ColstripCommon!$F52</f>
        <v>436</v>
      </c>
      <c r="J57" s="74">
        <f>'KF-BP_Summ'!$F52</f>
        <v>-5248</v>
      </c>
      <c r="K57" s="74">
        <f>CustAdv!$F52</f>
        <v>0</v>
      </c>
      <c r="L57" s="74">
        <f>'DeprTrue-up'!$F52</f>
        <v>0</v>
      </c>
      <c r="M57" s="74">
        <f>'WA-SettleEx'!$F52</f>
        <v>79626</v>
      </c>
      <c r="N57" s="74">
        <f>SUM(E57:M57)</f>
        <v>723439</v>
      </c>
      <c r="O57" s="74">
        <f>BandO!$F52</f>
        <v>0</v>
      </c>
      <c r="P57" s="74">
        <f>PropTax!$F52</f>
        <v>0</v>
      </c>
      <c r="Q57" s="74">
        <f>UncollExp!$F52</f>
        <v>0</v>
      </c>
      <c r="R57" s="74">
        <f>RegExp!$F52</f>
        <v>0</v>
      </c>
      <c r="S57" s="74">
        <f>InjDam!$F52</f>
        <v>0</v>
      </c>
      <c r="T57" s="74">
        <f>FIT!$F52</f>
        <v>0</v>
      </c>
      <c r="U57" s="74">
        <f>ElimPowerCost!$F52</f>
        <v>0</v>
      </c>
      <c r="V57" s="74">
        <f>NezPerce!$F52</f>
        <v>0</v>
      </c>
      <c r="W57" s="74">
        <f>ElimAR!$F52</f>
        <v>0</v>
      </c>
      <c r="X57" s="74">
        <f>SubSpace!$F52</f>
        <v>0</v>
      </c>
      <c r="Y57" s="74">
        <f>ExciseTax!$F52</f>
        <v>0</v>
      </c>
      <c r="Z57" s="74">
        <f>GainsLoss!$F52</f>
        <v>0</v>
      </c>
      <c r="AA57" s="74">
        <f>RevNormalztn!$F52</f>
        <v>0</v>
      </c>
      <c r="AB57" s="74">
        <f>MiscRestate!$F52</f>
        <v>0</v>
      </c>
      <c r="AC57" s="1376">
        <f>DebtInt!$F52</f>
        <v>0</v>
      </c>
      <c r="AD57" s="74"/>
      <c r="AE57" s="74"/>
      <c r="AF57" s="74"/>
      <c r="AG57" s="74">
        <f>SUM(N57:AF57)</f>
        <v>723439</v>
      </c>
      <c r="AH57" s="74">
        <f>PFPSWA!$F52</f>
        <v>0</v>
      </c>
      <c r="AI57" s="1376">
        <f>'PFProdFctr-WA'!$F52</f>
        <v>-14014</v>
      </c>
      <c r="AJ57" s="74">
        <f>PFLabor!$F52</f>
        <v>0</v>
      </c>
      <c r="AK57" s="74">
        <f>PFExec!$F52</f>
        <v>0</v>
      </c>
      <c r="AL57" s="74">
        <f>PFTrans!$F52</f>
        <v>0</v>
      </c>
      <c r="AM57" s="74">
        <f>PFCapx2008!$F52</f>
        <v>18107</v>
      </c>
      <c r="AN57" s="74">
        <f>PFCapx2009!$F52</f>
        <v>24825</v>
      </c>
      <c r="AO57" s="74">
        <f>PFNoxon2010!$F52</f>
        <v>5464</v>
      </c>
      <c r="AP57" s="937">
        <f>PFAssetMgmt!$F52</f>
        <v>0</v>
      </c>
      <c r="AQ57" s="74">
        <f>PFInfoServ!$F52</f>
        <v>0</v>
      </c>
      <c r="AR57" s="74">
        <f>PFSR_Relicense!$F52</f>
        <v>0</v>
      </c>
      <c r="AS57" s="74">
        <f>PFCDAtribe!$F52</f>
        <v>0</v>
      </c>
      <c r="AT57" s="74">
        <f>PFMoLease!$F52</f>
        <v>4398</v>
      </c>
      <c r="AU57" s="74">
        <f>PFColstripEmiss!$F52</f>
        <v>0</v>
      </c>
      <c r="AV57" s="74">
        <f>PFIncentives!$F52</f>
        <v>0</v>
      </c>
      <c r="AW57" s="74">
        <f>'PFO&amp;MPlant'!$F52</f>
        <v>0</v>
      </c>
      <c r="AX57" s="74">
        <f>PFEmpBen!$F52</f>
        <v>0</v>
      </c>
      <c r="AY57" s="74">
        <f>PFInsur!$F52</f>
        <v>0</v>
      </c>
      <c r="AZ57" s="74">
        <f>PFClarkFork!$F52</f>
        <v>0</v>
      </c>
      <c r="BA57" s="74">
        <f>PF20open!$F52</f>
        <v>0</v>
      </c>
      <c r="BB57" s="74"/>
      <c r="BC57" s="74"/>
      <c r="BD57" s="74">
        <f t="shared" si="41"/>
        <v>762219</v>
      </c>
      <c r="BE57" s="74"/>
      <c r="BH57" s="2"/>
      <c r="BI57" s="2"/>
    </row>
    <row r="58" spans="1:65" s="34" customFormat="1">
      <c r="A58" s="32">
        <v>30</v>
      </c>
      <c r="C58" s="34" t="s">
        <v>459</v>
      </c>
      <c r="E58" s="937">
        <f>ResultSumEl!F53</f>
        <v>285760</v>
      </c>
      <c r="F58" s="74">
        <f>DFITAMA!$F53</f>
        <v>0</v>
      </c>
      <c r="G58" s="74">
        <f>BldGain!$F53</f>
        <v>0</v>
      </c>
      <c r="H58" s="74">
        <f>ColstripAFUDC!$F53</f>
        <v>0</v>
      </c>
      <c r="I58" s="74">
        <f>ColstripCommon!$F53</f>
        <v>0</v>
      </c>
      <c r="J58" s="74">
        <f>'KF-BP_Summ'!$F53</f>
        <v>0</v>
      </c>
      <c r="K58" s="74">
        <f>CustAdv!$F53</f>
        <v>0</v>
      </c>
      <c r="L58" s="74">
        <f>'DeprTrue-up'!$F53</f>
        <v>0</v>
      </c>
      <c r="M58" s="74">
        <f>'WA-SettleEx'!$F53</f>
        <v>0</v>
      </c>
      <c r="N58" s="74">
        <f>SUM(E58:M58)</f>
        <v>285760</v>
      </c>
      <c r="O58" s="74">
        <f>BandO!$F53</f>
        <v>0</v>
      </c>
      <c r="P58" s="74">
        <f>PropTax!$F53</f>
        <v>0</v>
      </c>
      <c r="Q58" s="74">
        <f>UncollExp!$F53</f>
        <v>0</v>
      </c>
      <c r="R58" s="74">
        <f>RegExp!$F53</f>
        <v>0</v>
      </c>
      <c r="S58" s="74">
        <f>InjDam!$F53</f>
        <v>0</v>
      </c>
      <c r="T58" s="74">
        <f>FIT!$F53</f>
        <v>0</v>
      </c>
      <c r="U58" s="74">
        <f>ElimPowerCost!$F53</f>
        <v>0</v>
      </c>
      <c r="V58" s="74">
        <f>NezPerce!$F53</f>
        <v>0</v>
      </c>
      <c r="W58" s="74">
        <f>ElimAR!$F53</f>
        <v>0</v>
      </c>
      <c r="X58" s="74">
        <f>SubSpace!$F53</f>
        <v>0</v>
      </c>
      <c r="Y58" s="74">
        <f>ExciseTax!$F53</f>
        <v>0</v>
      </c>
      <c r="Z58" s="74">
        <f>GainsLoss!$F53</f>
        <v>0</v>
      </c>
      <c r="AA58" s="74">
        <f>RevNormalztn!$F53</f>
        <v>0</v>
      </c>
      <c r="AB58" s="74">
        <f>MiscRestate!$F53</f>
        <v>0</v>
      </c>
      <c r="AC58" s="1376">
        <f>DebtInt!$F53</f>
        <v>0</v>
      </c>
      <c r="AD58" s="74"/>
      <c r="AE58" s="74"/>
      <c r="AF58" s="74"/>
      <c r="AG58" s="74">
        <f>SUM(N58:AF58)</f>
        <v>285760</v>
      </c>
      <c r="AH58" s="74">
        <f>PFPSWA!$F53</f>
        <v>0</v>
      </c>
      <c r="AI58" s="1376">
        <f>'PFProdFctr-WA'!$F53</f>
        <v>-5854</v>
      </c>
      <c r="AJ58" s="74">
        <f>PFLabor!$F53</f>
        <v>0</v>
      </c>
      <c r="AK58" s="74">
        <f>PFExec!$F53</f>
        <v>0</v>
      </c>
      <c r="AL58" s="74">
        <f>PFTrans!$F53</f>
        <v>0</v>
      </c>
      <c r="AM58" s="74">
        <f>PFCapx2008!$F53</f>
        <v>9165</v>
      </c>
      <c r="AN58" s="74">
        <f>PFCapx2009!$F53</f>
        <v>7245</v>
      </c>
      <c r="AO58" s="74">
        <f>PFNoxon2010!$F53</f>
        <v>0</v>
      </c>
      <c r="AP58" s="937">
        <f>PFAssetMgmt!$F53</f>
        <v>0</v>
      </c>
      <c r="AQ58" s="74">
        <f>PFInfoServ!$F53</f>
        <v>0</v>
      </c>
      <c r="AR58" s="74">
        <f>PFSR_Relicense!$F53</f>
        <v>0</v>
      </c>
      <c r="AS58" s="74">
        <f>PFCDAtribe!$F53</f>
        <v>0</v>
      </c>
      <c r="AT58" s="74">
        <f>PFMoLease!$F53</f>
        <v>0</v>
      </c>
      <c r="AU58" s="74">
        <f>PFColstripEmiss!$F53</f>
        <v>0</v>
      </c>
      <c r="AV58" s="74">
        <f>PFIncentives!$F53</f>
        <v>0</v>
      </c>
      <c r="AW58" s="74">
        <f>'PFO&amp;MPlant'!$F53</f>
        <v>0</v>
      </c>
      <c r="AX58" s="74">
        <f>PFEmpBen!$F53</f>
        <v>0</v>
      </c>
      <c r="AY58" s="74">
        <f>PFInsur!$F53</f>
        <v>0</v>
      </c>
      <c r="AZ58" s="74">
        <f>PFClarkFork!$F53</f>
        <v>0</v>
      </c>
      <c r="BA58" s="74">
        <f>PF20open!$F53</f>
        <v>0</v>
      </c>
      <c r="BB58" s="74"/>
      <c r="BC58" s="74"/>
      <c r="BD58" s="74">
        <f t="shared" si="41"/>
        <v>296316</v>
      </c>
      <c r="BE58" s="74"/>
      <c r="BH58" s="2"/>
      <c r="BI58" s="2"/>
    </row>
    <row r="59" spans="1:65" s="34" customFormat="1">
      <c r="A59" s="32">
        <v>31</v>
      </c>
      <c r="C59" s="34" t="s">
        <v>441</v>
      </c>
      <c r="E59" s="937">
        <f>ResultSumEl!F54</f>
        <v>552007</v>
      </c>
      <c r="F59" s="74">
        <f>DFITAMA!$F54</f>
        <v>0</v>
      </c>
      <c r="G59" s="74">
        <f>BldGain!$F54</f>
        <v>0</v>
      </c>
      <c r="H59" s="74">
        <f>ColstripAFUDC!$F54</f>
        <v>0</v>
      </c>
      <c r="I59" s="74">
        <f>ColstripCommon!$F54</f>
        <v>0</v>
      </c>
      <c r="J59" s="74">
        <f>'KF-BP_Summ'!$F54</f>
        <v>0</v>
      </c>
      <c r="K59" s="74">
        <f>CustAdv!$F54</f>
        <v>-231</v>
      </c>
      <c r="L59" s="74">
        <f>'DeprTrue-up'!$F54</f>
        <v>0</v>
      </c>
      <c r="M59" s="74">
        <f>'WA-SettleEx'!$F54</f>
        <v>0</v>
      </c>
      <c r="N59" s="74">
        <f>SUM(E59:M59)</f>
        <v>551776</v>
      </c>
      <c r="O59" s="74">
        <f>BandO!$F54</f>
        <v>0</v>
      </c>
      <c r="P59" s="74">
        <f>PropTax!$F54</f>
        <v>0</v>
      </c>
      <c r="Q59" s="74">
        <f>UncollExp!$F54</f>
        <v>0</v>
      </c>
      <c r="R59" s="74">
        <f>RegExp!$F54</f>
        <v>0</v>
      </c>
      <c r="S59" s="74">
        <f>InjDam!$F54</f>
        <v>0</v>
      </c>
      <c r="T59" s="74">
        <f>FIT!$F54</f>
        <v>0</v>
      </c>
      <c r="U59" s="74">
        <f>ElimPowerCost!$F54</f>
        <v>0</v>
      </c>
      <c r="V59" s="74">
        <f>NezPerce!$F54</f>
        <v>0</v>
      </c>
      <c r="W59" s="74">
        <f>ElimAR!$F54</f>
        <v>0</v>
      </c>
      <c r="X59" s="74">
        <f>SubSpace!$F54</f>
        <v>0</v>
      </c>
      <c r="Y59" s="74">
        <f>ExciseTax!$F54</f>
        <v>0</v>
      </c>
      <c r="Z59" s="74">
        <f>GainsLoss!$F54</f>
        <v>0</v>
      </c>
      <c r="AA59" s="74">
        <f>RevNormalztn!$F54</f>
        <v>0</v>
      </c>
      <c r="AB59" s="74">
        <f>MiscRestate!$F54</f>
        <v>0</v>
      </c>
      <c r="AC59" s="1376">
        <f>DebtInt!$F54</f>
        <v>0</v>
      </c>
      <c r="AD59" s="74"/>
      <c r="AE59" s="74"/>
      <c r="AF59" s="74"/>
      <c r="AG59" s="74">
        <f>SUM(N59:AF59)</f>
        <v>551776</v>
      </c>
      <c r="AH59" s="74">
        <f>PFPSWA!$F54</f>
        <v>0</v>
      </c>
      <c r="AI59" s="1376">
        <f>'PFProdFctr-WA'!$F54</f>
        <v>0</v>
      </c>
      <c r="AJ59" s="74">
        <f>PFLabor!$F54</f>
        <v>0</v>
      </c>
      <c r="AK59" s="74">
        <f>PFExec!$F54</f>
        <v>0</v>
      </c>
      <c r="AL59" s="74">
        <f>PFTrans!$F54</f>
        <v>0</v>
      </c>
      <c r="AM59" s="74">
        <f>PFCapx2008!$F54</f>
        <v>26515</v>
      </c>
      <c r="AN59" s="74">
        <f>PFCapx2009!$F54</f>
        <v>29017</v>
      </c>
      <c r="AO59" s="74">
        <f>PFNoxon2010!$F54</f>
        <v>0</v>
      </c>
      <c r="AP59" s="937">
        <f>PFAssetMgmt!$F54</f>
        <v>0</v>
      </c>
      <c r="AQ59" s="74">
        <f>PFInfoServ!$F54</f>
        <v>0</v>
      </c>
      <c r="AR59" s="74">
        <f>PFSR_Relicense!$F54</f>
        <v>0</v>
      </c>
      <c r="AS59" s="74">
        <f>PFCDAtribe!$F54</f>
        <v>0</v>
      </c>
      <c r="AT59" s="74">
        <f>PFMoLease!$F54</f>
        <v>0</v>
      </c>
      <c r="AU59" s="74">
        <f>PFColstripEmiss!$F54</f>
        <v>0</v>
      </c>
      <c r="AV59" s="74">
        <f>PFIncentives!$F54</f>
        <v>0</v>
      </c>
      <c r="AW59" s="74">
        <f>'PFO&amp;MPlant'!$F54</f>
        <v>0</v>
      </c>
      <c r="AX59" s="74">
        <f>PFEmpBen!$F54</f>
        <v>0</v>
      </c>
      <c r="AY59" s="74">
        <f>PFInsur!$F54</f>
        <v>0</v>
      </c>
      <c r="AZ59" s="74">
        <f>PFClarkFork!$F54</f>
        <v>0</v>
      </c>
      <c r="BA59" s="74">
        <f>PF20open!$F54</f>
        <v>0</v>
      </c>
      <c r="BB59" s="74"/>
      <c r="BC59" s="74"/>
      <c r="BD59" s="74">
        <f t="shared" si="41"/>
        <v>607308</v>
      </c>
      <c r="BE59" s="74"/>
      <c r="BH59" s="2"/>
      <c r="BI59" s="2"/>
    </row>
    <row r="60" spans="1:65" s="34" customFormat="1">
      <c r="A60" s="32">
        <v>32</v>
      </c>
      <c r="C60" s="34" t="s">
        <v>460</v>
      </c>
      <c r="E60" s="938">
        <f>ResultSumEl!F55</f>
        <v>88036</v>
      </c>
      <c r="F60" s="75">
        <f>DFITAMA!$F55</f>
        <v>0</v>
      </c>
      <c r="G60" s="75">
        <f>BldGain!$F55</f>
        <v>0</v>
      </c>
      <c r="H60" s="75">
        <f>ColstripAFUDC!$F55</f>
        <v>0</v>
      </c>
      <c r="I60" s="75">
        <f>ColstripCommon!$F55</f>
        <v>0</v>
      </c>
      <c r="J60" s="75">
        <f>'KF-BP_Summ'!$F55</f>
        <v>0</v>
      </c>
      <c r="K60" s="75">
        <f>CustAdv!$F55</f>
        <v>0</v>
      </c>
      <c r="L60" s="75">
        <f>'DeprTrue-up'!$F55</f>
        <v>0</v>
      </c>
      <c r="M60" s="75">
        <f>'WA-SettleEx'!$F55</f>
        <v>0</v>
      </c>
      <c r="N60" s="75">
        <f>SUM(E60:M60)</f>
        <v>88036</v>
      </c>
      <c r="O60" s="75">
        <f>BandO!$F55</f>
        <v>0</v>
      </c>
      <c r="P60" s="75">
        <f>PropTax!$F55</f>
        <v>0</v>
      </c>
      <c r="Q60" s="75">
        <f>UncollExp!$F55</f>
        <v>0</v>
      </c>
      <c r="R60" s="75">
        <f>RegExp!$F55</f>
        <v>0</v>
      </c>
      <c r="S60" s="75">
        <f>InjDam!$F55</f>
        <v>0</v>
      </c>
      <c r="T60" s="75">
        <f>FIT!$F55</f>
        <v>0</v>
      </c>
      <c r="U60" s="75">
        <f>ElimPowerCost!$F55</f>
        <v>0</v>
      </c>
      <c r="V60" s="75">
        <f>NezPerce!$F55</f>
        <v>0</v>
      </c>
      <c r="W60" s="75">
        <f>ElimAR!$F55</f>
        <v>0</v>
      </c>
      <c r="X60" s="75">
        <f>SubSpace!$F55</f>
        <v>0</v>
      </c>
      <c r="Y60" s="75">
        <f>ExciseTax!$F55</f>
        <v>0</v>
      </c>
      <c r="Z60" s="75">
        <f>GainsLoss!$F55</f>
        <v>0</v>
      </c>
      <c r="AA60" s="75">
        <f>RevNormalztn!$F55</f>
        <v>0</v>
      </c>
      <c r="AB60" s="75">
        <f>MiscRestate!$F55</f>
        <v>0</v>
      </c>
      <c r="AC60" s="1377">
        <f>DebtInt!$F55</f>
        <v>0</v>
      </c>
      <c r="AD60" s="75"/>
      <c r="AE60" s="75"/>
      <c r="AF60" s="75"/>
      <c r="AG60" s="75">
        <f>SUM(N60:AF60)</f>
        <v>88036</v>
      </c>
      <c r="AH60" s="75">
        <f>PFPSWA!$F55</f>
        <v>0</v>
      </c>
      <c r="AI60" s="1377">
        <f>'PFProdFctr-WA'!$F55</f>
        <v>0</v>
      </c>
      <c r="AJ60" s="75">
        <f>PFLabor!$F55</f>
        <v>0</v>
      </c>
      <c r="AK60" s="75">
        <f>PFExec!$F55</f>
        <v>0</v>
      </c>
      <c r="AL60" s="75">
        <f>PFTrans!$F55</f>
        <v>0</v>
      </c>
      <c r="AM60" s="75">
        <f>PFCapx2008!$F55</f>
        <v>9697</v>
      </c>
      <c r="AN60" s="75">
        <f>PFCapx2009!$F55</f>
        <v>11865</v>
      </c>
      <c r="AO60" s="75">
        <f>PFNoxon2010!$F55</f>
        <v>0</v>
      </c>
      <c r="AP60" s="938">
        <f>PFAssetMgmt!$F55</f>
        <v>0</v>
      </c>
      <c r="AQ60" s="75">
        <f>PFInfoServ!$F55</f>
        <v>0</v>
      </c>
      <c r="AR60" s="75">
        <f>PFSR_Relicense!$F55</f>
        <v>0</v>
      </c>
      <c r="AS60" s="75">
        <f>PFCDAtribe!$F55</f>
        <v>0</v>
      </c>
      <c r="AT60" s="75">
        <f>PFMoLease!$F55</f>
        <v>0</v>
      </c>
      <c r="AU60" s="75">
        <f>PFColstripEmiss!$F55</f>
        <v>0</v>
      </c>
      <c r="AV60" s="75">
        <f>PFIncentives!$F55</f>
        <v>0</v>
      </c>
      <c r="AW60" s="75">
        <f>'PFO&amp;MPlant'!$F55</f>
        <v>0</v>
      </c>
      <c r="AX60" s="75">
        <f>PFEmpBen!$F55</f>
        <v>0</v>
      </c>
      <c r="AY60" s="75">
        <f>PFInsur!$F55</f>
        <v>0</v>
      </c>
      <c r="AZ60" s="75">
        <f>PFClarkFork!$F55</f>
        <v>0</v>
      </c>
      <c r="BA60" s="75">
        <f>PF20open!$F55</f>
        <v>0</v>
      </c>
      <c r="BB60" s="75"/>
      <c r="BC60" s="75"/>
      <c r="BD60" s="75">
        <f t="shared" si="41"/>
        <v>109598</v>
      </c>
      <c r="BE60" s="75"/>
      <c r="BH60" s="2"/>
      <c r="BI60" s="2"/>
    </row>
    <row r="61" spans="1:65" s="34" customFormat="1">
      <c r="A61" s="32">
        <v>33</v>
      </c>
      <c r="D61" s="34" t="s">
        <v>461</v>
      </c>
      <c r="E61" s="939">
        <f t="shared" ref="E61:M61" si="42">SUM(E56:E60)</f>
        <v>1604319</v>
      </c>
      <c r="F61" s="34">
        <f t="shared" si="42"/>
        <v>0</v>
      </c>
      <c r="G61" s="34">
        <f t="shared" si="42"/>
        <v>0</v>
      </c>
      <c r="H61" s="34">
        <f t="shared" si="42"/>
        <v>-7452</v>
      </c>
      <c r="I61" s="34">
        <f t="shared" si="42"/>
        <v>436</v>
      </c>
      <c r="J61" s="34">
        <f t="shared" si="42"/>
        <v>-5248</v>
      </c>
      <c r="K61" s="34">
        <f t="shared" si="42"/>
        <v>-231</v>
      </c>
      <c r="L61" s="34">
        <f t="shared" si="42"/>
        <v>0</v>
      </c>
      <c r="M61" s="34">
        <f t="shared" si="42"/>
        <v>79626</v>
      </c>
      <c r="N61" s="34">
        <f t="shared" ref="N61:T61" si="43">SUM(N56:N60)</f>
        <v>1671450</v>
      </c>
      <c r="O61" s="34">
        <f t="shared" si="43"/>
        <v>0</v>
      </c>
      <c r="P61" s="34">
        <f t="shared" si="43"/>
        <v>0</v>
      </c>
      <c r="Q61" s="34">
        <f t="shared" si="43"/>
        <v>0</v>
      </c>
      <c r="R61" s="34">
        <f t="shared" si="43"/>
        <v>0</v>
      </c>
      <c r="S61" s="34">
        <f t="shared" si="43"/>
        <v>0</v>
      </c>
      <c r="T61" s="34">
        <f t="shared" si="43"/>
        <v>0</v>
      </c>
      <c r="U61" s="34">
        <f t="shared" ref="U61:AC61" si="44">SUM(U56:U60)</f>
        <v>0</v>
      </c>
      <c r="V61" s="34">
        <f t="shared" si="44"/>
        <v>0</v>
      </c>
      <c r="W61" s="34">
        <f t="shared" si="44"/>
        <v>0</v>
      </c>
      <c r="X61" s="34">
        <f t="shared" si="44"/>
        <v>0</v>
      </c>
      <c r="Y61" s="34">
        <f t="shared" si="44"/>
        <v>0</v>
      </c>
      <c r="Z61" s="34">
        <f t="shared" si="44"/>
        <v>0</v>
      </c>
      <c r="AA61" s="34">
        <f t="shared" si="44"/>
        <v>0</v>
      </c>
      <c r="AB61" s="34">
        <f t="shared" si="44"/>
        <v>0</v>
      </c>
      <c r="AC61" s="1378">
        <f t="shared" si="44"/>
        <v>0</v>
      </c>
      <c r="AG61" s="34">
        <f t="shared" ref="AG61:AN61" si="45">SUM(AG56:AG60)</f>
        <v>1671450</v>
      </c>
      <c r="AH61" s="34">
        <f t="shared" si="45"/>
        <v>0</v>
      </c>
      <c r="AI61" s="1378">
        <f t="shared" si="45"/>
        <v>-22245</v>
      </c>
      <c r="AJ61" s="34">
        <f t="shared" si="45"/>
        <v>0</v>
      </c>
      <c r="AK61" s="34">
        <f t="shared" si="45"/>
        <v>0</v>
      </c>
      <c r="AL61" s="34">
        <f t="shared" si="45"/>
        <v>0</v>
      </c>
      <c r="AM61" s="34">
        <f t="shared" si="45"/>
        <v>63833</v>
      </c>
      <c r="AN61" s="34">
        <f t="shared" si="45"/>
        <v>78450</v>
      </c>
      <c r="AO61" s="34">
        <f>SUM(AO56:AO60)</f>
        <v>5464</v>
      </c>
      <c r="AP61" s="939">
        <f t="shared" ref="AP61:BC61" si="46">SUM(AP56:AP60)</f>
        <v>0</v>
      </c>
      <c r="AQ61" s="34">
        <f t="shared" si="46"/>
        <v>0</v>
      </c>
      <c r="AR61" s="34">
        <f t="shared" si="46"/>
        <v>26703</v>
      </c>
      <c r="AS61" s="34">
        <f t="shared" si="46"/>
        <v>25866</v>
      </c>
      <c r="AT61" s="34">
        <f>SUM(AT56:AT60)</f>
        <v>4398</v>
      </c>
      <c r="AU61" s="34">
        <f t="shared" si="46"/>
        <v>0</v>
      </c>
      <c r="AV61" s="34">
        <f t="shared" si="46"/>
        <v>0</v>
      </c>
      <c r="AW61" s="34">
        <f t="shared" si="46"/>
        <v>0</v>
      </c>
      <c r="AX61" s="34">
        <f t="shared" si="46"/>
        <v>0</v>
      </c>
      <c r="AY61" s="34">
        <f t="shared" si="46"/>
        <v>0</v>
      </c>
      <c r="AZ61" s="34">
        <f t="shared" si="46"/>
        <v>0</v>
      </c>
      <c r="BA61" s="34">
        <f t="shared" si="46"/>
        <v>0</v>
      </c>
      <c r="BC61" s="34">
        <f t="shared" si="46"/>
        <v>0</v>
      </c>
      <c r="BD61" s="34">
        <f t="shared" si="41"/>
        <v>1853919</v>
      </c>
      <c r="BH61" s="2"/>
      <c r="BI61" s="2"/>
    </row>
    <row r="62" spans="1:65" s="34" customFormat="1" ht="18" customHeight="1">
      <c r="A62" s="32">
        <v>34</v>
      </c>
      <c r="B62" s="34" t="s">
        <v>462</v>
      </c>
      <c r="E62" s="937">
        <f>ResultSumEl!F57</f>
        <v>543584</v>
      </c>
      <c r="F62" s="74">
        <f>DFITAMA!$F57</f>
        <v>0</v>
      </c>
      <c r="G62" s="74">
        <f>BldGain!$F57</f>
        <v>0</v>
      </c>
      <c r="H62" s="74">
        <f>ColstripAFUDC!$F57</f>
        <v>-5496</v>
      </c>
      <c r="I62" s="74">
        <f>ColstripCommon!$F57</f>
        <v>0</v>
      </c>
      <c r="J62" s="74">
        <f>'KF-BP_Summ'!$F57</f>
        <v>-3796</v>
      </c>
      <c r="K62" s="74">
        <f>CustAdv!$F57</f>
        <v>0</v>
      </c>
      <c r="L62" s="74">
        <f>'DeprTrue-up'!$F57</f>
        <v>0</v>
      </c>
      <c r="M62" s="74">
        <f>'WA-SettleEx'!$F57</f>
        <v>0</v>
      </c>
      <c r="N62" s="74">
        <f>SUM(E62:M62)</f>
        <v>534292</v>
      </c>
      <c r="O62" s="74">
        <f>BandO!$F57</f>
        <v>0</v>
      </c>
      <c r="P62" s="74">
        <f>PropTax!$F57</f>
        <v>0</v>
      </c>
      <c r="Q62" s="74">
        <f>UncollExp!$F57</f>
        <v>0</v>
      </c>
      <c r="R62" s="74">
        <f>RegExp!$F57</f>
        <v>0</v>
      </c>
      <c r="S62" s="74">
        <f>InjDam!$F57</f>
        <v>0</v>
      </c>
      <c r="T62" s="74">
        <f>FIT!$F57</f>
        <v>0</v>
      </c>
      <c r="U62" s="74">
        <f>ElimPowerCost!$F57</f>
        <v>0</v>
      </c>
      <c r="V62" s="74">
        <f>NezPerce!$F57</f>
        <v>0</v>
      </c>
      <c r="W62" s="74">
        <f>ElimAR!$F57</f>
        <v>0</v>
      </c>
      <c r="X62" s="74">
        <f>SubSpace!$F57</f>
        <v>0</v>
      </c>
      <c r="Y62" s="74">
        <f>ExciseTax!$F57</f>
        <v>0</v>
      </c>
      <c r="Z62" s="74">
        <f>GainsLoss!$F57</f>
        <v>0</v>
      </c>
      <c r="AA62" s="74">
        <f>RevNormalztn!$F57</f>
        <v>0</v>
      </c>
      <c r="AB62" s="74">
        <f>MiscRestate!$F57</f>
        <v>0</v>
      </c>
      <c r="AC62" s="1376">
        <f>DebtInt!$F57</f>
        <v>0</v>
      </c>
      <c r="AD62" s="74"/>
      <c r="AE62" s="74"/>
      <c r="AF62" s="74"/>
      <c r="AG62" s="74">
        <f>SUM(N62:AF62)</f>
        <v>534292</v>
      </c>
      <c r="AH62" s="74">
        <f>PFPSWA!$F57</f>
        <v>0</v>
      </c>
      <c r="AI62" s="1376">
        <f>'PFProdFctr-WA'!$F57</f>
        <v>-7324</v>
      </c>
      <c r="AJ62" s="74">
        <f>PFLabor!$F57</f>
        <v>0</v>
      </c>
      <c r="AK62" s="74">
        <f>PFExec!$F57</f>
        <v>0</v>
      </c>
      <c r="AL62" s="74">
        <f>PFTrans!$F57</f>
        <v>0</v>
      </c>
      <c r="AM62" s="74">
        <f>PFCapx2008!$F57</f>
        <v>35387</v>
      </c>
      <c r="AN62" s="74">
        <f>PFCapx2009!$F57</f>
        <v>47867</v>
      </c>
      <c r="AO62" s="74">
        <f>PFNoxon2010!$F57</f>
        <v>56</v>
      </c>
      <c r="AP62" s="937">
        <f>PFAssetMgmt!$F57</f>
        <v>0</v>
      </c>
      <c r="AQ62" s="74">
        <f>PFInfoServ!$F57</f>
        <v>0</v>
      </c>
      <c r="AR62" s="74">
        <f>PFSR_Relicense!$F57</f>
        <v>0</v>
      </c>
      <c r="AS62" s="74">
        <f>PFCDAtribe!$F57</f>
        <v>663</v>
      </c>
      <c r="AT62" s="74">
        <f>PFMoLease!$F57</f>
        <v>0</v>
      </c>
      <c r="AU62" s="74">
        <f>PFColstripEmiss!$F57</f>
        <v>0</v>
      </c>
      <c r="AV62" s="74">
        <f>PFIncentives!$F57</f>
        <v>0</v>
      </c>
      <c r="AW62" s="74">
        <f>'PFO&amp;MPlant'!$F57</f>
        <v>0</v>
      </c>
      <c r="AX62" s="74">
        <f>PFEmpBen!$F57</f>
        <v>0</v>
      </c>
      <c r="AY62" s="74">
        <f>PFInsur!$F57</f>
        <v>0</v>
      </c>
      <c r="AZ62" s="74">
        <f>PFClarkFork!$F57</f>
        <v>0</v>
      </c>
      <c r="BA62" s="74">
        <f>PF20open!$F57</f>
        <v>0</v>
      </c>
      <c r="BB62" s="74"/>
      <c r="BC62" s="74"/>
      <c r="BD62" s="74">
        <f t="shared" ref="BD62:BD68" si="47">SUM(AG62:BC62)</f>
        <v>610941</v>
      </c>
      <c r="BE62" s="74"/>
      <c r="BH62" s="2"/>
      <c r="BI62" s="2"/>
    </row>
    <row r="63" spans="1:65" s="34" customFormat="1">
      <c r="A63" s="32">
        <v>25</v>
      </c>
      <c r="B63" s="34" t="s">
        <v>463</v>
      </c>
      <c r="E63" s="938">
        <f>ResultSumEl!F58</f>
        <v>6907</v>
      </c>
      <c r="F63" s="75">
        <f>DFITAMA!$F58</f>
        <v>0</v>
      </c>
      <c r="G63" s="75">
        <f>BldGain!$F58</f>
        <v>0</v>
      </c>
      <c r="H63" s="75">
        <f>ColstripAFUDC!$F58</f>
        <v>0</v>
      </c>
      <c r="I63" s="75">
        <f>ColstripCommon!$F58</f>
        <v>0</v>
      </c>
      <c r="J63" s="75">
        <f>'KF-BP_Summ'!$F58</f>
        <v>0</v>
      </c>
      <c r="K63" s="75">
        <f>CustAdv!$F58</f>
        <v>0</v>
      </c>
      <c r="L63" s="75">
        <f>'DeprTrue-up'!$F58</f>
        <v>0</v>
      </c>
      <c r="M63" s="75">
        <f>'WA-SettleEx'!$F58</f>
        <v>57168</v>
      </c>
      <c r="N63" s="75">
        <f>SUM(E63:M63)</f>
        <v>64075</v>
      </c>
      <c r="O63" s="75">
        <f>BandO!$F58</f>
        <v>0</v>
      </c>
      <c r="P63" s="75">
        <f>PropTax!$F58</f>
        <v>0</v>
      </c>
      <c r="Q63" s="75">
        <f>UncollExp!$F58</f>
        <v>0</v>
      </c>
      <c r="R63" s="75">
        <f>RegExp!$F58</f>
        <v>0</v>
      </c>
      <c r="S63" s="75">
        <f>InjDam!$F58</f>
        <v>0</v>
      </c>
      <c r="T63" s="75">
        <f>FIT!$F58</f>
        <v>0</v>
      </c>
      <c r="U63" s="75">
        <f>ElimPowerCost!$F58</f>
        <v>0</v>
      </c>
      <c r="V63" s="75">
        <f>NezPerce!$F58</f>
        <v>0</v>
      </c>
      <c r="W63" s="75">
        <f>ElimAR!$F58</f>
        <v>0</v>
      </c>
      <c r="X63" s="75">
        <f>SubSpace!$F58</f>
        <v>0</v>
      </c>
      <c r="Y63" s="75">
        <f>ExciseTax!$F58</f>
        <v>0</v>
      </c>
      <c r="Z63" s="75">
        <f>GainsLoss!$F58</f>
        <v>0</v>
      </c>
      <c r="AA63" s="75">
        <f>RevNormalztn!$F58</f>
        <v>0</v>
      </c>
      <c r="AB63" s="75">
        <f>MiscRestate!$F58</f>
        <v>0</v>
      </c>
      <c r="AC63" s="1377">
        <f>DebtInt!$F58</f>
        <v>0</v>
      </c>
      <c r="AD63" s="75"/>
      <c r="AE63" s="75"/>
      <c r="AF63" s="75"/>
      <c r="AG63" s="75">
        <f>SUM(N63:AF63)</f>
        <v>64075</v>
      </c>
      <c r="AH63" s="75">
        <f>PFPSWA!$F58</f>
        <v>0</v>
      </c>
      <c r="AI63" s="1377">
        <f>'PFProdFctr-WA'!$F58</f>
        <v>0</v>
      </c>
      <c r="AJ63" s="75">
        <f>PFLabor!$F58</f>
        <v>0</v>
      </c>
      <c r="AK63" s="75">
        <f>PFExec!$F58</f>
        <v>0</v>
      </c>
      <c r="AL63" s="75">
        <f>PFTrans!$F58</f>
        <v>0</v>
      </c>
      <c r="AM63" s="75">
        <f>PFCapx2008!$F58</f>
        <v>0</v>
      </c>
      <c r="AN63" s="75">
        <f>PFCapx2009!$F58</f>
        <v>0</v>
      </c>
      <c r="AO63" s="75">
        <f>PFNoxon2010!$F58</f>
        <v>0</v>
      </c>
      <c r="AP63" s="938">
        <f>PFAssetMgmt!$F58</f>
        <v>0</v>
      </c>
      <c r="AQ63" s="75">
        <f>PFInfoServ!$F58</f>
        <v>0</v>
      </c>
      <c r="AR63" s="75">
        <f>PFSR_Relicense!$F58</f>
        <v>560</v>
      </c>
      <c r="AS63" s="75">
        <f>PFCDAtribe!$F58</f>
        <v>0</v>
      </c>
      <c r="AT63" s="75">
        <f>PFMoLease!$F58</f>
        <v>0</v>
      </c>
      <c r="AU63" s="75">
        <f>PFColstripEmiss!$F58</f>
        <v>0</v>
      </c>
      <c r="AV63" s="75">
        <f>PFIncentives!$F58</f>
        <v>0</v>
      </c>
      <c r="AW63" s="75">
        <f>'PFO&amp;MPlant'!$F58</f>
        <v>0</v>
      </c>
      <c r="AX63" s="75">
        <f>PFEmpBen!$F58</f>
        <v>0</v>
      </c>
      <c r="AY63" s="75">
        <f>PFInsur!$F58</f>
        <v>0</v>
      </c>
      <c r="AZ63" s="75">
        <f>PFClarkFork!$F58</f>
        <v>0</v>
      </c>
      <c r="BA63" s="75">
        <f>PF20open!$F58</f>
        <v>0</v>
      </c>
      <c r="BB63" s="75"/>
      <c r="BC63" s="75"/>
      <c r="BD63" s="75">
        <f t="shared" si="47"/>
        <v>64635</v>
      </c>
      <c r="BE63" s="75"/>
      <c r="BH63" s="2"/>
      <c r="BI63" s="2"/>
    </row>
    <row r="64" spans="1:65" s="34" customFormat="1">
      <c r="A64" s="32">
        <v>36</v>
      </c>
      <c r="C64" s="34" t="s">
        <v>464</v>
      </c>
      <c r="E64" s="939">
        <f t="shared" ref="E64:M64" si="48">SUM(E62:E63)</f>
        <v>550491</v>
      </c>
      <c r="F64" s="34">
        <f t="shared" si="48"/>
        <v>0</v>
      </c>
      <c r="G64" s="34">
        <f t="shared" si="48"/>
        <v>0</v>
      </c>
      <c r="H64" s="34">
        <f t="shared" si="48"/>
        <v>-5496</v>
      </c>
      <c r="I64" s="34">
        <f t="shared" si="48"/>
        <v>0</v>
      </c>
      <c r="J64" s="34">
        <f t="shared" si="48"/>
        <v>-3796</v>
      </c>
      <c r="K64" s="34">
        <f t="shared" si="48"/>
        <v>0</v>
      </c>
      <c r="L64" s="34">
        <f t="shared" si="48"/>
        <v>0</v>
      </c>
      <c r="M64" s="34">
        <f t="shared" si="48"/>
        <v>57168</v>
      </c>
      <c r="N64" s="34">
        <f t="shared" ref="N64:T64" si="49">SUM(N62:N63)</f>
        <v>598367</v>
      </c>
      <c r="O64" s="34">
        <f t="shared" si="49"/>
        <v>0</v>
      </c>
      <c r="P64" s="34">
        <f t="shared" si="49"/>
        <v>0</v>
      </c>
      <c r="Q64" s="34">
        <f t="shared" si="49"/>
        <v>0</v>
      </c>
      <c r="R64" s="34">
        <f t="shared" si="49"/>
        <v>0</v>
      </c>
      <c r="S64" s="34">
        <f t="shared" si="49"/>
        <v>0</v>
      </c>
      <c r="T64" s="34">
        <f t="shared" si="49"/>
        <v>0</v>
      </c>
      <c r="U64" s="34">
        <f t="shared" ref="U64:AC64" si="50">SUM(U62:U63)</f>
        <v>0</v>
      </c>
      <c r="V64" s="34">
        <f t="shared" si="50"/>
        <v>0</v>
      </c>
      <c r="W64" s="34">
        <f t="shared" si="50"/>
        <v>0</v>
      </c>
      <c r="X64" s="34">
        <f t="shared" si="50"/>
        <v>0</v>
      </c>
      <c r="Y64" s="34">
        <f t="shared" si="50"/>
        <v>0</v>
      </c>
      <c r="Z64" s="34">
        <f t="shared" si="50"/>
        <v>0</v>
      </c>
      <c r="AA64" s="34">
        <f t="shared" si="50"/>
        <v>0</v>
      </c>
      <c r="AB64" s="34">
        <f t="shared" si="50"/>
        <v>0</v>
      </c>
      <c r="AC64" s="1378">
        <f t="shared" si="50"/>
        <v>0</v>
      </c>
      <c r="AG64" s="34">
        <f t="shared" ref="AG64:AN64" si="51">SUM(AG62:AG63)</f>
        <v>598367</v>
      </c>
      <c r="AH64" s="34">
        <f t="shared" si="51"/>
        <v>0</v>
      </c>
      <c r="AI64" s="1378">
        <f t="shared" si="51"/>
        <v>-7324</v>
      </c>
      <c r="AJ64" s="34">
        <f t="shared" si="51"/>
        <v>0</v>
      </c>
      <c r="AK64" s="34">
        <f t="shared" si="51"/>
        <v>0</v>
      </c>
      <c r="AL64" s="34">
        <f t="shared" si="51"/>
        <v>0</v>
      </c>
      <c r="AM64" s="34">
        <f t="shared" si="51"/>
        <v>35387</v>
      </c>
      <c r="AN64" s="34">
        <f t="shared" si="51"/>
        <v>47867</v>
      </c>
      <c r="AO64" s="34">
        <f>SUM(AO62:AO63)</f>
        <v>56</v>
      </c>
      <c r="AP64" s="939">
        <f t="shared" ref="AP64:BC64" si="52">SUM(AP62:AP63)</f>
        <v>0</v>
      </c>
      <c r="AQ64" s="34">
        <f t="shared" si="52"/>
        <v>0</v>
      </c>
      <c r="AR64" s="34">
        <f t="shared" si="52"/>
        <v>560</v>
      </c>
      <c r="AS64" s="34">
        <f t="shared" si="52"/>
        <v>663</v>
      </c>
      <c r="AT64" s="34">
        <f>SUM(AT62:AT63)</f>
        <v>0</v>
      </c>
      <c r="AU64" s="34">
        <f t="shared" si="52"/>
        <v>0</v>
      </c>
      <c r="AV64" s="34">
        <f t="shared" si="52"/>
        <v>0</v>
      </c>
      <c r="AW64" s="34">
        <f t="shared" si="52"/>
        <v>0</v>
      </c>
      <c r="AX64" s="34">
        <f t="shared" si="52"/>
        <v>0</v>
      </c>
      <c r="AY64" s="34">
        <f t="shared" si="52"/>
        <v>0</v>
      </c>
      <c r="AZ64" s="34">
        <f t="shared" si="52"/>
        <v>0</v>
      </c>
      <c r="BA64" s="34">
        <f t="shared" si="52"/>
        <v>0</v>
      </c>
      <c r="BC64" s="34">
        <f t="shared" si="52"/>
        <v>0</v>
      </c>
      <c r="BD64" s="34">
        <f t="shared" si="47"/>
        <v>675576</v>
      </c>
      <c r="BH64" s="2"/>
      <c r="BI64" s="2"/>
    </row>
    <row r="65" spans="1:65" s="34" customFormat="1">
      <c r="A65" s="32">
        <v>37</v>
      </c>
      <c r="B65" s="34" t="s">
        <v>465</v>
      </c>
      <c r="E65" s="937">
        <f>ResultSumEl!F60</f>
        <v>0</v>
      </c>
      <c r="F65" s="74">
        <f>DFITAMA!$F60</f>
        <v>0</v>
      </c>
      <c r="G65" s="74">
        <f>BldGain!$F60</f>
        <v>-194</v>
      </c>
      <c r="H65" s="74">
        <f>ColstripAFUDC!$F60</f>
        <v>0</v>
      </c>
      <c r="I65" s="74">
        <f>ColstripCommon!$F60</f>
        <v>0</v>
      </c>
      <c r="J65" s="74">
        <f>'KF-BP_Summ'!$F60</f>
        <v>0</v>
      </c>
      <c r="K65" s="74">
        <f>CustAdv!$F60</f>
        <v>0</v>
      </c>
      <c r="L65" s="74">
        <f>'DeprTrue-up'!$F60</f>
        <v>0</v>
      </c>
      <c r="M65" s="74">
        <f>'WA-SettleEx'!$F60</f>
        <v>0</v>
      </c>
      <c r="N65" s="74">
        <f>SUM(E65:M65)</f>
        <v>-194</v>
      </c>
      <c r="O65" s="74">
        <f>BandO!$F60</f>
        <v>0</v>
      </c>
      <c r="P65" s="74">
        <f>PropTax!$F60</f>
        <v>0</v>
      </c>
      <c r="Q65" s="74">
        <f>UncollExp!$F60</f>
        <v>0</v>
      </c>
      <c r="R65" s="74">
        <f>RegExp!$F60</f>
        <v>0</v>
      </c>
      <c r="S65" s="74">
        <f>InjDam!$F60</f>
        <v>0</v>
      </c>
      <c r="T65" s="74">
        <f>FIT!$F60</f>
        <v>0</v>
      </c>
      <c r="U65" s="74">
        <f>ElimPowerCost!$F60</f>
        <v>0</v>
      </c>
      <c r="V65" s="74">
        <f>NezPerce!$F60</f>
        <v>0</v>
      </c>
      <c r="W65" s="74">
        <f>ElimAR!$F60</f>
        <v>0</v>
      </c>
      <c r="X65" s="74">
        <f>SubSpace!$F60</f>
        <v>0</v>
      </c>
      <c r="Y65" s="74">
        <f>ExciseTax!$F60</f>
        <v>0</v>
      </c>
      <c r="Z65" s="74">
        <f>GainsLoss!$F60</f>
        <v>0</v>
      </c>
      <c r="AA65" s="74">
        <f>RevNormalztn!$F60</f>
        <v>0</v>
      </c>
      <c r="AB65" s="74">
        <f>MiscRestate!$F60</f>
        <v>0</v>
      </c>
      <c r="AC65" s="1376">
        <f>DebtInt!$F60</f>
        <v>0</v>
      </c>
      <c r="AD65" s="74"/>
      <c r="AE65" s="74"/>
      <c r="AF65" s="74"/>
      <c r="AG65" s="74">
        <f>SUM(N65:AF65)</f>
        <v>-194</v>
      </c>
      <c r="AH65" s="74">
        <f>PFPSWA!$F60</f>
        <v>0</v>
      </c>
      <c r="AI65" s="1376">
        <f>'PFProdFctr-WA'!$F60</f>
        <v>0</v>
      </c>
      <c r="AJ65" s="74">
        <f>PFLabor!$F60</f>
        <v>0</v>
      </c>
      <c r="AK65" s="74">
        <f>PFExec!$F60</f>
        <v>0</v>
      </c>
      <c r="AL65" s="74">
        <f>PFTrans!$F60</f>
        <v>0</v>
      </c>
      <c r="AM65" s="74">
        <f>PFCapx2008!$F60</f>
        <v>0</v>
      </c>
      <c r="AN65" s="74">
        <f>PFCapx2009!$F60</f>
        <v>0</v>
      </c>
      <c r="AO65" s="74">
        <f>PFNoxon2010!$F60</f>
        <v>0</v>
      </c>
      <c r="AP65" s="937">
        <f>PFAssetMgmt!$F60</f>
        <v>0</v>
      </c>
      <c r="AQ65" s="74">
        <f>PFInfoServ!$F60</f>
        <v>0</v>
      </c>
      <c r="AR65" s="74">
        <f>PFSR_Relicense!$F60</f>
        <v>0</v>
      </c>
      <c r="AS65" s="74">
        <f>PFCDAtribe!$F60</f>
        <v>0</v>
      </c>
      <c r="AT65" s="74">
        <f>PFMoLease!$F60</f>
        <v>0</v>
      </c>
      <c r="AU65" s="74">
        <f>PFColstripEmiss!$F60</f>
        <v>0</v>
      </c>
      <c r="AV65" s="74">
        <f>PFIncentives!$F60</f>
        <v>0</v>
      </c>
      <c r="AW65" s="74">
        <f>'PFO&amp;MPlant'!$F60</f>
        <v>0</v>
      </c>
      <c r="AX65" s="74">
        <f>PFEmpBen!$F60</f>
        <v>0</v>
      </c>
      <c r="AY65" s="74">
        <f>PFInsur!$F60</f>
        <v>0</v>
      </c>
      <c r="AZ65" s="74">
        <f>PFClarkFork!$F60</f>
        <v>0</v>
      </c>
      <c r="BA65" s="74">
        <f>PF20open!$F60</f>
        <v>0</v>
      </c>
      <c r="BB65" s="74"/>
      <c r="BC65" s="74"/>
      <c r="BD65" s="74">
        <f t="shared" si="47"/>
        <v>-194</v>
      </c>
      <c r="BE65" s="74"/>
      <c r="BH65" s="2"/>
      <c r="BI65" s="2"/>
    </row>
    <row r="66" spans="1:65" s="34" customFormat="1">
      <c r="A66" s="32">
        <v>38</v>
      </c>
      <c r="B66" s="34" t="s">
        <v>466</v>
      </c>
      <c r="E66" s="938">
        <f>ResultSumEl!F61</f>
        <v>0</v>
      </c>
      <c r="F66" s="75">
        <f>DFITAMA!$F61</f>
        <v>-142713</v>
      </c>
      <c r="G66" s="75">
        <f>BldGain!$F61</f>
        <v>68</v>
      </c>
      <c r="H66" s="75">
        <f>ColstripAFUDC!$F61</f>
        <v>0</v>
      </c>
      <c r="I66" s="75">
        <f>ColstripCommon!$F61</f>
        <v>0</v>
      </c>
      <c r="J66" s="75">
        <f>'KF-BP_Summ'!$F61</f>
        <v>598</v>
      </c>
      <c r="K66" s="75">
        <f>CustAdv!$F61</f>
        <v>0</v>
      </c>
      <c r="L66" s="75">
        <f>'DeprTrue-up'!$F61</f>
        <v>0</v>
      </c>
      <c r="M66" s="75">
        <f>'WA-SettleEx'!$F61</f>
        <v>-4036</v>
      </c>
      <c r="N66" s="75">
        <f>SUM(E66:M66)</f>
        <v>-146083</v>
      </c>
      <c r="O66" s="75">
        <f>BandO!$F61</f>
        <v>0</v>
      </c>
      <c r="P66" s="75">
        <f>PropTax!$F61</f>
        <v>0</v>
      </c>
      <c r="Q66" s="75">
        <f>UncollExp!$F61</f>
        <v>0</v>
      </c>
      <c r="R66" s="75">
        <f>RegExp!$F61</f>
        <v>0</v>
      </c>
      <c r="S66" s="75">
        <f>InjDam!$F61</f>
        <v>0</v>
      </c>
      <c r="T66" s="75">
        <f>FIT!$F61</f>
        <v>0</v>
      </c>
      <c r="U66" s="75">
        <f>ElimPowerCost!$F61</f>
        <v>0</v>
      </c>
      <c r="V66" s="75">
        <f>NezPerce!$F61</f>
        <v>0</v>
      </c>
      <c r="W66" s="75">
        <f>ElimAR!$F61</f>
        <v>0</v>
      </c>
      <c r="X66" s="75">
        <f>SubSpace!$F61</f>
        <v>0</v>
      </c>
      <c r="Y66" s="75">
        <f>ExciseTax!$F61</f>
        <v>0</v>
      </c>
      <c r="Z66" s="75">
        <f>GainsLoss!$F61</f>
        <v>0</v>
      </c>
      <c r="AA66" s="75">
        <f>RevNormalztn!$F61</f>
        <v>0</v>
      </c>
      <c r="AB66" s="75">
        <f>MiscRestate!$F61</f>
        <v>0</v>
      </c>
      <c r="AC66" s="1377">
        <f>DebtInt!$F61</f>
        <v>0</v>
      </c>
      <c r="AD66" s="75"/>
      <c r="AE66" s="75"/>
      <c r="AF66" s="75"/>
      <c r="AG66" s="75">
        <f>SUM(N66:AF66)</f>
        <v>-146083</v>
      </c>
      <c r="AH66" s="75">
        <f>PFPSWA!$F61</f>
        <v>0</v>
      </c>
      <c r="AI66" s="1377">
        <f>'PFProdFctr-WA'!$F61</f>
        <v>2421</v>
      </c>
      <c r="AJ66" s="75">
        <f>PFLabor!$F61</f>
        <v>0</v>
      </c>
      <c r="AK66" s="75">
        <f>PFExec!$F61</f>
        <v>0</v>
      </c>
      <c r="AL66" s="75">
        <f>PFTrans!$F61</f>
        <v>0</v>
      </c>
      <c r="AM66" s="75">
        <f>PFCapx2008!$F61</f>
        <v>-7001</v>
      </c>
      <c r="AN66" s="75">
        <f>PFCapx2009!$F61</f>
        <v>-7647</v>
      </c>
      <c r="AO66" s="75">
        <f>PFNoxon2010!$F61</f>
        <v>-22</v>
      </c>
      <c r="AP66" s="938">
        <f>PFAssetMgmt!$F61</f>
        <v>0</v>
      </c>
      <c r="AQ66" s="75">
        <f>PFInfoServ!$F61</f>
        <v>0</v>
      </c>
      <c r="AR66" s="75">
        <f>PFSR_Relicense!$F61</f>
        <v>-2818</v>
      </c>
      <c r="AS66" s="75">
        <f>PFCDAtribe!$F61</f>
        <v>-8384</v>
      </c>
      <c r="AT66" s="75">
        <f>PFMoLease!$F61</f>
        <v>-1539</v>
      </c>
      <c r="AU66" s="75">
        <f>PFColstripEmiss!$F61</f>
        <v>0</v>
      </c>
      <c r="AV66" s="75">
        <f>PFIncentives!$F61</f>
        <v>0</v>
      </c>
      <c r="AW66" s="75">
        <f>'PFO&amp;MPlant'!$F61</f>
        <v>0</v>
      </c>
      <c r="AX66" s="75">
        <f>PFEmpBen!$F61</f>
        <v>0</v>
      </c>
      <c r="AY66" s="75">
        <f>PFInsur!$F61</f>
        <v>0</v>
      </c>
      <c r="AZ66" s="75">
        <f>PFClarkFork!$F61</f>
        <v>0</v>
      </c>
      <c r="BA66" s="75">
        <f>PF20open!$F61</f>
        <v>0</v>
      </c>
      <c r="BB66" s="75"/>
      <c r="BC66" s="75"/>
      <c r="BD66" s="75">
        <f t="shared" si="47"/>
        <v>-171073</v>
      </c>
      <c r="BE66" s="75"/>
      <c r="BH66" s="2"/>
      <c r="BI66" s="2"/>
    </row>
    <row r="67" spans="1:65" s="34" customFormat="1">
      <c r="A67" s="32"/>
      <c r="E67" s="939"/>
      <c r="AC67" s="1378"/>
      <c r="AI67" s="1378"/>
      <c r="AP67" s="939"/>
      <c r="BC67" s="4"/>
      <c r="BD67" s="34">
        <f t="shared" si="47"/>
        <v>0</v>
      </c>
      <c r="BH67" s="2"/>
      <c r="BI67" s="2"/>
      <c r="BJ67" s="33"/>
      <c r="BK67" s="33"/>
      <c r="BL67" s="33"/>
      <c r="BM67" s="33"/>
    </row>
    <row r="68" spans="1:65" s="33" customFormat="1" ht="12.75" thickBot="1">
      <c r="A68" s="35">
        <v>39</v>
      </c>
      <c r="B68" s="33" t="s">
        <v>467</v>
      </c>
      <c r="E68" s="941">
        <f t="shared" ref="E68:J68" si="53">E61-E64+E65+E66</f>
        <v>1053828</v>
      </c>
      <c r="F68" s="238">
        <f t="shared" si="53"/>
        <v>-142713</v>
      </c>
      <c r="G68" s="238">
        <f t="shared" si="53"/>
        <v>-126</v>
      </c>
      <c r="H68" s="238">
        <f t="shared" si="53"/>
        <v>-1956</v>
      </c>
      <c r="I68" s="238">
        <f t="shared" si="53"/>
        <v>436</v>
      </c>
      <c r="J68" s="238">
        <f t="shared" si="53"/>
        <v>-854</v>
      </c>
      <c r="K68" s="238">
        <f>K61-K64+K65+K66</f>
        <v>-231</v>
      </c>
      <c r="L68" s="238">
        <f>L61-L64+L65+L66</f>
        <v>0</v>
      </c>
      <c r="M68" s="238">
        <f>M61-M64+M65+M66</f>
        <v>18422</v>
      </c>
      <c r="N68" s="238">
        <f t="shared" ref="N68:T68" si="54">N61-N64+N65+N66</f>
        <v>926806</v>
      </c>
      <c r="O68" s="238">
        <f t="shared" si="54"/>
        <v>0</v>
      </c>
      <c r="P68" s="238">
        <f t="shared" si="54"/>
        <v>0</v>
      </c>
      <c r="Q68" s="238">
        <f t="shared" si="54"/>
        <v>0</v>
      </c>
      <c r="R68" s="238">
        <f t="shared" si="54"/>
        <v>0</v>
      </c>
      <c r="S68" s="238">
        <f t="shared" si="54"/>
        <v>0</v>
      </c>
      <c r="T68" s="238">
        <f t="shared" si="54"/>
        <v>0</v>
      </c>
      <c r="U68" s="238">
        <f t="shared" ref="U68:Z68" si="55">U61-U64+U65+U66</f>
        <v>0</v>
      </c>
      <c r="V68" s="238">
        <f t="shared" si="55"/>
        <v>0</v>
      </c>
      <c r="W68" s="238">
        <f t="shared" si="55"/>
        <v>0</v>
      </c>
      <c r="X68" s="238">
        <f t="shared" si="55"/>
        <v>0</v>
      </c>
      <c r="Y68" s="238">
        <f t="shared" si="55"/>
        <v>0</v>
      </c>
      <c r="Z68" s="238">
        <f t="shared" si="55"/>
        <v>0</v>
      </c>
      <c r="AA68" s="238">
        <f>AA61-AA64+AA65+AA66</f>
        <v>0</v>
      </c>
      <c r="AB68" s="238">
        <f>AB61-AB64+AB65+AB66</f>
        <v>0</v>
      </c>
      <c r="AC68" s="1383">
        <f>AC61-AC64+AC65+AC66</f>
        <v>0</v>
      </c>
      <c r="AD68" s="238"/>
      <c r="AE68" s="238"/>
      <c r="AF68" s="238"/>
      <c r="AG68" s="238">
        <f t="shared" ref="AG68:AM68" si="56">AG61-AG64+AG65+AG66</f>
        <v>926806</v>
      </c>
      <c r="AH68" s="238">
        <f t="shared" si="56"/>
        <v>0</v>
      </c>
      <c r="AI68" s="1383">
        <f>AI61-AI64+AI65+AI66</f>
        <v>-12500</v>
      </c>
      <c r="AJ68" s="238">
        <f t="shared" si="56"/>
        <v>0</v>
      </c>
      <c r="AK68" s="238">
        <f t="shared" si="56"/>
        <v>0</v>
      </c>
      <c r="AL68" s="238">
        <f t="shared" si="56"/>
        <v>0</v>
      </c>
      <c r="AM68" s="238">
        <f t="shared" si="56"/>
        <v>21445</v>
      </c>
      <c r="AN68" s="238">
        <f t="shared" ref="AN68:BC68" si="57">AN61-AN64+AN65+AN66</f>
        <v>22936</v>
      </c>
      <c r="AO68" s="238">
        <f>AO61-AO64+AO65+AO66</f>
        <v>5386</v>
      </c>
      <c r="AP68" s="941">
        <f t="shared" si="57"/>
        <v>0</v>
      </c>
      <c r="AQ68" s="238">
        <f>AQ61-AQ64+AQ65+AQ66</f>
        <v>0</v>
      </c>
      <c r="AR68" s="238">
        <f t="shared" si="57"/>
        <v>23325</v>
      </c>
      <c r="AS68" s="238">
        <f t="shared" si="57"/>
        <v>16819</v>
      </c>
      <c r="AT68" s="238">
        <f>AT61-AT64+AT65+AT66</f>
        <v>2859</v>
      </c>
      <c r="AU68" s="238">
        <f>AU61-AU64+AU65+AU66</f>
        <v>0</v>
      </c>
      <c r="AV68" s="238">
        <f t="shared" si="57"/>
        <v>0</v>
      </c>
      <c r="AW68" s="238">
        <f>AW61-AW64+AW65+AW66</f>
        <v>0</v>
      </c>
      <c r="AX68" s="238">
        <f t="shared" si="57"/>
        <v>0</v>
      </c>
      <c r="AY68" s="238">
        <f t="shared" si="57"/>
        <v>0</v>
      </c>
      <c r="AZ68" s="238">
        <f>AZ61-AZ64+AZ65+AZ66</f>
        <v>0</v>
      </c>
      <c r="BA68" s="238">
        <f>BA61-BA64+BA65+BA66</f>
        <v>0</v>
      </c>
      <c r="BB68" s="238"/>
      <c r="BC68" s="238">
        <f t="shared" si="57"/>
        <v>0</v>
      </c>
      <c r="BD68" s="238">
        <f t="shared" si="47"/>
        <v>1007076</v>
      </c>
      <c r="BE68" s="238"/>
      <c r="BH68" s="2"/>
      <c r="BI68" s="2"/>
      <c r="BJ68" s="2"/>
      <c r="BK68" s="2"/>
      <c r="BL68" s="2"/>
      <c r="BM68" s="2"/>
    </row>
    <row r="69" spans="1:65" ht="18" customHeight="1" thickTop="1">
      <c r="A69" s="32">
        <v>40</v>
      </c>
      <c r="B69" s="2" t="s">
        <v>468</v>
      </c>
      <c r="E69" s="942">
        <f>ROUND(E52/E68,4)</f>
        <v>6.5000000000000002E-2</v>
      </c>
      <c r="N69" s="37">
        <f>ROUND(N52/N68,4)</f>
        <v>7.4200000000000002E-2</v>
      </c>
      <c r="AC69" s="1356"/>
      <c r="AG69" s="37">
        <f>ROUND(AG52/AG68,4)</f>
        <v>8.8400000000000006E-2</v>
      </c>
      <c r="AI69" s="1356"/>
      <c r="BD69" s="37">
        <f>ROUND(BD52/BD68,4)</f>
        <v>6.2399999999999997E-2</v>
      </c>
    </row>
    <row r="70" spans="1:65">
      <c r="E70" s="942"/>
      <c r="AC70" s="1356"/>
      <c r="AI70" s="1356"/>
    </row>
    <row r="71" spans="1:65">
      <c r="D71" s="2" t="s">
        <v>537</v>
      </c>
      <c r="E71" s="942">
        <f>RevReq_Exh_WA!E11</f>
        <v>8.249999999999999E-2</v>
      </c>
      <c r="AC71" s="1356"/>
      <c r="AI71" s="1356"/>
    </row>
    <row r="72" spans="1:65">
      <c r="D72" s="2" t="s">
        <v>396</v>
      </c>
      <c r="E72" s="1024">
        <f>'ConverFac_Exh-WA'!E26</f>
        <v>0.62195249999999991</v>
      </c>
      <c r="AC72" s="1356"/>
      <c r="AI72" s="1356"/>
    </row>
    <row r="73" spans="1:65">
      <c r="AC73" s="1356"/>
      <c r="AI73" s="1356"/>
    </row>
    <row r="74" spans="1:65">
      <c r="A74" s="1346" t="s">
        <v>238</v>
      </c>
      <c r="B74" s="1343"/>
      <c r="C74" s="1343"/>
      <c r="D74" s="1343" t="s">
        <v>538</v>
      </c>
      <c r="E74" s="1344">
        <f>E68*$E$71-E52</f>
        <v>18402.809999999983</v>
      </c>
      <c r="F74" s="1344">
        <f>F68*$E$71-F52</f>
        <v>-11773.822499999998</v>
      </c>
      <c r="G74" s="1344">
        <f t="shared" ref="G74:BC74" si="58">G68*$E$71-G52</f>
        <v>-10.395</v>
      </c>
      <c r="H74" s="1344">
        <f t="shared" si="58"/>
        <v>-363.37</v>
      </c>
      <c r="I74" s="1344">
        <f t="shared" si="58"/>
        <v>35.97</v>
      </c>
      <c r="J74" s="1344">
        <f t="shared" si="58"/>
        <v>-14.454999999999998</v>
      </c>
      <c r="K74" s="1344">
        <f t="shared" si="58"/>
        <v>-19.057499999999997</v>
      </c>
      <c r="L74" s="1344">
        <f t="shared" si="58"/>
        <v>-39</v>
      </c>
      <c r="M74" s="1344">
        <f t="shared" si="58"/>
        <v>1519.8149999999998</v>
      </c>
      <c r="N74" s="1344"/>
      <c r="O74" s="1344">
        <f t="shared" si="58"/>
        <v>22</v>
      </c>
      <c r="P74" s="1344">
        <f t="shared" si="58"/>
        <v>939</v>
      </c>
      <c r="Q74" s="1344">
        <f t="shared" si="58"/>
        <v>-70</v>
      </c>
      <c r="R74" s="1344">
        <f t="shared" si="58"/>
        <v>52</v>
      </c>
      <c r="S74" s="1344">
        <f t="shared" si="58"/>
        <v>56</v>
      </c>
      <c r="T74" s="1344">
        <f t="shared" si="58"/>
        <v>1751</v>
      </c>
      <c r="U74" s="1344">
        <f t="shared" si="58"/>
        <v>8844</v>
      </c>
      <c r="V74" s="1344">
        <f t="shared" si="58"/>
        <v>6</v>
      </c>
      <c r="W74" s="1344">
        <f t="shared" si="58"/>
        <v>-335</v>
      </c>
      <c r="X74" s="1344">
        <f t="shared" si="58"/>
        <v>-5</v>
      </c>
      <c r="Y74" s="1344">
        <f t="shared" si="58"/>
        <v>20</v>
      </c>
      <c r="Z74" s="1344">
        <f t="shared" si="58"/>
        <v>-79</v>
      </c>
      <c r="AA74" s="1344">
        <f t="shared" si="58"/>
        <v>-23394</v>
      </c>
      <c r="AB74" s="1344">
        <f>AB68*$E$71-AB52</f>
        <v>-139</v>
      </c>
      <c r="AC74" s="1344">
        <f>AC68*$E$71-AC52</f>
        <v>-894.37865999999917</v>
      </c>
      <c r="AD74" s="1344">
        <f t="shared" si="58"/>
        <v>0</v>
      </c>
      <c r="AE74" s="1344">
        <f t="shared" si="58"/>
        <v>0</v>
      </c>
      <c r="AF74" s="1344">
        <f t="shared" si="58"/>
        <v>0</v>
      </c>
      <c r="AG74" s="1344"/>
      <c r="AH74" s="1344">
        <f t="shared" si="58"/>
        <v>6903.5</v>
      </c>
      <c r="AI74" s="1344">
        <f t="shared" si="58"/>
        <v>-7480.25</v>
      </c>
      <c r="AJ74" s="1344">
        <f t="shared" si="58"/>
        <v>1942</v>
      </c>
      <c r="AK74" s="1344">
        <f t="shared" si="58"/>
        <v>155</v>
      </c>
      <c r="AL74" s="1344">
        <f t="shared" si="58"/>
        <v>51</v>
      </c>
      <c r="AM74" s="1344">
        <f t="shared" si="58"/>
        <v>2242.2124999999996</v>
      </c>
      <c r="AN74" s="1344">
        <f t="shared" si="58"/>
        <v>4798.2199999999993</v>
      </c>
      <c r="AO74" s="1344">
        <f>AO68*$E$71-AO52</f>
        <v>600.34500000000003</v>
      </c>
      <c r="AP74" s="1344">
        <f t="shared" si="58"/>
        <v>1883</v>
      </c>
      <c r="AQ74" s="1344">
        <f>AQ68*$E$71-AQ52</f>
        <v>1139</v>
      </c>
      <c r="AR74" s="1344">
        <f t="shared" si="58"/>
        <v>4287.3125</v>
      </c>
      <c r="AS74" s="1344">
        <f t="shared" si="58"/>
        <v>1926.5674999999999</v>
      </c>
      <c r="AT74" s="1344">
        <f t="shared" ref="AT74:AY74" si="59">AT68*$E$71-AT52</f>
        <v>2520.8674999999998</v>
      </c>
      <c r="AU74" s="1344">
        <f t="shared" si="59"/>
        <v>1217</v>
      </c>
      <c r="AV74" s="1344">
        <f t="shared" si="59"/>
        <v>357</v>
      </c>
      <c r="AW74" s="1344">
        <f>AW68*$E$71-AW52</f>
        <v>0</v>
      </c>
      <c r="AX74" s="1344">
        <f t="shared" si="59"/>
        <v>2577</v>
      </c>
      <c r="AY74" s="1344">
        <f t="shared" si="59"/>
        <v>184</v>
      </c>
      <c r="AZ74" s="1344">
        <f>AZ68*$E$71-AZ52</f>
        <v>426</v>
      </c>
      <c r="BA74" s="1344">
        <f>BA68*$E$71-BA52</f>
        <v>0</v>
      </c>
      <c r="BB74" s="1344"/>
      <c r="BC74" s="1344">
        <f t="shared" si="58"/>
        <v>0</v>
      </c>
      <c r="BD74" s="1344">
        <f>BD68*$E$71-BD52</f>
        <v>20241.891339999987</v>
      </c>
    </row>
    <row r="75" spans="1:65">
      <c r="A75" s="1342"/>
      <c r="B75" s="1343"/>
      <c r="C75" s="1343"/>
      <c r="D75" s="1345" t="s">
        <v>698</v>
      </c>
      <c r="E75" s="1344">
        <f>E74/$E$72</f>
        <v>29588.770846648233</v>
      </c>
      <c r="F75" s="1344">
        <f>F74/$E$72</f>
        <v>-18930.420731486731</v>
      </c>
      <c r="G75" s="1344">
        <f t="shared" ref="G75:BD75" si="60">G74/$E$72</f>
        <v>-16.71349500162794</v>
      </c>
      <c r="H75" s="1344">
        <f t="shared" si="60"/>
        <v>-584.24075793569455</v>
      </c>
      <c r="I75" s="1344">
        <f t="shared" si="60"/>
        <v>57.833998577061763</v>
      </c>
      <c r="J75" s="1344">
        <f t="shared" si="60"/>
        <v>-23.241324699233463</v>
      </c>
      <c r="K75" s="1344">
        <f t="shared" si="60"/>
        <v>-30.641407502984553</v>
      </c>
      <c r="L75" s="1344">
        <f t="shared" si="60"/>
        <v>-62.705753252860958</v>
      </c>
      <c r="M75" s="1344">
        <f t="shared" si="60"/>
        <v>2443.6190866665866</v>
      </c>
      <c r="N75" s="1344"/>
      <c r="O75" s="1344">
        <f t="shared" si="60"/>
        <v>35.372476193921564</v>
      </c>
      <c r="P75" s="1344">
        <f t="shared" si="60"/>
        <v>1509.7615975496524</v>
      </c>
      <c r="Q75" s="1344">
        <f t="shared" si="60"/>
        <v>-112.54878788975044</v>
      </c>
      <c r="R75" s="1344">
        <f t="shared" si="60"/>
        <v>83.607671003814616</v>
      </c>
      <c r="S75" s="1344">
        <f t="shared" si="60"/>
        <v>90.039030311800346</v>
      </c>
      <c r="T75" s="1344">
        <f t="shared" si="60"/>
        <v>2815.3275370707574</v>
      </c>
      <c r="U75" s="1344">
        <f t="shared" si="60"/>
        <v>14219.73542995647</v>
      </c>
      <c r="V75" s="1344">
        <f t="shared" si="60"/>
        <v>9.647038961978609</v>
      </c>
      <c r="W75" s="1344">
        <f t="shared" si="60"/>
        <v>-538.62634204380572</v>
      </c>
      <c r="X75" s="1344">
        <f t="shared" si="60"/>
        <v>-8.0391991349821748</v>
      </c>
      <c r="Y75" s="1344">
        <f t="shared" si="60"/>
        <v>32.156796539928699</v>
      </c>
      <c r="Z75" s="1344">
        <f t="shared" si="60"/>
        <v>-127.01934633271836</v>
      </c>
      <c r="AA75" s="1344">
        <f t="shared" si="60"/>
        <v>-37613.804912754596</v>
      </c>
      <c r="AB75" s="1344">
        <f>AB74/$E$72</f>
        <v>-223.48973595250445</v>
      </c>
      <c r="AC75" s="1344">
        <f>AC74/$E$72</f>
        <v>-1438.0176299637019</v>
      </c>
      <c r="AD75" s="1344">
        <f t="shared" si="60"/>
        <v>0</v>
      </c>
      <c r="AE75" s="1344">
        <f t="shared" si="60"/>
        <v>0</v>
      </c>
      <c r="AF75" s="1344">
        <f t="shared" si="60"/>
        <v>0</v>
      </c>
      <c r="AG75" s="1344"/>
      <c r="AH75" s="1344">
        <f t="shared" si="60"/>
        <v>11099.722245669887</v>
      </c>
      <c r="AI75" s="1344">
        <f t="shared" si="60"/>
        <v>-12027.043865890082</v>
      </c>
      <c r="AJ75" s="1344">
        <f t="shared" si="60"/>
        <v>3122.4249440270764</v>
      </c>
      <c r="AK75" s="1344">
        <f t="shared" si="60"/>
        <v>249.21517318444739</v>
      </c>
      <c r="AL75" s="1344">
        <f t="shared" si="60"/>
        <v>81.999831176818176</v>
      </c>
      <c r="AM75" s="1344">
        <f t="shared" si="60"/>
        <v>3605.1185580892429</v>
      </c>
      <c r="AN75" s="1344">
        <f t="shared" si="60"/>
        <v>7714.769214690833</v>
      </c>
      <c r="AO75" s="1344">
        <f>AO74/$E$72</f>
        <v>965.25860093817471</v>
      </c>
      <c r="AP75" s="1344">
        <f t="shared" si="60"/>
        <v>3027.5623942342868</v>
      </c>
      <c r="AQ75" s="1344">
        <f t="shared" si="60"/>
        <v>1831.3295629489394</v>
      </c>
      <c r="AR75" s="1344">
        <f t="shared" si="60"/>
        <v>6893.3117882796523</v>
      </c>
      <c r="AS75" s="1344">
        <f t="shared" si="60"/>
        <v>3097.611955896954</v>
      </c>
      <c r="AT75" s="1344">
        <f>AT74/$E$72</f>
        <v>4053.1511650809348</v>
      </c>
      <c r="AU75" s="1344">
        <f t="shared" si="60"/>
        <v>1956.7410694546613</v>
      </c>
      <c r="AV75" s="1344">
        <f t="shared" ref="AV75:BA75" si="61">AV74/$E$72</f>
        <v>573.99881823772728</v>
      </c>
      <c r="AW75" s="1344">
        <f t="shared" si="61"/>
        <v>0</v>
      </c>
      <c r="AX75" s="1344">
        <f t="shared" si="61"/>
        <v>4143.403234169813</v>
      </c>
      <c r="AY75" s="1344">
        <f t="shared" si="61"/>
        <v>295.84252816734403</v>
      </c>
      <c r="AZ75" s="1344">
        <f t="shared" si="61"/>
        <v>684.93976630048121</v>
      </c>
      <c r="BA75" s="1344">
        <f t="shared" si="61"/>
        <v>0</v>
      </c>
      <c r="BB75" s="1344"/>
      <c r="BC75" s="1344">
        <f t="shared" si="60"/>
        <v>0</v>
      </c>
      <c r="BD75" s="1344">
        <f t="shared" si="60"/>
        <v>32545.719070186213</v>
      </c>
    </row>
    <row r="76" spans="1:65">
      <c r="AC76" s="1356"/>
      <c r="AI76" s="1356"/>
      <c r="BH76" s="4"/>
    </row>
    <row r="77" spans="1:65">
      <c r="A77" s="1337" t="s">
        <v>699</v>
      </c>
      <c r="D77" s="2" t="s">
        <v>696</v>
      </c>
      <c r="E77" s="942">
        <v>8.6800000000000002E-2</v>
      </c>
      <c r="AC77" s="1356"/>
      <c r="AI77" s="1356"/>
      <c r="BH77" s="4"/>
    </row>
    <row r="78" spans="1:65">
      <c r="D78" s="942" t="s">
        <v>695</v>
      </c>
      <c r="E78" s="4">
        <v>22934.270400000009</v>
      </c>
      <c r="F78" s="4">
        <v>-12387.4884</v>
      </c>
      <c r="G78" s="4">
        <v>-10.9368</v>
      </c>
      <c r="H78" s="4">
        <v>-371.7808</v>
      </c>
      <c r="I78" s="4">
        <v>37.844799999999999</v>
      </c>
      <c r="J78" s="4">
        <v>-18.127200000000002</v>
      </c>
      <c r="K78" s="4">
        <v>-20.050799999999999</v>
      </c>
      <c r="L78" s="4">
        <v>-39</v>
      </c>
      <c r="M78" s="4">
        <v>1599.0296000000001</v>
      </c>
      <c r="O78" s="4">
        <v>22</v>
      </c>
      <c r="P78" s="4">
        <v>939</v>
      </c>
      <c r="Q78" s="4">
        <v>-70</v>
      </c>
      <c r="R78" s="4">
        <v>52</v>
      </c>
      <c r="S78" s="4">
        <v>56</v>
      </c>
      <c r="T78" s="4">
        <v>1751</v>
      </c>
      <c r="U78" s="4">
        <v>8844</v>
      </c>
      <c r="V78" s="4">
        <v>6</v>
      </c>
      <c r="W78" s="4">
        <v>-335</v>
      </c>
      <c r="X78" s="4">
        <v>-5</v>
      </c>
      <c r="Y78" s="4">
        <v>20</v>
      </c>
      <c r="Z78" s="4">
        <v>-79</v>
      </c>
      <c r="AA78" s="4">
        <v>-23394</v>
      </c>
      <c r="AB78" s="4">
        <v>-139</v>
      </c>
      <c r="AC78" s="1356">
        <v>-682.89270000000101</v>
      </c>
      <c r="AD78" s="4">
        <v>0</v>
      </c>
      <c r="AE78" s="4">
        <v>0</v>
      </c>
      <c r="AF78" s="4">
        <v>0</v>
      </c>
      <c r="AH78" s="4">
        <v>24030</v>
      </c>
      <c r="AI78" s="1356">
        <v>-7534</v>
      </c>
      <c r="AJ78" s="4">
        <v>1942</v>
      </c>
      <c r="AK78" s="4">
        <v>155</v>
      </c>
      <c r="AL78" s="4">
        <v>51</v>
      </c>
      <c r="AM78" s="4">
        <v>2334.4260000000004</v>
      </c>
      <c r="AN78" s="4">
        <v>4896.8447999999999</v>
      </c>
      <c r="AO78" s="4">
        <v>623.50479999999993</v>
      </c>
      <c r="AP78" s="4">
        <v>1883</v>
      </c>
      <c r="AQ78" s="4">
        <v>1139</v>
      </c>
      <c r="AR78" s="4">
        <v>4387.6100000000006</v>
      </c>
      <c r="AS78" s="4">
        <v>1998.8892000000001</v>
      </c>
      <c r="AT78" s="4">
        <v>2533.1612</v>
      </c>
      <c r="AU78" s="4">
        <v>1217</v>
      </c>
      <c r="AV78" s="4">
        <v>357</v>
      </c>
      <c r="AW78" s="4">
        <v>1475</v>
      </c>
      <c r="AX78" s="4">
        <v>2577</v>
      </c>
      <c r="AY78" s="4">
        <v>184</v>
      </c>
      <c r="AZ78" s="4">
        <v>426</v>
      </c>
      <c r="BA78" s="4">
        <v>0</v>
      </c>
      <c r="BC78" s="4">
        <v>0</v>
      </c>
      <c r="BD78" s="4">
        <v>43385.304100000008</v>
      </c>
    </row>
    <row r="79" spans="1:65">
      <c r="D79" s="2" t="s">
        <v>694</v>
      </c>
      <c r="E79" s="4">
        <v>36877.666801618419</v>
      </c>
      <c r="F79" s="4">
        <v>-19918.735663119813</v>
      </c>
      <c r="G79" s="4">
        <v>-17.586069198693156</v>
      </c>
      <c r="H79" s="4">
        <v>-597.81315152014304</v>
      </c>
      <c r="I79" s="4">
        <v>60.853382306589019</v>
      </c>
      <c r="J79" s="4">
        <v>-29.148031744070536</v>
      </c>
      <c r="K79" s="4">
        <v>-32.241126864270782</v>
      </c>
      <c r="L79" s="4">
        <v>-62.710911669687029</v>
      </c>
      <c r="M79" s="4">
        <v>2571.1949744311537</v>
      </c>
      <c r="O79" s="4">
        <v>35.375386070079863</v>
      </c>
      <c r="P79" s="4">
        <v>1509.8857963547723</v>
      </c>
      <c r="Q79" s="4">
        <v>-112.55804658661775</v>
      </c>
      <c r="R79" s="4">
        <v>83.614548892916048</v>
      </c>
      <c r="S79" s="4">
        <v>90.046437269294202</v>
      </c>
      <c r="T79" s="4">
        <v>2815.5591367595384</v>
      </c>
      <c r="U79" s="4">
        <v>14220.905200172105</v>
      </c>
      <c r="V79" s="4">
        <v>9.6478325645672349</v>
      </c>
      <c r="W79" s="4">
        <v>-538.67065152167061</v>
      </c>
      <c r="X79" s="4">
        <v>-8.0398604704726964</v>
      </c>
      <c r="Y79" s="4">
        <v>32.159441881890785</v>
      </c>
      <c r="Z79" s="4">
        <v>-127.02979543346861</v>
      </c>
      <c r="AA79" s="4">
        <v>-37616.899169247648</v>
      </c>
      <c r="AB79" s="4">
        <v>-223.50812107914095</v>
      </c>
      <c r="AC79" s="1356">
        <v>-1098.0724048608756</v>
      </c>
      <c r="AD79" s="4">
        <v>0</v>
      </c>
      <c r="AE79" s="4">
        <v>0</v>
      </c>
      <c r="AF79" s="4">
        <v>0</v>
      </c>
      <c r="AH79" s="4">
        <v>38639.569421091779</v>
      </c>
      <c r="AI79" s="1356">
        <v>-12114.461756908258</v>
      </c>
      <c r="AJ79" s="4">
        <v>3122.6818067315953</v>
      </c>
      <c r="AK79" s="4">
        <v>249.23567458465359</v>
      </c>
      <c r="AL79" s="4">
        <v>82.006576798821499</v>
      </c>
      <c r="AM79" s="4">
        <v>3753.6918637287395</v>
      </c>
      <c r="AN79" s="4">
        <v>7873.989787511955</v>
      </c>
      <c r="AO79" s="4">
        <v>1002.5783189339968</v>
      </c>
      <c r="AP79" s="4">
        <v>3027.8114531800175</v>
      </c>
      <c r="AQ79" s="4">
        <v>1831.4802151736801</v>
      </c>
      <c r="AR79" s="4">
        <v>7055.1544397701427</v>
      </c>
      <c r="AS79" s="4">
        <v>3214.1580527869583</v>
      </c>
      <c r="AT79" s="4">
        <v>4073.2525194430359</v>
      </c>
      <c r="AU79" s="4">
        <v>1956.9020385130543</v>
      </c>
      <c r="AV79" s="4">
        <v>574.04603759175052</v>
      </c>
      <c r="AW79" s="4">
        <v>2371.7588387894452</v>
      </c>
      <c r="AX79" s="4">
        <v>4143.7440864816281</v>
      </c>
      <c r="AY79" s="4">
        <v>295.86686531339524</v>
      </c>
      <c r="AZ79" s="4">
        <v>684.9961120842737</v>
      </c>
      <c r="BA79" s="4">
        <v>0</v>
      </c>
      <c r="BC79" s="4">
        <v>0</v>
      </c>
      <c r="BD79" s="4">
        <v>69762.35828660542</v>
      </c>
      <c r="BH79" s="4"/>
    </row>
    <row r="80" spans="1:65">
      <c r="AC80" s="1356"/>
      <c r="AI80" s="1356"/>
    </row>
    <row r="81" spans="1:58" s="1337" customFormat="1" ht="24">
      <c r="A81" s="1347" t="s">
        <v>700</v>
      </c>
      <c r="B81" s="1339"/>
      <c r="C81" s="1339"/>
      <c r="D81" s="1340" t="s">
        <v>697</v>
      </c>
      <c r="E81" s="1341">
        <f>E79-E75</f>
        <v>7288.8959549701867</v>
      </c>
      <c r="F81" s="1341">
        <f>F79-F75</f>
        <v>-988.31493163308187</v>
      </c>
      <c r="G81" s="1341">
        <f t="shared" ref="G81:AC81" si="62">G79-G75</f>
        <v>-0.87257419706521588</v>
      </c>
      <c r="H81" s="1341">
        <f t="shared" si="62"/>
        <v>-13.572393584448491</v>
      </c>
      <c r="I81" s="1341">
        <f t="shared" si="62"/>
        <v>3.0193837295272559</v>
      </c>
      <c r="J81" s="1341">
        <f t="shared" si="62"/>
        <v>-5.9067070448370735</v>
      </c>
      <c r="K81" s="1341">
        <f t="shared" si="62"/>
        <v>-1.5997193612862297</v>
      </c>
      <c r="L81" s="1341">
        <f t="shared" si="62"/>
        <v>-5.1584168260703223E-3</v>
      </c>
      <c r="M81" s="1341">
        <f t="shared" si="62"/>
        <v>127.57588776456714</v>
      </c>
      <c r="N81" s="1341"/>
      <c r="O81" s="1341">
        <f t="shared" si="62"/>
        <v>2.9098761582986299E-3</v>
      </c>
      <c r="P81" s="1341">
        <f t="shared" si="62"/>
        <v>0.12419880511993142</v>
      </c>
      <c r="Q81" s="1341">
        <f t="shared" si="62"/>
        <v>-9.258696867306071E-3</v>
      </c>
      <c r="R81" s="1341">
        <f t="shared" si="62"/>
        <v>6.8778891014318333E-3</v>
      </c>
      <c r="S81" s="1341">
        <f t="shared" si="62"/>
        <v>7.4069574938562255E-3</v>
      </c>
      <c r="T81" s="1341">
        <f t="shared" si="62"/>
        <v>0.2315996887809888</v>
      </c>
      <c r="U81" s="1341">
        <f t="shared" si="62"/>
        <v>1.1697702156343439</v>
      </c>
      <c r="V81" s="1341">
        <f t="shared" si="62"/>
        <v>7.9360258862593014E-4</v>
      </c>
      <c r="W81" s="1341">
        <f t="shared" si="62"/>
        <v>-4.4309477864885594E-2</v>
      </c>
      <c r="X81" s="1341">
        <f t="shared" si="62"/>
        <v>-6.6133549052160845E-4</v>
      </c>
      <c r="Y81" s="1341">
        <f t="shared" si="62"/>
        <v>2.6453419620864338E-3</v>
      </c>
      <c r="Z81" s="1341">
        <f t="shared" si="62"/>
        <v>-1.0449100750250295E-2</v>
      </c>
      <c r="AA81" s="1341">
        <f>AA79-AA75</f>
        <v>-3.0942564930519438</v>
      </c>
      <c r="AB81" s="1341">
        <f>AB79-AB75</f>
        <v>-1.8385126636502491E-2</v>
      </c>
      <c r="AC81" s="1387">
        <f t="shared" si="62"/>
        <v>339.94522510282627</v>
      </c>
      <c r="AD81" s="1341"/>
      <c r="AE81" s="1341"/>
      <c r="AF81" s="1341"/>
      <c r="AG81" s="1341"/>
      <c r="AH81" s="1341">
        <f t="shared" ref="AH81:BC81" si="63">AH79-AH75</f>
        <v>27539.847175421892</v>
      </c>
      <c r="AI81" s="1341">
        <f t="shared" si="63"/>
        <v>-87.417891018176306</v>
      </c>
      <c r="AJ81" s="1341">
        <f t="shared" si="63"/>
        <v>0.25686270451888049</v>
      </c>
      <c r="AK81" s="1341">
        <f t="shared" si="63"/>
        <v>2.050140020620006E-2</v>
      </c>
      <c r="AL81" s="1341">
        <f t="shared" si="63"/>
        <v>6.7456220033221825E-3</v>
      </c>
      <c r="AM81" s="1341">
        <f>AM79-AM75</f>
        <v>148.57330563949654</v>
      </c>
      <c r="AN81" s="1341">
        <f t="shared" si="63"/>
        <v>159.220572821122</v>
      </c>
      <c r="AO81" s="1341"/>
      <c r="AP81" s="1341">
        <f t="shared" si="63"/>
        <v>0.24905894573066689</v>
      </c>
      <c r="AQ81" s="1341">
        <f>AQ79-AQ75</f>
        <v>0.15065222474072471</v>
      </c>
      <c r="AR81" s="1341">
        <f t="shared" si="63"/>
        <v>161.84265149049043</v>
      </c>
      <c r="AS81" s="1341">
        <f t="shared" si="63"/>
        <v>116.54609689000426</v>
      </c>
      <c r="AT81" s="1341">
        <f t="shared" si="63"/>
        <v>20.101354362101119</v>
      </c>
      <c r="AU81" s="1341">
        <f t="shared" si="63"/>
        <v>0.16096905839299325</v>
      </c>
      <c r="AV81" s="1341">
        <f t="shared" si="63"/>
        <v>4.7219354023241067E-2</v>
      </c>
      <c r="AW81" s="1341">
        <f>AW79-AW75</f>
        <v>2371.7588387894452</v>
      </c>
      <c r="AX81" s="1341">
        <f t="shared" si="63"/>
        <v>0.3408523118150697</v>
      </c>
      <c r="AY81" s="1341">
        <f t="shared" si="63"/>
        <v>2.4337146051209402E-2</v>
      </c>
      <c r="AZ81" s="1341">
        <f>AZ79-AZ75</f>
        <v>5.6345783792494331E-2</v>
      </c>
      <c r="BA81" s="1341">
        <f>BA79-BA75</f>
        <v>0</v>
      </c>
      <c r="BB81" s="1341">
        <f t="shared" si="63"/>
        <v>0</v>
      </c>
      <c r="BC81" s="1341">
        <f t="shared" si="63"/>
        <v>0</v>
      </c>
      <c r="BD81" s="1341">
        <f>BD79-BD75</f>
        <v>37216.639216419208</v>
      </c>
      <c r="BE81" s="1338"/>
      <c r="BF81" s="1337" t="s">
        <v>701</v>
      </c>
    </row>
    <row r="82" spans="1:58" ht="15.75">
      <c r="AA82" s="1388"/>
      <c r="AB82" s="1388"/>
      <c r="AC82" s="1389" t="s">
        <v>704</v>
      </c>
      <c r="AD82" s="1390"/>
      <c r="AE82" s="1390"/>
      <c r="AF82" s="1390"/>
      <c r="AG82" s="1390"/>
      <c r="AH82" s="1390"/>
      <c r="AI82" s="1356"/>
      <c r="AJ82" s="1349"/>
      <c r="BD82" s="1338">
        <v>-36876</v>
      </c>
      <c r="BF82" s="1337" t="s">
        <v>702</v>
      </c>
    </row>
    <row r="83" spans="1:58" ht="16.5" thickBot="1">
      <c r="AC83" s="1349"/>
      <c r="AD83" s="1349"/>
      <c r="AE83" s="1349"/>
      <c r="AF83" s="1349"/>
      <c r="AG83" s="1349"/>
      <c r="AH83" s="1349"/>
      <c r="AI83" s="1385" t="s">
        <v>706</v>
      </c>
      <c r="AJ83" s="1349"/>
      <c r="BD83" s="1386">
        <f>BD81+BD82</f>
        <v>340.63921641920751</v>
      </c>
      <c r="BF83" s="1337" t="s">
        <v>703</v>
      </c>
    </row>
    <row r="84" spans="1:58" ht="12.75" thickTop="1"/>
  </sheetData>
  <customSheetViews>
    <customSheetView guid="{A15D1962-B049-11D2-8670-0000832CEEE8}" scale="75" showPageBreaks="1" showGridLines="0" hiddenColumns="1" showRuler="0" topLeftCell="AF1">
      <selection activeCell="AG1" sqref="AG1:AO65536"/>
      <colBreaks count="5" manualBreakCount="5">
        <brk id="11" max="70" man="1"/>
        <brk id="18" max="70" man="1"/>
        <brk id="25" max="70" man="1"/>
        <brk id="32" max="1048575" man="1"/>
        <brk id="52" max="1048575" man="1"/>
      </colBreaks>
      <pageMargins left="0.75" right="0.51" top="0.75" bottom="0.5" header="0.5" footer="0.5"/>
      <pageSetup scale="76" orientation="portrait" horizontalDpi="300" verticalDpi="300" r:id="rId1"/>
      <headerFooter alignWithMargins="0">
        <oddHeader>&amp;L&amp;"Times,Regular"&amp;9KM  File: &amp;F&amp;R&amp;"Times,Regular"&amp;9Page &amp;P of &amp;N  &amp;D</oddHeader>
      </headerFooter>
    </customSheetView>
    <customSheetView guid="{6E1B8C45-B07F-11D2-B0DC-0000832CDFF0}" scale="75" showPageBreaks="1" showGridLines="0" printArea="1" hiddenColumns="1" showRuler="0">
      <selection sqref="A1:IV65536"/>
      <colBreaks count="5" manualBreakCount="5">
        <brk id="11" max="70" man="1"/>
        <brk id="18" max="70" man="1"/>
        <brk id="25" max="70" man="1"/>
        <brk id="32" max="1048575" man="1"/>
        <brk id="40" max="1048575" man="1"/>
      </colBreaks>
      <pageMargins left="0.75" right="0.51" top="0.75" bottom="0.5" header="0.5" footer="0.5"/>
      <pageSetup scale="76" orientation="portrait" horizontalDpi="300" verticalDpi="300" r:id="rId2"/>
      <headerFooter alignWithMargins="0">
        <oddHeader>&amp;L&amp;"Times,Regular"&amp;9KM  File: &amp;F&amp;R&amp;"Times,Regular"&amp;9Page &amp;P of &amp;N  &amp;D</oddHeader>
      </headerFooter>
    </customSheetView>
  </customSheetViews>
  <phoneticPr fontId="0" type="noConversion"/>
  <pageMargins left="0.75" right="0.51" top="0.75" bottom="0.5" header="0.5" footer="0.5"/>
  <pageSetup scale="75" firstPageNumber="4" fitToWidth="7" orientation="portrait" useFirstPageNumber="1" horizontalDpi="300" verticalDpi="300" r:id="rId3"/>
  <headerFooter alignWithMargins="0">
    <oddHeader xml:space="preserve">&amp;RExhibit No. ____(EMA-2) </oddHeader>
    <oddFooter xml:space="preserve">&amp;R      Page &amp;P of 11               </oddFooter>
  </headerFooter>
  <colBreaks count="1" manualBreakCount="1">
    <brk id="56" max="104857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8"/>
  <dimension ref="A1:H110"/>
  <sheetViews>
    <sheetView workbookViewId="0">
      <selection activeCell="F3" sqref="F3"/>
    </sheetView>
  </sheetViews>
  <sheetFormatPr defaultRowHeight="12.75"/>
  <cols>
    <col min="1" max="1" width="5.5703125" style="47" customWidth="1"/>
    <col min="2" max="2" width="26.140625" style="44" customWidth="1"/>
    <col min="3" max="3" width="12.42578125" style="44" customWidth="1"/>
    <col min="4" max="4" width="6.7109375" style="44" customWidth="1"/>
    <col min="5" max="8" width="12.42578125" style="44" customWidth="1"/>
  </cols>
  <sheetData>
    <row r="1" spans="1:8">
      <c r="A1" s="42" t="str">
        <f>Inputs!$D$6</f>
        <v>AVISTA UTILITIES</v>
      </c>
      <c r="B1" s="43"/>
      <c r="C1" s="42"/>
    </row>
    <row r="2" spans="1:8">
      <c r="A2" s="42" t="s">
        <v>142</v>
      </c>
      <c r="B2" s="43"/>
      <c r="C2" s="42"/>
      <c r="E2" s="42"/>
      <c r="F2" s="456" t="s">
        <v>299</v>
      </c>
      <c r="G2" s="42"/>
    </row>
    <row r="3" spans="1:8">
      <c r="A3" s="43" t="str">
        <f>WAElec09_08!$A$4</f>
        <v>TWELVE MONTHS ENDED SEPTEMBER 30, 2008</v>
      </c>
      <c r="B3" s="43"/>
      <c r="C3" s="42"/>
      <c r="E3" s="42"/>
      <c r="F3" s="456" t="s">
        <v>686</v>
      </c>
      <c r="G3" s="42"/>
    </row>
    <row r="4" spans="1:8">
      <c r="A4" s="42" t="s">
        <v>1</v>
      </c>
      <c r="B4" s="43"/>
      <c r="C4" s="42"/>
      <c r="E4" s="45"/>
      <c r="F4" s="670" t="s">
        <v>145</v>
      </c>
      <c r="G4" s="46"/>
    </row>
    <row r="5" spans="1:8">
      <c r="A5" s="47" t="s">
        <v>14</v>
      </c>
    </row>
    <row r="6" spans="1:8">
      <c r="A6" s="47" t="s">
        <v>146</v>
      </c>
      <c r="B6" s="48" t="s">
        <v>36</v>
      </c>
      <c r="C6" s="48"/>
      <c r="D6" s="47"/>
      <c r="E6" s="48" t="s">
        <v>147</v>
      </c>
      <c r="F6" s="48" t="s">
        <v>148</v>
      </c>
      <c r="G6" s="48" t="s">
        <v>128</v>
      </c>
      <c r="H6" s="49" t="s">
        <v>149</v>
      </c>
    </row>
    <row r="7" spans="1:8">
      <c r="B7" s="50" t="s">
        <v>85</v>
      </c>
    </row>
    <row r="8" spans="1:8">
      <c r="A8" s="51">
        <v>1</v>
      </c>
      <c r="B8" s="52" t="s">
        <v>86</v>
      </c>
      <c r="C8" s="53"/>
      <c r="D8" s="53"/>
      <c r="E8" s="54">
        <f>F8+G8</f>
        <v>0</v>
      </c>
      <c r="F8" s="54">
        <v>0</v>
      </c>
      <c r="G8" s="54">
        <v>0</v>
      </c>
      <c r="H8" s="53" t="str">
        <f t="shared" ref="H8:H13" si="0">IF(E8=F8+G8," ","ERROR")</f>
        <v xml:space="preserve"> </v>
      </c>
    </row>
    <row r="9" spans="1:8">
      <c r="A9" s="47">
        <v>2</v>
      </c>
      <c r="B9" s="50" t="s">
        <v>87</v>
      </c>
      <c r="E9" s="55"/>
      <c r="F9" s="55"/>
      <c r="G9" s="55"/>
      <c r="H9" s="53" t="str">
        <f t="shared" si="0"/>
        <v xml:space="preserve"> </v>
      </c>
    </row>
    <row r="10" spans="1:8">
      <c r="A10" s="47">
        <v>3</v>
      </c>
      <c r="B10" s="50" t="s">
        <v>150</v>
      </c>
      <c r="E10" s="55"/>
      <c r="F10" s="55"/>
      <c r="G10" s="55"/>
      <c r="H10" s="53" t="str">
        <f t="shared" si="0"/>
        <v xml:space="preserve"> </v>
      </c>
    </row>
    <row r="11" spans="1:8">
      <c r="A11" s="47">
        <v>4</v>
      </c>
      <c r="B11" s="50" t="s">
        <v>151</v>
      </c>
      <c r="E11" s="56">
        <f>E8+E9+E10</f>
        <v>0</v>
      </c>
      <c r="F11" s="56">
        <f>F8+F9+F10</f>
        <v>0</v>
      </c>
      <c r="G11" s="56">
        <f>G8+G9+G10</f>
        <v>0</v>
      </c>
      <c r="H11" s="53" t="str">
        <f t="shared" si="0"/>
        <v xml:space="preserve"> </v>
      </c>
    </row>
    <row r="12" spans="1:8">
      <c r="A12" s="47">
        <v>5</v>
      </c>
      <c r="B12" s="50" t="s">
        <v>90</v>
      </c>
      <c r="E12" s="55"/>
      <c r="F12" s="55"/>
      <c r="G12" s="55"/>
      <c r="H12" s="53" t="str">
        <f t="shared" si="0"/>
        <v xml:space="preserve"> </v>
      </c>
    </row>
    <row r="13" spans="1:8">
      <c r="A13" s="47">
        <v>6</v>
      </c>
      <c r="B13" s="50" t="s">
        <v>152</v>
      </c>
      <c r="E13" s="56">
        <f>E11+E12</f>
        <v>0</v>
      </c>
      <c r="F13" s="56">
        <f>F11+F12</f>
        <v>0</v>
      </c>
      <c r="G13" s="56">
        <f>G11+G12</f>
        <v>0</v>
      </c>
      <c r="H13" s="53" t="str">
        <f t="shared" si="0"/>
        <v xml:space="preserve"> </v>
      </c>
    </row>
    <row r="14" spans="1:8">
      <c r="E14" s="58"/>
      <c r="F14" s="58"/>
      <c r="G14" s="58"/>
      <c r="H14" s="53"/>
    </row>
    <row r="15" spans="1:8">
      <c r="B15" s="50" t="s">
        <v>92</v>
      </c>
      <c r="E15" s="58"/>
      <c r="F15" s="58"/>
      <c r="G15" s="58"/>
      <c r="H15" s="53"/>
    </row>
    <row r="16" spans="1:8">
      <c r="B16" s="50" t="s">
        <v>93</v>
      </c>
      <c r="E16" s="58"/>
      <c r="F16" s="58"/>
      <c r="G16" s="58"/>
      <c r="H16" s="53"/>
    </row>
    <row r="17" spans="1:8">
      <c r="A17" s="47">
        <v>7</v>
      </c>
      <c r="B17" s="50" t="s">
        <v>153</v>
      </c>
      <c r="E17" s="55"/>
      <c r="F17" s="55"/>
      <c r="G17" s="55"/>
      <c r="H17" s="53" t="str">
        <f>IF(E17=F17+G17," ","ERROR")</f>
        <v xml:space="preserve"> </v>
      </c>
    </row>
    <row r="18" spans="1:8">
      <c r="A18" s="47">
        <v>8</v>
      </c>
      <c r="B18" s="50" t="s">
        <v>154</v>
      </c>
      <c r="E18" s="55"/>
      <c r="F18" s="55"/>
      <c r="G18" s="55"/>
      <c r="H18" s="53" t="str">
        <f>IF(E18=F18+G18," ","ERROR")</f>
        <v xml:space="preserve"> </v>
      </c>
    </row>
    <row r="19" spans="1:8">
      <c r="A19" s="47">
        <v>9</v>
      </c>
      <c r="B19" s="50" t="s">
        <v>155</v>
      </c>
      <c r="E19" s="55">
        <f>F19+G19</f>
        <v>158</v>
      </c>
      <c r="F19" s="55">
        <v>158</v>
      </c>
      <c r="G19" s="55">
        <v>0</v>
      </c>
      <c r="H19" s="53" t="str">
        <f>IF(E19=F19+G19," ","ERROR")</f>
        <v xml:space="preserve"> </v>
      </c>
    </row>
    <row r="20" spans="1:8">
      <c r="A20" s="47">
        <v>10</v>
      </c>
      <c r="B20" s="50" t="s">
        <v>156</v>
      </c>
      <c r="E20" s="55">
        <f>F20+G20</f>
        <v>82</v>
      </c>
      <c r="F20" s="55">
        <v>82</v>
      </c>
      <c r="G20" s="55"/>
      <c r="H20" s="53" t="str">
        <f>IF(E20=F20+G20," ","ERROR")</f>
        <v xml:space="preserve"> </v>
      </c>
    </row>
    <row r="21" spans="1:8">
      <c r="A21" s="47">
        <v>11</v>
      </c>
      <c r="B21" s="50" t="s">
        <v>157</v>
      </c>
      <c r="E21" s="56">
        <f>E17+E18+E19+E20</f>
        <v>240</v>
      </c>
      <c r="F21" s="56">
        <f>F17+F18+F19+F20</f>
        <v>240</v>
      </c>
      <c r="G21" s="56">
        <f>G17+G18+G19+G20</f>
        <v>0</v>
      </c>
      <c r="H21" s="53" t="str">
        <f>IF(E21=F21+G21," ","ERROR")</f>
        <v xml:space="preserve"> </v>
      </c>
    </row>
    <row r="22" spans="1:8">
      <c r="E22" s="58"/>
      <c r="F22" s="58"/>
      <c r="G22" s="58"/>
      <c r="H22" s="53"/>
    </row>
    <row r="23" spans="1:8">
      <c r="B23" s="50" t="s">
        <v>98</v>
      </c>
      <c r="E23" s="58"/>
      <c r="F23" s="58"/>
      <c r="G23" s="58"/>
      <c r="H23" s="53"/>
    </row>
    <row r="24" spans="1:8">
      <c r="A24" s="47">
        <v>12</v>
      </c>
      <c r="B24" s="50" t="s">
        <v>153</v>
      </c>
      <c r="E24" s="55"/>
      <c r="F24" s="55"/>
      <c r="G24" s="55"/>
      <c r="H24" s="53" t="str">
        <f>IF(E24=F24+G24," ","ERROR")</f>
        <v xml:space="preserve"> </v>
      </c>
    </row>
    <row r="25" spans="1:8">
      <c r="A25" s="47">
        <v>13</v>
      </c>
      <c r="B25" s="50" t="s">
        <v>158</v>
      </c>
      <c r="E25" s="55">
        <f>F25+G25</f>
        <v>0</v>
      </c>
      <c r="F25" s="55">
        <v>0</v>
      </c>
      <c r="G25" s="55">
        <v>0</v>
      </c>
      <c r="H25" s="53" t="str">
        <f>IF(E25=F25+G25," ","ERROR")</f>
        <v xml:space="preserve"> </v>
      </c>
    </row>
    <row r="26" spans="1:8">
      <c r="A26" s="47">
        <v>14</v>
      </c>
      <c r="B26" s="50" t="s">
        <v>156</v>
      </c>
      <c r="E26" s="55">
        <f>F26+G26</f>
        <v>0</v>
      </c>
      <c r="F26" s="55">
        <v>0</v>
      </c>
      <c r="G26" s="1131">
        <f>F109</f>
        <v>0</v>
      </c>
      <c r="H26" s="53" t="str">
        <f>IF(E26=F26+G26," ","ERROR")</f>
        <v xml:space="preserve"> </v>
      </c>
    </row>
    <row r="27" spans="1:8">
      <c r="A27" s="47">
        <v>15</v>
      </c>
      <c r="B27" s="50" t="s">
        <v>159</v>
      </c>
      <c r="E27" s="56">
        <f>E24+E25+E26</f>
        <v>0</v>
      </c>
      <c r="F27" s="56">
        <f>F24+F25+F26</f>
        <v>0</v>
      </c>
      <c r="G27" s="56">
        <f>G24+G25+G26</f>
        <v>0</v>
      </c>
      <c r="H27" s="53" t="str">
        <f>IF(E27=F27+G27," ","ERROR")</f>
        <v xml:space="preserve"> </v>
      </c>
    </row>
    <row r="28" spans="1:8">
      <c r="E28" s="58"/>
      <c r="F28" s="58"/>
      <c r="G28" s="58"/>
      <c r="H28" s="53"/>
    </row>
    <row r="29" spans="1:8">
      <c r="A29" s="47">
        <v>16</v>
      </c>
      <c r="B29" s="50" t="s">
        <v>101</v>
      </c>
      <c r="E29" s="55">
        <f>SUM(F29:G29)</f>
        <v>0</v>
      </c>
      <c r="F29" s="55">
        <v>0</v>
      </c>
      <c r="G29" s="55"/>
      <c r="H29" s="53" t="str">
        <f>IF(E29=F29+G29," ","ERROR")</f>
        <v xml:space="preserve"> </v>
      </c>
    </row>
    <row r="30" spans="1:8">
      <c r="A30" s="47">
        <v>17</v>
      </c>
      <c r="B30" s="50" t="s">
        <v>102</v>
      </c>
      <c r="E30" s="55"/>
      <c r="F30" s="55"/>
      <c r="G30" s="55"/>
      <c r="H30" s="53" t="str">
        <f>IF(E30=F30+G30," ","ERROR")</f>
        <v xml:space="preserve"> </v>
      </c>
    </row>
    <row r="31" spans="1:8">
      <c r="A31" s="47">
        <v>18</v>
      </c>
      <c r="B31" s="50" t="s">
        <v>160</v>
      </c>
      <c r="E31" s="55"/>
      <c r="F31" s="55"/>
      <c r="G31" s="55"/>
      <c r="H31" s="53" t="str">
        <f>IF(E31=F31+G31," ","ERROR")</f>
        <v xml:space="preserve"> </v>
      </c>
    </row>
    <row r="32" spans="1:8">
      <c r="E32" s="58"/>
      <c r="F32" s="58"/>
      <c r="G32" s="58"/>
      <c r="H32" s="53"/>
    </row>
    <row r="33" spans="1:8">
      <c r="B33" s="50" t="s">
        <v>104</v>
      </c>
      <c r="E33" s="58"/>
      <c r="F33" s="58"/>
      <c r="G33" s="58"/>
      <c r="H33" s="53"/>
    </row>
    <row r="34" spans="1:8">
      <c r="A34" s="47">
        <v>19</v>
      </c>
      <c r="B34" s="50" t="s">
        <v>153</v>
      </c>
      <c r="E34" s="55">
        <f>SUM(F34:G34)</f>
        <v>0</v>
      </c>
      <c r="F34" s="55">
        <v>0</v>
      </c>
      <c r="G34" s="55">
        <v>0</v>
      </c>
      <c r="H34" s="53" t="str">
        <f>IF(E34=F34+G34," ","ERROR")</f>
        <v xml:space="preserve"> </v>
      </c>
    </row>
    <row r="35" spans="1:8">
      <c r="A35" s="47">
        <v>20</v>
      </c>
      <c r="B35" s="50" t="s">
        <v>158</v>
      </c>
      <c r="E35" s="55">
        <f>SUM(F35:G35)</f>
        <v>0</v>
      </c>
      <c r="F35" s="55">
        <v>0</v>
      </c>
      <c r="G35" s="55">
        <v>0</v>
      </c>
      <c r="H35" s="53" t="str">
        <f>IF(E35=F35+G35," ","ERROR")</f>
        <v xml:space="preserve"> </v>
      </c>
    </row>
    <row r="36" spans="1:8">
      <c r="A36" s="47">
        <v>21</v>
      </c>
      <c r="B36" s="50" t="s">
        <v>156</v>
      </c>
      <c r="E36" s="55"/>
      <c r="F36" s="55"/>
      <c r="G36" s="55"/>
      <c r="H36" s="53" t="str">
        <f>IF(E36=F36+G36," ","ERROR")</f>
        <v xml:space="preserve"> </v>
      </c>
    </row>
    <row r="37" spans="1:8">
      <c r="A37" s="47">
        <v>22</v>
      </c>
      <c r="B37" s="50" t="s">
        <v>161</v>
      </c>
      <c r="E37" s="60">
        <f>E34+E35+E36</f>
        <v>0</v>
      </c>
      <c r="F37" s="60">
        <f>F34+F35+F36</f>
        <v>0</v>
      </c>
      <c r="G37" s="60">
        <f>G34+G35+G36</f>
        <v>0</v>
      </c>
      <c r="H37" s="53" t="str">
        <f>IF(E37=F37+G37," ","ERROR")</f>
        <v xml:space="preserve"> </v>
      </c>
    </row>
    <row r="38" spans="1:8">
      <c r="A38" s="47">
        <v>23</v>
      </c>
      <c r="B38" s="50" t="s">
        <v>106</v>
      </c>
      <c r="E38" s="61">
        <f>E21+E27+E29+E30+E31+E37</f>
        <v>240</v>
      </c>
      <c r="F38" s="61">
        <f>F21+F27+F29+F30+F31+F37</f>
        <v>240</v>
      </c>
      <c r="G38" s="61">
        <f>G21+G27+G29+G30+G31+G37</f>
        <v>0</v>
      </c>
      <c r="H38" s="53" t="str">
        <f>IF(E38=F38+G38," ","ERROR")</f>
        <v xml:space="preserve"> </v>
      </c>
    </row>
    <row r="39" spans="1:8">
      <c r="E39" s="58"/>
      <c r="F39" s="58"/>
      <c r="G39" s="58"/>
      <c r="H39" s="53"/>
    </row>
    <row r="40" spans="1:8">
      <c r="A40" s="47">
        <v>24</v>
      </c>
      <c r="B40" s="50" t="s">
        <v>162</v>
      </c>
      <c r="E40" s="58">
        <f>E13-E38</f>
        <v>-240</v>
      </c>
      <c r="F40" s="58">
        <f>F13-F38</f>
        <v>-240</v>
      </c>
      <c r="G40" s="58">
        <f>G13-G38</f>
        <v>0</v>
      </c>
      <c r="H40" s="53" t="str">
        <f>IF(E40=F40+G40," ","ERROR")</f>
        <v xml:space="preserve"> </v>
      </c>
    </row>
    <row r="41" spans="1:8">
      <c r="B41" s="50"/>
      <c r="E41" s="58"/>
      <c r="F41" s="58"/>
      <c r="G41" s="58"/>
      <c r="H41" s="53"/>
    </row>
    <row r="42" spans="1:8">
      <c r="B42" s="50" t="s">
        <v>163</v>
      </c>
      <c r="E42" s="58"/>
      <c r="F42" s="58"/>
      <c r="G42" s="58"/>
      <c r="H42" s="53"/>
    </row>
    <row r="43" spans="1:8">
      <c r="A43" s="47">
        <v>25</v>
      </c>
      <c r="B43" s="50" t="s">
        <v>164</v>
      </c>
      <c r="D43" s="62">
        <v>0.35</v>
      </c>
      <c r="E43" s="55">
        <f>F43+G43</f>
        <v>-84</v>
      </c>
      <c r="F43" s="55">
        <f>ROUND(F40*D43,0)</f>
        <v>-84</v>
      </c>
      <c r="G43" s="55">
        <f>ROUND(G40*D43,0)</f>
        <v>0</v>
      </c>
      <c r="H43" s="53" t="str">
        <f>IF(E43=F43+G43," ","ERROR")</f>
        <v xml:space="preserve"> </v>
      </c>
    </row>
    <row r="44" spans="1:8">
      <c r="A44" s="47">
        <v>26</v>
      </c>
      <c r="B44" s="50" t="s">
        <v>165</v>
      </c>
      <c r="E44" s="55"/>
      <c r="F44" s="55"/>
      <c r="G44" s="55"/>
      <c r="H44" s="53" t="str">
        <f>IF(E44=F44+G44," ","ERROR")</f>
        <v xml:space="preserve"> </v>
      </c>
    </row>
    <row r="45" spans="1:8">
      <c r="A45"/>
      <c r="B45"/>
      <c r="C45"/>
      <c r="D45"/>
      <c r="E45" s="913"/>
      <c r="F45" s="913"/>
      <c r="G45" s="913"/>
      <c r="H45" s="53" t="str">
        <f>IF(E45=F45+G45," ","ERROR")</f>
        <v xml:space="preserve"> </v>
      </c>
    </row>
    <row r="46" spans="1:8">
      <c r="A46" s="259"/>
      <c r="B46" s="262"/>
      <c r="C46" s="256"/>
      <c r="D46" s="256"/>
      <c r="E46" s="269"/>
      <c r="F46" s="269"/>
      <c r="G46" s="269"/>
      <c r="H46" s="53"/>
    </row>
    <row r="47" spans="1:8">
      <c r="A47" s="263">
        <v>27</v>
      </c>
      <c r="B47" s="264" t="s">
        <v>113</v>
      </c>
      <c r="C47" s="265"/>
      <c r="D47" s="265"/>
      <c r="E47" s="273">
        <f>E40-SUM(E43:E44)</f>
        <v>-156</v>
      </c>
      <c r="F47" s="273">
        <f>F40-SUM(F43:F44)</f>
        <v>-156</v>
      </c>
      <c r="G47" s="273">
        <f>G40-SUM(G43:G44)</f>
        <v>0</v>
      </c>
      <c r="H47" s="53" t="str">
        <f>IF(E47=F47+G47," ","ERROR")</f>
        <v xml:space="preserve"> </v>
      </c>
    </row>
    <row r="48" spans="1:8">
      <c r="A48" s="259"/>
      <c r="H48" s="53"/>
    </row>
    <row r="49" spans="1:8">
      <c r="A49" s="259"/>
      <c r="B49" s="50" t="s">
        <v>114</v>
      </c>
      <c r="H49" s="53"/>
    </row>
    <row r="50" spans="1:8">
      <c r="A50" s="259"/>
      <c r="B50" s="50" t="s">
        <v>115</v>
      </c>
      <c r="H50" s="53"/>
    </row>
    <row r="51" spans="1:8">
      <c r="A51" s="263">
        <v>28</v>
      </c>
      <c r="B51" s="52" t="s">
        <v>167</v>
      </c>
      <c r="C51" s="53"/>
      <c r="D51" s="53"/>
      <c r="E51" s="54">
        <f>F51+G51</f>
        <v>0</v>
      </c>
      <c r="F51" s="54">
        <v>0</v>
      </c>
      <c r="G51" s="54">
        <v>0</v>
      </c>
      <c r="H51" s="53" t="str">
        <f t="shared" ref="H51:H61" si="1">IF(E51=F51+G51," ","ERROR")</f>
        <v xml:space="preserve"> </v>
      </c>
    </row>
    <row r="52" spans="1:8">
      <c r="A52" s="259">
        <v>29</v>
      </c>
      <c r="B52" s="50" t="s">
        <v>168</v>
      </c>
      <c r="E52" s="55">
        <f>F52+G52</f>
        <v>5464</v>
      </c>
      <c r="F52" s="55">
        <v>5464</v>
      </c>
      <c r="G52" s="55">
        <v>0</v>
      </c>
      <c r="H52" s="53" t="str">
        <f t="shared" si="1"/>
        <v xml:space="preserve"> </v>
      </c>
    </row>
    <row r="53" spans="1:8">
      <c r="A53" s="259">
        <v>30</v>
      </c>
      <c r="B53" s="50" t="s">
        <v>169</v>
      </c>
      <c r="E53" s="55">
        <f>F53+G53</f>
        <v>0</v>
      </c>
      <c r="F53" s="55">
        <v>0</v>
      </c>
      <c r="G53" s="55">
        <v>0</v>
      </c>
      <c r="H53" s="53" t="str">
        <f t="shared" si="1"/>
        <v xml:space="preserve"> </v>
      </c>
    </row>
    <row r="54" spans="1:8">
      <c r="A54" s="259">
        <v>31</v>
      </c>
      <c r="B54" s="50" t="s">
        <v>170</v>
      </c>
      <c r="E54" s="55">
        <f>F54+G54</f>
        <v>0</v>
      </c>
      <c r="F54" s="55">
        <v>0</v>
      </c>
      <c r="G54" s="55">
        <v>0</v>
      </c>
      <c r="H54" s="53" t="str">
        <f t="shared" si="1"/>
        <v xml:space="preserve"> </v>
      </c>
    </row>
    <row r="55" spans="1:8">
      <c r="A55" s="259">
        <v>32</v>
      </c>
      <c r="B55" s="50" t="s">
        <v>171</v>
      </c>
      <c r="E55" s="55">
        <f>F55+G55</f>
        <v>0</v>
      </c>
      <c r="F55" s="59">
        <v>0</v>
      </c>
      <c r="G55" s="59">
        <v>0</v>
      </c>
      <c r="H55" s="53" t="str">
        <f t="shared" si="1"/>
        <v xml:space="preserve"> </v>
      </c>
    </row>
    <row r="56" spans="1:8">
      <c r="A56" s="259">
        <v>33</v>
      </c>
      <c r="B56" s="50" t="s">
        <v>172</v>
      </c>
      <c r="E56" s="56">
        <f>E51+E52+E53+E54+E55</f>
        <v>5464</v>
      </c>
      <c r="F56" s="58">
        <f>F51+F52+F53+F54+F55</f>
        <v>5464</v>
      </c>
      <c r="G56" s="58">
        <f>G51+G52+G53+G54+G55</f>
        <v>0</v>
      </c>
      <c r="H56" s="53" t="str">
        <f t="shared" si="1"/>
        <v xml:space="preserve"> </v>
      </c>
    </row>
    <row r="57" spans="1:8">
      <c r="A57" s="259">
        <v>34</v>
      </c>
      <c r="B57" s="50" t="s">
        <v>121</v>
      </c>
      <c r="E57" s="55">
        <f>F57+G57</f>
        <v>56</v>
      </c>
      <c r="F57" s="55">
        <v>56</v>
      </c>
      <c r="G57" s="55">
        <v>0</v>
      </c>
      <c r="H57" s="53" t="str">
        <f t="shared" si="1"/>
        <v xml:space="preserve"> </v>
      </c>
    </row>
    <row r="58" spans="1:8">
      <c r="A58" s="259">
        <v>35</v>
      </c>
      <c r="B58" s="50" t="s">
        <v>122</v>
      </c>
      <c r="E58" s="59"/>
      <c r="F58" s="59"/>
      <c r="G58" s="59"/>
      <c r="H58" s="53" t="str">
        <f t="shared" si="1"/>
        <v xml:space="preserve"> </v>
      </c>
    </row>
    <row r="59" spans="1:8">
      <c r="A59" s="259">
        <v>36</v>
      </c>
      <c r="B59" s="50" t="s">
        <v>173</v>
      </c>
      <c r="E59" s="58">
        <f>E57+E58</f>
        <v>56</v>
      </c>
      <c r="F59" s="58">
        <f>F57+F58</f>
        <v>56</v>
      </c>
      <c r="G59" s="58">
        <f>G57+G58</f>
        <v>0</v>
      </c>
      <c r="H59" s="53" t="str">
        <f t="shared" si="1"/>
        <v xml:space="preserve"> </v>
      </c>
    </row>
    <row r="60" spans="1:8">
      <c r="A60" s="259">
        <v>37</v>
      </c>
      <c r="B60" s="50" t="s">
        <v>124</v>
      </c>
      <c r="E60" s="55"/>
      <c r="F60" s="55"/>
      <c r="G60" s="55"/>
      <c r="H60" s="53" t="str">
        <f t="shared" si="1"/>
        <v xml:space="preserve"> </v>
      </c>
    </row>
    <row r="61" spans="1:8">
      <c r="A61" s="259">
        <v>38</v>
      </c>
      <c r="B61" s="50" t="s">
        <v>125</v>
      </c>
      <c r="E61" s="59">
        <f>F61+G61</f>
        <v>-22</v>
      </c>
      <c r="F61" s="59">
        <v>-22</v>
      </c>
      <c r="G61" s="59">
        <v>0</v>
      </c>
      <c r="H61" s="53" t="str">
        <f t="shared" si="1"/>
        <v xml:space="preserve"> </v>
      </c>
    </row>
    <row r="62" spans="1:8" ht="11.25" customHeight="1">
      <c r="A62" s="259"/>
      <c r="H62" s="53"/>
    </row>
    <row r="63" spans="1:8" ht="13.5" thickBot="1">
      <c r="A63" s="263">
        <v>39</v>
      </c>
      <c r="B63" s="52" t="s">
        <v>126</v>
      </c>
      <c r="C63" s="53"/>
      <c r="D63" s="53"/>
      <c r="E63" s="63">
        <f>E56-E59+E60+E61</f>
        <v>5386</v>
      </c>
      <c r="F63" s="63">
        <f>F56-F59+F60+F61</f>
        <v>5386</v>
      </c>
      <c r="G63" s="63">
        <f>G56-G59+G60+G61</f>
        <v>0</v>
      </c>
      <c r="H63" s="53" t="str">
        <f>IF(E63=F63+G63," ","ERROR")</f>
        <v xml:space="preserve"> </v>
      </c>
    </row>
    <row r="64" spans="1:8" ht="13.5" thickTop="1">
      <c r="A64" s="44"/>
      <c r="B64" s="69"/>
      <c r="C64" s="69"/>
      <c r="D64" s="69"/>
      <c r="E64" s="671"/>
      <c r="F64" s="672"/>
      <c r="G64" s="69"/>
      <c r="H64" s="69"/>
    </row>
    <row r="65" spans="1:7">
      <c r="A65" s="454" t="str">
        <f>Inputs!$D$6</f>
        <v>AVISTA UTILITIES</v>
      </c>
      <c r="B65" s="454"/>
      <c r="C65" s="454"/>
      <c r="D65" s="476"/>
      <c r="E65" s="477"/>
      <c r="F65" s="476"/>
      <c r="G65" s="478"/>
    </row>
    <row r="66" spans="1:7">
      <c r="A66" s="454" t="s">
        <v>225</v>
      </c>
      <c r="B66" s="454"/>
      <c r="C66" s="454"/>
      <c r="D66" s="476"/>
      <c r="E66" s="477"/>
      <c r="F66" s="476"/>
      <c r="G66" s="478"/>
    </row>
    <row r="67" spans="1:7">
      <c r="A67" s="454" t="str">
        <f>A3</f>
        <v>TWELVE MONTHS ENDED SEPTEMBER 30, 2008</v>
      </c>
      <c r="B67" s="454"/>
      <c r="C67" s="454"/>
      <c r="D67" s="476"/>
      <c r="E67" s="477"/>
      <c r="F67" s="479" t="str">
        <f>F2</f>
        <v>PRO FORMA</v>
      </c>
      <c r="G67" s="476"/>
    </row>
    <row r="68" spans="1:7">
      <c r="A68" s="454" t="s">
        <v>226</v>
      </c>
      <c r="B68" s="454"/>
      <c r="C68" s="454"/>
      <c r="D68" s="476"/>
      <c r="E68" s="477"/>
      <c r="F68" s="479" t="str">
        <f>F3</f>
        <v>NOXON GENERATION 2010</v>
      </c>
      <c r="G68" s="476"/>
    </row>
    <row r="69" spans="1:7">
      <c r="A69" s="456"/>
      <c r="B69" s="476"/>
      <c r="C69" s="476"/>
      <c r="D69" s="476"/>
      <c r="E69" s="480"/>
      <c r="F69" s="481" t="str">
        <f>F4</f>
        <v>ELECTRIC</v>
      </c>
      <c r="G69" s="476"/>
    </row>
    <row r="70" spans="1:7">
      <c r="A70" s="456"/>
      <c r="B70" s="476"/>
      <c r="C70" s="476"/>
      <c r="D70" s="476"/>
      <c r="E70" s="477"/>
      <c r="F70" s="479"/>
      <c r="G70" s="483"/>
    </row>
    <row r="71" spans="1:7">
      <c r="A71" s="456"/>
      <c r="B71" s="484" t="s">
        <v>134</v>
      </c>
      <c r="C71" s="485"/>
      <c r="D71" s="476"/>
      <c r="E71" s="477"/>
      <c r="F71" s="481" t="s">
        <v>128</v>
      </c>
      <c r="G71" s="476"/>
    </row>
    <row r="72" spans="1:7">
      <c r="A72" s="456"/>
      <c r="B72" s="462" t="s">
        <v>85</v>
      </c>
      <c r="C72" s="476"/>
      <c r="D72" s="476"/>
      <c r="E72" s="476"/>
      <c r="F72" s="478"/>
      <c r="G72" s="476"/>
    </row>
    <row r="73" spans="1:7">
      <c r="A73" s="456"/>
      <c r="B73" s="464" t="s">
        <v>86</v>
      </c>
      <c r="C73" s="476"/>
      <c r="D73" s="476"/>
      <c r="E73" s="476"/>
      <c r="F73" s="486">
        <f>G8</f>
        <v>0</v>
      </c>
      <c r="G73" s="476"/>
    </row>
    <row r="74" spans="1:7">
      <c r="A74" s="456"/>
      <c r="B74" s="462" t="s">
        <v>87</v>
      </c>
      <c r="C74" s="476"/>
      <c r="D74" s="476"/>
      <c r="E74" s="476"/>
      <c r="F74" s="469">
        <f>G9</f>
        <v>0</v>
      </c>
      <c r="G74" s="476"/>
    </row>
    <row r="75" spans="1:7">
      <c r="A75" s="456"/>
      <c r="B75" s="462" t="s">
        <v>150</v>
      </c>
      <c r="C75" s="476"/>
      <c r="D75" s="476"/>
      <c r="E75" s="476"/>
      <c r="F75" s="472">
        <f>G10</f>
        <v>0</v>
      </c>
      <c r="G75" s="476"/>
    </row>
    <row r="76" spans="1:7">
      <c r="A76" s="456"/>
      <c r="B76" s="462" t="s">
        <v>151</v>
      </c>
      <c r="C76" s="476"/>
      <c r="D76" s="476"/>
      <c r="E76" s="476"/>
      <c r="F76" s="469">
        <f>SUM(F73:F75)</f>
        <v>0</v>
      </c>
      <c r="G76" s="476"/>
    </row>
    <row r="77" spans="1:7">
      <c r="A77" s="456"/>
      <c r="B77" s="462" t="s">
        <v>90</v>
      </c>
      <c r="C77" s="476"/>
      <c r="D77" s="476"/>
      <c r="E77" s="476"/>
      <c r="F77" s="472">
        <f>G12</f>
        <v>0</v>
      </c>
      <c r="G77" s="476"/>
    </row>
    <row r="78" spans="1:7">
      <c r="A78" s="456"/>
      <c r="B78" s="462" t="s">
        <v>152</v>
      </c>
      <c r="C78" s="476"/>
      <c r="D78" s="476"/>
      <c r="E78" s="476"/>
      <c r="F78" s="469">
        <f>F76+F77</f>
        <v>0</v>
      </c>
      <c r="G78" s="476"/>
    </row>
    <row r="79" spans="1:7">
      <c r="A79" s="456"/>
      <c r="B79" s="455"/>
      <c r="C79" s="476"/>
      <c r="D79" s="476"/>
      <c r="E79" s="476"/>
      <c r="F79" s="469"/>
      <c r="G79" s="476"/>
    </row>
    <row r="80" spans="1:7">
      <c r="A80" s="456"/>
      <c r="B80" s="462" t="s">
        <v>92</v>
      </c>
      <c r="C80" s="476"/>
      <c r="D80" s="476"/>
      <c r="E80" s="476"/>
      <c r="F80" s="469"/>
      <c r="G80" s="476"/>
    </row>
    <row r="81" spans="1:7">
      <c r="A81" s="456"/>
      <c r="B81" s="462" t="s">
        <v>93</v>
      </c>
      <c r="C81" s="476"/>
      <c r="D81" s="476"/>
      <c r="E81" s="476"/>
      <c r="F81" s="469"/>
      <c r="G81" s="476"/>
    </row>
    <row r="82" spans="1:7">
      <c r="A82" s="456"/>
      <c r="B82" s="462" t="s">
        <v>153</v>
      </c>
      <c r="C82" s="476"/>
      <c r="D82" s="476"/>
      <c r="E82" s="476"/>
      <c r="F82" s="469">
        <f>G17</f>
        <v>0</v>
      </c>
      <c r="G82" s="476"/>
    </row>
    <row r="83" spans="1:7">
      <c r="A83" s="456"/>
      <c r="B83" s="462" t="s">
        <v>154</v>
      </c>
      <c r="C83" s="476"/>
      <c r="D83" s="476"/>
      <c r="E83" s="476"/>
      <c r="F83" s="469">
        <f>G18</f>
        <v>0</v>
      </c>
      <c r="G83" s="476"/>
    </row>
    <row r="84" spans="1:7">
      <c r="A84" s="456"/>
      <c r="B84" s="462" t="s">
        <v>155</v>
      </c>
      <c r="C84" s="476"/>
      <c r="D84" s="476"/>
      <c r="E84" s="476"/>
      <c r="F84" s="469">
        <f>G19</f>
        <v>0</v>
      </c>
      <c r="G84" s="476"/>
    </row>
    <row r="85" spans="1:7">
      <c r="A85" s="456"/>
      <c r="B85" s="462" t="s">
        <v>156</v>
      </c>
      <c r="C85" s="476"/>
      <c r="D85" s="476"/>
      <c r="E85" s="476"/>
      <c r="F85" s="472">
        <f>G20</f>
        <v>0</v>
      </c>
      <c r="G85" s="476"/>
    </row>
    <row r="86" spans="1:7">
      <c r="A86" s="456"/>
      <c r="B86" s="462" t="s">
        <v>157</v>
      </c>
      <c r="C86" s="476"/>
      <c r="D86" s="476"/>
      <c r="E86" s="476"/>
      <c r="F86" s="469">
        <f>SUM(F82:F85)</f>
        <v>0</v>
      </c>
      <c r="G86" s="476"/>
    </row>
    <row r="87" spans="1:7">
      <c r="A87" s="456"/>
      <c r="B87" s="455"/>
      <c r="C87" s="476"/>
      <c r="D87" s="476"/>
      <c r="E87" s="476"/>
      <c r="F87" s="469"/>
      <c r="G87" s="476"/>
    </row>
    <row r="88" spans="1:7">
      <c r="A88" s="456"/>
      <c r="B88" s="462" t="s">
        <v>98</v>
      </c>
      <c r="C88" s="476"/>
      <c r="D88" s="476"/>
      <c r="E88" s="476"/>
      <c r="F88" s="469"/>
      <c r="G88" s="476"/>
    </row>
    <row r="89" spans="1:7">
      <c r="A89" s="456"/>
      <c r="B89" s="462" t="s">
        <v>153</v>
      </c>
      <c r="C89" s="476"/>
      <c r="D89" s="476"/>
      <c r="E89" s="476"/>
      <c r="F89" s="469">
        <f>G24</f>
        <v>0</v>
      </c>
      <c r="G89" s="476"/>
    </row>
    <row r="90" spans="1:7">
      <c r="A90" s="456"/>
      <c r="B90" s="462" t="s">
        <v>158</v>
      </c>
      <c r="C90" s="476"/>
      <c r="D90" s="476"/>
      <c r="E90" s="476"/>
      <c r="F90" s="469">
        <f>G25</f>
        <v>0</v>
      </c>
      <c r="G90" s="476"/>
    </row>
    <row r="91" spans="1:7">
      <c r="A91" s="455"/>
      <c r="B91" s="462" t="s">
        <v>156</v>
      </c>
      <c r="C91" s="476"/>
      <c r="D91" s="476"/>
      <c r="E91" s="476"/>
      <c r="F91" s="469">
        <v>0</v>
      </c>
      <c r="G91" s="476"/>
    </row>
    <row r="92" spans="1:7">
      <c r="A92" s="455"/>
      <c r="B92" s="462" t="s">
        <v>159</v>
      </c>
      <c r="C92" s="476"/>
      <c r="D92" s="476"/>
      <c r="E92" s="476"/>
      <c r="F92" s="468">
        <f>SUM(F89:F91)</f>
        <v>0</v>
      </c>
      <c r="G92" s="476"/>
    </row>
    <row r="93" spans="1:7">
      <c r="A93" s="455"/>
      <c r="B93" s="455"/>
      <c r="C93" s="476"/>
      <c r="D93" s="476"/>
      <c r="E93" s="476"/>
      <c r="F93" s="469"/>
      <c r="G93" s="476"/>
    </row>
    <row r="94" spans="1:7">
      <c r="A94" s="455"/>
      <c r="B94" s="462" t="s">
        <v>101</v>
      </c>
      <c r="C94" s="476"/>
      <c r="D94" s="476"/>
      <c r="E94" s="476"/>
      <c r="F94" s="469">
        <f>G29</f>
        <v>0</v>
      </c>
      <c r="G94" s="476"/>
    </row>
    <row r="95" spans="1:7">
      <c r="A95" s="455"/>
      <c r="B95" s="462" t="s">
        <v>102</v>
      </c>
      <c r="C95" s="476"/>
      <c r="D95" s="476"/>
      <c r="E95" s="476"/>
      <c r="F95" s="469">
        <f>G30</f>
        <v>0</v>
      </c>
      <c r="G95" s="476"/>
    </row>
    <row r="96" spans="1:7">
      <c r="A96" s="455"/>
      <c r="B96" s="462" t="s">
        <v>160</v>
      </c>
      <c r="C96" s="476"/>
      <c r="D96" s="476"/>
      <c r="E96" s="476"/>
      <c r="F96" s="469">
        <f>G31</f>
        <v>0</v>
      </c>
      <c r="G96" s="476"/>
    </row>
    <row r="97" spans="1:7">
      <c r="A97" s="455"/>
      <c r="B97" s="455"/>
      <c r="C97" s="476"/>
      <c r="D97" s="476"/>
      <c r="E97" s="476"/>
      <c r="F97" s="469"/>
      <c r="G97" s="476"/>
    </row>
    <row r="98" spans="1:7">
      <c r="A98" s="455"/>
      <c r="B98" s="462" t="s">
        <v>104</v>
      </c>
      <c r="C98" s="476"/>
      <c r="D98" s="476"/>
      <c r="E98" s="476"/>
      <c r="F98" s="469"/>
      <c r="G98" s="476"/>
    </row>
    <row r="99" spans="1:7">
      <c r="A99" s="455"/>
      <c r="B99" s="462" t="s">
        <v>153</v>
      </c>
      <c r="C99" s="476"/>
      <c r="D99" s="476"/>
      <c r="E99" s="476"/>
      <c r="F99" s="469">
        <f>G34</f>
        <v>0</v>
      </c>
      <c r="G99" s="476"/>
    </row>
    <row r="100" spans="1:7">
      <c r="A100" s="455"/>
      <c r="B100" s="462" t="s">
        <v>158</v>
      </c>
      <c r="C100" s="476"/>
      <c r="D100" s="476"/>
      <c r="E100" s="476"/>
      <c r="F100" s="469">
        <f>G35</f>
        <v>0</v>
      </c>
      <c r="G100" s="476"/>
    </row>
    <row r="101" spans="1:7">
      <c r="A101" s="455"/>
      <c r="B101" s="462" t="s">
        <v>156</v>
      </c>
      <c r="C101" s="476"/>
      <c r="D101" s="476"/>
      <c r="E101" s="476"/>
      <c r="F101" s="472">
        <f>G36</f>
        <v>0</v>
      </c>
      <c r="G101" s="476"/>
    </row>
    <row r="102" spans="1:7">
      <c r="A102" s="455"/>
      <c r="B102" s="462" t="s">
        <v>161</v>
      </c>
      <c r="C102" s="476"/>
      <c r="D102" s="476"/>
      <c r="E102" s="476"/>
      <c r="F102" s="469">
        <f>F99+F100+F101</f>
        <v>0</v>
      </c>
      <c r="G102" s="476"/>
    </row>
    <row r="103" spans="1:7">
      <c r="A103" s="455"/>
      <c r="B103" s="476"/>
      <c r="C103" s="476"/>
      <c r="D103" s="476"/>
      <c r="E103" s="476"/>
      <c r="F103" s="469"/>
      <c r="G103" s="476"/>
    </row>
    <row r="104" spans="1:7">
      <c r="A104" s="455"/>
      <c r="B104" s="476" t="s">
        <v>106</v>
      </c>
      <c r="C104" s="476"/>
      <c r="D104" s="476"/>
      <c r="E104" s="476"/>
      <c r="F104" s="471">
        <f>F86+F92+F94+F95+F96+F102</f>
        <v>0</v>
      </c>
      <c r="G104" s="476"/>
    </row>
    <row r="105" spans="1:7">
      <c r="A105" s="455"/>
      <c r="B105" s="476"/>
      <c r="C105" s="476"/>
      <c r="D105" s="476"/>
      <c r="E105" s="476"/>
      <c r="F105" s="469"/>
      <c r="G105" s="476"/>
    </row>
    <row r="106" spans="1:7">
      <c r="A106" s="455"/>
      <c r="B106" s="476" t="s">
        <v>227</v>
      </c>
      <c r="C106" s="476"/>
      <c r="D106" s="476"/>
      <c r="E106" s="476"/>
      <c r="F106" s="472">
        <f>F78-F104</f>
        <v>0</v>
      </c>
      <c r="G106" s="476"/>
    </row>
    <row r="107" spans="1:7">
      <c r="A107" s="455"/>
      <c r="B107" s="476"/>
      <c r="C107" s="476"/>
      <c r="D107" s="476"/>
      <c r="E107" s="476"/>
      <c r="F107" s="469"/>
      <c r="G107" s="476"/>
    </row>
    <row r="108" spans="1:7">
      <c r="A108" s="455"/>
      <c r="B108" s="476" t="s">
        <v>228</v>
      </c>
      <c r="C108" s="476"/>
      <c r="D108" s="476"/>
      <c r="E108" s="477"/>
      <c r="F108" s="469"/>
      <c r="G108" s="476"/>
    </row>
    <row r="109" spans="1:7" ht="13.5" thickBot="1">
      <c r="A109" s="455"/>
      <c r="B109" s="488" t="s">
        <v>229</v>
      </c>
      <c r="C109" s="489">
        <f>Inputs!$D$4</f>
        <v>1.2215999999999999E-2</v>
      </c>
      <c r="D109" s="476"/>
      <c r="E109" s="477"/>
      <c r="F109" s="475">
        <f>ROUND(F106*C109,0)</f>
        <v>0</v>
      </c>
      <c r="G109" s="476"/>
    </row>
    <row r="110" spans="1:7" ht="13.5" thickTop="1"/>
  </sheetData>
  <phoneticPr fontId="0" type="noConversion"/>
  <pageMargins left="1" right="0.75" top="0.5" bottom="0.5" header="0.48" footer="0"/>
  <pageSetup scale="90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76"/>
  <dimension ref="A1:H110"/>
  <sheetViews>
    <sheetView topLeftCell="A23" workbookViewId="0">
      <selection activeCell="F43" sqref="F43"/>
    </sheetView>
  </sheetViews>
  <sheetFormatPr defaultRowHeight="12.75"/>
  <cols>
    <col min="1" max="1" width="5.5703125" style="47" customWidth="1"/>
    <col min="2" max="2" width="26.140625" style="44" customWidth="1"/>
    <col min="3" max="3" width="12.42578125" style="44" customWidth="1"/>
    <col min="4" max="4" width="6.7109375" style="44" customWidth="1"/>
    <col min="5" max="8" width="12.42578125" style="44" customWidth="1"/>
  </cols>
  <sheetData>
    <row r="1" spans="1:8">
      <c r="A1" s="42" t="str">
        <f>Inputs!$D$6</f>
        <v>AVISTA UTILITIES</v>
      </c>
      <c r="B1" s="43"/>
      <c r="C1" s="42"/>
    </row>
    <row r="2" spans="1:8">
      <c r="A2" s="42" t="s">
        <v>142</v>
      </c>
      <c r="B2" s="43"/>
      <c r="C2" s="42"/>
      <c r="E2" s="42"/>
      <c r="F2" s="456" t="s">
        <v>299</v>
      </c>
      <c r="G2" s="42"/>
    </row>
    <row r="3" spans="1:8">
      <c r="A3" s="43" t="str">
        <f>WAElec09_08!$A$4</f>
        <v>TWELVE MONTHS ENDED SEPTEMBER 30, 2008</v>
      </c>
      <c r="B3" s="43"/>
      <c r="C3" s="42"/>
      <c r="E3" s="42"/>
      <c r="F3" s="47" t="s">
        <v>680</v>
      </c>
      <c r="G3" s="42"/>
    </row>
    <row r="4" spans="1:8">
      <c r="A4" s="42" t="s">
        <v>1</v>
      </c>
      <c r="B4" s="43"/>
      <c r="C4" s="42"/>
      <c r="E4" s="45"/>
      <c r="F4" s="670" t="s">
        <v>145</v>
      </c>
      <c r="G4" s="46"/>
    </row>
    <row r="5" spans="1:8">
      <c r="A5" s="47" t="s">
        <v>14</v>
      </c>
    </row>
    <row r="6" spans="1:8">
      <c r="A6" s="47" t="s">
        <v>146</v>
      </c>
      <c r="B6" s="48" t="s">
        <v>36</v>
      </c>
      <c r="C6" s="48"/>
      <c r="D6" s="47"/>
      <c r="E6" s="48" t="s">
        <v>147</v>
      </c>
      <c r="F6" s="48" t="s">
        <v>148</v>
      </c>
      <c r="G6" s="48" t="s">
        <v>128</v>
      </c>
      <c r="H6" s="49" t="s">
        <v>149</v>
      </c>
    </row>
    <row r="7" spans="1:8">
      <c r="B7" s="50" t="s">
        <v>85</v>
      </c>
    </row>
    <row r="8" spans="1:8">
      <c r="A8" s="51">
        <v>1</v>
      </c>
      <c r="B8" s="52" t="s">
        <v>86</v>
      </c>
      <c r="C8" s="53"/>
      <c r="D8" s="53"/>
      <c r="E8" s="54">
        <f>F8+G8</f>
        <v>0</v>
      </c>
      <c r="F8" s="54">
        <v>0</v>
      </c>
      <c r="G8" s="54">
        <v>0</v>
      </c>
      <c r="H8" s="53" t="str">
        <f t="shared" ref="H8:H13" si="0">IF(E8=F8+G8," ","ERROR")</f>
        <v xml:space="preserve"> </v>
      </c>
    </row>
    <row r="9" spans="1:8">
      <c r="A9" s="47">
        <v>2</v>
      </c>
      <c r="B9" s="50" t="s">
        <v>87</v>
      </c>
      <c r="E9" s="55"/>
      <c r="F9" s="55"/>
      <c r="G9" s="55"/>
      <c r="H9" s="53" t="str">
        <f t="shared" si="0"/>
        <v xml:space="preserve"> </v>
      </c>
    </row>
    <row r="10" spans="1:8">
      <c r="A10" s="47">
        <v>3</v>
      </c>
      <c r="B10" s="50" t="s">
        <v>150</v>
      </c>
      <c r="E10" s="55"/>
      <c r="F10" s="55"/>
      <c r="G10" s="55"/>
      <c r="H10" s="53" t="str">
        <f t="shared" si="0"/>
        <v xml:space="preserve"> </v>
      </c>
    </row>
    <row r="11" spans="1:8">
      <c r="A11" s="47">
        <v>4</v>
      </c>
      <c r="B11" s="50" t="s">
        <v>151</v>
      </c>
      <c r="E11" s="56">
        <f>E8+E9+E10</f>
        <v>0</v>
      </c>
      <c r="F11" s="56">
        <f>F8+F9+F10</f>
        <v>0</v>
      </c>
      <c r="G11" s="56">
        <f>G8+G9+G10</f>
        <v>0</v>
      </c>
      <c r="H11" s="53" t="str">
        <f t="shared" si="0"/>
        <v xml:space="preserve"> </v>
      </c>
    </row>
    <row r="12" spans="1:8">
      <c r="A12" s="47">
        <v>5</v>
      </c>
      <c r="B12" s="50" t="s">
        <v>90</v>
      </c>
      <c r="E12" s="55"/>
      <c r="F12" s="55"/>
      <c r="G12" s="55"/>
      <c r="H12" s="53" t="str">
        <f t="shared" si="0"/>
        <v xml:space="preserve"> </v>
      </c>
    </row>
    <row r="13" spans="1:8">
      <c r="A13" s="47">
        <v>6</v>
      </c>
      <c r="B13" s="50" t="s">
        <v>152</v>
      </c>
      <c r="E13" s="56">
        <f>E11+E12</f>
        <v>0</v>
      </c>
      <c r="F13" s="56">
        <f>F11+F12</f>
        <v>0</v>
      </c>
      <c r="G13" s="56">
        <f>G11+G12</f>
        <v>0</v>
      </c>
      <c r="H13" s="53" t="str">
        <f t="shared" si="0"/>
        <v xml:space="preserve"> </v>
      </c>
    </row>
    <row r="14" spans="1:8">
      <c r="E14" s="58"/>
      <c r="F14" s="58"/>
      <c r="G14" s="58"/>
      <c r="H14" s="53"/>
    </row>
    <row r="15" spans="1:8">
      <c r="B15" s="50" t="s">
        <v>92</v>
      </c>
      <c r="E15" s="58"/>
      <c r="F15" s="58"/>
      <c r="G15" s="58"/>
      <c r="H15" s="53"/>
    </row>
    <row r="16" spans="1:8">
      <c r="B16" s="50" t="s">
        <v>93</v>
      </c>
      <c r="E16" s="58"/>
      <c r="F16" s="58"/>
      <c r="G16" s="58"/>
      <c r="H16" s="53"/>
    </row>
    <row r="17" spans="1:8">
      <c r="A17" s="47">
        <v>7</v>
      </c>
      <c r="B17" s="50" t="s">
        <v>153</v>
      </c>
      <c r="E17" s="55">
        <f>F17+G17</f>
        <v>0</v>
      </c>
      <c r="F17" s="55">
        <v>0</v>
      </c>
      <c r="G17" s="55">
        <v>0</v>
      </c>
      <c r="H17" s="53" t="str">
        <f>IF(E17=F17+G17," ","ERROR")</f>
        <v xml:space="preserve"> </v>
      </c>
    </row>
    <row r="18" spans="1:8">
      <c r="A18" s="47">
        <v>8</v>
      </c>
      <c r="B18" s="50" t="s">
        <v>154</v>
      </c>
      <c r="E18" s="55"/>
      <c r="F18" s="55"/>
      <c r="G18" s="55"/>
      <c r="H18" s="53" t="str">
        <f>IF(E18=F18+G18," ","ERROR")</f>
        <v xml:space="preserve"> </v>
      </c>
    </row>
    <row r="19" spans="1:8">
      <c r="A19" s="47">
        <v>9</v>
      </c>
      <c r="B19" s="50" t="s">
        <v>155</v>
      </c>
      <c r="E19" s="55">
        <f>F19+G19</f>
        <v>0</v>
      </c>
      <c r="F19" s="55">
        <v>0</v>
      </c>
      <c r="G19" s="55"/>
      <c r="H19" s="53" t="str">
        <f>IF(E19=F19+G19," ","ERROR")</f>
        <v xml:space="preserve"> </v>
      </c>
    </row>
    <row r="20" spans="1:8">
      <c r="A20" s="47">
        <v>10</v>
      </c>
      <c r="B20" s="50" t="s">
        <v>156</v>
      </c>
      <c r="E20" s="55">
        <f>F20+G20</f>
        <v>0</v>
      </c>
      <c r="F20" s="55"/>
      <c r="G20" s="55"/>
      <c r="H20" s="53" t="str">
        <f>IF(E20=F20+G20," ","ERROR")</f>
        <v xml:space="preserve"> </v>
      </c>
    </row>
    <row r="21" spans="1:8">
      <c r="A21" s="47">
        <v>11</v>
      </c>
      <c r="B21" s="50" t="s">
        <v>157</v>
      </c>
      <c r="E21" s="56">
        <f>E17+E18+E19+E20</f>
        <v>0</v>
      </c>
      <c r="F21" s="56">
        <f>F17+F18+F19+F20</f>
        <v>0</v>
      </c>
      <c r="G21" s="56">
        <f>G17+G18+G19+G20</f>
        <v>0</v>
      </c>
      <c r="H21" s="53" t="str">
        <f>IF(E21=F21+G21," ","ERROR")</f>
        <v xml:space="preserve"> </v>
      </c>
    </row>
    <row r="22" spans="1:8">
      <c r="E22" s="58"/>
      <c r="F22" s="58"/>
      <c r="G22" s="58"/>
      <c r="H22" s="53"/>
    </row>
    <row r="23" spans="1:8">
      <c r="B23" s="50" t="s">
        <v>98</v>
      </c>
      <c r="E23" s="58"/>
      <c r="F23" s="58"/>
      <c r="G23" s="58"/>
      <c r="H23" s="53"/>
    </row>
    <row r="24" spans="1:8">
      <c r="A24" s="47">
        <v>12</v>
      </c>
      <c r="B24" s="50" t="s">
        <v>153</v>
      </c>
      <c r="E24" s="55">
        <f>F24+G24</f>
        <v>0</v>
      </c>
      <c r="F24" s="55">
        <v>0</v>
      </c>
      <c r="G24" s="55">
        <v>0</v>
      </c>
      <c r="H24" s="53" t="str">
        <f>IF(E24=F24+G24," ","ERROR")</f>
        <v xml:space="preserve"> </v>
      </c>
    </row>
    <row r="25" spans="1:8">
      <c r="A25" s="47">
        <v>13</v>
      </c>
      <c r="B25" s="50" t="s">
        <v>158</v>
      </c>
      <c r="E25" s="55"/>
      <c r="F25" s="55"/>
      <c r="G25" s="55"/>
      <c r="H25" s="53" t="str">
        <f>IF(E25=F25+G25," ","ERROR")</f>
        <v xml:space="preserve"> </v>
      </c>
    </row>
    <row r="26" spans="1:8">
      <c r="A26" s="47">
        <v>14</v>
      </c>
      <c r="B26" s="50" t="s">
        <v>156</v>
      </c>
      <c r="E26" s="55">
        <f>F26+G26</f>
        <v>0</v>
      </c>
      <c r="F26" s="55">
        <v>0</v>
      </c>
      <c r="G26" s="916">
        <f>F109</f>
        <v>0</v>
      </c>
      <c r="H26" s="53" t="str">
        <f>IF(E26=F26+G26," ","ERROR")</f>
        <v xml:space="preserve"> </v>
      </c>
    </row>
    <row r="27" spans="1:8">
      <c r="A27" s="47">
        <v>15</v>
      </c>
      <c r="B27" s="50" t="s">
        <v>159</v>
      </c>
      <c r="E27" s="56">
        <f>E24+E25+E26</f>
        <v>0</v>
      </c>
      <c r="F27" s="56">
        <f>F24+F25+F26</f>
        <v>0</v>
      </c>
      <c r="G27" s="56">
        <f>G24+G25+G26</f>
        <v>0</v>
      </c>
      <c r="H27" s="53" t="str">
        <f>IF(E27=F27+G27," ","ERROR")</f>
        <v xml:space="preserve"> </v>
      </c>
    </row>
    <row r="28" spans="1:8">
      <c r="E28" s="58"/>
      <c r="F28" s="58"/>
      <c r="G28" s="58"/>
      <c r="H28" s="53"/>
    </row>
    <row r="29" spans="1:8">
      <c r="A29" s="47">
        <v>16</v>
      </c>
      <c r="B29" s="50" t="s">
        <v>101</v>
      </c>
      <c r="E29" s="55">
        <f>SUM(F29:G29)</f>
        <v>0</v>
      </c>
      <c r="F29" s="55">
        <v>0</v>
      </c>
      <c r="G29" s="55">
        <v>0</v>
      </c>
      <c r="H29" s="53" t="str">
        <f>IF(E29=F29+G29," ","ERROR")</f>
        <v xml:space="preserve"> </v>
      </c>
    </row>
    <row r="30" spans="1:8">
      <c r="A30" s="47">
        <v>17</v>
      </c>
      <c r="B30" s="50" t="s">
        <v>102</v>
      </c>
      <c r="E30" s="55">
        <f>SUM(F30:G30)</f>
        <v>0</v>
      </c>
      <c r="F30" s="55">
        <v>0</v>
      </c>
      <c r="G30" s="55">
        <v>0</v>
      </c>
      <c r="H30" s="53" t="str">
        <f>IF(E30=F30+G30," ","ERROR")</f>
        <v xml:space="preserve"> </v>
      </c>
    </row>
    <row r="31" spans="1:8">
      <c r="A31" s="47">
        <v>18</v>
      </c>
      <c r="B31" s="50" t="s">
        <v>160</v>
      </c>
      <c r="E31" s="55">
        <f>SUM(F31:G31)</f>
        <v>0</v>
      </c>
      <c r="F31" s="55">
        <v>0</v>
      </c>
      <c r="G31" s="55">
        <v>0</v>
      </c>
      <c r="H31" s="53" t="str">
        <f>IF(E31=F31+G31," ","ERROR")</f>
        <v xml:space="preserve"> </v>
      </c>
    </row>
    <row r="32" spans="1:8">
      <c r="E32" s="58"/>
      <c r="F32" s="58"/>
      <c r="G32" s="58"/>
      <c r="H32" s="53"/>
    </row>
    <row r="33" spans="1:8">
      <c r="B33" s="50" t="s">
        <v>104</v>
      </c>
      <c r="E33" s="58"/>
      <c r="F33" s="58"/>
      <c r="G33" s="58"/>
      <c r="H33" s="53"/>
    </row>
    <row r="34" spans="1:8">
      <c r="A34" s="47">
        <v>19</v>
      </c>
      <c r="B34" s="50" t="s">
        <v>153</v>
      </c>
      <c r="E34" s="55">
        <f>SUM(F34:G34)</f>
        <v>1752</v>
      </c>
      <c r="F34" s="55">
        <v>1752</v>
      </c>
      <c r="G34" s="55">
        <v>0</v>
      </c>
      <c r="H34" s="53" t="str">
        <f>IF(E34=F34+G34," ","ERROR")</f>
        <v xml:space="preserve"> </v>
      </c>
    </row>
    <row r="35" spans="1:8">
      <c r="A35" s="47">
        <v>20</v>
      </c>
      <c r="B35" s="50" t="s">
        <v>158</v>
      </c>
      <c r="E35" s="55"/>
      <c r="F35" s="55"/>
      <c r="G35" s="55"/>
      <c r="H35" s="53" t="str">
        <f>IF(E35=F35+G35," ","ERROR")</f>
        <v xml:space="preserve"> </v>
      </c>
    </row>
    <row r="36" spans="1:8">
      <c r="A36" s="47">
        <v>21</v>
      </c>
      <c r="B36" s="50" t="s">
        <v>156</v>
      </c>
      <c r="E36" s="55"/>
      <c r="F36" s="55"/>
      <c r="G36" s="55"/>
      <c r="H36" s="53" t="str">
        <f>IF(E36=F36+G36," ","ERROR")</f>
        <v xml:space="preserve"> </v>
      </c>
    </row>
    <row r="37" spans="1:8">
      <c r="A37" s="47">
        <v>22</v>
      </c>
      <c r="B37" s="50" t="s">
        <v>161</v>
      </c>
      <c r="E37" s="60">
        <f>E34+E35+E36</f>
        <v>1752</v>
      </c>
      <c r="F37" s="60">
        <f>F34+F35+F36</f>
        <v>1752</v>
      </c>
      <c r="G37" s="60">
        <f>G34+G35+G36</f>
        <v>0</v>
      </c>
      <c r="H37" s="53" t="str">
        <f>IF(E37=F37+G37," ","ERROR")</f>
        <v xml:space="preserve"> </v>
      </c>
    </row>
    <row r="38" spans="1:8">
      <c r="A38" s="47">
        <v>23</v>
      </c>
      <c r="B38" s="50" t="s">
        <v>106</v>
      </c>
      <c r="E38" s="61">
        <f>E21+E27+E29+E30+E31+E37</f>
        <v>1752</v>
      </c>
      <c r="F38" s="61">
        <f>F21+F27+F29+F30+F31+F37</f>
        <v>1752</v>
      </c>
      <c r="G38" s="61">
        <f>G21+G27+G29+G30+G31+G37</f>
        <v>0</v>
      </c>
      <c r="H38" s="53" t="str">
        <f>IF(E38=F38+G38," ","ERROR")</f>
        <v xml:space="preserve"> </v>
      </c>
    </row>
    <row r="39" spans="1:8">
      <c r="E39" s="58"/>
      <c r="F39" s="58"/>
      <c r="G39" s="58"/>
      <c r="H39" s="53"/>
    </row>
    <row r="40" spans="1:8">
      <c r="A40" s="47">
        <v>24</v>
      </c>
      <c r="B40" s="50" t="s">
        <v>162</v>
      </c>
      <c r="E40" s="58">
        <f>E13-E38</f>
        <v>-1752</v>
      </c>
      <c r="F40" s="58">
        <f>F13-F38</f>
        <v>-1752</v>
      </c>
      <c r="G40" s="58">
        <f>G13-G38</f>
        <v>0</v>
      </c>
      <c r="H40" s="53" t="str">
        <f>IF(E40=F40+G40," ","ERROR")</f>
        <v xml:space="preserve"> </v>
      </c>
    </row>
    <row r="41" spans="1:8">
      <c r="B41" s="50"/>
      <c r="E41" s="58"/>
      <c r="F41" s="58"/>
      <c r="G41" s="58"/>
      <c r="H41" s="53"/>
    </row>
    <row r="42" spans="1:8">
      <c r="B42" s="50" t="s">
        <v>163</v>
      </c>
      <c r="E42" s="58"/>
      <c r="F42" s="58"/>
      <c r="G42" s="58"/>
      <c r="H42" s="53"/>
    </row>
    <row r="43" spans="1:8">
      <c r="A43" s="47">
        <v>25</v>
      </c>
      <c r="B43" s="50" t="s">
        <v>164</v>
      </c>
      <c r="D43" s="62">
        <v>0.35</v>
      </c>
      <c r="E43" s="55">
        <f>F43+G43</f>
        <v>-613</v>
      </c>
      <c r="F43" s="55">
        <f>ROUND(F40*D43,0)</f>
        <v>-613</v>
      </c>
      <c r="G43" s="55">
        <f>ROUND(G40*D43,0)</f>
        <v>0</v>
      </c>
      <c r="H43" s="53" t="str">
        <f>IF(E43=F43+G43," ","ERROR")</f>
        <v xml:space="preserve"> </v>
      </c>
    </row>
    <row r="44" spans="1:8">
      <c r="A44" s="47">
        <v>26</v>
      </c>
      <c r="B44" s="50" t="s">
        <v>165</v>
      </c>
      <c r="E44" s="55"/>
      <c r="F44" s="55"/>
      <c r="G44" s="55"/>
      <c r="H44" s="53" t="str">
        <f>IF(E44=F44+G44," ","ERROR")</f>
        <v xml:space="preserve"> </v>
      </c>
    </row>
    <row r="45" spans="1:8">
      <c r="A45"/>
      <c r="B45"/>
      <c r="C45"/>
      <c r="D45"/>
      <c r="E45" s="913"/>
      <c r="F45" s="913"/>
      <c r="G45" s="913"/>
      <c r="H45" s="53" t="str">
        <f>IF(E45=F45+G45," ","ERROR")</f>
        <v xml:space="preserve"> </v>
      </c>
    </row>
    <row r="46" spans="1:8">
      <c r="A46" s="259"/>
      <c r="B46" s="262"/>
      <c r="C46" s="256"/>
      <c r="D46" s="256"/>
      <c r="E46" s="269"/>
      <c r="F46" s="269"/>
      <c r="G46" s="269"/>
      <c r="H46" s="53"/>
    </row>
    <row r="47" spans="1:8">
      <c r="A47" s="263">
        <v>27</v>
      </c>
      <c r="B47" s="264" t="s">
        <v>113</v>
      </c>
      <c r="C47" s="265"/>
      <c r="D47" s="265"/>
      <c r="E47" s="273">
        <f>E40-SUM(E43:E44)</f>
        <v>-1139</v>
      </c>
      <c r="F47" s="273">
        <f>F40-SUM(F43:F44)</f>
        <v>-1139</v>
      </c>
      <c r="G47" s="273">
        <f>G40-SUM(G43:G44)</f>
        <v>0</v>
      </c>
      <c r="H47" s="53" t="str">
        <f>IF(E47=F47+G47," ","ERROR")</f>
        <v xml:space="preserve"> </v>
      </c>
    </row>
    <row r="48" spans="1:8">
      <c r="A48" s="259"/>
      <c r="H48" s="53"/>
    </row>
    <row r="49" spans="1:8">
      <c r="A49" s="259"/>
      <c r="B49" s="50" t="s">
        <v>114</v>
      </c>
      <c r="H49" s="53"/>
    </row>
    <row r="50" spans="1:8">
      <c r="A50" s="259"/>
      <c r="B50" s="50" t="s">
        <v>115</v>
      </c>
      <c r="H50" s="53"/>
    </row>
    <row r="51" spans="1:8">
      <c r="A51" s="263">
        <v>28</v>
      </c>
      <c r="B51" s="52" t="s">
        <v>167</v>
      </c>
      <c r="C51" s="53"/>
      <c r="D51" s="53"/>
      <c r="E51" s="54"/>
      <c r="F51" s="54"/>
      <c r="G51" s="54"/>
      <c r="H51" s="53" t="str">
        <f t="shared" ref="H51:H61" si="1">IF(E51=F51+G51," ","ERROR")</f>
        <v xml:space="preserve"> </v>
      </c>
    </row>
    <row r="52" spans="1:8">
      <c r="A52" s="259">
        <v>29</v>
      </c>
      <c r="B52" s="50" t="s">
        <v>168</v>
      </c>
      <c r="E52" s="55">
        <f>F52+G52</f>
        <v>0</v>
      </c>
      <c r="F52" s="55"/>
      <c r="G52" s="55"/>
      <c r="H52" s="53" t="str">
        <f t="shared" si="1"/>
        <v xml:space="preserve"> </v>
      </c>
    </row>
    <row r="53" spans="1:8">
      <c r="A53" s="259">
        <v>30</v>
      </c>
      <c r="B53" s="50" t="s">
        <v>169</v>
      </c>
      <c r="E53" s="55"/>
      <c r="F53" s="55"/>
      <c r="G53" s="55"/>
      <c r="H53" s="53" t="str">
        <f t="shared" si="1"/>
        <v xml:space="preserve"> </v>
      </c>
    </row>
    <row r="54" spans="1:8">
      <c r="A54" s="259">
        <v>31</v>
      </c>
      <c r="B54" s="50" t="s">
        <v>170</v>
      </c>
      <c r="E54" s="55"/>
      <c r="F54" s="55"/>
      <c r="G54" s="55"/>
      <c r="H54" s="53" t="str">
        <f t="shared" si="1"/>
        <v xml:space="preserve"> </v>
      </c>
    </row>
    <row r="55" spans="1:8">
      <c r="A55" s="259">
        <v>32</v>
      </c>
      <c r="B55" s="50" t="s">
        <v>171</v>
      </c>
      <c r="E55" s="59"/>
      <c r="F55" s="59"/>
      <c r="G55" s="59"/>
      <c r="H55" s="53" t="str">
        <f t="shared" si="1"/>
        <v xml:space="preserve"> </v>
      </c>
    </row>
    <row r="56" spans="1:8">
      <c r="A56" s="259">
        <v>33</v>
      </c>
      <c r="B56" s="50" t="s">
        <v>172</v>
      </c>
      <c r="E56" s="58">
        <f>E51+E52+E53+E54+E55</f>
        <v>0</v>
      </c>
      <c r="F56" s="58">
        <f>F51+F52+F53+F54+F55</f>
        <v>0</v>
      </c>
      <c r="G56" s="58">
        <f>G51+G52+G53+G54+G55</f>
        <v>0</v>
      </c>
      <c r="H56" s="53" t="str">
        <f t="shared" si="1"/>
        <v xml:space="preserve"> </v>
      </c>
    </row>
    <row r="57" spans="1:8">
      <c r="A57" s="259">
        <v>34</v>
      </c>
      <c r="B57" s="50" t="s">
        <v>121</v>
      </c>
      <c r="E57" s="55">
        <f>F57+G57</f>
        <v>0</v>
      </c>
      <c r="F57" s="55"/>
      <c r="G57" s="55"/>
      <c r="H57" s="53" t="str">
        <f t="shared" si="1"/>
        <v xml:space="preserve"> </v>
      </c>
    </row>
    <row r="58" spans="1:8">
      <c r="A58" s="259">
        <v>35</v>
      </c>
      <c r="B58" s="50" t="s">
        <v>122</v>
      </c>
      <c r="E58" s="59"/>
      <c r="F58" s="59"/>
      <c r="G58" s="59"/>
      <c r="H58" s="53" t="str">
        <f t="shared" si="1"/>
        <v xml:space="preserve"> </v>
      </c>
    </row>
    <row r="59" spans="1:8">
      <c r="A59" s="259">
        <v>36</v>
      </c>
      <c r="B59" s="50" t="s">
        <v>173</v>
      </c>
      <c r="E59" s="58">
        <f>E57+E58</f>
        <v>0</v>
      </c>
      <c r="F59" s="58">
        <f>F57+F58</f>
        <v>0</v>
      </c>
      <c r="G59" s="58">
        <f>G57+G58</f>
        <v>0</v>
      </c>
      <c r="H59" s="53" t="str">
        <f t="shared" si="1"/>
        <v xml:space="preserve"> </v>
      </c>
    </row>
    <row r="60" spans="1:8">
      <c r="A60" s="259">
        <v>37</v>
      </c>
      <c r="B60" s="50" t="s">
        <v>124</v>
      </c>
      <c r="E60" s="55"/>
      <c r="F60" s="55"/>
      <c r="G60" s="55"/>
      <c r="H60" s="53" t="str">
        <f t="shared" si="1"/>
        <v xml:space="preserve"> </v>
      </c>
    </row>
    <row r="61" spans="1:8">
      <c r="A61" s="259">
        <v>38</v>
      </c>
      <c r="B61" s="50" t="s">
        <v>125</v>
      </c>
      <c r="E61" s="59">
        <f>F61+G61</f>
        <v>0</v>
      </c>
      <c r="F61" s="59"/>
      <c r="G61" s="59"/>
      <c r="H61" s="53" t="str">
        <f t="shared" si="1"/>
        <v xml:space="preserve"> </v>
      </c>
    </row>
    <row r="62" spans="1:8" ht="11.25" customHeight="1">
      <c r="A62" s="259"/>
      <c r="H62" s="53"/>
    </row>
    <row r="63" spans="1:8" ht="13.5" thickBot="1">
      <c r="A63" s="263">
        <v>39</v>
      </c>
      <c r="B63" s="52" t="s">
        <v>126</v>
      </c>
      <c r="C63" s="53"/>
      <c r="D63" s="53"/>
      <c r="E63" s="63">
        <f>E56-E59+E60+E61</f>
        <v>0</v>
      </c>
      <c r="F63" s="63">
        <f>F56-F59+F60+F61</f>
        <v>0</v>
      </c>
      <c r="G63" s="63">
        <f>G56-G59+G60+G61</f>
        <v>0</v>
      </c>
      <c r="H63" s="53" t="str">
        <f>IF(E63=F63+G63," ","ERROR")</f>
        <v xml:space="preserve"> </v>
      </c>
    </row>
    <row r="64" spans="1:8" ht="13.5" thickTop="1">
      <c r="A64" s="44"/>
      <c r="B64" s="69"/>
      <c r="C64" s="69"/>
      <c r="D64" s="69"/>
      <c r="E64" s="671"/>
      <c r="F64" s="672"/>
      <c r="G64" s="69"/>
      <c r="H64" s="69"/>
    </row>
    <row r="65" spans="1:7">
      <c r="A65" s="420" t="str">
        <f>Inputs!$D$6</f>
        <v>AVISTA UTILITIES</v>
      </c>
      <c r="B65" s="420"/>
      <c r="C65" s="420"/>
      <c r="D65" s="440"/>
      <c r="E65" s="441"/>
      <c r="F65" s="440"/>
      <c r="G65" s="442"/>
    </row>
    <row r="66" spans="1:7">
      <c r="A66" s="420" t="s">
        <v>225</v>
      </c>
      <c r="B66" s="420"/>
      <c r="C66" s="420"/>
      <c r="D66" s="440"/>
      <c r="E66" s="441"/>
      <c r="F66" s="440"/>
      <c r="G66" s="442"/>
    </row>
    <row r="67" spans="1:7">
      <c r="A67" s="420" t="str">
        <f>A3</f>
        <v>TWELVE MONTHS ENDED SEPTEMBER 30, 2008</v>
      </c>
      <c r="B67" s="420"/>
      <c r="C67" s="420"/>
      <c r="D67" s="440"/>
      <c r="E67" s="441"/>
      <c r="F67" s="443" t="str">
        <f>F2</f>
        <v>PRO FORMA</v>
      </c>
      <c r="G67" s="440"/>
    </row>
    <row r="68" spans="1:7">
      <c r="A68" s="420" t="s">
        <v>226</v>
      </c>
      <c r="B68" s="420"/>
      <c r="C68" s="420"/>
      <c r="D68" s="440"/>
      <c r="E68" s="441"/>
      <c r="F68" s="443" t="str">
        <f>F3</f>
        <v>INFORMATION SERVICES</v>
      </c>
      <c r="G68" s="440"/>
    </row>
    <row r="69" spans="1:7">
      <c r="A69" s="424"/>
      <c r="B69" s="440"/>
      <c r="C69" s="440"/>
      <c r="D69" s="440"/>
      <c r="E69" s="444"/>
      <c r="F69" s="445" t="str">
        <f>F4</f>
        <v>ELECTRIC</v>
      </c>
      <c r="G69" s="440"/>
    </row>
    <row r="70" spans="1:7">
      <c r="A70" s="424"/>
      <c r="B70" s="440"/>
      <c r="C70" s="440"/>
      <c r="D70" s="440"/>
      <c r="E70" s="441"/>
      <c r="F70" s="443"/>
      <c r="G70" s="447"/>
    </row>
    <row r="71" spans="1:7">
      <c r="A71" s="424"/>
      <c r="B71" s="448" t="s">
        <v>134</v>
      </c>
      <c r="C71" s="449"/>
      <c r="D71" s="440"/>
      <c r="E71" s="441"/>
      <c r="F71" s="445" t="s">
        <v>128</v>
      </c>
      <c r="G71" s="440"/>
    </row>
    <row r="72" spans="1:7">
      <c r="A72" s="424"/>
      <c r="B72" s="427" t="s">
        <v>85</v>
      </c>
      <c r="C72" s="440"/>
      <c r="D72" s="440"/>
      <c r="E72" s="440"/>
      <c r="F72" s="442"/>
      <c r="G72" s="440"/>
    </row>
    <row r="73" spans="1:7">
      <c r="A73" s="424"/>
      <c r="B73" s="429" t="s">
        <v>86</v>
      </c>
      <c r="C73" s="440"/>
      <c r="D73" s="440"/>
      <c r="E73" s="440"/>
      <c r="F73" s="450">
        <f>G8</f>
        <v>0</v>
      </c>
      <c r="G73" s="440"/>
    </row>
    <row r="74" spans="1:7">
      <c r="A74" s="424"/>
      <c r="B74" s="427" t="s">
        <v>87</v>
      </c>
      <c r="C74" s="440"/>
      <c r="D74" s="440"/>
      <c r="E74" s="440"/>
      <c r="F74" s="434">
        <f>G9</f>
        <v>0</v>
      </c>
      <c r="G74" s="440"/>
    </row>
    <row r="75" spans="1:7">
      <c r="A75" s="424"/>
      <c r="B75" s="427" t="s">
        <v>150</v>
      </c>
      <c r="C75" s="440"/>
      <c r="D75" s="440"/>
      <c r="E75" s="440"/>
      <c r="F75" s="436">
        <f>G10</f>
        <v>0</v>
      </c>
      <c r="G75" s="440"/>
    </row>
    <row r="76" spans="1:7">
      <c r="A76" s="424"/>
      <c r="B76" s="427" t="s">
        <v>151</v>
      </c>
      <c r="C76" s="440"/>
      <c r="D76" s="440"/>
      <c r="E76" s="440"/>
      <c r="F76" s="434">
        <f>SUM(F73:F75)</f>
        <v>0</v>
      </c>
      <c r="G76" s="440"/>
    </row>
    <row r="77" spans="1:7">
      <c r="A77" s="424"/>
      <c r="B77" s="427" t="s">
        <v>90</v>
      </c>
      <c r="C77" s="440"/>
      <c r="D77" s="440"/>
      <c r="E77" s="440"/>
      <c r="F77" s="436">
        <f>G12</f>
        <v>0</v>
      </c>
      <c r="G77" s="440"/>
    </row>
    <row r="78" spans="1:7">
      <c r="A78" s="424"/>
      <c r="B78" s="427" t="s">
        <v>152</v>
      </c>
      <c r="C78" s="440"/>
      <c r="D78" s="440"/>
      <c r="E78" s="440"/>
      <c r="F78" s="434">
        <f>F76+F77</f>
        <v>0</v>
      </c>
      <c r="G78" s="440"/>
    </row>
    <row r="79" spans="1:7">
      <c r="A79" s="424"/>
      <c r="B79" s="421"/>
      <c r="C79" s="440"/>
      <c r="D79" s="440"/>
      <c r="E79" s="440"/>
      <c r="F79" s="434"/>
      <c r="G79" s="440"/>
    </row>
    <row r="80" spans="1:7">
      <c r="A80" s="424"/>
      <c r="B80" s="427" t="s">
        <v>92</v>
      </c>
      <c r="C80" s="440"/>
      <c r="D80" s="440"/>
      <c r="E80" s="440"/>
      <c r="F80" s="434"/>
      <c r="G80" s="440"/>
    </row>
    <row r="81" spans="1:7">
      <c r="A81" s="424"/>
      <c r="B81" s="427" t="s">
        <v>93</v>
      </c>
      <c r="C81" s="440"/>
      <c r="D81" s="440"/>
      <c r="E81" s="440"/>
      <c r="F81" s="434"/>
      <c r="G81" s="440"/>
    </row>
    <row r="82" spans="1:7">
      <c r="A82" s="424"/>
      <c r="B82" s="427" t="s">
        <v>153</v>
      </c>
      <c r="C82" s="440"/>
      <c r="D82" s="440"/>
      <c r="E82" s="440"/>
      <c r="F82" s="434">
        <f>G17</f>
        <v>0</v>
      </c>
      <c r="G82" s="440"/>
    </row>
    <row r="83" spans="1:7">
      <c r="A83" s="424"/>
      <c r="B83" s="427" t="s">
        <v>154</v>
      </c>
      <c r="C83" s="440"/>
      <c r="D83" s="440"/>
      <c r="E83" s="440"/>
      <c r="F83" s="434">
        <f>G18</f>
        <v>0</v>
      </c>
      <c r="G83" s="440"/>
    </row>
    <row r="84" spans="1:7">
      <c r="A84" s="424"/>
      <c r="B84" s="427" t="s">
        <v>155</v>
      </c>
      <c r="C84" s="440"/>
      <c r="D84" s="440"/>
      <c r="E84" s="440"/>
      <c r="F84" s="434">
        <f>G19</f>
        <v>0</v>
      </c>
      <c r="G84" s="440"/>
    </row>
    <row r="85" spans="1:7">
      <c r="A85" s="424"/>
      <c r="B85" s="427" t="s">
        <v>156</v>
      </c>
      <c r="C85" s="440"/>
      <c r="D85" s="440"/>
      <c r="E85" s="440"/>
      <c r="F85" s="436">
        <f>G20</f>
        <v>0</v>
      </c>
      <c r="G85" s="440"/>
    </row>
    <row r="86" spans="1:7">
      <c r="A86" s="424"/>
      <c r="B86" s="427" t="s">
        <v>157</v>
      </c>
      <c r="C86" s="440"/>
      <c r="D86" s="440"/>
      <c r="E86" s="440"/>
      <c r="F86" s="434">
        <f>SUM(F82:F85)</f>
        <v>0</v>
      </c>
      <c r="G86" s="440"/>
    </row>
    <row r="87" spans="1:7">
      <c r="A87" s="424"/>
      <c r="B87" s="421"/>
      <c r="C87" s="440"/>
      <c r="D87" s="440"/>
      <c r="E87" s="440"/>
      <c r="F87" s="434"/>
      <c r="G87" s="440"/>
    </row>
    <row r="88" spans="1:7">
      <c r="A88" s="424"/>
      <c r="B88" s="427" t="s">
        <v>98</v>
      </c>
      <c r="C88" s="440"/>
      <c r="D88" s="440"/>
      <c r="E88" s="440"/>
      <c r="F88" s="434"/>
      <c r="G88" s="440"/>
    </row>
    <row r="89" spans="1:7">
      <c r="A89" s="424"/>
      <c r="B89" s="427" t="s">
        <v>153</v>
      </c>
      <c r="C89" s="440"/>
      <c r="D89" s="440"/>
      <c r="E89" s="440"/>
      <c r="F89" s="434">
        <f>G24</f>
        <v>0</v>
      </c>
      <c r="G89" s="440"/>
    </row>
    <row r="90" spans="1:7">
      <c r="A90" s="424"/>
      <c r="B90" s="427" t="s">
        <v>158</v>
      </c>
      <c r="C90" s="440"/>
      <c r="D90" s="440"/>
      <c r="E90" s="440"/>
      <c r="F90" s="434">
        <f>G25</f>
        <v>0</v>
      </c>
      <c r="G90" s="440"/>
    </row>
    <row r="91" spans="1:7">
      <c r="A91" s="421"/>
      <c r="B91" s="427" t="s">
        <v>156</v>
      </c>
      <c r="C91" s="440"/>
      <c r="D91" s="440"/>
      <c r="E91" s="440"/>
      <c r="F91" s="434"/>
      <c r="G91" s="440"/>
    </row>
    <row r="92" spans="1:7">
      <c r="A92" s="421"/>
      <c r="B92" s="427" t="s">
        <v>159</v>
      </c>
      <c r="C92" s="440"/>
      <c r="D92" s="440"/>
      <c r="E92" s="440"/>
      <c r="F92" s="433">
        <f>SUM(F89:F91)</f>
        <v>0</v>
      </c>
      <c r="G92" s="440"/>
    </row>
    <row r="93" spans="1:7">
      <c r="A93" s="421"/>
      <c r="B93" s="421"/>
      <c r="C93" s="440"/>
      <c r="D93" s="440"/>
      <c r="E93" s="440"/>
      <c r="F93" s="434"/>
      <c r="G93" s="440"/>
    </row>
    <row r="94" spans="1:7">
      <c r="A94" s="421"/>
      <c r="B94" s="427" t="s">
        <v>101</v>
      </c>
      <c r="C94" s="440"/>
      <c r="D94" s="440"/>
      <c r="E94" s="440"/>
      <c r="F94" s="434">
        <f>G29</f>
        <v>0</v>
      </c>
      <c r="G94" s="440"/>
    </row>
    <row r="95" spans="1:7">
      <c r="A95" s="421"/>
      <c r="B95" s="427" t="s">
        <v>102</v>
      </c>
      <c r="C95" s="440"/>
      <c r="D95" s="440"/>
      <c r="E95" s="440"/>
      <c r="F95" s="434">
        <f>G30</f>
        <v>0</v>
      </c>
      <c r="G95" s="440"/>
    </row>
    <row r="96" spans="1:7">
      <c r="A96" s="421"/>
      <c r="B96" s="427" t="s">
        <v>160</v>
      </c>
      <c r="C96" s="440"/>
      <c r="D96" s="440"/>
      <c r="E96" s="440"/>
      <c r="F96" s="434">
        <f>G31</f>
        <v>0</v>
      </c>
      <c r="G96" s="440"/>
    </row>
    <row r="97" spans="1:7">
      <c r="A97" s="421"/>
      <c r="B97" s="421"/>
      <c r="C97" s="440"/>
      <c r="D97" s="440"/>
      <c r="E97" s="440"/>
      <c r="F97" s="434"/>
      <c r="G97" s="440"/>
    </row>
    <row r="98" spans="1:7">
      <c r="A98" s="421"/>
      <c r="B98" s="427" t="s">
        <v>104</v>
      </c>
      <c r="C98" s="440"/>
      <c r="D98" s="440"/>
      <c r="E98" s="440"/>
      <c r="F98" s="434"/>
      <c r="G98" s="440"/>
    </row>
    <row r="99" spans="1:7">
      <c r="A99" s="421"/>
      <c r="B99" s="427" t="s">
        <v>153</v>
      </c>
      <c r="C99" s="440"/>
      <c r="D99" s="440"/>
      <c r="E99" s="440"/>
      <c r="F99" s="434">
        <f>G34</f>
        <v>0</v>
      </c>
      <c r="G99" s="440"/>
    </row>
    <row r="100" spans="1:7">
      <c r="A100" s="421"/>
      <c r="B100" s="427" t="s">
        <v>158</v>
      </c>
      <c r="C100" s="440"/>
      <c r="D100" s="440"/>
      <c r="E100" s="440"/>
      <c r="F100" s="434">
        <f>G35</f>
        <v>0</v>
      </c>
      <c r="G100" s="440"/>
    </row>
    <row r="101" spans="1:7">
      <c r="A101" s="421"/>
      <c r="B101" s="427" t="s">
        <v>156</v>
      </c>
      <c r="C101" s="440"/>
      <c r="D101" s="440"/>
      <c r="E101" s="440"/>
      <c r="F101" s="436">
        <f>G36</f>
        <v>0</v>
      </c>
      <c r="G101" s="440"/>
    </row>
    <row r="102" spans="1:7">
      <c r="A102" s="421"/>
      <c r="B102" s="427" t="s">
        <v>161</v>
      </c>
      <c r="C102" s="440"/>
      <c r="D102" s="440"/>
      <c r="E102" s="440"/>
      <c r="F102" s="434">
        <f>F99+F100+F101</f>
        <v>0</v>
      </c>
      <c r="G102" s="440"/>
    </row>
    <row r="103" spans="1:7">
      <c r="A103" s="421"/>
      <c r="B103" s="440"/>
      <c r="C103" s="440"/>
      <c r="D103" s="440"/>
      <c r="E103" s="440"/>
      <c r="F103" s="434"/>
      <c r="G103" s="440"/>
    </row>
    <row r="104" spans="1:7">
      <c r="A104" s="421"/>
      <c r="B104" s="440" t="s">
        <v>106</v>
      </c>
      <c r="C104" s="440"/>
      <c r="D104" s="440"/>
      <c r="E104" s="440"/>
      <c r="F104" s="435">
        <f>F86+F92+F94+F95+F96+F102</f>
        <v>0</v>
      </c>
      <c r="G104" s="440"/>
    </row>
    <row r="105" spans="1:7">
      <c r="A105" s="421"/>
      <c r="B105" s="440"/>
      <c r="C105" s="440"/>
      <c r="D105" s="440"/>
      <c r="E105" s="440"/>
      <c r="F105" s="434"/>
      <c r="G105" s="440"/>
    </row>
    <row r="106" spans="1:7">
      <c r="A106" s="421"/>
      <c r="B106" s="440" t="s">
        <v>227</v>
      </c>
      <c r="C106" s="440"/>
      <c r="D106" s="440"/>
      <c r="E106" s="440"/>
      <c r="F106" s="436">
        <f>F78-F104</f>
        <v>0</v>
      </c>
      <c r="G106" s="440"/>
    </row>
    <row r="107" spans="1:7">
      <c r="A107" s="421"/>
      <c r="B107" s="440"/>
      <c r="C107" s="440"/>
      <c r="D107" s="440"/>
      <c r="E107" s="440"/>
      <c r="F107" s="434"/>
      <c r="G107" s="440"/>
    </row>
    <row r="108" spans="1:7">
      <c r="A108" s="421"/>
      <c r="B108" s="440" t="s">
        <v>228</v>
      </c>
      <c r="C108" s="440"/>
      <c r="D108" s="440"/>
      <c r="E108" s="441"/>
      <c r="F108" s="434"/>
      <c r="G108" s="440"/>
    </row>
    <row r="109" spans="1:7" ht="13.5" thickBot="1">
      <c r="A109" s="421"/>
      <c r="B109" s="451" t="s">
        <v>229</v>
      </c>
      <c r="C109" s="452">
        <f>Inputs!$D$4</f>
        <v>1.2215999999999999E-2</v>
      </c>
      <c r="D109" s="440"/>
      <c r="E109" s="441"/>
      <c r="F109" s="439">
        <f>ROUND(F106*C109,0)</f>
        <v>0</v>
      </c>
      <c r="G109" s="440"/>
    </row>
    <row r="110" spans="1:7" ht="13.5" thickTop="1">
      <c r="A110" s="421"/>
      <c r="B110" s="440"/>
      <c r="C110" s="440"/>
      <c r="D110" s="440"/>
      <c r="E110" s="441"/>
      <c r="F110" s="442"/>
      <c r="G110" s="440"/>
    </row>
  </sheetData>
  <phoneticPr fontId="0" type="noConversion"/>
  <pageMargins left="1" right="1" top="0.5" bottom="0.25" header="0.5" footer="0.5"/>
  <pageSetup scale="90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50"/>
  <dimension ref="A1:H110"/>
  <sheetViews>
    <sheetView topLeftCell="A4" zoomScaleNormal="100" workbookViewId="0">
      <selection activeCell="N21" sqref="N21"/>
    </sheetView>
  </sheetViews>
  <sheetFormatPr defaultRowHeight="12.75"/>
  <cols>
    <col min="1" max="1" width="5.5703125" style="47" customWidth="1"/>
    <col min="2" max="2" width="26.140625" style="44" customWidth="1"/>
    <col min="3" max="3" width="12.42578125" style="44" customWidth="1"/>
    <col min="4" max="4" width="6.7109375" style="44" customWidth="1"/>
    <col min="5" max="8" width="12.42578125" style="44" customWidth="1"/>
  </cols>
  <sheetData>
    <row r="1" spans="1:8">
      <c r="A1" s="42" t="str">
        <f>Inputs!$D$6</f>
        <v>AVISTA UTILITIES</v>
      </c>
      <c r="B1" s="43"/>
      <c r="C1" s="42"/>
      <c r="F1" s="456" t="s">
        <v>299</v>
      </c>
    </row>
    <row r="2" spans="1:8">
      <c r="A2" s="42" t="s">
        <v>142</v>
      </c>
      <c r="B2" s="43"/>
      <c r="C2" s="42"/>
      <c r="E2" s="42"/>
      <c r="F2" s="47" t="s">
        <v>609</v>
      </c>
      <c r="G2" s="42"/>
    </row>
    <row r="3" spans="1:8">
      <c r="A3" s="43" t="str">
        <f>WAElec09_08!$A$4</f>
        <v>TWELVE MONTHS ENDED SEPTEMBER 30, 2008</v>
      </c>
      <c r="B3" s="43"/>
      <c r="C3" s="42"/>
      <c r="E3" s="42"/>
      <c r="F3" s="47"/>
      <c r="G3" s="42"/>
    </row>
    <row r="4" spans="1:8">
      <c r="A4" s="42" t="s">
        <v>1</v>
      </c>
      <c r="B4" s="43"/>
      <c r="C4" s="42"/>
      <c r="E4" s="45"/>
      <c r="F4" s="670" t="s">
        <v>145</v>
      </c>
      <c r="G4" s="46"/>
    </row>
    <row r="5" spans="1:8">
      <c r="A5" s="47" t="s">
        <v>14</v>
      </c>
    </row>
    <row r="6" spans="1:8">
      <c r="A6" s="47" t="s">
        <v>146</v>
      </c>
      <c r="B6" s="48" t="s">
        <v>36</v>
      </c>
      <c r="C6" s="48"/>
      <c r="D6" s="47"/>
      <c r="E6" s="48" t="s">
        <v>147</v>
      </c>
      <c r="F6" s="48" t="s">
        <v>148</v>
      </c>
      <c r="G6" s="48" t="s">
        <v>128</v>
      </c>
      <c r="H6" s="49" t="s">
        <v>149</v>
      </c>
    </row>
    <row r="7" spans="1:8">
      <c r="B7" s="50" t="s">
        <v>85</v>
      </c>
    </row>
    <row r="8" spans="1:8">
      <c r="A8" s="51">
        <v>1</v>
      </c>
      <c r="B8" s="52" t="s">
        <v>86</v>
      </c>
      <c r="C8" s="53"/>
      <c r="D8" s="53"/>
      <c r="E8" s="54">
        <f>F8+G8</f>
        <v>0</v>
      </c>
      <c r="F8" s="54">
        <v>0</v>
      </c>
      <c r="G8" s="54">
        <v>0</v>
      </c>
      <c r="H8" s="53" t="str">
        <f t="shared" ref="H8:H13" si="0">IF(E8=F8+G8," ","ERROR")</f>
        <v xml:space="preserve"> </v>
      </c>
    </row>
    <row r="9" spans="1:8">
      <c r="A9" s="47">
        <v>2</v>
      </c>
      <c r="B9" s="50" t="s">
        <v>87</v>
      </c>
      <c r="E9" s="55"/>
      <c r="F9" s="55"/>
      <c r="G9" s="55"/>
      <c r="H9" s="53" t="str">
        <f t="shared" si="0"/>
        <v xml:space="preserve"> </v>
      </c>
    </row>
    <row r="10" spans="1:8">
      <c r="A10" s="47">
        <v>3</v>
      </c>
      <c r="B10" s="50" t="s">
        <v>150</v>
      </c>
      <c r="E10" s="55"/>
      <c r="F10" s="55"/>
      <c r="G10" s="55"/>
      <c r="H10" s="53" t="str">
        <f t="shared" si="0"/>
        <v xml:space="preserve"> </v>
      </c>
    </row>
    <row r="11" spans="1:8">
      <c r="A11" s="47">
        <v>4</v>
      </c>
      <c r="B11" s="50" t="s">
        <v>151</v>
      </c>
      <c r="E11" s="56">
        <f>E8+E9+E10</f>
        <v>0</v>
      </c>
      <c r="F11" s="56">
        <f>F8+F9+F10</f>
        <v>0</v>
      </c>
      <c r="G11" s="56">
        <f>G8+G9+G10</f>
        <v>0</v>
      </c>
      <c r="H11" s="53" t="str">
        <f t="shared" si="0"/>
        <v xml:space="preserve"> </v>
      </c>
    </row>
    <row r="12" spans="1:8">
      <c r="A12" s="47">
        <v>5</v>
      </c>
      <c r="B12" s="50" t="s">
        <v>90</v>
      </c>
      <c r="E12" s="55"/>
      <c r="F12" s="55"/>
      <c r="G12" s="55"/>
      <c r="H12" s="53" t="str">
        <f t="shared" si="0"/>
        <v xml:space="preserve"> </v>
      </c>
    </row>
    <row r="13" spans="1:8">
      <c r="A13" s="47">
        <v>6</v>
      </c>
      <c r="B13" s="50" t="s">
        <v>152</v>
      </c>
      <c r="E13" s="56">
        <f>E11+E12</f>
        <v>0</v>
      </c>
      <c r="F13" s="56">
        <f>F11+F12</f>
        <v>0</v>
      </c>
      <c r="G13" s="56">
        <f>G11+G12</f>
        <v>0</v>
      </c>
      <c r="H13" s="53" t="str">
        <f t="shared" si="0"/>
        <v xml:space="preserve"> </v>
      </c>
    </row>
    <row r="14" spans="1:8">
      <c r="E14" s="58"/>
      <c r="F14" s="58"/>
      <c r="G14" s="58"/>
      <c r="H14" s="53"/>
    </row>
    <row r="15" spans="1:8">
      <c r="B15" s="50" t="s">
        <v>92</v>
      </c>
      <c r="E15" s="58"/>
      <c r="F15" s="58"/>
      <c r="G15" s="58"/>
      <c r="H15" s="53"/>
    </row>
    <row r="16" spans="1:8">
      <c r="B16" s="50" t="s">
        <v>93</v>
      </c>
      <c r="E16" s="58"/>
      <c r="F16" s="58"/>
      <c r="G16" s="58"/>
      <c r="H16" s="53"/>
    </row>
    <row r="17" spans="1:8">
      <c r="A17" s="47">
        <v>7</v>
      </c>
      <c r="B17" s="50" t="s">
        <v>153</v>
      </c>
      <c r="E17" s="55">
        <f>F17+G17</f>
        <v>874</v>
      </c>
      <c r="F17" s="55">
        <v>874</v>
      </c>
      <c r="G17" s="55">
        <v>0</v>
      </c>
      <c r="H17" s="53" t="str">
        <f>IF(E17=F17+G17," ","ERROR")</f>
        <v xml:space="preserve"> </v>
      </c>
    </row>
    <row r="18" spans="1:8">
      <c r="A18" s="47">
        <v>8</v>
      </c>
      <c r="B18" s="50" t="s">
        <v>154</v>
      </c>
      <c r="E18" s="55"/>
      <c r="F18" s="55"/>
      <c r="G18" s="55"/>
      <c r="H18" s="53" t="str">
        <f>IF(E18=F18+G18," ","ERROR")</f>
        <v xml:space="preserve"> </v>
      </c>
    </row>
    <row r="19" spans="1:8">
      <c r="A19" s="47">
        <v>9</v>
      </c>
      <c r="B19" s="50" t="s">
        <v>155</v>
      </c>
      <c r="E19" s="55">
        <f>F19+G19</f>
        <v>0</v>
      </c>
      <c r="F19" s="55">
        <v>0</v>
      </c>
      <c r="G19" s="55">
        <v>0</v>
      </c>
      <c r="H19" s="53" t="str">
        <f>IF(E19=F19+G19," ","ERROR")</f>
        <v xml:space="preserve"> </v>
      </c>
    </row>
    <row r="20" spans="1:8">
      <c r="A20" s="47">
        <v>10</v>
      </c>
      <c r="B20" s="50" t="s">
        <v>156</v>
      </c>
      <c r="E20" s="55">
        <f>F20+G20</f>
        <v>0</v>
      </c>
      <c r="F20" s="55"/>
      <c r="G20" s="55"/>
      <c r="H20" s="53" t="str">
        <f>IF(E20=F20+G20," ","ERROR")</f>
        <v xml:space="preserve"> </v>
      </c>
    </row>
    <row r="21" spans="1:8">
      <c r="A21" s="47">
        <v>11</v>
      </c>
      <c r="B21" s="50" t="s">
        <v>157</v>
      </c>
      <c r="E21" s="56">
        <f>E17+E18+E19+E20</f>
        <v>874</v>
      </c>
      <c r="F21" s="56">
        <f>F17+F18+F19+F20</f>
        <v>874</v>
      </c>
      <c r="G21" s="56">
        <f>G17+G18+G19+G20</f>
        <v>0</v>
      </c>
      <c r="H21" s="53" t="str">
        <f>IF(E21=F21+G21," ","ERROR")</f>
        <v xml:space="preserve"> </v>
      </c>
    </row>
    <row r="22" spans="1:8">
      <c r="E22" s="58"/>
      <c r="F22" s="58"/>
      <c r="G22" s="58"/>
      <c r="H22" s="53"/>
    </row>
    <row r="23" spans="1:8">
      <c r="B23" s="50" t="s">
        <v>98</v>
      </c>
      <c r="E23" s="58"/>
      <c r="F23" s="58"/>
      <c r="G23" s="58"/>
      <c r="H23" s="53"/>
    </row>
    <row r="24" spans="1:8">
      <c r="A24" s="47">
        <v>12</v>
      </c>
      <c r="B24" s="50" t="s">
        <v>153</v>
      </c>
      <c r="E24" s="55">
        <f>F24+G24</f>
        <v>2023</v>
      </c>
      <c r="F24" s="55">
        <v>2023</v>
      </c>
      <c r="G24" s="55">
        <v>0</v>
      </c>
      <c r="H24" s="53" t="str">
        <f>IF(E24=F24+G24," ","ERROR")</f>
        <v xml:space="preserve"> </v>
      </c>
    </row>
    <row r="25" spans="1:8">
      <c r="A25" s="47">
        <v>13</v>
      </c>
      <c r="B25" s="50" t="s">
        <v>158</v>
      </c>
      <c r="E25" s="55"/>
      <c r="F25" s="55"/>
      <c r="G25" s="55"/>
      <c r="H25" s="53" t="str">
        <f>IF(E25=F25+G25," ","ERROR")</f>
        <v xml:space="preserve"> </v>
      </c>
    </row>
    <row r="26" spans="1:8">
      <c r="A26" s="47">
        <v>14</v>
      </c>
      <c r="B26" s="50" t="s">
        <v>156</v>
      </c>
      <c r="E26" s="55">
        <f>F26+G26</f>
        <v>0</v>
      </c>
      <c r="F26" s="55">
        <v>0</v>
      </c>
      <c r="G26" s="916">
        <f>F109</f>
        <v>0</v>
      </c>
      <c r="H26" s="53" t="str">
        <f>IF(E26=F26+G26," ","ERROR")</f>
        <v xml:space="preserve"> </v>
      </c>
    </row>
    <row r="27" spans="1:8">
      <c r="A27" s="47">
        <v>15</v>
      </c>
      <c r="B27" s="50" t="s">
        <v>159</v>
      </c>
      <c r="E27" s="56">
        <f>E24+E25+E26</f>
        <v>2023</v>
      </c>
      <c r="F27" s="56">
        <f>F24+F25+F26</f>
        <v>2023</v>
      </c>
      <c r="G27" s="56">
        <f>G24+G25+G26</f>
        <v>0</v>
      </c>
      <c r="H27" s="53" t="str">
        <f>IF(E27=F27+G27," ","ERROR")</f>
        <v xml:space="preserve"> </v>
      </c>
    </row>
    <row r="28" spans="1:8">
      <c r="E28" s="58"/>
      <c r="F28" s="58"/>
      <c r="G28" s="58"/>
      <c r="H28" s="53"/>
    </row>
    <row r="29" spans="1:8">
      <c r="A29" s="47">
        <v>16</v>
      </c>
      <c r="B29" s="50" t="s">
        <v>101</v>
      </c>
      <c r="E29" s="55">
        <f>SUM(F29:G29)</f>
        <v>0</v>
      </c>
      <c r="F29" s="55">
        <v>0</v>
      </c>
      <c r="G29" s="55">
        <v>0</v>
      </c>
      <c r="H29" s="53" t="str">
        <f>IF(E29=F29+G29," ","ERROR")</f>
        <v xml:space="preserve"> </v>
      </c>
    </row>
    <row r="30" spans="1:8">
      <c r="A30" s="47">
        <v>17</v>
      </c>
      <c r="B30" s="50" t="s">
        <v>102</v>
      </c>
      <c r="E30" s="55">
        <f>SUM(F30:G30)</f>
        <v>0</v>
      </c>
      <c r="F30" s="55">
        <v>0</v>
      </c>
      <c r="G30" s="55">
        <v>0</v>
      </c>
      <c r="H30" s="53" t="str">
        <f>IF(E30=F30+G30," ","ERROR")</f>
        <v xml:space="preserve"> </v>
      </c>
    </row>
    <row r="31" spans="1:8">
      <c r="A31" s="47">
        <v>18</v>
      </c>
      <c r="B31" s="50" t="s">
        <v>160</v>
      </c>
      <c r="E31" s="55">
        <f>SUM(F31:G31)</f>
        <v>0</v>
      </c>
      <c r="F31" s="55">
        <v>0</v>
      </c>
      <c r="G31" s="55">
        <v>0</v>
      </c>
      <c r="H31" s="53" t="str">
        <f>IF(E31=F31+G31," ","ERROR")</f>
        <v xml:space="preserve"> </v>
      </c>
    </row>
    <row r="32" spans="1:8">
      <c r="E32" s="58"/>
      <c r="F32" s="58"/>
      <c r="G32" s="58"/>
      <c r="H32" s="53"/>
    </row>
    <row r="33" spans="1:8">
      <c r="B33" s="50" t="s">
        <v>104</v>
      </c>
      <c r="E33" s="58"/>
      <c r="F33" s="58"/>
      <c r="G33" s="58"/>
      <c r="H33" s="53"/>
    </row>
    <row r="34" spans="1:8">
      <c r="A34" s="47">
        <v>19</v>
      </c>
      <c r="B34" s="50" t="s">
        <v>153</v>
      </c>
      <c r="E34" s="55">
        <f>SUM(F34:G34)</f>
        <v>0</v>
      </c>
      <c r="F34" s="55">
        <v>0</v>
      </c>
      <c r="G34" s="55">
        <v>0</v>
      </c>
      <c r="H34" s="53" t="str">
        <f>IF(E34=F34+G34," ","ERROR")</f>
        <v xml:space="preserve"> </v>
      </c>
    </row>
    <row r="35" spans="1:8">
      <c r="A35" s="47">
        <v>20</v>
      </c>
      <c r="B35" s="50" t="s">
        <v>158</v>
      </c>
      <c r="E35" s="55"/>
      <c r="F35" s="55"/>
      <c r="G35" s="55"/>
      <c r="H35" s="53" t="str">
        <f>IF(E35=F35+G35," ","ERROR")</f>
        <v xml:space="preserve"> </v>
      </c>
    </row>
    <row r="36" spans="1:8">
      <c r="A36" s="47">
        <v>21</v>
      </c>
      <c r="B36" s="50" t="s">
        <v>156</v>
      </c>
      <c r="E36" s="55"/>
      <c r="F36" s="55"/>
      <c r="G36" s="55"/>
      <c r="H36" s="53" t="str">
        <f>IF(E36=F36+G36," ","ERROR")</f>
        <v xml:space="preserve"> </v>
      </c>
    </row>
    <row r="37" spans="1:8">
      <c r="A37" s="47">
        <v>22</v>
      </c>
      <c r="B37" s="50" t="s">
        <v>161</v>
      </c>
      <c r="E37" s="60">
        <f>E34+E35+E36</f>
        <v>0</v>
      </c>
      <c r="F37" s="60">
        <f>F34+F35+F36</f>
        <v>0</v>
      </c>
      <c r="G37" s="60">
        <f>G34+G35+G36</f>
        <v>0</v>
      </c>
      <c r="H37" s="53" t="str">
        <f>IF(E37=F37+G37," ","ERROR")</f>
        <v xml:space="preserve"> </v>
      </c>
    </row>
    <row r="38" spans="1:8">
      <c r="A38" s="47">
        <v>23</v>
      </c>
      <c r="B38" s="50" t="s">
        <v>106</v>
      </c>
      <c r="E38" s="61">
        <f>E21+E27+E29+E30+E31+E37</f>
        <v>2897</v>
      </c>
      <c r="F38" s="61">
        <f>F21+F27+F29+F30+F31+F37</f>
        <v>2897</v>
      </c>
      <c r="G38" s="61">
        <f>G21+G27+G29+G30+G31+G37</f>
        <v>0</v>
      </c>
      <c r="H38" s="53" t="str">
        <f>IF(E38=F38+G38," ","ERROR")</f>
        <v xml:space="preserve"> </v>
      </c>
    </row>
    <row r="39" spans="1:8">
      <c r="E39" s="58"/>
      <c r="F39" s="58"/>
      <c r="G39" s="58"/>
      <c r="H39" s="53"/>
    </row>
    <row r="40" spans="1:8">
      <c r="A40" s="47">
        <v>24</v>
      </c>
      <c r="B40" s="50" t="s">
        <v>162</v>
      </c>
      <c r="E40" s="58">
        <f>E13-E38</f>
        <v>-2897</v>
      </c>
      <c r="F40" s="58">
        <f>F13-F38</f>
        <v>-2897</v>
      </c>
      <c r="G40" s="58">
        <f>G13-G38</f>
        <v>0</v>
      </c>
      <c r="H40" s="53" t="str">
        <f>IF(E40=F40+G40," ","ERROR")</f>
        <v xml:space="preserve"> </v>
      </c>
    </row>
    <row r="41" spans="1:8">
      <c r="B41" s="50"/>
      <c r="E41" s="58"/>
      <c r="F41" s="58"/>
      <c r="G41" s="58"/>
      <c r="H41" s="53"/>
    </row>
    <row r="42" spans="1:8">
      <c r="B42" s="50" t="s">
        <v>163</v>
      </c>
      <c r="E42" s="58"/>
      <c r="F42" s="58"/>
      <c r="G42" s="58"/>
      <c r="H42" s="53"/>
    </row>
    <row r="43" spans="1:8">
      <c r="A43" s="47">
        <v>25</v>
      </c>
      <c r="B43" s="50" t="s">
        <v>164</v>
      </c>
      <c r="D43" s="62">
        <v>0.35</v>
      </c>
      <c r="E43" s="55">
        <f>F43+G43</f>
        <v>-1014</v>
      </c>
      <c r="F43" s="55">
        <f>ROUND(F40*D43,0)</f>
        <v>-1014</v>
      </c>
      <c r="G43" s="55">
        <f>ROUND(G40*D43,0)</f>
        <v>0</v>
      </c>
      <c r="H43" s="53" t="str">
        <f>IF(E43=F43+G43," ","ERROR")</f>
        <v xml:space="preserve"> </v>
      </c>
    </row>
    <row r="44" spans="1:8">
      <c r="A44" s="47">
        <v>26</v>
      </c>
      <c r="B44" s="50" t="s">
        <v>165</v>
      </c>
      <c r="E44" s="55"/>
      <c r="F44" s="55"/>
      <c r="G44" s="55"/>
      <c r="H44" s="53" t="str">
        <f>IF(E44=F44+G44," ","ERROR")</f>
        <v xml:space="preserve"> </v>
      </c>
    </row>
    <row r="45" spans="1:8">
      <c r="A45"/>
      <c r="B45"/>
      <c r="C45"/>
      <c r="D45"/>
      <c r="E45" s="913"/>
      <c r="F45" s="913"/>
      <c r="G45" s="913"/>
      <c r="H45" s="53" t="str">
        <f>IF(E45=F45+G45," ","ERROR")</f>
        <v xml:space="preserve"> </v>
      </c>
    </row>
    <row r="46" spans="1:8">
      <c r="A46" s="259"/>
      <c r="B46" s="262"/>
      <c r="C46" s="256"/>
      <c r="D46" s="256"/>
      <c r="E46" s="269"/>
      <c r="F46" s="269"/>
      <c r="G46" s="269"/>
      <c r="H46" s="53"/>
    </row>
    <row r="47" spans="1:8">
      <c r="A47" s="263">
        <v>27</v>
      </c>
      <c r="B47" s="264" t="s">
        <v>113</v>
      </c>
      <c r="C47" s="265"/>
      <c r="D47" s="265"/>
      <c r="E47" s="273">
        <f>E40-SUM(E43:E44)</f>
        <v>-1883</v>
      </c>
      <c r="F47" s="273">
        <f>F40-SUM(F43:F44)</f>
        <v>-1883</v>
      </c>
      <c r="G47" s="273">
        <f>G40-SUM(G43:G44)</f>
        <v>0</v>
      </c>
      <c r="H47" s="53" t="str">
        <f>IF(E47=F47+G47," ","ERROR")</f>
        <v xml:space="preserve"> </v>
      </c>
    </row>
    <row r="48" spans="1:8">
      <c r="A48" s="259"/>
      <c r="H48" s="53"/>
    </row>
    <row r="49" spans="1:8">
      <c r="A49" s="259"/>
      <c r="B49" s="50" t="s">
        <v>114</v>
      </c>
      <c r="H49" s="53"/>
    </row>
    <row r="50" spans="1:8">
      <c r="A50" s="259"/>
      <c r="B50" s="50" t="s">
        <v>115</v>
      </c>
      <c r="H50" s="53"/>
    </row>
    <row r="51" spans="1:8">
      <c r="A51" s="263">
        <v>28</v>
      </c>
      <c r="B51" s="52" t="s">
        <v>167</v>
      </c>
      <c r="C51" s="53"/>
      <c r="D51" s="53"/>
      <c r="E51" s="54"/>
      <c r="F51" s="54"/>
      <c r="G51" s="54"/>
      <c r="H51" s="53" t="str">
        <f t="shared" ref="H51:H61" si="1">IF(E51=F51+G51," ","ERROR")</f>
        <v xml:space="preserve"> </v>
      </c>
    </row>
    <row r="52" spans="1:8">
      <c r="A52" s="259">
        <v>29</v>
      </c>
      <c r="B52" s="50" t="s">
        <v>168</v>
      </c>
      <c r="E52" s="55">
        <f>F52+G52</f>
        <v>0</v>
      </c>
      <c r="F52" s="55"/>
      <c r="G52" s="55"/>
      <c r="H52" s="53" t="str">
        <f t="shared" si="1"/>
        <v xml:space="preserve"> </v>
      </c>
    </row>
    <row r="53" spans="1:8">
      <c r="A53" s="259">
        <v>30</v>
      </c>
      <c r="B53" s="50" t="s">
        <v>169</v>
      </c>
      <c r="E53" s="55"/>
      <c r="F53" s="55"/>
      <c r="G53" s="55"/>
      <c r="H53" s="53" t="str">
        <f t="shared" si="1"/>
        <v xml:space="preserve"> </v>
      </c>
    </row>
    <row r="54" spans="1:8">
      <c r="A54" s="259">
        <v>31</v>
      </c>
      <c r="B54" s="50" t="s">
        <v>170</v>
      </c>
      <c r="E54" s="55"/>
      <c r="F54" s="55"/>
      <c r="G54" s="55"/>
      <c r="H54" s="53" t="str">
        <f t="shared" si="1"/>
        <v xml:space="preserve"> </v>
      </c>
    </row>
    <row r="55" spans="1:8">
      <c r="A55" s="259">
        <v>32</v>
      </c>
      <c r="B55" s="50" t="s">
        <v>171</v>
      </c>
      <c r="E55" s="59"/>
      <c r="F55" s="59"/>
      <c r="G55" s="59"/>
      <c r="H55" s="53" t="str">
        <f t="shared" si="1"/>
        <v xml:space="preserve"> </v>
      </c>
    </row>
    <row r="56" spans="1:8">
      <c r="A56" s="259">
        <v>33</v>
      </c>
      <c r="B56" s="50" t="s">
        <v>172</v>
      </c>
      <c r="E56" s="58">
        <f>E51+E52+E53+E54+E55</f>
        <v>0</v>
      </c>
      <c r="F56" s="58">
        <f>F51+F52+F53+F54+F55</f>
        <v>0</v>
      </c>
      <c r="G56" s="58">
        <f>G51+G52+G53+G54+G55</f>
        <v>0</v>
      </c>
      <c r="H56" s="53" t="str">
        <f t="shared" si="1"/>
        <v xml:space="preserve"> </v>
      </c>
    </row>
    <row r="57" spans="1:8">
      <c r="A57" s="259">
        <v>34</v>
      </c>
      <c r="B57" s="50" t="s">
        <v>121</v>
      </c>
      <c r="E57" s="55">
        <f>F57+G57</f>
        <v>0</v>
      </c>
      <c r="F57" s="55"/>
      <c r="G57" s="55"/>
      <c r="H57" s="53" t="str">
        <f t="shared" si="1"/>
        <v xml:space="preserve"> </v>
      </c>
    </row>
    <row r="58" spans="1:8">
      <c r="A58" s="259">
        <v>35</v>
      </c>
      <c r="B58" s="50" t="s">
        <v>122</v>
      </c>
      <c r="E58" s="59"/>
      <c r="F58" s="59"/>
      <c r="G58" s="59"/>
      <c r="H58" s="53" t="str">
        <f t="shared" si="1"/>
        <v xml:space="preserve"> </v>
      </c>
    </row>
    <row r="59" spans="1:8">
      <c r="A59" s="259">
        <v>36</v>
      </c>
      <c r="B59" s="50" t="s">
        <v>173</v>
      </c>
      <c r="E59" s="58">
        <f>E57+E58</f>
        <v>0</v>
      </c>
      <c r="F59" s="58">
        <f>F57+F58</f>
        <v>0</v>
      </c>
      <c r="G59" s="58">
        <f>G57+G58</f>
        <v>0</v>
      </c>
      <c r="H59" s="53" t="str">
        <f t="shared" si="1"/>
        <v xml:space="preserve"> </v>
      </c>
    </row>
    <row r="60" spans="1:8">
      <c r="A60" s="259">
        <v>37</v>
      </c>
      <c r="B60" s="50" t="s">
        <v>124</v>
      </c>
      <c r="E60" s="55"/>
      <c r="F60" s="55"/>
      <c r="G60" s="55"/>
      <c r="H60" s="53" t="str">
        <f t="shared" si="1"/>
        <v xml:space="preserve"> </v>
      </c>
    </row>
    <row r="61" spans="1:8">
      <c r="A61" s="259">
        <v>38</v>
      </c>
      <c r="B61" s="50" t="s">
        <v>125</v>
      </c>
      <c r="E61" s="59">
        <f>F61+G61</f>
        <v>0</v>
      </c>
      <c r="F61" s="59"/>
      <c r="G61" s="59"/>
      <c r="H61" s="53" t="str">
        <f t="shared" si="1"/>
        <v xml:space="preserve"> </v>
      </c>
    </row>
    <row r="62" spans="1:8" ht="11.25" customHeight="1">
      <c r="A62" s="259"/>
      <c r="H62" s="53"/>
    </row>
    <row r="63" spans="1:8" ht="13.5" thickBot="1">
      <c r="A63" s="263">
        <v>39</v>
      </c>
      <c r="B63" s="52" t="s">
        <v>126</v>
      </c>
      <c r="C63" s="53"/>
      <c r="D63" s="53"/>
      <c r="E63" s="63">
        <f>E56-E59+E60+E61</f>
        <v>0</v>
      </c>
      <c r="F63" s="63">
        <f>F56-F59+F60+F61</f>
        <v>0</v>
      </c>
      <c r="G63" s="63">
        <f>G56-G59+G60+G61</f>
        <v>0</v>
      </c>
      <c r="H63" s="53" t="str">
        <f>IF(E63=F63+G63," ","ERROR")</f>
        <v xml:space="preserve"> </v>
      </c>
    </row>
    <row r="64" spans="1:8" ht="13.5" thickTop="1">
      <c r="A64" s="44"/>
      <c r="B64" s="69"/>
      <c r="C64" s="69"/>
      <c r="D64" s="69"/>
      <c r="E64" s="671"/>
      <c r="F64" s="672"/>
      <c r="G64" s="69"/>
      <c r="H64" s="69"/>
    </row>
    <row r="65" spans="1:7">
      <c r="A65" s="420" t="str">
        <f>Inputs!$D$6</f>
        <v>AVISTA UTILITIES</v>
      </c>
      <c r="B65" s="420"/>
      <c r="C65" s="420"/>
      <c r="D65" s="440"/>
      <c r="E65" s="441"/>
      <c r="F65" s="440"/>
      <c r="G65" s="442"/>
    </row>
    <row r="66" spans="1:7">
      <c r="A66" s="420" t="s">
        <v>225</v>
      </c>
      <c r="B66" s="420"/>
      <c r="C66" s="420"/>
      <c r="D66" s="440"/>
      <c r="E66" s="441"/>
      <c r="F66" s="440"/>
      <c r="G66" s="442"/>
    </row>
    <row r="67" spans="1:7">
      <c r="A67" s="420" t="str">
        <f>A3</f>
        <v>TWELVE MONTHS ENDED SEPTEMBER 30, 2008</v>
      </c>
      <c r="B67" s="420"/>
      <c r="C67" s="420"/>
      <c r="D67" s="440"/>
      <c r="E67" s="441"/>
      <c r="F67" s="443" t="str">
        <f>F1</f>
        <v>PRO FORMA</v>
      </c>
      <c r="G67" s="440"/>
    </row>
    <row r="68" spans="1:7">
      <c r="A68" s="420" t="s">
        <v>226</v>
      </c>
      <c r="B68" s="420"/>
      <c r="C68" s="420"/>
      <c r="D68" s="440"/>
      <c r="E68" s="441"/>
      <c r="F68" s="443" t="str">
        <f>F2</f>
        <v>ASSET MANAGEMENT</v>
      </c>
      <c r="G68" s="440"/>
    </row>
    <row r="69" spans="1:7">
      <c r="A69" s="424"/>
      <c r="B69" s="440"/>
      <c r="C69" s="440"/>
      <c r="D69" s="440"/>
      <c r="E69" s="444"/>
      <c r="F69" s="445" t="str">
        <f>F4</f>
        <v>ELECTRIC</v>
      </c>
      <c r="G69" s="440"/>
    </row>
    <row r="70" spans="1:7">
      <c r="A70" s="424"/>
      <c r="B70" s="440"/>
      <c r="C70" s="440"/>
      <c r="D70" s="440"/>
      <c r="E70" s="441"/>
      <c r="F70" s="443"/>
      <c r="G70" s="447"/>
    </row>
    <row r="71" spans="1:7">
      <c r="A71" s="424"/>
      <c r="B71" s="448" t="s">
        <v>134</v>
      </c>
      <c r="C71" s="449"/>
      <c r="D71" s="440"/>
      <c r="E71" s="441"/>
      <c r="F71" s="445" t="s">
        <v>128</v>
      </c>
      <c r="G71" s="440"/>
    </row>
    <row r="72" spans="1:7">
      <c r="A72" s="424"/>
      <c r="B72" s="427" t="s">
        <v>85</v>
      </c>
      <c r="C72" s="440"/>
      <c r="D72" s="440"/>
      <c r="E72" s="440"/>
      <c r="F72" s="442"/>
      <c r="G72" s="440"/>
    </row>
    <row r="73" spans="1:7">
      <c r="A73" s="424"/>
      <c r="B73" s="429" t="s">
        <v>86</v>
      </c>
      <c r="C73" s="440"/>
      <c r="D73" s="440"/>
      <c r="E73" s="440"/>
      <c r="F73" s="450">
        <f>G8</f>
        <v>0</v>
      </c>
      <c r="G73" s="440"/>
    </row>
    <row r="74" spans="1:7">
      <c r="A74" s="424"/>
      <c r="B74" s="427" t="s">
        <v>87</v>
      </c>
      <c r="C74" s="440"/>
      <c r="D74" s="440"/>
      <c r="E74" s="440"/>
      <c r="F74" s="434">
        <f>G9</f>
        <v>0</v>
      </c>
      <c r="G74" s="440"/>
    </row>
    <row r="75" spans="1:7">
      <c r="A75" s="424"/>
      <c r="B75" s="427" t="s">
        <v>150</v>
      </c>
      <c r="C75" s="440"/>
      <c r="D75" s="440"/>
      <c r="E75" s="440"/>
      <c r="F75" s="436">
        <f>G10</f>
        <v>0</v>
      </c>
      <c r="G75" s="440"/>
    </row>
    <row r="76" spans="1:7">
      <c r="A76" s="424"/>
      <c r="B76" s="427" t="s">
        <v>151</v>
      </c>
      <c r="C76" s="440"/>
      <c r="D76" s="440"/>
      <c r="E76" s="440"/>
      <c r="F76" s="434">
        <f>SUM(F73:F75)</f>
        <v>0</v>
      </c>
      <c r="G76" s="440"/>
    </row>
    <row r="77" spans="1:7">
      <c r="A77" s="424"/>
      <c r="B77" s="427" t="s">
        <v>90</v>
      </c>
      <c r="C77" s="440"/>
      <c r="D77" s="440"/>
      <c r="E77" s="440"/>
      <c r="F77" s="436">
        <f>G12</f>
        <v>0</v>
      </c>
      <c r="G77" s="440"/>
    </row>
    <row r="78" spans="1:7">
      <c r="A78" s="424"/>
      <c r="B78" s="427" t="s">
        <v>152</v>
      </c>
      <c r="C78" s="440"/>
      <c r="D78" s="440"/>
      <c r="E78" s="440"/>
      <c r="F78" s="434">
        <f>F76+F77</f>
        <v>0</v>
      </c>
      <c r="G78" s="440"/>
    </row>
    <row r="79" spans="1:7">
      <c r="A79" s="424"/>
      <c r="B79" s="421"/>
      <c r="C79" s="440"/>
      <c r="D79" s="440"/>
      <c r="E79" s="440"/>
      <c r="F79" s="434"/>
      <c r="G79" s="440"/>
    </row>
    <row r="80" spans="1:7">
      <c r="A80" s="424"/>
      <c r="B80" s="427" t="s">
        <v>92</v>
      </c>
      <c r="C80" s="440"/>
      <c r="D80" s="440"/>
      <c r="E80" s="440"/>
      <c r="F80" s="434"/>
      <c r="G80" s="440"/>
    </row>
    <row r="81" spans="1:7">
      <c r="A81" s="424"/>
      <c r="B81" s="427" t="s">
        <v>93</v>
      </c>
      <c r="C81" s="440"/>
      <c r="D81" s="440"/>
      <c r="E81" s="440"/>
      <c r="F81" s="434"/>
      <c r="G81" s="440"/>
    </row>
    <row r="82" spans="1:7">
      <c r="A82" s="424"/>
      <c r="B82" s="427" t="s">
        <v>153</v>
      </c>
      <c r="C82" s="440"/>
      <c r="D82" s="440"/>
      <c r="E82" s="440"/>
      <c r="F82" s="434">
        <f>G17</f>
        <v>0</v>
      </c>
      <c r="G82" s="440"/>
    </row>
    <row r="83" spans="1:7">
      <c r="A83" s="424"/>
      <c r="B83" s="427" t="s">
        <v>154</v>
      </c>
      <c r="C83" s="440"/>
      <c r="D83" s="440"/>
      <c r="E83" s="440"/>
      <c r="F83" s="434">
        <f>G18</f>
        <v>0</v>
      </c>
      <c r="G83" s="440"/>
    </row>
    <row r="84" spans="1:7">
      <c r="A84" s="424"/>
      <c r="B84" s="427" t="s">
        <v>155</v>
      </c>
      <c r="C84" s="440"/>
      <c r="D84" s="440"/>
      <c r="E84" s="440"/>
      <c r="F84" s="434">
        <f>G19</f>
        <v>0</v>
      </c>
      <c r="G84" s="440"/>
    </row>
    <row r="85" spans="1:7">
      <c r="A85" s="424"/>
      <c r="B85" s="427" t="s">
        <v>156</v>
      </c>
      <c r="C85" s="440"/>
      <c r="D85" s="440"/>
      <c r="E85" s="440"/>
      <c r="F85" s="436">
        <f>G20</f>
        <v>0</v>
      </c>
      <c r="G85" s="440"/>
    </row>
    <row r="86" spans="1:7">
      <c r="A86" s="424"/>
      <c r="B86" s="427" t="s">
        <v>157</v>
      </c>
      <c r="C86" s="440"/>
      <c r="D86" s="440"/>
      <c r="E86" s="440"/>
      <c r="F86" s="434">
        <f>SUM(F82:F85)</f>
        <v>0</v>
      </c>
      <c r="G86" s="440"/>
    </row>
    <row r="87" spans="1:7">
      <c r="A87" s="424"/>
      <c r="B87" s="421"/>
      <c r="C87" s="440"/>
      <c r="D87" s="440"/>
      <c r="E87" s="440"/>
      <c r="F87" s="434"/>
      <c r="G87" s="440"/>
    </row>
    <row r="88" spans="1:7">
      <c r="A88" s="424"/>
      <c r="B88" s="427" t="s">
        <v>98</v>
      </c>
      <c r="C88" s="440"/>
      <c r="D88" s="440"/>
      <c r="E88" s="440"/>
      <c r="F88" s="434"/>
      <c r="G88" s="440"/>
    </row>
    <row r="89" spans="1:7">
      <c r="A89" s="424"/>
      <c r="B89" s="427" t="s">
        <v>153</v>
      </c>
      <c r="C89" s="440"/>
      <c r="D89" s="440"/>
      <c r="E89" s="440"/>
      <c r="F89" s="434">
        <f>G24</f>
        <v>0</v>
      </c>
      <c r="G89" s="440"/>
    </row>
    <row r="90" spans="1:7">
      <c r="A90" s="424"/>
      <c r="B90" s="427" t="s">
        <v>158</v>
      </c>
      <c r="C90" s="440"/>
      <c r="D90" s="440"/>
      <c r="E90" s="440"/>
      <c r="F90" s="434">
        <f>G25</f>
        <v>0</v>
      </c>
      <c r="G90" s="440"/>
    </row>
    <row r="91" spans="1:7">
      <c r="A91" s="421"/>
      <c r="B91" s="427" t="s">
        <v>156</v>
      </c>
      <c r="C91" s="440"/>
      <c r="D91" s="440"/>
      <c r="E91" s="440"/>
      <c r="F91" s="434"/>
      <c r="G91" s="440"/>
    </row>
    <row r="92" spans="1:7">
      <c r="A92" s="421"/>
      <c r="B92" s="427" t="s">
        <v>159</v>
      </c>
      <c r="C92" s="440"/>
      <c r="D92" s="440"/>
      <c r="E92" s="440"/>
      <c r="F92" s="433">
        <f>SUM(F89:F91)</f>
        <v>0</v>
      </c>
      <c r="G92" s="440"/>
    </row>
    <row r="93" spans="1:7">
      <c r="A93" s="421"/>
      <c r="B93" s="421"/>
      <c r="C93" s="440"/>
      <c r="D93" s="440"/>
      <c r="E93" s="440"/>
      <c r="F93" s="434"/>
      <c r="G93" s="440"/>
    </row>
    <row r="94" spans="1:7">
      <c r="A94" s="421"/>
      <c r="B94" s="427" t="s">
        <v>101</v>
      </c>
      <c r="C94" s="440"/>
      <c r="D94" s="440"/>
      <c r="E94" s="440"/>
      <c r="F94" s="434">
        <f>G29</f>
        <v>0</v>
      </c>
      <c r="G94" s="440"/>
    </row>
    <row r="95" spans="1:7">
      <c r="A95" s="421"/>
      <c r="B95" s="427" t="s">
        <v>102</v>
      </c>
      <c r="C95" s="440"/>
      <c r="D95" s="440"/>
      <c r="E95" s="440"/>
      <c r="F95" s="434">
        <f>G30</f>
        <v>0</v>
      </c>
      <c r="G95" s="440"/>
    </row>
    <row r="96" spans="1:7">
      <c r="A96" s="421"/>
      <c r="B96" s="427" t="s">
        <v>160</v>
      </c>
      <c r="C96" s="440"/>
      <c r="D96" s="440"/>
      <c r="E96" s="440"/>
      <c r="F96" s="434">
        <f>G31</f>
        <v>0</v>
      </c>
      <c r="G96" s="440"/>
    </row>
    <row r="97" spans="1:7">
      <c r="A97" s="421"/>
      <c r="B97" s="421"/>
      <c r="C97" s="440"/>
      <c r="D97" s="440"/>
      <c r="E97" s="440"/>
      <c r="F97" s="434"/>
      <c r="G97" s="440"/>
    </row>
    <row r="98" spans="1:7">
      <c r="A98" s="421"/>
      <c r="B98" s="427" t="s">
        <v>104</v>
      </c>
      <c r="C98" s="440"/>
      <c r="D98" s="440"/>
      <c r="E98" s="440"/>
      <c r="F98" s="434"/>
      <c r="G98" s="440"/>
    </row>
    <row r="99" spans="1:7">
      <c r="A99" s="421"/>
      <c r="B99" s="427" t="s">
        <v>153</v>
      </c>
      <c r="C99" s="440"/>
      <c r="D99" s="440"/>
      <c r="E99" s="440"/>
      <c r="F99" s="434">
        <f>G34</f>
        <v>0</v>
      </c>
      <c r="G99" s="440"/>
    </row>
    <row r="100" spans="1:7">
      <c r="A100" s="421"/>
      <c r="B100" s="427" t="s">
        <v>158</v>
      </c>
      <c r="C100" s="440"/>
      <c r="D100" s="440"/>
      <c r="E100" s="440"/>
      <c r="F100" s="434">
        <f>G35</f>
        <v>0</v>
      </c>
      <c r="G100" s="440"/>
    </row>
    <row r="101" spans="1:7">
      <c r="A101" s="421"/>
      <c r="B101" s="427" t="s">
        <v>156</v>
      </c>
      <c r="C101" s="440"/>
      <c r="D101" s="440"/>
      <c r="E101" s="440"/>
      <c r="F101" s="436">
        <f>G36</f>
        <v>0</v>
      </c>
      <c r="G101" s="440"/>
    </row>
    <row r="102" spans="1:7">
      <c r="A102" s="421"/>
      <c r="B102" s="427" t="s">
        <v>161</v>
      </c>
      <c r="C102" s="440"/>
      <c r="D102" s="440"/>
      <c r="E102" s="440"/>
      <c r="F102" s="434">
        <f>F99+F100+F101</f>
        <v>0</v>
      </c>
      <c r="G102" s="440"/>
    </row>
    <row r="103" spans="1:7">
      <c r="A103" s="421"/>
      <c r="B103" s="440"/>
      <c r="C103" s="440"/>
      <c r="D103" s="440"/>
      <c r="E103" s="440"/>
      <c r="F103" s="434"/>
      <c r="G103" s="440"/>
    </row>
    <row r="104" spans="1:7">
      <c r="A104" s="421"/>
      <c r="B104" s="440" t="s">
        <v>106</v>
      </c>
      <c r="C104" s="440"/>
      <c r="D104" s="440"/>
      <c r="E104" s="440"/>
      <c r="F104" s="435">
        <f>F86+F92+F94+F95+F96+F102</f>
        <v>0</v>
      </c>
      <c r="G104" s="440"/>
    </row>
    <row r="105" spans="1:7">
      <c r="A105" s="421"/>
      <c r="B105" s="440"/>
      <c r="C105" s="440"/>
      <c r="D105" s="440"/>
      <c r="E105" s="440"/>
      <c r="F105" s="434"/>
      <c r="G105" s="440"/>
    </row>
    <row r="106" spans="1:7">
      <c r="A106" s="421"/>
      <c r="B106" s="440" t="s">
        <v>227</v>
      </c>
      <c r="C106" s="440"/>
      <c r="D106" s="440"/>
      <c r="E106" s="440"/>
      <c r="F106" s="436">
        <f>F78-F104</f>
        <v>0</v>
      </c>
      <c r="G106" s="440"/>
    </row>
    <row r="107" spans="1:7">
      <c r="A107" s="421"/>
      <c r="B107" s="440"/>
      <c r="C107" s="440"/>
      <c r="D107" s="440"/>
      <c r="E107" s="440"/>
      <c r="F107" s="434"/>
      <c r="G107" s="440"/>
    </row>
    <row r="108" spans="1:7">
      <c r="A108" s="421"/>
      <c r="B108" s="440" t="s">
        <v>228</v>
      </c>
      <c r="C108" s="440"/>
      <c r="D108" s="440"/>
      <c r="E108" s="441"/>
      <c r="F108" s="434"/>
      <c r="G108" s="440"/>
    </row>
    <row r="109" spans="1:7" ht="13.5" thickBot="1">
      <c r="A109" s="421"/>
      <c r="B109" s="451" t="s">
        <v>229</v>
      </c>
      <c r="C109" s="452">
        <f>Inputs!$D$4</f>
        <v>1.2215999999999999E-2</v>
      </c>
      <c r="D109" s="440"/>
      <c r="E109" s="441"/>
      <c r="F109" s="439">
        <f>ROUND(F106*C109,0)</f>
        <v>0</v>
      </c>
      <c r="G109" s="440"/>
    </row>
    <row r="110" spans="1:7" ht="13.5" thickTop="1">
      <c r="A110" s="421"/>
      <c r="B110" s="440"/>
      <c r="C110" s="440"/>
      <c r="D110" s="440"/>
      <c r="E110" s="441"/>
      <c r="F110" s="442"/>
      <c r="G110" s="440"/>
    </row>
  </sheetData>
  <customSheetViews>
    <customSheetView guid="{A15D1962-B049-11D2-8670-0000832CEEE8}" showRuler="0">
      <pageMargins left="0.75" right="0.75" top="1" bottom="1" header="0.5" footer="0.5"/>
      <headerFooter alignWithMargins="0">
        <oddHeader>&amp;A</oddHeader>
        <oddFooter>Page &amp;P</oddFooter>
      </headerFooter>
    </customSheetView>
    <customSheetView guid="{6E1B8C45-B07F-11D2-B0DC-0000832CDFF0}" showRuler="0">
      <pageMargins left="0.75" right="0.75" top="1" bottom="1" header="0.5" footer="0.5"/>
      <headerFooter alignWithMargins="0">
        <oddHeader>&amp;A</oddHeader>
        <oddFooter>Page &amp;P</oddFooter>
      </headerFooter>
    </customSheetView>
  </customSheetViews>
  <phoneticPr fontId="0" type="noConversion"/>
  <pageMargins left="1" right="1" top="0.5" bottom="0.25" header="0.5" footer="0.5"/>
  <pageSetup scale="90" orientation="portrait" r:id="rId1"/>
  <headerFooter alignWithMargins="0"/>
  <rowBreaks count="1" manualBreakCount="1">
    <brk id="64" max="6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61"/>
  <dimension ref="A1:H110"/>
  <sheetViews>
    <sheetView zoomScaleNormal="100" workbookViewId="0">
      <selection activeCell="F2" sqref="F2"/>
    </sheetView>
  </sheetViews>
  <sheetFormatPr defaultRowHeight="12.75"/>
  <cols>
    <col min="1" max="1" width="5.5703125" style="47" customWidth="1"/>
    <col min="2" max="2" width="26.140625" style="44" customWidth="1"/>
    <col min="3" max="3" width="12.42578125" style="44" customWidth="1"/>
    <col min="4" max="4" width="6.7109375" style="44" customWidth="1"/>
    <col min="5" max="8" width="12.42578125" style="44" customWidth="1"/>
  </cols>
  <sheetData>
    <row r="1" spans="1:8">
      <c r="A1" s="42" t="str">
        <f>Inputs!$D$6</f>
        <v>AVISTA UTILITIES</v>
      </c>
      <c r="B1" s="43"/>
      <c r="C1" s="42"/>
    </row>
    <row r="2" spans="1:8">
      <c r="A2" s="42" t="s">
        <v>142</v>
      </c>
      <c r="B2" s="43"/>
      <c r="C2" s="42"/>
      <c r="E2" s="42"/>
      <c r="F2" s="456" t="s">
        <v>299</v>
      </c>
      <c r="G2" s="42"/>
    </row>
    <row r="3" spans="1:8">
      <c r="A3" s="43" t="str">
        <f>WAElec09_08!$A$4</f>
        <v>TWELVE MONTHS ENDED SEPTEMBER 30, 2008</v>
      </c>
      <c r="B3" s="43"/>
      <c r="C3" s="42"/>
      <c r="E3" s="42"/>
      <c r="F3" s="47" t="s">
        <v>575</v>
      </c>
      <c r="G3" s="42"/>
    </row>
    <row r="4" spans="1:8">
      <c r="A4" s="42" t="s">
        <v>1</v>
      </c>
      <c r="B4" s="43"/>
      <c r="C4" s="42"/>
      <c r="E4" s="45"/>
      <c r="F4" s="670" t="s">
        <v>145</v>
      </c>
      <c r="G4" s="46"/>
    </row>
    <row r="5" spans="1:8">
      <c r="A5" s="47" t="s">
        <v>14</v>
      </c>
    </row>
    <row r="6" spans="1:8">
      <c r="A6" s="47" t="s">
        <v>146</v>
      </c>
      <c r="B6" s="48" t="s">
        <v>36</v>
      </c>
      <c r="C6" s="48"/>
      <c r="D6" s="47"/>
      <c r="E6" s="48" t="s">
        <v>147</v>
      </c>
      <c r="F6" s="48" t="s">
        <v>148</v>
      </c>
      <c r="G6" s="48" t="s">
        <v>128</v>
      </c>
      <c r="H6" s="49" t="s">
        <v>149</v>
      </c>
    </row>
    <row r="7" spans="1:8">
      <c r="B7" s="50" t="s">
        <v>85</v>
      </c>
    </row>
    <row r="8" spans="1:8">
      <c r="A8" s="51">
        <v>1</v>
      </c>
      <c r="B8" s="52" t="s">
        <v>86</v>
      </c>
      <c r="C8" s="53"/>
      <c r="D8" s="53"/>
      <c r="E8" s="54">
        <f>F8+G8</f>
        <v>0</v>
      </c>
      <c r="F8" s="54">
        <v>0</v>
      </c>
      <c r="G8" s="54">
        <v>0</v>
      </c>
      <c r="H8" s="53" t="str">
        <f t="shared" ref="H8:H13" si="0">IF(E8=F8+G8," ","ERROR")</f>
        <v xml:space="preserve"> </v>
      </c>
    </row>
    <row r="9" spans="1:8">
      <c r="A9" s="47">
        <v>2</v>
      </c>
      <c r="B9" s="50" t="s">
        <v>87</v>
      </c>
      <c r="E9" s="55"/>
      <c r="F9" s="55"/>
      <c r="G9" s="55"/>
      <c r="H9" s="53" t="str">
        <f t="shared" si="0"/>
        <v xml:space="preserve"> </v>
      </c>
    </row>
    <row r="10" spans="1:8">
      <c r="A10" s="47">
        <v>3</v>
      </c>
      <c r="B10" s="50" t="s">
        <v>150</v>
      </c>
      <c r="E10" s="55"/>
      <c r="F10" s="55"/>
      <c r="G10" s="55"/>
      <c r="H10" s="53" t="str">
        <f t="shared" si="0"/>
        <v xml:space="preserve"> </v>
      </c>
    </row>
    <row r="11" spans="1:8">
      <c r="A11" s="47">
        <v>4</v>
      </c>
      <c r="B11" s="50" t="s">
        <v>151</v>
      </c>
      <c r="E11" s="56">
        <f>E8+E9+E10</f>
        <v>0</v>
      </c>
      <c r="F11" s="56">
        <f>F8+F9+F10</f>
        <v>0</v>
      </c>
      <c r="G11" s="56">
        <f>G8+G9+G10</f>
        <v>0</v>
      </c>
      <c r="H11" s="53" t="str">
        <f t="shared" si="0"/>
        <v xml:space="preserve"> </v>
      </c>
    </row>
    <row r="12" spans="1:8">
      <c r="A12" s="47">
        <v>5</v>
      </c>
      <c r="B12" s="50" t="s">
        <v>90</v>
      </c>
      <c r="E12" s="55"/>
      <c r="F12" s="55"/>
      <c r="G12" s="55"/>
      <c r="H12" s="53" t="str">
        <f t="shared" si="0"/>
        <v xml:space="preserve"> </v>
      </c>
    </row>
    <row r="13" spans="1:8">
      <c r="A13" s="47">
        <v>6</v>
      </c>
      <c r="B13" s="50" t="s">
        <v>152</v>
      </c>
      <c r="E13" s="56">
        <f>E11+E12</f>
        <v>0</v>
      </c>
      <c r="F13" s="56">
        <f>F11+F12</f>
        <v>0</v>
      </c>
      <c r="G13" s="56">
        <f>G11+G12</f>
        <v>0</v>
      </c>
      <c r="H13" s="53" t="str">
        <f t="shared" si="0"/>
        <v xml:space="preserve"> </v>
      </c>
    </row>
    <row r="14" spans="1:8">
      <c r="E14" s="58"/>
      <c r="F14" s="58"/>
      <c r="G14" s="58"/>
      <c r="H14" s="53"/>
    </row>
    <row r="15" spans="1:8">
      <c r="B15" s="50" t="s">
        <v>92</v>
      </c>
      <c r="E15" s="58"/>
      <c r="F15" s="58"/>
      <c r="G15" s="58"/>
      <c r="H15" s="53"/>
    </row>
    <row r="16" spans="1:8">
      <c r="B16" s="50" t="s">
        <v>93</v>
      </c>
      <c r="E16" s="58"/>
      <c r="F16" s="58"/>
      <c r="G16" s="58"/>
      <c r="H16" s="53"/>
    </row>
    <row r="17" spans="1:8">
      <c r="A17" s="47">
        <v>7</v>
      </c>
      <c r="B17" s="50" t="s">
        <v>153</v>
      </c>
      <c r="E17" s="55">
        <f>F17+G17</f>
        <v>1677</v>
      </c>
      <c r="F17" s="55">
        <v>1677</v>
      </c>
      <c r="G17" s="55">
        <v>0</v>
      </c>
      <c r="H17" s="53" t="str">
        <f>IF(E17=F17+G17," ","ERROR")</f>
        <v xml:space="preserve"> </v>
      </c>
    </row>
    <row r="18" spans="1:8">
      <c r="A18" s="47">
        <v>8</v>
      </c>
      <c r="B18" s="50" t="s">
        <v>154</v>
      </c>
      <c r="E18" s="55"/>
      <c r="F18" s="55"/>
      <c r="G18" s="55"/>
      <c r="H18" s="53" t="str">
        <f>IF(E18=F18+G18," ","ERROR")</f>
        <v xml:space="preserve"> </v>
      </c>
    </row>
    <row r="19" spans="1:8">
      <c r="A19" s="47">
        <v>9</v>
      </c>
      <c r="B19" s="50" t="s">
        <v>155</v>
      </c>
      <c r="E19" s="55">
        <f>F19+G19</f>
        <v>1959</v>
      </c>
      <c r="F19" s="55">
        <f>594+1365</f>
        <v>1959</v>
      </c>
      <c r="G19" s="55">
        <v>0</v>
      </c>
      <c r="H19" s="53" t="str">
        <f>IF(E19=F19+G19," ","ERROR")</f>
        <v xml:space="preserve"> </v>
      </c>
    </row>
    <row r="20" spans="1:8">
      <c r="A20" s="47">
        <v>10</v>
      </c>
      <c r="B20" s="50" t="s">
        <v>156</v>
      </c>
      <c r="E20" s="55">
        <f>F20+G20</f>
        <v>0</v>
      </c>
      <c r="F20" s="55"/>
      <c r="G20" s="55"/>
      <c r="H20" s="53" t="str">
        <f>IF(E20=F20+G20," ","ERROR")</f>
        <v xml:space="preserve"> </v>
      </c>
    </row>
    <row r="21" spans="1:8">
      <c r="A21" s="47">
        <v>11</v>
      </c>
      <c r="B21" s="50" t="s">
        <v>157</v>
      </c>
      <c r="E21" s="56">
        <f>E17+E18+E19+E20</f>
        <v>3636</v>
      </c>
      <c r="F21" s="56">
        <f>F17+F18+F19+F20</f>
        <v>3636</v>
      </c>
      <c r="G21" s="56">
        <f>G17+G18+G19+G20</f>
        <v>0</v>
      </c>
      <c r="H21" s="53" t="str">
        <f>IF(E21=F21+G21," ","ERROR")</f>
        <v xml:space="preserve"> </v>
      </c>
    </row>
    <row r="22" spans="1:8">
      <c r="E22" s="58"/>
      <c r="F22" s="58"/>
      <c r="G22" s="58"/>
      <c r="H22" s="53"/>
    </row>
    <row r="23" spans="1:8">
      <c r="B23" s="50" t="s">
        <v>98</v>
      </c>
      <c r="E23" s="58"/>
      <c r="F23" s="58"/>
      <c r="G23" s="58"/>
      <c r="H23" s="53"/>
    </row>
    <row r="24" spans="1:8">
      <c r="A24" s="47">
        <v>12</v>
      </c>
      <c r="B24" s="50" t="s">
        <v>153</v>
      </c>
      <c r="E24" s="55">
        <f>F24+G24</f>
        <v>0</v>
      </c>
      <c r="F24" s="55">
        <v>0</v>
      </c>
      <c r="G24" s="55">
        <v>0</v>
      </c>
      <c r="H24" s="53" t="str">
        <f>IF(E24=F24+G24," ","ERROR")</f>
        <v xml:space="preserve"> </v>
      </c>
    </row>
    <row r="25" spans="1:8">
      <c r="A25" s="47">
        <v>13</v>
      </c>
      <c r="B25" s="50" t="s">
        <v>158</v>
      </c>
      <c r="E25" s="55"/>
      <c r="F25" s="55"/>
      <c r="G25" s="55"/>
      <c r="H25" s="53" t="str">
        <f>IF(E25=F25+G25," ","ERROR")</f>
        <v xml:space="preserve"> </v>
      </c>
    </row>
    <row r="26" spans="1:8">
      <c r="A26" s="47">
        <v>14</v>
      </c>
      <c r="B26" s="50" t="s">
        <v>156</v>
      </c>
      <c r="E26" s="55">
        <f>F26+G26</f>
        <v>0</v>
      </c>
      <c r="F26" s="55">
        <v>0</v>
      </c>
      <c r="G26" s="916">
        <f>F109</f>
        <v>0</v>
      </c>
      <c r="H26" s="53" t="str">
        <f>IF(E26=F26+G26," ","ERROR")</f>
        <v xml:space="preserve"> </v>
      </c>
    </row>
    <row r="27" spans="1:8">
      <c r="A27" s="47">
        <v>15</v>
      </c>
      <c r="B27" s="50" t="s">
        <v>159</v>
      </c>
      <c r="E27" s="56">
        <f>E24+E25+E26</f>
        <v>0</v>
      </c>
      <c r="F27" s="56">
        <f>F24+F25+F26</f>
        <v>0</v>
      </c>
      <c r="G27" s="56">
        <f>G24+G25+G26</f>
        <v>0</v>
      </c>
      <c r="H27" s="53" t="str">
        <f>IF(E27=F27+G27," ","ERROR")</f>
        <v xml:space="preserve"> </v>
      </c>
    </row>
    <row r="28" spans="1:8">
      <c r="E28" s="58"/>
      <c r="F28" s="58"/>
      <c r="G28" s="58"/>
      <c r="H28" s="53"/>
    </row>
    <row r="29" spans="1:8">
      <c r="A29" s="47">
        <v>16</v>
      </c>
      <c r="B29" s="50" t="s">
        <v>101</v>
      </c>
      <c r="E29" s="55">
        <f>SUM(F29:G29)</f>
        <v>0</v>
      </c>
      <c r="F29" s="55">
        <v>0</v>
      </c>
      <c r="G29" s="55">
        <v>0</v>
      </c>
      <c r="H29" s="53" t="str">
        <f>IF(E29=F29+G29," ","ERROR")</f>
        <v xml:space="preserve"> </v>
      </c>
    </row>
    <row r="30" spans="1:8">
      <c r="A30" s="47">
        <v>17</v>
      </c>
      <c r="B30" s="50" t="s">
        <v>102</v>
      </c>
      <c r="E30" s="55">
        <f>SUM(F30:G30)</f>
        <v>0</v>
      </c>
      <c r="F30" s="55">
        <v>0</v>
      </c>
      <c r="G30" s="55">
        <v>0</v>
      </c>
      <c r="H30" s="53" t="str">
        <f>IF(E30=F30+G30," ","ERROR")</f>
        <v xml:space="preserve"> </v>
      </c>
    </row>
    <row r="31" spans="1:8">
      <c r="A31" s="47">
        <v>18</v>
      </c>
      <c r="B31" s="50" t="s">
        <v>160</v>
      </c>
      <c r="E31" s="55">
        <f>SUM(F31:G31)</f>
        <v>0</v>
      </c>
      <c r="F31" s="55">
        <v>0</v>
      </c>
      <c r="G31" s="55">
        <v>0</v>
      </c>
      <c r="H31" s="53" t="str">
        <f>IF(E31=F31+G31," ","ERROR")</f>
        <v xml:space="preserve"> </v>
      </c>
    </row>
    <row r="32" spans="1:8">
      <c r="E32" s="58"/>
      <c r="F32" s="58"/>
      <c r="G32" s="58"/>
      <c r="H32" s="53"/>
    </row>
    <row r="33" spans="1:8">
      <c r="B33" s="50" t="s">
        <v>104</v>
      </c>
      <c r="E33" s="58"/>
      <c r="F33" s="58"/>
      <c r="G33" s="58"/>
      <c r="H33" s="53"/>
    </row>
    <row r="34" spans="1:8">
      <c r="A34" s="47">
        <v>19</v>
      </c>
      <c r="B34" s="50" t="s">
        <v>153</v>
      </c>
      <c r="E34" s="55">
        <f>SUM(F34:G34)</f>
        <v>0</v>
      </c>
      <c r="F34" s="55">
        <v>0</v>
      </c>
      <c r="G34" s="55">
        <v>0</v>
      </c>
      <c r="H34" s="53" t="str">
        <f>IF(E34=F34+G34," ","ERROR")</f>
        <v xml:space="preserve"> </v>
      </c>
    </row>
    <row r="35" spans="1:8">
      <c r="A35" s="47">
        <v>20</v>
      </c>
      <c r="B35" s="50" t="s">
        <v>158</v>
      </c>
      <c r="E35" s="55"/>
      <c r="F35" s="55"/>
      <c r="G35" s="55"/>
      <c r="H35" s="53" t="str">
        <f>IF(E35=F35+G35," ","ERROR")</f>
        <v xml:space="preserve"> </v>
      </c>
    </row>
    <row r="36" spans="1:8">
      <c r="A36" s="47">
        <v>21</v>
      </c>
      <c r="B36" s="50" t="s">
        <v>156</v>
      </c>
      <c r="E36" s="55"/>
      <c r="F36" s="55"/>
      <c r="G36" s="55"/>
      <c r="H36" s="53" t="str">
        <f>IF(E36=F36+G36," ","ERROR")</f>
        <v xml:space="preserve"> </v>
      </c>
    </row>
    <row r="37" spans="1:8">
      <c r="A37" s="47">
        <v>22</v>
      </c>
      <c r="B37" s="50" t="s">
        <v>161</v>
      </c>
      <c r="E37" s="60">
        <f>E34+E35+E36</f>
        <v>0</v>
      </c>
      <c r="F37" s="60">
        <f>F34+F35+F36</f>
        <v>0</v>
      </c>
      <c r="G37" s="60">
        <f>G34+G35+G36</f>
        <v>0</v>
      </c>
      <c r="H37" s="53" t="str">
        <f>IF(E37=F37+G37," ","ERROR")</f>
        <v xml:space="preserve"> </v>
      </c>
    </row>
    <row r="38" spans="1:8">
      <c r="A38" s="47">
        <v>23</v>
      </c>
      <c r="B38" s="50" t="s">
        <v>106</v>
      </c>
      <c r="E38" s="61">
        <f>E21+E27+E29+E30+E31+E37</f>
        <v>3636</v>
      </c>
      <c r="F38" s="61">
        <f>F21+F27+F29+F30+F31+F37</f>
        <v>3636</v>
      </c>
      <c r="G38" s="61">
        <f>G21+G27+G29+G30+G31+G37</f>
        <v>0</v>
      </c>
      <c r="H38" s="53" t="str">
        <f>IF(E38=F38+G38," ","ERROR")</f>
        <v xml:space="preserve"> </v>
      </c>
    </row>
    <row r="39" spans="1:8">
      <c r="E39" s="58"/>
      <c r="F39" s="58"/>
      <c r="G39" s="58"/>
      <c r="H39" s="53"/>
    </row>
    <row r="40" spans="1:8">
      <c r="A40" s="47">
        <v>24</v>
      </c>
      <c r="B40" s="50" t="s">
        <v>162</v>
      </c>
      <c r="E40" s="58">
        <f>E13-E38</f>
        <v>-3636</v>
      </c>
      <c r="F40" s="58">
        <f>F13-F38</f>
        <v>-3636</v>
      </c>
      <c r="G40" s="58">
        <f>G13-G38</f>
        <v>0</v>
      </c>
      <c r="H40" s="53" t="str">
        <f>IF(E40=F40+G40," ","ERROR")</f>
        <v xml:space="preserve"> </v>
      </c>
    </row>
    <row r="41" spans="1:8">
      <c r="B41" s="50"/>
      <c r="E41" s="58"/>
      <c r="F41" s="58"/>
      <c r="G41" s="58"/>
      <c r="H41" s="53"/>
    </row>
    <row r="42" spans="1:8">
      <c r="B42" s="50" t="s">
        <v>163</v>
      </c>
      <c r="E42" s="58"/>
      <c r="F42" s="58"/>
      <c r="G42" s="58"/>
      <c r="H42" s="53"/>
    </row>
    <row r="43" spans="1:8">
      <c r="A43" s="47">
        <v>25</v>
      </c>
      <c r="B43" s="50" t="s">
        <v>164</v>
      </c>
      <c r="D43" s="62">
        <v>0.35</v>
      </c>
      <c r="E43" s="55">
        <f>F43+G43</f>
        <v>-1273</v>
      </c>
      <c r="F43" s="55">
        <f>ROUND(F40*D43,0)</f>
        <v>-1273</v>
      </c>
      <c r="G43" s="55">
        <f>ROUND(G40*D43,0)</f>
        <v>0</v>
      </c>
      <c r="H43" s="53" t="str">
        <f>IF(E43=F43+G43," ","ERROR")</f>
        <v xml:space="preserve"> </v>
      </c>
    </row>
    <row r="44" spans="1:8">
      <c r="A44" s="47">
        <v>26</v>
      </c>
      <c r="B44" s="50" t="s">
        <v>165</v>
      </c>
      <c r="E44" s="55"/>
      <c r="F44" s="55"/>
      <c r="G44" s="55"/>
      <c r="H44" s="53" t="str">
        <f>IF(E44=F44+G44," ","ERROR")</f>
        <v xml:space="preserve"> </v>
      </c>
    </row>
    <row r="45" spans="1:8">
      <c r="A45"/>
      <c r="B45"/>
      <c r="C45"/>
      <c r="D45"/>
      <c r="E45" s="913"/>
      <c r="F45" s="913"/>
      <c r="G45" s="913"/>
      <c r="H45" s="53" t="str">
        <f>IF(E45=F45+G45," ","ERROR")</f>
        <v xml:space="preserve"> </v>
      </c>
    </row>
    <row r="46" spans="1:8">
      <c r="A46" s="259"/>
      <c r="B46" s="262"/>
      <c r="C46" s="256"/>
      <c r="D46" s="256"/>
      <c r="E46" s="269"/>
      <c r="F46" s="269"/>
      <c r="G46" s="269"/>
      <c r="H46" s="53"/>
    </row>
    <row r="47" spans="1:8">
      <c r="A47" s="263">
        <v>27</v>
      </c>
      <c r="B47" s="264" t="s">
        <v>113</v>
      </c>
      <c r="C47" s="265"/>
      <c r="D47" s="265"/>
      <c r="E47" s="273">
        <f>E40-SUM(E43:E44)</f>
        <v>-2363</v>
      </c>
      <c r="F47" s="273">
        <f>F40-SUM(F43:F44)</f>
        <v>-2363</v>
      </c>
      <c r="G47" s="273">
        <f>G40-SUM(G43:G44)</f>
        <v>0</v>
      </c>
      <c r="H47" s="53" t="str">
        <f>IF(E47=F47+G47," ","ERROR")</f>
        <v xml:space="preserve"> </v>
      </c>
    </row>
    <row r="48" spans="1:8">
      <c r="A48" s="259"/>
      <c r="H48" s="53"/>
    </row>
    <row r="49" spans="1:8">
      <c r="A49" s="259"/>
      <c r="B49" s="50" t="s">
        <v>114</v>
      </c>
      <c r="H49" s="53"/>
    </row>
    <row r="50" spans="1:8">
      <c r="A50" s="259"/>
      <c r="B50" s="50" t="s">
        <v>115</v>
      </c>
      <c r="H50" s="53"/>
    </row>
    <row r="51" spans="1:8">
      <c r="A51" s="263">
        <v>28</v>
      </c>
      <c r="B51" s="52" t="s">
        <v>167</v>
      </c>
      <c r="C51" s="53"/>
      <c r="D51" s="53"/>
      <c r="E51" s="55">
        <f>F51+G51</f>
        <v>26703</v>
      </c>
      <c r="F51" s="54">
        <v>26703</v>
      </c>
      <c r="G51" s="54">
        <v>0</v>
      </c>
      <c r="H51" s="53" t="str">
        <f t="shared" ref="H51:H61" si="1">IF(E51=F51+G51," ","ERROR")</f>
        <v xml:space="preserve"> </v>
      </c>
    </row>
    <row r="52" spans="1:8">
      <c r="A52" s="259">
        <v>29</v>
      </c>
      <c r="B52" s="50" t="s">
        <v>168</v>
      </c>
      <c r="E52" s="55"/>
      <c r="F52" s="55"/>
      <c r="G52" s="55"/>
      <c r="H52" s="53" t="str">
        <f t="shared" si="1"/>
        <v xml:space="preserve"> </v>
      </c>
    </row>
    <row r="53" spans="1:8">
      <c r="A53" s="259">
        <v>30</v>
      </c>
      <c r="B53" s="50" t="s">
        <v>169</v>
      </c>
      <c r="E53" s="55"/>
      <c r="F53" s="55"/>
      <c r="G53" s="55"/>
      <c r="H53" s="53" t="str">
        <f t="shared" si="1"/>
        <v xml:space="preserve"> </v>
      </c>
    </row>
    <row r="54" spans="1:8">
      <c r="A54" s="259">
        <v>31</v>
      </c>
      <c r="B54" s="50" t="s">
        <v>170</v>
      </c>
      <c r="E54" s="55"/>
      <c r="F54" s="55"/>
      <c r="G54" s="55"/>
      <c r="H54" s="53" t="str">
        <f t="shared" si="1"/>
        <v xml:space="preserve"> </v>
      </c>
    </row>
    <row r="55" spans="1:8">
      <c r="A55" s="259">
        <v>32</v>
      </c>
      <c r="B55" s="50" t="s">
        <v>171</v>
      </c>
      <c r="E55" s="59"/>
      <c r="F55" s="59"/>
      <c r="G55" s="59"/>
      <c r="H55" s="53" t="str">
        <f t="shared" si="1"/>
        <v xml:space="preserve"> </v>
      </c>
    </row>
    <row r="56" spans="1:8">
      <c r="A56" s="259">
        <v>33</v>
      </c>
      <c r="B56" s="50" t="s">
        <v>172</v>
      </c>
      <c r="E56" s="58">
        <f>E51+E52+E53+E54+E55</f>
        <v>26703</v>
      </c>
      <c r="F56" s="58">
        <f>F51+F52+F53+F54+F55</f>
        <v>26703</v>
      </c>
      <c r="G56" s="58">
        <f>G51+G52+G53+G54+G55</f>
        <v>0</v>
      </c>
      <c r="H56" s="53" t="str">
        <f t="shared" si="1"/>
        <v xml:space="preserve"> </v>
      </c>
    </row>
    <row r="57" spans="1:8">
      <c r="A57" s="259">
        <v>34</v>
      </c>
      <c r="B57" s="50" t="s">
        <v>121</v>
      </c>
      <c r="E57" s="55"/>
      <c r="F57" s="55"/>
      <c r="G57" s="55"/>
      <c r="H57" s="53" t="str">
        <f t="shared" si="1"/>
        <v xml:space="preserve"> </v>
      </c>
    </row>
    <row r="58" spans="1:8">
      <c r="A58" s="259">
        <v>35</v>
      </c>
      <c r="B58" s="50" t="s">
        <v>122</v>
      </c>
      <c r="E58" s="55">
        <f>F58+G58</f>
        <v>560</v>
      </c>
      <c r="F58" s="59">
        <v>560</v>
      </c>
      <c r="G58" s="59">
        <v>0</v>
      </c>
      <c r="H58" s="53" t="str">
        <f t="shared" si="1"/>
        <v xml:space="preserve"> </v>
      </c>
    </row>
    <row r="59" spans="1:8">
      <c r="A59" s="259">
        <v>36</v>
      </c>
      <c r="B59" s="50" t="s">
        <v>173</v>
      </c>
      <c r="E59" s="56">
        <f>E57+E58</f>
        <v>560</v>
      </c>
      <c r="F59" s="58">
        <f>F57+F58</f>
        <v>560</v>
      </c>
      <c r="G59" s="58">
        <f>G57+G58</f>
        <v>0</v>
      </c>
      <c r="H59" s="53" t="str">
        <f t="shared" si="1"/>
        <v xml:space="preserve"> </v>
      </c>
    </row>
    <row r="60" spans="1:8">
      <c r="A60" s="259">
        <v>37</v>
      </c>
      <c r="B60" s="50" t="s">
        <v>124</v>
      </c>
      <c r="E60" s="55"/>
      <c r="F60" s="55"/>
      <c r="G60" s="55"/>
      <c r="H60" s="53" t="str">
        <f t="shared" si="1"/>
        <v xml:space="preserve"> </v>
      </c>
    </row>
    <row r="61" spans="1:8">
      <c r="A61" s="259">
        <v>38</v>
      </c>
      <c r="B61" s="50" t="s">
        <v>125</v>
      </c>
      <c r="E61" s="55">
        <f>F61+G61</f>
        <v>-2818</v>
      </c>
      <c r="F61" s="59">
        <v>-2818</v>
      </c>
      <c r="G61" s="59"/>
      <c r="H61" s="53" t="str">
        <f t="shared" si="1"/>
        <v xml:space="preserve"> </v>
      </c>
    </row>
    <row r="62" spans="1:8" ht="11.25" customHeight="1">
      <c r="A62" s="259"/>
      <c r="H62" s="53"/>
    </row>
    <row r="63" spans="1:8" ht="13.5" thickBot="1">
      <c r="A63" s="263">
        <v>39</v>
      </c>
      <c r="B63" s="52" t="s">
        <v>126</v>
      </c>
      <c r="C63" s="53"/>
      <c r="D63" s="53"/>
      <c r="E63" s="63">
        <f>E56-E59+E60+E61</f>
        <v>23325</v>
      </c>
      <c r="F63" s="63">
        <f>F56-F59+F60+F61</f>
        <v>23325</v>
      </c>
      <c r="G63" s="63">
        <f>G56-G59+G60+G61</f>
        <v>0</v>
      </c>
      <c r="H63" s="53" t="str">
        <f>IF(E63=F63+G63," ","ERROR")</f>
        <v xml:space="preserve"> </v>
      </c>
    </row>
    <row r="64" spans="1:8" ht="13.5" thickTop="1">
      <c r="A64" s="44"/>
      <c r="B64" s="69"/>
      <c r="C64" s="69"/>
      <c r="D64" s="69"/>
      <c r="E64" s="671"/>
      <c r="F64" s="672"/>
      <c r="G64" s="69"/>
      <c r="H64" s="69"/>
    </row>
    <row r="65" spans="1:7">
      <c r="A65" s="420" t="str">
        <f>Inputs!$D$6</f>
        <v>AVISTA UTILITIES</v>
      </c>
      <c r="B65" s="420"/>
      <c r="C65" s="420"/>
      <c r="D65" s="440"/>
      <c r="E65" s="441"/>
      <c r="F65" s="440"/>
      <c r="G65" s="442"/>
    </row>
    <row r="66" spans="1:7">
      <c r="A66" s="420" t="s">
        <v>225</v>
      </c>
      <c r="B66" s="420"/>
      <c r="C66" s="420"/>
      <c r="D66" s="440"/>
      <c r="E66" s="441"/>
      <c r="F66" s="440"/>
      <c r="G66" s="442"/>
    </row>
    <row r="67" spans="1:7">
      <c r="A67" s="420" t="str">
        <f>A3</f>
        <v>TWELVE MONTHS ENDED SEPTEMBER 30, 2008</v>
      </c>
      <c r="B67" s="420"/>
      <c r="C67" s="420"/>
      <c r="D67" s="440"/>
      <c r="E67" s="441"/>
      <c r="F67" s="443" t="str">
        <f>F2</f>
        <v>PRO FORMA</v>
      </c>
      <c r="G67" s="440"/>
    </row>
    <row r="68" spans="1:7">
      <c r="A68" s="420" t="s">
        <v>226</v>
      </c>
      <c r="B68" s="420"/>
      <c r="C68" s="420"/>
      <c r="D68" s="440"/>
      <c r="E68" s="441"/>
      <c r="F68" s="443" t="str">
        <f>F3</f>
        <v>SPOKANE RIVER RELICENSING</v>
      </c>
      <c r="G68" s="440"/>
    </row>
    <row r="69" spans="1:7">
      <c r="A69" s="424"/>
      <c r="B69" s="440"/>
      <c r="C69" s="440"/>
      <c r="D69" s="440"/>
      <c r="E69" s="444"/>
      <c r="F69" s="445" t="str">
        <f>F4</f>
        <v>ELECTRIC</v>
      </c>
      <c r="G69" s="440"/>
    </row>
    <row r="70" spans="1:7">
      <c r="A70" s="424"/>
      <c r="B70" s="440"/>
      <c r="C70" s="440"/>
      <c r="D70" s="440"/>
      <c r="E70" s="441"/>
      <c r="F70" s="443"/>
      <c r="G70" s="447"/>
    </row>
    <row r="71" spans="1:7">
      <c r="A71" s="424"/>
      <c r="B71" s="448" t="s">
        <v>134</v>
      </c>
      <c r="C71" s="449"/>
      <c r="D71" s="440"/>
      <c r="E71" s="441"/>
      <c r="F71" s="445" t="s">
        <v>128</v>
      </c>
      <c r="G71" s="440"/>
    </row>
    <row r="72" spans="1:7">
      <c r="A72" s="424"/>
      <c r="B72" s="427" t="s">
        <v>85</v>
      </c>
      <c r="C72" s="440"/>
      <c r="D72" s="440"/>
      <c r="E72" s="440"/>
      <c r="F72" s="442"/>
      <c r="G72" s="440"/>
    </row>
    <row r="73" spans="1:7">
      <c r="A73" s="424"/>
      <c r="B73" s="429" t="s">
        <v>86</v>
      </c>
      <c r="C73" s="440"/>
      <c r="D73" s="440"/>
      <c r="E73" s="440"/>
      <c r="F73" s="450">
        <f>G8</f>
        <v>0</v>
      </c>
      <c r="G73" s="440"/>
    </row>
    <row r="74" spans="1:7">
      <c r="A74" s="424"/>
      <c r="B74" s="427" t="s">
        <v>87</v>
      </c>
      <c r="C74" s="440"/>
      <c r="D74" s="440"/>
      <c r="E74" s="440"/>
      <c r="F74" s="434">
        <f>G9</f>
        <v>0</v>
      </c>
      <c r="G74" s="440"/>
    </row>
    <row r="75" spans="1:7">
      <c r="A75" s="424"/>
      <c r="B75" s="427" t="s">
        <v>150</v>
      </c>
      <c r="C75" s="440"/>
      <c r="D75" s="440"/>
      <c r="E75" s="440"/>
      <c r="F75" s="436">
        <f>G10</f>
        <v>0</v>
      </c>
      <c r="G75" s="440"/>
    </row>
    <row r="76" spans="1:7">
      <c r="A76" s="424"/>
      <c r="B76" s="427" t="s">
        <v>151</v>
      </c>
      <c r="C76" s="440"/>
      <c r="D76" s="440"/>
      <c r="E76" s="440"/>
      <c r="F76" s="434">
        <f>SUM(F73:F75)</f>
        <v>0</v>
      </c>
      <c r="G76" s="440"/>
    </row>
    <row r="77" spans="1:7">
      <c r="A77" s="424"/>
      <c r="B77" s="427" t="s">
        <v>90</v>
      </c>
      <c r="C77" s="440"/>
      <c r="D77" s="440"/>
      <c r="E77" s="440"/>
      <c r="F77" s="436">
        <f>G12</f>
        <v>0</v>
      </c>
      <c r="G77" s="440"/>
    </row>
    <row r="78" spans="1:7">
      <c r="A78" s="424"/>
      <c r="B78" s="427" t="s">
        <v>152</v>
      </c>
      <c r="C78" s="440"/>
      <c r="D78" s="440"/>
      <c r="E78" s="440"/>
      <c r="F78" s="434">
        <f>F76+F77</f>
        <v>0</v>
      </c>
      <c r="G78" s="440"/>
    </row>
    <row r="79" spans="1:7">
      <c r="A79" s="424"/>
      <c r="B79" s="421"/>
      <c r="C79" s="440"/>
      <c r="D79" s="440"/>
      <c r="E79" s="440"/>
      <c r="F79" s="434"/>
      <c r="G79" s="440"/>
    </row>
    <row r="80" spans="1:7">
      <c r="A80" s="424"/>
      <c r="B80" s="427" t="s">
        <v>92</v>
      </c>
      <c r="C80" s="440"/>
      <c r="D80" s="440"/>
      <c r="E80" s="440"/>
      <c r="F80" s="434"/>
      <c r="G80" s="440"/>
    </row>
    <row r="81" spans="1:7">
      <c r="A81" s="424"/>
      <c r="B81" s="427" t="s">
        <v>93</v>
      </c>
      <c r="C81" s="440"/>
      <c r="D81" s="440"/>
      <c r="E81" s="440"/>
      <c r="F81" s="434"/>
      <c r="G81" s="440"/>
    </row>
    <row r="82" spans="1:7">
      <c r="A82" s="424"/>
      <c r="B82" s="427" t="s">
        <v>153</v>
      </c>
      <c r="C82" s="440"/>
      <c r="D82" s="440"/>
      <c r="E82" s="440"/>
      <c r="F82" s="434">
        <f>G17</f>
        <v>0</v>
      </c>
      <c r="G82" s="440"/>
    </row>
    <row r="83" spans="1:7">
      <c r="A83" s="424"/>
      <c r="B83" s="427" t="s">
        <v>154</v>
      </c>
      <c r="C83" s="440"/>
      <c r="D83" s="440"/>
      <c r="E83" s="440"/>
      <c r="F83" s="434">
        <f>G18</f>
        <v>0</v>
      </c>
      <c r="G83" s="440"/>
    </row>
    <row r="84" spans="1:7">
      <c r="A84" s="424"/>
      <c r="B84" s="427" t="s">
        <v>155</v>
      </c>
      <c r="C84" s="440"/>
      <c r="D84" s="440"/>
      <c r="E84" s="440"/>
      <c r="F84" s="434">
        <f>G19</f>
        <v>0</v>
      </c>
      <c r="G84" s="440"/>
    </row>
    <row r="85" spans="1:7">
      <c r="A85" s="424"/>
      <c r="B85" s="427" t="s">
        <v>156</v>
      </c>
      <c r="C85" s="440"/>
      <c r="D85" s="440"/>
      <c r="E85" s="440"/>
      <c r="F85" s="436">
        <f>G20</f>
        <v>0</v>
      </c>
      <c r="G85" s="440"/>
    </row>
    <row r="86" spans="1:7">
      <c r="A86" s="424"/>
      <c r="B86" s="427" t="s">
        <v>157</v>
      </c>
      <c r="C86" s="440"/>
      <c r="D86" s="440"/>
      <c r="E86" s="440"/>
      <c r="F86" s="434">
        <f>SUM(F82:F85)</f>
        <v>0</v>
      </c>
      <c r="G86" s="440"/>
    </row>
    <row r="87" spans="1:7">
      <c r="A87" s="424"/>
      <c r="B87" s="421"/>
      <c r="C87" s="440"/>
      <c r="D87" s="440"/>
      <c r="E87" s="440"/>
      <c r="F87" s="434"/>
      <c r="G87" s="440"/>
    </row>
    <row r="88" spans="1:7">
      <c r="A88" s="424"/>
      <c r="B88" s="427" t="s">
        <v>98</v>
      </c>
      <c r="C88" s="440"/>
      <c r="D88" s="440"/>
      <c r="E88" s="440"/>
      <c r="F88" s="434"/>
      <c r="G88" s="440"/>
    </row>
    <row r="89" spans="1:7">
      <c r="A89" s="424"/>
      <c r="B89" s="427" t="s">
        <v>153</v>
      </c>
      <c r="C89" s="440"/>
      <c r="D89" s="440"/>
      <c r="E89" s="440"/>
      <c r="F89" s="434">
        <f>G24</f>
        <v>0</v>
      </c>
      <c r="G89" s="440"/>
    </row>
    <row r="90" spans="1:7">
      <c r="A90" s="424"/>
      <c r="B90" s="427" t="s">
        <v>158</v>
      </c>
      <c r="C90" s="440"/>
      <c r="D90" s="440"/>
      <c r="E90" s="440"/>
      <c r="F90" s="434">
        <f>G25</f>
        <v>0</v>
      </c>
      <c r="G90" s="440"/>
    </row>
    <row r="91" spans="1:7">
      <c r="A91" s="421"/>
      <c r="B91" s="427" t="s">
        <v>156</v>
      </c>
      <c r="C91" s="440"/>
      <c r="D91" s="440"/>
      <c r="E91" s="440"/>
      <c r="F91" s="434"/>
      <c r="G91" s="440"/>
    </row>
    <row r="92" spans="1:7">
      <c r="A92" s="421"/>
      <c r="B92" s="427" t="s">
        <v>159</v>
      </c>
      <c r="C92" s="440"/>
      <c r="D92" s="440"/>
      <c r="E92" s="440"/>
      <c r="F92" s="433">
        <f>SUM(F89:F91)</f>
        <v>0</v>
      </c>
      <c r="G92" s="440"/>
    </row>
    <row r="93" spans="1:7">
      <c r="A93" s="421"/>
      <c r="B93" s="421"/>
      <c r="C93" s="440"/>
      <c r="D93" s="440"/>
      <c r="E93" s="440"/>
      <c r="F93" s="434"/>
      <c r="G93" s="440"/>
    </row>
    <row r="94" spans="1:7">
      <c r="A94" s="421"/>
      <c r="B94" s="427" t="s">
        <v>101</v>
      </c>
      <c r="C94" s="440"/>
      <c r="D94" s="440"/>
      <c r="E94" s="440"/>
      <c r="F94" s="434">
        <f>G29</f>
        <v>0</v>
      </c>
      <c r="G94" s="440"/>
    </row>
    <row r="95" spans="1:7">
      <c r="A95" s="421"/>
      <c r="B95" s="427" t="s">
        <v>102</v>
      </c>
      <c r="C95" s="440"/>
      <c r="D95" s="440"/>
      <c r="E95" s="440"/>
      <c r="F95" s="434">
        <f>G30</f>
        <v>0</v>
      </c>
      <c r="G95" s="440"/>
    </row>
    <row r="96" spans="1:7">
      <c r="A96" s="421"/>
      <c r="B96" s="427" t="s">
        <v>160</v>
      </c>
      <c r="C96" s="440"/>
      <c r="D96" s="440"/>
      <c r="E96" s="440"/>
      <c r="F96" s="434">
        <f>G31</f>
        <v>0</v>
      </c>
      <c r="G96" s="440"/>
    </row>
    <row r="97" spans="1:7">
      <c r="A97" s="421"/>
      <c r="B97" s="421"/>
      <c r="C97" s="440"/>
      <c r="D97" s="440"/>
      <c r="E97" s="440"/>
      <c r="F97" s="434"/>
      <c r="G97" s="440"/>
    </row>
    <row r="98" spans="1:7">
      <c r="A98" s="421"/>
      <c r="B98" s="427" t="s">
        <v>104</v>
      </c>
      <c r="C98" s="440"/>
      <c r="D98" s="440"/>
      <c r="E98" s="440"/>
      <c r="F98" s="434"/>
      <c r="G98" s="440"/>
    </row>
    <row r="99" spans="1:7">
      <c r="A99" s="421"/>
      <c r="B99" s="427" t="s">
        <v>153</v>
      </c>
      <c r="C99" s="440"/>
      <c r="D99" s="440"/>
      <c r="E99" s="440"/>
      <c r="F99" s="434">
        <f>G34</f>
        <v>0</v>
      </c>
      <c r="G99" s="440"/>
    </row>
    <row r="100" spans="1:7">
      <c r="A100" s="421"/>
      <c r="B100" s="427" t="s">
        <v>158</v>
      </c>
      <c r="C100" s="440"/>
      <c r="D100" s="440"/>
      <c r="E100" s="440"/>
      <c r="F100" s="434">
        <f>G35</f>
        <v>0</v>
      </c>
      <c r="G100" s="440"/>
    </row>
    <row r="101" spans="1:7">
      <c r="A101" s="421"/>
      <c r="B101" s="427" t="s">
        <v>156</v>
      </c>
      <c r="C101" s="440"/>
      <c r="D101" s="440"/>
      <c r="E101" s="440"/>
      <c r="F101" s="436">
        <f>G36</f>
        <v>0</v>
      </c>
      <c r="G101" s="440"/>
    </row>
    <row r="102" spans="1:7">
      <c r="A102" s="421"/>
      <c r="B102" s="427" t="s">
        <v>161</v>
      </c>
      <c r="C102" s="440"/>
      <c r="D102" s="440"/>
      <c r="E102" s="440"/>
      <c r="F102" s="434">
        <f>F99+F100+F101</f>
        <v>0</v>
      </c>
      <c r="G102" s="440"/>
    </row>
    <row r="103" spans="1:7">
      <c r="A103" s="421"/>
      <c r="B103" s="440"/>
      <c r="C103" s="440"/>
      <c r="D103" s="440"/>
      <c r="E103" s="440"/>
      <c r="F103" s="434"/>
      <c r="G103" s="440"/>
    </row>
    <row r="104" spans="1:7">
      <c r="A104" s="421"/>
      <c r="B104" s="440" t="s">
        <v>106</v>
      </c>
      <c r="C104" s="440"/>
      <c r="D104" s="440"/>
      <c r="E104" s="440"/>
      <c r="F104" s="435">
        <f>F86+F92+F94+F95+F96+F102</f>
        <v>0</v>
      </c>
      <c r="G104" s="440"/>
    </row>
    <row r="105" spans="1:7">
      <c r="A105" s="421"/>
      <c r="B105" s="440"/>
      <c r="C105" s="440"/>
      <c r="D105" s="440"/>
      <c r="E105" s="440"/>
      <c r="F105" s="434"/>
      <c r="G105" s="440"/>
    </row>
    <row r="106" spans="1:7">
      <c r="A106" s="421"/>
      <c r="B106" s="440" t="s">
        <v>227</v>
      </c>
      <c r="C106" s="440"/>
      <c r="D106" s="440"/>
      <c r="E106" s="440"/>
      <c r="F106" s="436">
        <f>F78-F104</f>
        <v>0</v>
      </c>
      <c r="G106" s="440"/>
    </row>
    <row r="107" spans="1:7">
      <c r="A107" s="421"/>
      <c r="B107" s="440"/>
      <c r="C107" s="440"/>
      <c r="D107" s="440"/>
      <c r="E107" s="440"/>
      <c r="F107" s="434"/>
      <c r="G107" s="440"/>
    </row>
    <row r="108" spans="1:7">
      <c r="A108" s="421"/>
      <c r="B108" s="440" t="s">
        <v>228</v>
      </c>
      <c r="C108" s="440"/>
      <c r="D108" s="440"/>
      <c r="E108" s="441"/>
      <c r="F108" s="434"/>
      <c r="G108" s="440"/>
    </row>
    <row r="109" spans="1:7" ht="13.5" thickBot="1">
      <c r="A109" s="421"/>
      <c r="B109" s="451" t="s">
        <v>229</v>
      </c>
      <c r="C109" s="452">
        <f>Inputs!$D$4</f>
        <v>1.2215999999999999E-2</v>
      </c>
      <c r="D109" s="440"/>
      <c r="E109" s="441"/>
      <c r="F109" s="439">
        <f>ROUND(F106*C109,0)</f>
        <v>0</v>
      </c>
      <c r="G109" s="440"/>
    </row>
    <row r="110" spans="1:7" ht="13.5" thickTop="1">
      <c r="A110" s="421"/>
      <c r="B110" s="440"/>
      <c r="C110" s="440"/>
      <c r="D110" s="440"/>
      <c r="E110" s="441"/>
      <c r="F110" s="442"/>
      <c r="G110" s="440"/>
    </row>
  </sheetData>
  <phoneticPr fontId="0" type="noConversion"/>
  <pageMargins left="1" right="1" top="0.5" bottom="0.25" header="0.5" footer="0.5"/>
  <pageSetup scale="90" orientation="portrait" r:id="rId1"/>
  <headerFooter alignWithMargins="0"/>
  <rowBreaks count="1" manualBreakCount="1">
    <brk id="63" max="6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62"/>
  <dimension ref="A1:H110"/>
  <sheetViews>
    <sheetView zoomScaleNormal="100" workbookViewId="0">
      <selection activeCell="F3" sqref="F3"/>
    </sheetView>
  </sheetViews>
  <sheetFormatPr defaultRowHeight="12.75"/>
  <cols>
    <col min="1" max="1" width="5.5703125" style="47" customWidth="1"/>
    <col min="2" max="2" width="26.140625" style="44" customWidth="1"/>
    <col min="3" max="3" width="12.42578125" style="44" customWidth="1"/>
    <col min="4" max="4" width="6.7109375" style="44" customWidth="1"/>
    <col min="5" max="8" width="12.42578125" style="44" customWidth="1"/>
  </cols>
  <sheetData>
    <row r="1" spans="1:8">
      <c r="A1" s="42" t="str">
        <f>Inputs!$D$6</f>
        <v>AVISTA UTILITIES</v>
      </c>
      <c r="B1" s="43"/>
      <c r="C1" s="42"/>
    </row>
    <row r="2" spans="1:8">
      <c r="A2" s="42" t="s">
        <v>142</v>
      </c>
      <c r="B2" s="43"/>
      <c r="C2" s="42"/>
      <c r="E2" s="42"/>
      <c r="F2" s="456" t="s">
        <v>299</v>
      </c>
      <c r="G2" s="42"/>
    </row>
    <row r="3" spans="1:8">
      <c r="A3" s="43" t="str">
        <f>WAElec09_08!$A$4</f>
        <v>TWELVE MONTHS ENDED SEPTEMBER 30, 2008</v>
      </c>
      <c r="B3" s="43"/>
      <c r="C3" s="42"/>
      <c r="E3" s="42"/>
      <c r="F3" s="47" t="s">
        <v>576</v>
      </c>
      <c r="G3" s="42"/>
    </row>
    <row r="4" spans="1:8">
      <c r="A4" s="42" t="s">
        <v>1</v>
      </c>
      <c r="B4" s="43"/>
      <c r="C4" s="42"/>
      <c r="E4" s="45"/>
      <c r="F4" s="670" t="s">
        <v>145</v>
      </c>
      <c r="G4" s="46"/>
    </row>
    <row r="5" spans="1:8">
      <c r="A5" s="47" t="s">
        <v>14</v>
      </c>
    </row>
    <row r="6" spans="1:8">
      <c r="A6" s="47" t="s">
        <v>146</v>
      </c>
      <c r="B6" s="48" t="s">
        <v>36</v>
      </c>
      <c r="C6" s="48"/>
      <c r="D6" s="47"/>
      <c r="E6" s="48" t="s">
        <v>147</v>
      </c>
      <c r="F6" s="48" t="s">
        <v>148</v>
      </c>
      <c r="G6" s="48" t="s">
        <v>128</v>
      </c>
      <c r="H6" s="49" t="s">
        <v>149</v>
      </c>
    </row>
    <row r="7" spans="1:8">
      <c r="B7" s="50" t="s">
        <v>85</v>
      </c>
    </row>
    <row r="8" spans="1:8">
      <c r="A8" s="51">
        <v>1</v>
      </c>
      <c r="B8" s="52" t="s">
        <v>86</v>
      </c>
      <c r="C8" s="53"/>
      <c r="D8" s="53"/>
      <c r="E8" s="54">
        <f>F8+G8</f>
        <v>0</v>
      </c>
      <c r="F8" s="54">
        <v>0</v>
      </c>
      <c r="G8" s="54">
        <v>0</v>
      </c>
      <c r="H8" s="53" t="str">
        <f t="shared" ref="H8:H13" si="0">IF(E8=F8+G8," ","ERROR")</f>
        <v xml:space="preserve"> </v>
      </c>
    </row>
    <row r="9" spans="1:8">
      <c r="A9" s="47">
        <v>2</v>
      </c>
      <c r="B9" s="50" t="s">
        <v>87</v>
      </c>
      <c r="E9" s="55"/>
      <c r="F9" s="55"/>
      <c r="G9" s="55"/>
      <c r="H9" s="53" t="str">
        <f t="shared" si="0"/>
        <v xml:space="preserve"> </v>
      </c>
    </row>
    <row r="10" spans="1:8">
      <c r="A10" s="47">
        <v>3</v>
      </c>
      <c r="B10" s="50" t="s">
        <v>150</v>
      </c>
      <c r="E10" s="55"/>
      <c r="F10" s="55"/>
      <c r="G10" s="55"/>
      <c r="H10" s="53" t="str">
        <f t="shared" si="0"/>
        <v xml:space="preserve"> </v>
      </c>
    </row>
    <row r="11" spans="1:8">
      <c r="A11" s="47">
        <v>4</v>
      </c>
      <c r="B11" s="50" t="s">
        <v>151</v>
      </c>
      <c r="E11" s="56">
        <f>E8+E9+E10</f>
        <v>0</v>
      </c>
      <c r="F11" s="56">
        <f>F8+F9+F10</f>
        <v>0</v>
      </c>
      <c r="G11" s="56">
        <f>G8+G9+G10</f>
        <v>0</v>
      </c>
      <c r="H11" s="53" t="str">
        <f t="shared" si="0"/>
        <v xml:space="preserve"> </v>
      </c>
    </row>
    <row r="12" spans="1:8">
      <c r="A12" s="47">
        <v>5</v>
      </c>
      <c r="B12" s="50" t="s">
        <v>90</v>
      </c>
      <c r="E12" s="55"/>
      <c r="F12" s="55"/>
      <c r="G12" s="55"/>
      <c r="H12" s="53" t="str">
        <f t="shared" si="0"/>
        <v xml:space="preserve"> </v>
      </c>
    </row>
    <row r="13" spans="1:8">
      <c r="A13" s="47">
        <v>6</v>
      </c>
      <c r="B13" s="50" t="s">
        <v>152</v>
      </c>
      <c r="E13" s="56">
        <f>E11+E12</f>
        <v>0</v>
      </c>
      <c r="F13" s="56">
        <f>F11+F12</f>
        <v>0</v>
      </c>
      <c r="G13" s="56">
        <f>G11+G12</f>
        <v>0</v>
      </c>
      <c r="H13" s="53" t="str">
        <f t="shared" si="0"/>
        <v xml:space="preserve"> </v>
      </c>
    </row>
    <row r="14" spans="1:8">
      <c r="E14" s="58"/>
      <c r="F14" s="58"/>
      <c r="G14" s="58"/>
      <c r="H14" s="53"/>
    </row>
    <row r="15" spans="1:8">
      <c r="B15" s="50" t="s">
        <v>92</v>
      </c>
      <c r="E15" s="58"/>
      <c r="F15" s="58"/>
      <c r="G15" s="58"/>
      <c r="H15" s="53"/>
    </row>
    <row r="16" spans="1:8">
      <c r="B16" s="50" t="s">
        <v>93</v>
      </c>
      <c r="E16" s="58"/>
      <c r="F16" s="58"/>
      <c r="G16" s="58"/>
      <c r="H16" s="53"/>
    </row>
    <row r="17" spans="1:8">
      <c r="A17" s="47">
        <v>7</v>
      </c>
      <c r="B17" s="50" t="s">
        <v>153</v>
      </c>
      <c r="E17" s="55">
        <f>F17+G17</f>
        <v>0</v>
      </c>
      <c r="F17" s="55">
        <v>0</v>
      </c>
      <c r="G17" s="55">
        <v>0</v>
      </c>
      <c r="H17" s="53" t="str">
        <f>IF(E17=F17+G17," ","ERROR")</f>
        <v xml:space="preserve"> </v>
      </c>
    </row>
    <row r="18" spans="1:8">
      <c r="A18" s="47">
        <v>8</v>
      </c>
      <c r="B18" s="50" t="s">
        <v>154</v>
      </c>
      <c r="E18" s="55"/>
      <c r="F18" s="55"/>
      <c r="G18" s="55"/>
      <c r="H18" s="53" t="str">
        <f>IF(E18=F18+G18," ","ERROR")</f>
        <v xml:space="preserve"> </v>
      </c>
    </row>
    <row r="19" spans="1:8">
      <c r="A19" s="47">
        <v>9</v>
      </c>
      <c r="B19" s="50" t="s">
        <v>155</v>
      </c>
      <c r="E19" s="55">
        <f>F19+G19</f>
        <v>829</v>
      </c>
      <c r="F19" s="55">
        <v>829</v>
      </c>
      <c r="G19" s="55">
        <v>0</v>
      </c>
      <c r="H19" s="53" t="str">
        <f>IF(E19=F19+G19," ","ERROR")</f>
        <v xml:space="preserve"> </v>
      </c>
    </row>
    <row r="20" spans="1:8">
      <c r="A20" s="47">
        <v>10</v>
      </c>
      <c r="B20" s="50" t="s">
        <v>156</v>
      </c>
      <c r="E20" s="55">
        <f>F20+G20</f>
        <v>0</v>
      </c>
      <c r="F20" s="55"/>
      <c r="G20" s="55"/>
      <c r="H20" s="53" t="str">
        <f>IF(E20=F20+G20," ","ERROR")</f>
        <v xml:space="preserve"> </v>
      </c>
    </row>
    <row r="21" spans="1:8">
      <c r="A21" s="47">
        <v>11</v>
      </c>
      <c r="B21" s="50" t="s">
        <v>157</v>
      </c>
      <c r="E21" s="56">
        <f>E17+E18+E19+E20</f>
        <v>829</v>
      </c>
      <c r="F21" s="56">
        <f>F17+F18+F19+F20</f>
        <v>829</v>
      </c>
      <c r="G21" s="56">
        <f>G17+G18+G19+G20</f>
        <v>0</v>
      </c>
      <c r="H21" s="53" t="str">
        <f>IF(E21=F21+G21," ","ERROR")</f>
        <v xml:space="preserve"> </v>
      </c>
    </row>
    <row r="22" spans="1:8">
      <c r="E22" s="58"/>
      <c r="F22" s="58"/>
      <c r="G22" s="58"/>
      <c r="H22" s="53"/>
    </row>
    <row r="23" spans="1:8">
      <c r="B23" s="50" t="s">
        <v>98</v>
      </c>
      <c r="E23" s="58"/>
      <c r="F23" s="58"/>
      <c r="G23" s="58"/>
      <c r="H23" s="53"/>
    </row>
    <row r="24" spans="1:8">
      <c r="A24" s="47">
        <v>12</v>
      </c>
      <c r="B24" s="50" t="s">
        <v>153</v>
      </c>
      <c r="E24" s="55">
        <f>F24+G24</f>
        <v>0</v>
      </c>
      <c r="F24" s="55">
        <v>0</v>
      </c>
      <c r="G24" s="55">
        <v>0</v>
      </c>
      <c r="H24" s="53" t="str">
        <f>IF(E24=F24+G24," ","ERROR")</f>
        <v xml:space="preserve"> </v>
      </c>
    </row>
    <row r="25" spans="1:8">
      <c r="A25" s="47">
        <v>13</v>
      </c>
      <c r="B25" s="50" t="s">
        <v>158</v>
      </c>
      <c r="E25" s="55"/>
      <c r="F25" s="55"/>
      <c r="G25" s="55"/>
      <c r="H25" s="53" t="str">
        <f>IF(E25=F25+G25," ","ERROR")</f>
        <v xml:space="preserve"> </v>
      </c>
    </row>
    <row r="26" spans="1:8">
      <c r="A26" s="47">
        <v>14</v>
      </c>
      <c r="B26" s="50" t="s">
        <v>156</v>
      </c>
      <c r="E26" s="55">
        <f>F26+G26</f>
        <v>0</v>
      </c>
      <c r="F26" s="55">
        <v>0</v>
      </c>
      <c r="G26" s="916">
        <f>F109</f>
        <v>0</v>
      </c>
      <c r="H26" s="53" t="str">
        <f>IF(E26=F26+G26," ","ERROR")</f>
        <v xml:space="preserve"> </v>
      </c>
    </row>
    <row r="27" spans="1:8">
      <c r="A27" s="47">
        <v>15</v>
      </c>
      <c r="B27" s="50" t="s">
        <v>159</v>
      </c>
      <c r="E27" s="56">
        <f>E24+E25+E26</f>
        <v>0</v>
      </c>
      <c r="F27" s="56">
        <f>F24+F25+F26</f>
        <v>0</v>
      </c>
      <c r="G27" s="56">
        <f>G24+G25+G26</f>
        <v>0</v>
      </c>
      <c r="H27" s="53" t="str">
        <f>IF(E27=F27+G27," ","ERROR")</f>
        <v xml:space="preserve"> </v>
      </c>
    </row>
    <row r="28" spans="1:8">
      <c r="E28" s="58"/>
      <c r="F28" s="58"/>
      <c r="G28" s="58"/>
      <c r="H28" s="53"/>
    </row>
    <row r="29" spans="1:8">
      <c r="A29" s="47">
        <v>16</v>
      </c>
      <c r="B29" s="50" t="s">
        <v>101</v>
      </c>
      <c r="E29" s="55">
        <f>SUM(F29:G29)</f>
        <v>0</v>
      </c>
      <c r="F29" s="55">
        <v>0</v>
      </c>
      <c r="G29" s="55">
        <v>0</v>
      </c>
      <c r="H29" s="53" t="str">
        <f>IF(E29=F29+G29," ","ERROR")</f>
        <v xml:space="preserve"> </v>
      </c>
    </row>
    <row r="30" spans="1:8">
      <c r="A30" s="47">
        <v>17</v>
      </c>
      <c r="B30" s="50" t="s">
        <v>102</v>
      </c>
      <c r="E30" s="55">
        <f>SUM(F30:G30)</f>
        <v>0</v>
      </c>
      <c r="F30" s="55">
        <v>0</v>
      </c>
      <c r="G30" s="55">
        <v>0</v>
      </c>
      <c r="H30" s="53" t="str">
        <f>IF(E30=F30+G30," ","ERROR")</f>
        <v xml:space="preserve"> </v>
      </c>
    </row>
    <row r="31" spans="1:8">
      <c r="A31" s="47">
        <v>18</v>
      </c>
      <c r="B31" s="50" t="s">
        <v>160</v>
      </c>
      <c r="E31" s="55">
        <f>SUM(F31:G31)</f>
        <v>0</v>
      </c>
      <c r="F31" s="55">
        <v>0</v>
      </c>
      <c r="G31" s="55">
        <v>0</v>
      </c>
      <c r="H31" s="53" t="str">
        <f>IF(E31=F31+G31," ","ERROR")</f>
        <v xml:space="preserve"> </v>
      </c>
    </row>
    <row r="32" spans="1:8">
      <c r="E32" s="58"/>
      <c r="F32" s="58"/>
      <c r="G32" s="58"/>
      <c r="H32" s="53"/>
    </row>
    <row r="33" spans="1:8">
      <c r="B33" s="50" t="s">
        <v>104</v>
      </c>
      <c r="E33" s="58"/>
      <c r="F33" s="58"/>
      <c r="G33" s="58"/>
      <c r="H33" s="53"/>
    </row>
    <row r="34" spans="1:8">
      <c r="A34" s="47">
        <v>19</v>
      </c>
      <c r="B34" s="50" t="s">
        <v>153</v>
      </c>
      <c r="E34" s="55">
        <f>SUM(F34:G34)</f>
        <v>0</v>
      </c>
      <c r="F34" s="55">
        <v>0</v>
      </c>
      <c r="G34" s="55">
        <v>0</v>
      </c>
      <c r="H34" s="53" t="str">
        <f>IF(E34=F34+G34," ","ERROR")</f>
        <v xml:space="preserve"> </v>
      </c>
    </row>
    <row r="35" spans="1:8">
      <c r="A35" s="47">
        <v>20</v>
      </c>
      <c r="B35" s="50" t="s">
        <v>158</v>
      </c>
      <c r="E35" s="55"/>
      <c r="F35" s="55"/>
      <c r="G35" s="55"/>
      <c r="H35" s="53" t="str">
        <f>IF(E35=F35+G35," ","ERROR")</f>
        <v xml:space="preserve"> </v>
      </c>
    </row>
    <row r="36" spans="1:8">
      <c r="A36" s="47">
        <v>21</v>
      </c>
      <c r="B36" s="50" t="s">
        <v>156</v>
      </c>
      <c r="E36" s="55"/>
      <c r="F36" s="55"/>
      <c r="G36" s="55"/>
      <c r="H36" s="53" t="str">
        <f>IF(E36=F36+G36," ","ERROR")</f>
        <v xml:space="preserve"> </v>
      </c>
    </row>
    <row r="37" spans="1:8">
      <c r="A37" s="47">
        <v>22</v>
      </c>
      <c r="B37" s="50" t="s">
        <v>161</v>
      </c>
      <c r="E37" s="60">
        <f>E34+E35+E36</f>
        <v>0</v>
      </c>
      <c r="F37" s="60">
        <f>F34+F35+F36</f>
        <v>0</v>
      </c>
      <c r="G37" s="60">
        <f>G34+G35+G36</f>
        <v>0</v>
      </c>
      <c r="H37" s="53" t="str">
        <f>IF(E37=F37+G37," ","ERROR")</f>
        <v xml:space="preserve"> </v>
      </c>
    </row>
    <row r="38" spans="1:8">
      <c r="A38" s="47">
        <v>23</v>
      </c>
      <c r="B38" s="50" t="s">
        <v>106</v>
      </c>
      <c r="E38" s="61">
        <f>E21+E27+E29+E30+E31+E37</f>
        <v>829</v>
      </c>
      <c r="F38" s="61">
        <f>F21+F27+F29+F30+F31+F37</f>
        <v>829</v>
      </c>
      <c r="G38" s="61">
        <f>G21+G27+G29+G30+G31+G37</f>
        <v>0</v>
      </c>
      <c r="H38" s="53" t="str">
        <f>IF(E38=F38+G38," ","ERROR")</f>
        <v xml:space="preserve"> </v>
      </c>
    </row>
    <row r="39" spans="1:8">
      <c r="E39" s="58"/>
      <c r="F39" s="58"/>
      <c r="G39" s="58"/>
      <c r="H39" s="53"/>
    </row>
    <row r="40" spans="1:8">
      <c r="A40" s="47">
        <v>24</v>
      </c>
      <c r="B40" s="50" t="s">
        <v>162</v>
      </c>
      <c r="E40" s="58">
        <f>E13-E38</f>
        <v>-829</v>
      </c>
      <c r="F40" s="58">
        <f>F13-F38</f>
        <v>-829</v>
      </c>
      <c r="G40" s="58">
        <f>G13-G38</f>
        <v>0</v>
      </c>
      <c r="H40" s="53" t="str">
        <f>IF(E40=F40+G40," ","ERROR")</f>
        <v xml:space="preserve"> </v>
      </c>
    </row>
    <row r="41" spans="1:8">
      <c r="B41" s="50"/>
      <c r="E41" s="58"/>
      <c r="F41" s="58"/>
      <c r="G41" s="58"/>
      <c r="H41" s="53"/>
    </row>
    <row r="42" spans="1:8">
      <c r="B42" s="50" t="s">
        <v>163</v>
      </c>
      <c r="E42" s="58"/>
      <c r="F42" s="58"/>
      <c r="G42" s="58"/>
      <c r="H42" s="53"/>
    </row>
    <row r="43" spans="1:8">
      <c r="A43" s="47">
        <v>25</v>
      </c>
      <c r="B43" s="50" t="s">
        <v>164</v>
      </c>
      <c r="D43" s="62">
        <v>0.35</v>
      </c>
      <c r="E43" s="55">
        <f>F43+G43</f>
        <v>-290</v>
      </c>
      <c r="F43" s="55">
        <f>ROUND(F40*D43,0)</f>
        <v>-290</v>
      </c>
      <c r="G43" s="55">
        <f>ROUND(G40*D43,0)</f>
        <v>0</v>
      </c>
      <c r="H43" s="53" t="str">
        <f>IF(E43=F43+G43," ","ERROR")</f>
        <v xml:space="preserve"> </v>
      </c>
    </row>
    <row r="44" spans="1:8">
      <c r="A44" s="47">
        <v>26</v>
      </c>
      <c r="B44" s="50" t="s">
        <v>165</v>
      </c>
      <c r="E44" s="55"/>
      <c r="F44" s="55"/>
      <c r="G44" s="55"/>
      <c r="H44" s="53" t="str">
        <f>IF(E44=F44+G44," ","ERROR")</f>
        <v xml:space="preserve"> </v>
      </c>
    </row>
    <row r="45" spans="1:8">
      <c r="A45"/>
      <c r="B45"/>
      <c r="C45"/>
      <c r="D45"/>
      <c r="E45" s="913"/>
      <c r="F45" s="913"/>
      <c r="G45" s="913"/>
      <c r="H45" s="53" t="str">
        <f>IF(E45=F45+G45," ","ERROR")</f>
        <v xml:space="preserve"> </v>
      </c>
    </row>
    <row r="46" spans="1:8">
      <c r="A46" s="259"/>
      <c r="B46" s="262"/>
      <c r="C46" s="256"/>
      <c r="D46" s="256"/>
      <c r="E46" s="269"/>
      <c r="F46" s="269"/>
      <c r="G46" s="269"/>
      <c r="H46" s="53"/>
    </row>
    <row r="47" spans="1:8">
      <c r="A47" s="263">
        <v>27</v>
      </c>
      <c r="B47" s="264" t="s">
        <v>113</v>
      </c>
      <c r="C47" s="265"/>
      <c r="D47" s="265"/>
      <c r="E47" s="273">
        <f>E40-SUM(E43:E44)</f>
        <v>-539</v>
      </c>
      <c r="F47" s="273">
        <f>F40-SUM(F43:F44)</f>
        <v>-539</v>
      </c>
      <c r="G47" s="273">
        <f>G40-SUM(G43:G44)</f>
        <v>0</v>
      </c>
      <c r="H47" s="53" t="str">
        <f>IF(E47=F47+G47," ","ERROR")</f>
        <v xml:space="preserve"> </v>
      </c>
    </row>
    <row r="48" spans="1:8">
      <c r="A48" s="259"/>
      <c r="H48" s="53"/>
    </row>
    <row r="49" spans="1:8">
      <c r="A49" s="259"/>
      <c r="B49" s="50" t="s">
        <v>114</v>
      </c>
      <c r="H49" s="53"/>
    </row>
    <row r="50" spans="1:8">
      <c r="A50" s="259"/>
      <c r="B50" s="50" t="s">
        <v>115</v>
      </c>
      <c r="H50" s="53"/>
    </row>
    <row r="51" spans="1:8">
      <c r="A51" s="263">
        <v>28</v>
      </c>
      <c r="B51" s="52" t="s">
        <v>167</v>
      </c>
      <c r="C51" s="53"/>
      <c r="D51" s="53"/>
      <c r="E51" s="55">
        <f>F51+G51</f>
        <v>25866</v>
      </c>
      <c r="F51" s="54">
        <v>25866</v>
      </c>
      <c r="G51" s="54"/>
      <c r="H51" s="53" t="str">
        <f t="shared" ref="H51:H61" si="1">IF(E51=F51+G51," ","ERROR")</f>
        <v xml:space="preserve"> </v>
      </c>
    </row>
    <row r="52" spans="1:8">
      <c r="A52" s="259">
        <v>29</v>
      </c>
      <c r="B52" s="50" t="s">
        <v>168</v>
      </c>
      <c r="E52" s="55">
        <f>F52+G52</f>
        <v>0</v>
      </c>
      <c r="F52" s="55">
        <v>0</v>
      </c>
      <c r="G52" s="55">
        <v>0</v>
      </c>
      <c r="H52" s="53" t="str">
        <f t="shared" si="1"/>
        <v xml:space="preserve"> </v>
      </c>
    </row>
    <row r="53" spans="1:8">
      <c r="A53" s="259">
        <v>30</v>
      </c>
      <c r="B53" s="50" t="s">
        <v>169</v>
      </c>
      <c r="E53" s="55"/>
      <c r="F53" s="55"/>
      <c r="G53" s="55"/>
      <c r="H53" s="53" t="str">
        <f t="shared" si="1"/>
        <v xml:space="preserve"> </v>
      </c>
    </row>
    <row r="54" spans="1:8">
      <c r="A54" s="259">
        <v>31</v>
      </c>
      <c r="B54" s="50" t="s">
        <v>170</v>
      </c>
      <c r="E54" s="55"/>
      <c r="F54" s="55"/>
      <c r="G54" s="55"/>
      <c r="H54" s="53" t="str">
        <f t="shared" si="1"/>
        <v xml:space="preserve"> </v>
      </c>
    </row>
    <row r="55" spans="1:8">
      <c r="A55" s="259">
        <v>32</v>
      </c>
      <c r="B55" s="50" t="s">
        <v>171</v>
      </c>
      <c r="E55" s="59"/>
      <c r="F55" s="59"/>
      <c r="G55" s="59"/>
      <c r="H55" s="53" t="str">
        <f t="shared" si="1"/>
        <v xml:space="preserve"> </v>
      </c>
    </row>
    <row r="56" spans="1:8">
      <c r="A56" s="259">
        <v>33</v>
      </c>
      <c r="B56" s="50" t="s">
        <v>172</v>
      </c>
      <c r="E56" s="58">
        <f>E51+E52+E53+E54+E55</f>
        <v>25866</v>
      </c>
      <c r="F56" s="58">
        <f>F51+F52+F53+F54+F55</f>
        <v>25866</v>
      </c>
      <c r="G56" s="58">
        <f>G51+G52+G53+G54+G55</f>
        <v>0</v>
      </c>
      <c r="H56" s="53" t="str">
        <f t="shared" si="1"/>
        <v xml:space="preserve"> </v>
      </c>
    </row>
    <row r="57" spans="1:8">
      <c r="A57" s="259">
        <v>34</v>
      </c>
      <c r="B57" s="50" t="s">
        <v>121</v>
      </c>
      <c r="E57" s="55">
        <f>F57+G57</f>
        <v>663</v>
      </c>
      <c r="F57" s="55">
        <v>663</v>
      </c>
      <c r="G57" s="55"/>
      <c r="H57" s="53" t="str">
        <f t="shared" si="1"/>
        <v xml:space="preserve"> </v>
      </c>
    </row>
    <row r="58" spans="1:8">
      <c r="A58" s="259">
        <v>35</v>
      </c>
      <c r="B58" s="50" t="s">
        <v>122</v>
      </c>
      <c r="E58" s="59"/>
      <c r="F58" s="59"/>
      <c r="G58" s="59"/>
      <c r="H58" s="53" t="str">
        <f t="shared" si="1"/>
        <v xml:space="preserve"> </v>
      </c>
    </row>
    <row r="59" spans="1:8">
      <c r="A59" s="259">
        <v>36</v>
      </c>
      <c r="B59" s="50" t="s">
        <v>173</v>
      </c>
      <c r="E59" s="58">
        <f>E57+E58</f>
        <v>663</v>
      </c>
      <c r="F59" s="58">
        <f>F57+F58</f>
        <v>663</v>
      </c>
      <c r="G59" s="58">
        <f>G57+G58</f>
        <v>0</v>
      </c>
      <c r="H59" s="53" t="str">
        <f t="shared" si="1"/>
        <v xml:space="preserve"> </v>
      </c>
    </row>
    <row r="60" spans="1:8">
      <c r="A60" s="259">
        <v>37</v>
      </c>
      <c r="B60" s="50" t="s">
        <v>124</v>
      </c>
      <c r="E60" s="55"/>
      <c r="F60" s="55"/>
      <c r="G60" s="55"/>
      <c r="H60" s="53" t="str">
        <f t="shared" si="1"/>
        <v xml:space="preserve"> </v>
      </c>
    </row>
    <row r="61" spans="1:8">
      <c r="A61" s="259">
        <v>38</v>
      </c>
      <c r="B61" s="50" t="s">
        <v>125</v>
      </c>
      <c r="E61" s="59">
        <f>F61+G61</f>
        <v>-8384</v>
      </c>
      <c r="F61" s="59">
        <v>-8384</v>
      </c>
      <c r="G61" s="59">
        <v>0</v>
      </c>
      <c r="H61" s="53" t="str">
        <f t="shared" si="1"/>
        <v xml:space="preserve"> </v>
      </c>
    </row>
    <row r="62" spans="1:8" ht="11.25" customHeight="1">
      <c r="A62" s="259"/>
      <c r="H62" s="53"/>
    </row>
    <row r="63" spans="1:8" ht="13.5" thickBot="1">
      <c r="A63" s="263">
        <v>39</v>
      </c>
      <c r="B63" s="52" t="s">
        <v>126</v>
      </c>
      <c r="C63" s="53"/>
      <c r="D63" s="53"/>
      <c r="E63" s="63">
        <f>E56-E59+E60+E61</f>
        <v>16819</v>
      </c>
      <c r="F63" s="63">
        <f>F56-F59+F60+F61</f>
        <v>16819</v>
      </c>
      <c r="G63" s="63">
        <f>G56-G59+G60+G61</f>
        <v>0</v>
      </c>
      <c r="H63" s="53" t="str">
        <f>IF(E63=F63+G63," ","ERROR")</f>
        <v xml:space="preserve"> </v>
      </c>
    </row>
    <row r="64" spans="1:8" ht="13.5" thickTop="1">
      <c r="A64" s="44"/>
      <c r="B64" s="69"/>
      <c r="C64" s="69"/>
      <c r="D64" s="69"/>
      <c r="E64" s="671"/>
      <c r="F64" s="672"/>
      <c r="G64" s="69"/>
      <c r="H64" s="69"/>
    </row>
    <row r="65" spans="1:7">
      <c r="A65" s="420" t="str">
        <f>Inputs!$D$6</f>
        <v>AVISTA UTILITIES</v>
      </c>
      <c r="B65" s="420"/>
      <c r="C65" s="420"/>
      <c r="D65" s="440"/>
      <c r="E65" s="441"/>
      <c r="F65" s="440"/>
      <c r="G65" s="442"/>
    </row>
    <row r="66" spans="1:7">
      <c r="A66" s="420" t="s">
        <v>225</v>
      </c>
      <c r="B66" s="420"/>
      <c r="C66" s="420"/>
      <c r="D66" s="440"/>
      <c r="E66" s="441"/>
      <c r="F66" s="440"/>
      <c r="G66" s="442"/>
    </row>
    <row r="67" spans="1:7">
      <c r="A67" s="420" t="str">
        <f>A3</f>
        <v>TWELVE MONTHS ENDED SEPTEMBER 30, 2008</v>
      </c>
      <c r="B67" s="420"/>
      <c r="C67" s="420"/>
      <c r="D67" s="440"/>
      <c r="E67" s="441"/>
      <c r="F67" s="443" t="str">
        <f>F2</f>
        <v>PRO FORMA</v>
      </c>
      <c r="G67" s="440"/>
    </row>
    <row r="68" spans="1:7">
      <c r="A68" s="420" t="s">
        <v>226</v>
      </c>
      <c r="B68" s="420"/>
      <c r="C68" s="420"/>
      <c r="D68" s="440"/>
      <c r="E68" s="441"/>
      <c r="F68" s="443" t="str">
        <f>F3</f>
        <v>CDA TRIBE SETTLEMENT</v>
      </c>
      <c r="G68" s="440"/>
    </row>
    <row r="69" spans="1:7">
      <c r="A69" s="424"/>
      <c r="B69" s="440"/>
      <c r="C69" s="440"/>
      <c r="D69" s="440"/>
      <c r="E69" s="444"/>
      <c r="F69" s="445" t="str">
        <f>F4</f>
        <v>ELECTRIC</v>
      </c>
      <c r="G69" s="440"/>
    </row>
    <row r="70" spans="1:7">
      <c r="A70" s="424"/>
      <c r="B70" s="440"/>
      <c r="C70" s="440"/>
      <c r="D70" s="440"/>
      <c r="E70" s="441"/>
      <c r="F70" s="443"/>
      <c r="G70" s="447"/>
    </row>
    <row r="71" spans="1:7">
      <c r="A71" s="424"/>
      <c r="B71" s="448" t="s">
        <v>134</v>
      </c>
      <c r="C71" s="449"/>
      <c r="D71" s="440"/>
      <c r="E71" s="441"/>
      <c r="F71" s="445" t="s">
        <v>128</v>
      </c>
      <c r="G71" s="440"/>
    </row>
    <row r="72" spans="1:7">
      <c r="A72" s="424"/>
      <c r="B72" s="427" t="s">
        <v>85</v>
      </c>
      <c r="C72" s="440"/>
      <c r="D72" s="440"/>
      <c r="E72" s="440"/>
      <c r="F72" s="442"/>
      <c r="G72" s="440"/>
    </row>
    <row r="73" spans="1:7">
      <c r="A73" s="424"/>
      <c r="B73" s="429" t="s">
        <v>86</v>
      </c>
      <c r="C73" s="440"/>
      <c r="D73" s="440"/>
      <c r="E73" s="440"/>
      <c r="F73" s="450">
        <f>G8</f>
        <v>0</v>
      </c>
      <c r="G73" s="440"/>
    </row>
    <row r="74" spans="1:7">
      <c r="A74" s="424"/>
      <c r="B74" s="427" t="s">
        <v>87</v>
      </c>
      <c r="C74" s="440"/>
      <c r="D74" s="440"/>
      <c r="E74" s="440"/>
      <c r="F74" s="434">
        <f>G9</f>
        <v>0</v>
      </c>
      <c r="G74" s="440"/>
    </row>
    <row r="75" spans="1:7">
      <c r="A75" s="424"/>
      <c r="B75" s="427" t="s">
        <v>150</v>
      </c>
      <c r="C75" s="440"/>
      <c r="D75" s="440"/>
      <c r="E75" s="440"/>
      <c r="F75" s="436">
        <f>G10</f>
        <v>0</v>
      </c>
      <c r="G75" s="440"/>
    </row>
    <row r="76" spans="1:7">
      <c r="A76" s="424"/>
      <c r="B76" s="427" t="s">
        <v>151</v>
      </c>
      <c r="C76" s="440"/>
      <c r="D76" s="440"/>
      <c r="E76" s="440"/>
      <c r="F76" s="434">
        <f>SUM(F73:F75)</f>
        <v>0</v>
      </c>
      <c r="G76" s="440"/>
    </row>
    <row r="77" spans="1:7">
      <c r="A77" s="424"/>
      <c r="B77" s="427" t="s">
        <v>90</v>
      </c>
      <c r="C77" s="440"/>
      <c r="D77" s="440"/>
      <c r="E77" s="440"/>
      <c r="F77" s="436">
        <f>G12</f>
        <v>0</v>
      </c>
      <c r="G77" s="440"/>
    </row>
    <row r="78" spans="1:7">
      <c r="A78" s="424"/>
      <c r="B78" s="427" t="s">
        <v>152</v>
      </c>
      <c r="C78" s="440"/>
      <c r="D78" s="440"/>
      <c r="E78" s="440"/>
      <c r="F78" s="434">
        <f>F76+F77</f>
        <v>0</v>
      </c>
      <c r="G78" s="440"/>
    </row>
    <row r="79" spans="1:7">
      <c r="A79" s="424"/>
      <c r="B79" s="421"/>
      <c r="C79" s="440"/>
      <c r="D79" s="440"/>
      <c r="E79" s="440"/>
      <c r="F79" s="434"/>
      <c r="G79" s="440"/>
    </row>
    <row r="80" spans="1:7">
      <c r="A80" s="424"/>
      <c r="B80" s="427" t="s">
        <v>92</v>
      </c>
      <c r="C80" s="440"/>
      <c r="D80" s="440"/>
      <c r="E80" s="440"/>
      <c r="F80" s="434"/>
      <c r="G80" s="440"/>
    </row>
    <row r="81" spans="1:7">
      <c r="A81" s="424"/>
      <c r="B81" s="427" t="s">
        <v>93</v>
      </c>
      <c r="C81" s="440"/>
      <c r="D81" s="440"/>
      <c r="E81" s="440"/>
      <c r="F81" s="434"/>
      <c r="G81" s="440"/>
    </row>
    <row r="82" spans="1:7">
      <c r="A82" s="424"/>
      <c r="B82" s="427" t="s">
        <v>153</v>
      </c>
      <c r="C82" s="440"/>
      <c r="D82" s="440"/>
      <c r="E82" s="440"/>
      <c r="F82" s="434">
        <f>G17</f>
        <v>0</v>
      </c>
      <c r="G82" s="440"/>
    </row>
    <row r="83" spans="1:7">
      <c r="A83" s="424"/>
      <c r="B83" s="427" t="s">
        <v>154</v>
      </c>
      <c r="C83" s="440"/>
      <c r="D83" s="440"/>
      <c r="E83" s="440"/>
      <c r="F83" s="434">
        <f>G18</f>
        <v>0</v>
      </c>
      <c r="G83" s="440"/>
    </row>
    <row r="84" spans="1:7">
      <c r="A84" s="424"/>
      <c r="B84" s="427" t="s">
        <v>155</v>
      </c>
      <c r="C84" s="440"/>
      <c r="D84" s="440"/>
      <c r="E84" s="440"/>
      <c r="F84" s="434">
        <f>G19</f>
        <v>0</v>
      </c>
      <c r="G84" s="440"/>
    </row>
    <row r="85" spans="1:7">
      <c r="A85" s="424"/>
      <c r="B85" s="427" t="s">
        <v>156</v>
      </c>
      <c r="C85" s="440"/>
      <c r="D85" s="440"/>
      <c r="E85" s="440"/>
      <c r="F85" s="436">
        <f>G20</f>
        <v>0</v>
      </c>
      <c r="G85" s="440"/>
    </row>
    <row r="86" spans="1:7">
      <c r="A86" s="424"/>
      <c r="B86" s="427" t="s">
        <v>157</v>
      </c>
      <c r="C86" s="440"/>
      <c r="D86" s="440"/>
      <c r="E86" s="440"/>
      <c r="F86" s="434">
        <f>SUM(F82:F85)</f>
        <v>0</v>
      </c>
      <c r="G86" s="440"/>
    </row>
    <row r="87" spans="1:7">
      <c r="A87" s="424"/>
      <c r="B87" s="421"/>
      <c r="C87" s="440"/>
      <c r="D87" s="440"/>
      <c r="E87" s="440"/>
      <c r="F87" s="434"/>
      <c r="G87" s="440"/>
    </row>
    <row r="88" spans="1:7">
      <c r="A88" s="424"/>
      <c r="B88" s="427" t="s">
        <v>98</v>
      </c>
      <c r="C88" s="440"/>
      <c r="D88" s="440"/>
      <c r="E88" s="440"/>
      <c r="F88" s="434"/>
      <c r="G88" s="440"/>
    </row>
    <row r="89" spans="1:7">
      <c r="A89" s="424"/>
      <c r="B89" s="427" t="s">
        <v>153</v>
      </c>
      <c r="C89" s="440"/>
      <c r="D89" s="440"/>
      <c r="E89" s="440"/>
      <c r="F89" s="434">
        <f>G24</f>
        <v>0</v>
      </c>
      <c r="G89" s="440"/>
    </row>
    <row r="90" spans="1:7">
      <c r="A90" s="424"/>
      <c r="B90" s="427" t="s">
        <v>158</v>
      </c>
      <c r="C90" s="440"/>
      <c r="D90" s="440"/>
      <c r="E90" s="440"/>
      <c r="F90" s="434">
        <f>G25</f>
        <v>0</v>
      </c>
      <c r="G90" s="440"/>
    </row>
    <row r="91" spans="1:7">
      <c r="A91" s="421"/>
      <c r="B91" s="427" t="s">
        <v>156</v>
      </c>
      <c r="C91" s="440"/>
      <c r="D91" s="440"/>
      <c r="E91" s="440"/>
      <c r="F91" s="434"/>
      <c r="G91" s="440"/>
    </row>
    <row r="92" spans="1:7">
      <c r="A92" s="421"/>
      <c r="B92" s="427" t="s">
        <v>159</v>
      </c>
      <c r="C92" s="440"/>
      <c r="D92" s="440"/>
      <c r="E92" s="440"/>
      <c r="F92" s="433">
        <f>SUM(F89:F91)</f>
        <v>0</v>
      </c>
      <c r="G92" s="440"/>
    </row>
    <row r="93" spans="1:7">
      <c r="A93" s="421"/>
      <c r="B93" s="421"/>
      <c r="C93" s="440"/>
      <c r="D93" s="440"/>
      <c r="E93" s="440"/>
      <c r="F93" s="434"/>
      <c r="G93" s="440"/>
    </row>
    <row r="94" spans="1:7">
      <c r="A94" s="421"/>
      <c r="B94" s="427" t="s">
        <v>101</v>
      </c>
      <c r="C94" s="440"/>
      <c r="D94" s="440"/>
      <c r="E94" s="440"/>
      <c r="F94" s="434">
        <f>G29</f>
        <v>0</v>
      </c>
      <c r="G94" s="440"/>
    </row>
    <row r="95" spans="1:7">
      <c r="A95" s="421"/>
      <c r="B95" s="427" t="s">
        <v>102</v>
      </c>
      <c r="C95" s="440"/>
      <c r="D95" s="440"/>
      <c r="E95" s="440"/>
      <c r="F95" s="434">
        <f>G30</f>
        <v>0</v>
      </c>
      <c r="G95" s="440"/>
    </row>
    <row r="96" spans="1:7">
      <c r="A96" s="421"/>
      <c r="B96" s="427" t="s">
        <v>160</v>
      </c>
      <c r="C96" s="440"/>
      <c r="D96" s="440"/>
      <c r="E96" s="440"/>
      <c r="F96" s="434">
        <f>G31</f>
        <v>0</v>
      </c>
      <c r="G96" s="440"/>
    </row>
    <row r="97" spans="1:7">
      <c r="A97" s="421"/>
      <c r="B97" s="421"/>
      <c r="C97" s="440"/>
      <c r="D97" s="440"/>
      <c r="E97" s="440"/>
      <c r="F97" s="434"/>
      <c r="G97" s="440"/>
    </row>
    <row r="98" spans="1:7">
      <c r="A98" s="421"/>
      <c r="B98" s="427" t="s">
        <v>104</v>
      </c>
      <c r="C98" s="440"/>
      <c r="D98" s="440"/>
      <c r="E98" s="440"/>
      <c r="F98" s="434"/>
      <c r="G98" s="440"/>
    </row>
    <row r="99" spans="1:7">
      <c r="A99" s="421"/>
      <c r="B99" s="427" t="s">
        <v>153</v>
      </c>
      <c r="C99" s="440"/>
      <c r="D99" s="440"/>
      <c r="E99" s="440"/>
      <c r="F99" s="434">
        <f>G34</f>
        <v>0</v>
      </c>
      <c r="G99" s="440"/>
    </row>
    <row r="100" spans="1:7">
      <c r="A100" s="421"/>
      <c r="B100" s="427" t="s">
        <v>158</v>
      </c>
      <c r="C100" s="440"/>
      <c r="D100" s="440"/>
      <c r="E100" s="440"/>
      <c r="F100" s="434">
        <f>G35</f>
        <v>0</v>
      </c>
      <c r="G100" s="440"/>
    </row>
    <row r="101" spans="1:7">
      <c r="A101" s="421"/>
      <c r="B101" s="427" t="s">
        <v>156</v>
      </c>
      <c r="C101" s="440"/>
      <c r="D101" s="440"/>
      <c r="E101" s="440"/>
      <c r="F101" s="436">
        <f>G36</f>
        <v>0</v>
      </c>
      <c r="G101" s="440"/>
    </row>
    <row r="102" spans="1:7">
      <c r="A102" s="421"/>
      <c r="B102" s="427" t="s">
        <v>161</v>
      </c>
      <c r="C102" s="440"/>
      <c r="D102" s="440"/>
      <c r="E102" s="440"/>
      <c r="F102" s="434">
        <f>F99+F100+F101</f>
        <v>0</v>
      </c>
      <c r="G102" s="440"/>
    </row>
    <row r="103" spans="1:7">
      <c r="A103" s="421"/>
      <c r="B103" s="440"/>
      <c r="C103" s="440"/>
      <c r="D103" s="440"/>
      <c r="E103" s="440"/>
      <c r="F103" s="434"/>
      <c r="G103" s="440"/>
    </row>
    <row r="104" spans="1:7">
      <c r="A104" s="421"/>
      <c r="B104" s="440" t="s">
        <v>106</v>
      </c>
      <c r="C104" s="440"/>
      <c r="D104" s="440"/>
      <c r="E104" s="440"/>
      <c r="F104" s="435">
        <f>F86+F92+F94+F95+F96+F102</f>
        <v>0</v>
      </c>
      <c r="G104" s="440"/>
    </row>
    <row r="105" spans="1:7">
      <c r="A105" s="421"/>
      <c r="B105" s="440"/>
      <c r="C105" s="440"/>
      <c r="D105" s="440"/>
      <c r="E105" s="440"/>
      <c r="F105" s="434"/>
      <c r="G105" s="440"/>
    </row>
    <row r="106" spans="1:7">
      <c r="A106" s="421"/>
      <c r="B106" s="440" t="s">
        <v>227</v>
      </c>
      <c r="C106" s="440"/>
      <c r="D106" s="440"/>
      <c r="E106" s="440"/>
      <c r="F106" s="436">
        <f>F78-F104</f>
        <v>0</v>
      </c>
      <c r="G106" s="440"/>
    </row>
    <row r="107" spans="1:7">
      <c r="A107" s="421"/>
      <c r="B107" s="440"/>
      <c r="C107" s="440"/>
      <c r="D107" s="440"/>
      <c r="E107" s="440"/>
      <c r="F107" s="434"/>
      <c r="G107" s="440"/>
    </row>
    <row r="108" spans="1:7">
      <c r="A108" s="421"/>
      <c r="B108" s="440" t="s">
        <v>228</v>
      </c>
      <c r="C108" s="440"/>
      <c r="D108" s="440"/>
      <c r="E108" s="441"/>
      <c r="F108" s="434"/>
      <c r="G108" s="440"/>
    </row>
    <row r="109" spans="1:7" ht="13.5" thickBot="1">
      <c r="A109" s="421"/>
      <c r="B109" s="451" t="s">
        <v>229</v>
      </c>
      <c r="C109" s="452">
        <f>Inputs!$D$4</f>
        <v>1.2215999999999999E-2</v>
      </c>
      <c r="D109" s="440"/>
      <c r="E109" s="441"/>
      <c r="F109" s="439">
        <f>ROUND(F106*C109,0)</f>
        <v>0</v>
      </c>
      <c r="G109" s="440"/>
    </row>
    <row r="110" spans="1:7" ht="13.5" thickTop="1">
      <c r="A110" s="421"/>
      <c r="B110" s="440"/>
      <c r="C110" s="440"/>
      <c r="D110" s="440"/>
      <c r="E110" s="441"/>
      <c r="F110" s="442"/>
      <c r="G110" s="440"/>
    </row>
  </sheetData>
  <phoneticPr fontId="0" type="noConversion"/>
  <pageMargins left="1" right="1" top="0.5" bottom="0.25" header="0.5" footer="0.5"/>
  <pageSetup scale="90" orientation="portrait" r:id="rId1"/>
  <headerFooter alignWithMargins="0"/>
  <rowBreaks count="1" manualBreakCount="1">
    <brk id="64" max="6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64"/>
  <dimension ref="A1:H110"/>
  <sheetViews>
    <sheetView zoomScaleNormal="100" workbookViewId="0">
      <selection activeCell="I21" sqref="I21"/>
    </sheetView>
  </sheetViews>
  <sheetFormatPr defaultRowHeight="12.75"/>
  <cols>
    <col min="1" max="1" width="5.5703125" style="47" customWidth="1"/>
    <col min="2" max="2" width="26.140625" style="44" customWidth="1"/>
    <col min="3" max="3" width="12.42578125" style="44" customWidth="1"/>
    <col min="4" max="4" width="6.7109375" style="44" customWidth="1"/>
    <col min="5" max="8" width="12.42578125" style="44" customWidth="1"/>
  </cols>
  <sheetData>
    <row r="1" spans="1:8">
      <c r="A1" s="42" t="str">
        <f>Inputs!$D$6</f>
        <v>AVISTA UTILITIES</v>
      </c>
      <c r="B1" s="43"/>
      <c r="C1" s="42"/>
    </row>
    <row r="2" spans="1:8">
      <c r="A2" s="42" t="s">
        <v>142</v>
      </c>
      <c r="B2" s="43"/>
      <c r="C2" s="42"/>
      <c r="E2" s="42"/>
      <c r="F2" s="456" t="s">
        <v>299</v>
      </c>
      <c r="G2" s="42"/>
    </row>
    <row r="3" spans="1:8">
      <c r="A3" s="43" t="str">
        <f>WAElec09_08!$A$4</f>
        <v>TWELVE MONTHS ENDED SEPTEMBER 30, 2008</v>
      </c>
      <c r="B3" s="43"/>
      <c r="C3" s="42"/>
      <c r="E3" s="42"/>
      <c r="F3" s="47" t="s">
        <v>599</v>
      </c>
      <c r="G3" s="42"/>
    </row>
    <row r="4" spans="1:8">
      <c r="A4" s="42" t="s">
        <v>1</v>
      </c>
      <c r="B4" s="43"/>
      <c r="C4" s="42"/>
      <c r="E4" s="45"/>
      <c r="F4" s="670" t="s">
        <v>145</v>
      </c>
      <c r="G4" s="46"/>
    </row>
    <row r="5" spans="1:8">
      <c r="A5" s="47" t="s">
        <v>14</v>
      </c>
    </row>
    <row r="6" spans="1:8">
      <c r="A6" s="47" t="s">
        <v>146</v>
      </c>
      <c r="B6" s="48" t="s">
        <v>36</v>
      </c>
      <c r="C6" s="48"/>
      <c r="D6" s="47"/>
      <c r="E6" s="48" t="s">
        <v>147</v>
      </c>
      <c r="F6" s="48" t="s">
        <v>148</v>
      </c>
      <c r="G6" s="48" t="s">
        <v>128</v>
      </c>
      <c r="H6" s="49" t="s">
        <v>149</v>
      </c>
    </row>
    <row r="7" spans="1:8">
      <c r="B7" s="50" t="s">
        <v>85</v>
      </c>
    </row>
    <row r="8" spans="1:8">
      <c r="A8" s="51">
        <v>1</v>
      </c>
      <c r="B8" s="52" t="s">
        <v>86</v>
      </c>
      <c r="C8" s="53"/>
      <c r="D8" s="53"/>
      <c r="E8" s="54">
        <f>F8+G8</f>
        <v>0</v>
      </c>
      <c r="F8" s="54">
        <v>0</v>
      </c>
      <c r="G8" s="54">
        <v>0</v>
      </c>
      <c r="H8" s="53" t="str">
        <f t="shared" ref="H8:H13" si="0">IF(E8=F8+G8," ","ERROR")</f>
        <v xml:space="preserve"> </v>
      </c>
    </row>
    <row r="9" spans="1:8">
      <c r="A9" s="47">
        <v>2</v>
      </c>
      <c r="B9" s="50" t="s">
        <v>87</v>
      </c>
      <c r="E9" s="55"/>
      <c r="F9" s="55"/>
      <c r="G9" s="55"/>
      <c r="H9" s="53" t="str">
        <f t="shared" si="0"/>
        <v xml:space="preserve"> </v>
      </c>
    </row>
    <row r="10" spans="1:8">
      <c r="A10" s="47">
        <v>3</v>
      </c>
      <c r="B10" s="50" t="s">
        <v>150</v>
      </c>
      <c r="E10" s="55"/>
      <c r="F10" s="55"/>
      <c r="G10" s="55"/>
      <c r="H10" s="53" t="str">
        <f t="shared" si="0"/>
        <v xml:space="preserve"> </v>
      </c>
    </row>
    <row r="11" spans="1:8">
      <c r="A11" s="47">
        <v>4</v>
      </c>
      <c r="B11" s="50" t="s">
        <v>151</v>
      </c>
      <c r="E11" s="56">
        <f>E8+E9+E10</f>
        <v>0</v>
      </c>
      <c r="F11" s="56">
        <f>F8+F9+F10</f>
        <v>0</v>
      </c>
      <c r="G11" s="56">
        <f>G8+G9+G10</f>
        <v>0</v>
      </c>
      <c r="H11" s="53" t="str">
        <f t="shared" si="0"/>
        <v xml:space="preserve"> </v>
      </c>
    </row>
    <row r="12" spans="1:8">
      <c r="A12" s="47">
        <v>5</v>
      </c>
      <c r="B12" s="50" t="s">
        <v>90</v>
      </c>
      <c r="E12" s="55"/>
      <c r="F12" s="55"/>
      <c r="G12" s="55"/>
      <c r="H12" s="53" t="str">
        <f t="shared" si="0"/>
        <v xml:space="preserve"> </v>
      </c>
    </row>
    <row r="13" spans="1:8">
      <c r="A13" s="47">
        <v>6</v>
      </c>
      <c r="B13" s="50" t="s">
        <v>152</v>
      </c>
      <c r="E13" s="56">
        <f>E11+E12</f>
        <v>0</v>
      </c>
      <c r="F13" s="56">
        <f>F11+F12</f>
        <v>0</v>
      </c>
      <c r="G13" s="56">
        <f>G11+G12</f>
        <v>0</v>
      </c>
      <c r="H13" s="53" t="str">
        <f t="shared" si="0"/>
        <v xml:space="preserve"> </v>
      </c>
    </row>
    <row r="14" spans="1:8">
      <c r="E14" s="58"/>
      <c r="F14" s="58"/>
      <c r="G14" s="58"/>
      <c r="H14" s="53"/>
    </row>
    <row r="15" spans="1:8">
      <c r="B15" s="50" t="s">
        <v>92</v>
      </c>
      <c r="E15" s="58"/>
      <c r="F15" s="58"/>
      <c r="G15" s="58"/>
      <c r="H15" s="53"/>
    </row>
    <row r="16" spans="1:8">
      <c r="B16" s="50" t="s">
        <v>93</v>
      </c>
      <c r="E16" s="58"/>
      <c r="F16" s="58"/>
      <c r="G16" s="58"/>
      <c r="H16" s="53"/>
    </row>
    <row r="17" spans="1:8">
      <c r="A17" s="47">
        <v>7</v>
      </c>
      <c r="B17" s="50" t="s">
        <v>153</v>
      </c>
      <c r="E17" s="55">
        <f>F17+G17</f>
        <v>1873</v>
      </c>
      <c r="F17" s="55">
        <v>1873</v>
      </c>
      <c r="G17" s="55">
        <v>0</v>
      </c>
      <c r="H17" s="53" t="str">
        <f>IF(E17=F17+G17," ","ERROR")</f>
        <v xml:space="preserve"> </v>
      </c>
    </row>
    <row r="18" spans="1:8">
      <c r="A18" s="47">
        <v>8</v>
      </c>
      <c r="B18" s="50" t="s">
        <v>154</v>
      </c>
      <c r="E18" s="55"/>
      <c r="F18" s="55"/>
      <c r="G18" s="55"/>
      <c r="H18" s="53" t="str">
        <f>IF(E18=F18+G18," ","ERROR")</f>
        <v xml:space="preserve"> </v>
      </c>
    </row>
    <row r="19" spans="1:8">
      <c r="A19" s="47">
        <v>9</v>
      </c>
      <c r="B19" s="50" t="s">
        <v>155</v>
      </c>
      <c r="E19" s="55">
        <f>F19+G19</f>
        <v>0</v>
      </c>
      <c r="F19" s="55">
        <v>0</v>
      </c>
      <c r="G19" s="55"/>
      <c r="H19" s="53" t="str">
        <f>IF(E19=F19+G19," ","ERROR")</f>
        <v xml:space="preserve"> </v>
      </c>
    </row>
    <row r="20" spans="1:8">
      <c r="A20" s="47">
        <v>10</v>
      </c>
      <c r="B20" s="50" t="s">
        <v>156</v>
      </c>
      <c r="E20" s="55">
        <f>F20+G20</f>
        <v>0</v>
      </c>
      <c r="F20" s="55"/>
      <c r="G20" s="55"/>
      <c r="H20" s="53" t="str">
        <f>IF(E20=F20+G20," ","ERROR")</f>
        <v xml:space="preserve"> </v>
      </c>
    </row>
    <row r="21" spans="1:8">
      <c r="A21" s="47">
        <v>11</v>
      </c>
      <c r="B21" s="50" t="s">
        <v>157</v>
      </c>
      <c r="E21" s="56">
        <f>E17+E18+E19+E20</f>
        <v>1873</v>
      </c>
      <c r="F21" s="56">
        <f>F17+F18+F19+F20</f>
        <v>1873</v>
      </c>
      <c r="G21" s="56">
        <f>G17+G18+G19+G20</f>
        <v>0</v>
      </c>
      <c r="H21" s="53" t="str">
        <f>IF(E21=F21+G21," ","ERROR")</f>
        <v xml:space="preserve"> </v>
      </c>
    </row>
    <row r="22" spans="1:8">
      <c r="E22" s="58"/>
      <c r="F22" s="58"/>
      <c r="G22" s="58"/>
      <c r="H22" s="53"/>
    </row>
    <row r="23" spans="1:8">
      <c r="B23" s="50" t="s">
        <v>98</v>
      </c>
      <c r="E23" s="58"/>
      <c r="F23" s="58"/>
      <c r="G23" s="58"/>
      <c r="H23" s="53"/>
    </row>
    <row r="24" spans="1:8">
      <c r="A24" s="47">
        <v>12</v>
      </c>
      <c r="B24" s="50" t="s">
        <v>153</v>
      </c>
      <c r="E24" s="55">
        <f>F24+G24</f>
        <v>0</v>
      </c>
      <c r="F24" s="55">
        <v>0</v>
      </c>
      <c r="G24" s="55">
        <v>0</v>
      </c>
      <c r="H24" s="53" t="str">
        <f>IF(E24=F24+G24," ","ERROR")</f>
        <v xml:space="preserve"> </v>
      </c>
    </row>
    <row r="25" spans="1:8">
      <c r="A25" s="47">
        <v>13</v>
      </c>
      <c r="B25" s="50" t="s">
        <v>158</v>
      </c>
      <c r="E25" s="55"/>
      <c r="F25" s="55"/>
      <c r="G25" s="55"/>
      <c r="H25" s="53" t="str">
        <f>IF(E25=F25+G25," ","ERROR")</f>
        <v xml:space="preserve"> </v>
      </c>
    </row>
    <row r="26" spans="1:8">
      <c r="A26" s="47">
        <v>14</v>
      </c>
      <c r="B26" s="50" t="s">
        <v>156</v>
      </c>
      <c r="E26" s="55">
        <f>F26+G26</f>
        <v>0</v>
      </c>
      <c r="F26" s="55">
        <v>0</v>
      </c>
      <c r="G26" s="916">
        <f>F109</f>
        <v>0</v>
      </c>
      <c r="H26" s="53" t="str">
        <f>IF(E26=F26+G26," ","ERROR")</f>
        <v xml:space="preserve"> </v>
      </c>
    </row>
    <row r="27" spans="1:8">
      <c r="A27" s="47">
        <v>15</v>
      </c>
      <c r="B27" s="50" t="s">
        <v>159</v>
      </c>
      <c r="E27" s="56">
        <f>E24+E25+E26</f>
        <v>0</v>
      </c>
      <c r="F27" s="56">
        <f>F24+F25+F26</f>
        <v>0</v>
      </c>
      <c r="G27" s="56">
        <f>G24+G25+G26</f>
        <v>0</v>
      </c>
      <c r="H27" s="53" t="str">
        <f>IF(E27=F27+G27," ","ERROR")</f>
        <v xml:space="preserve"> </v>
      </c>
    </row>
    <row r="28" spans="1:8">
      <c r="E28" s="58"/>
      <c r="F28" s="58"/>
      <c r="G28" s="58"/>
      <c r="H28" s="53"/>
    </row>
    <row r="29" spans="1:8">
      <c r="A29" s="47">
        <v>16</v>
      </c>
      <c r="B29" s="50" t="s">
        <v>101</v>
      </c>
      <c r="E29" s="55">
        <f>SUM(F29:G29)</f>
        <v>0</v>
      </c>
      <c r="F29" s="55">
        <v>0</v>
      </c>
      <c r="G29" s="55">
        <v>0</v>
      </c>
      <c r="H29" s="53" t="str">
        <f>IF(E29=F29+G29," ","ERROR")</f>
        <v xml:space="preserve"> </v>
      </c>
    </row>
    <row r="30" spans="1:8">
      <c r="A30" s="47">
        <v>17</v>
      </c>
      <c r="B30" s="50" t="s">
        <v>102</v>
      </c>
      <c r="E30" s="55">
        <f>SUM(F30:G30)</f>
        <v>0</v>
      </c>
      <c r="F30" s="55">
        <v>0</v>
      </c>
      <c r="G30" s="55">
        <v>0</v>
      </c>
      <c r="H30" s="53" t="str">
        <f>IF(E30=F30+G30," ","ERROR")</f>
        <v xml:space="preserve"> </v>
      </c>
    </row>
    <row r="31" spans="1:8">
      <c r="A31" s="47">
        <v>18</v>
      </c>
      <c r="B31" s="50" t="s">
        <v>160</v>
      </c>
      <c r="E31" s="55">
        <f>SUM(F31:G31)</f>
        <v>0</v>
      </c>
      <c r="F31" s="55">
        <v>0</v>
      </c>
      <c r="G31" s="55">
        <v>0</v>
      </c>
      <c r="H31" s="53" t="str">
        <f>IF(E31=F31+G31," ","ERROR")</f>
        <v xml:space="preserve"> </v>
      </c>
    </row>
    <row r="32" spans="1:8">
      <c r="E32" s="58"/>
      <c r="F32" s="58"/>
      <c r="G32" s="58"/>
      <c r="H32" s="53"/>
    </row>
    <row r="33" spans="1:8">
      <c r="B33" s="50" t="s">
        <v>104</v>
      </c>
      <c r="E33" s="58"/>
      <c r="F33" s="58"/>
      <c r="G33" s="58"/>
      <c r="H33" s="53"/>
    </row>
    <row r="34" spans="1:8">
      <c r="A34" s="47">
        <v>19</v>
      </c>
      <c r="B34" s="50" t="s">
        <v>153</v>
      </c>
      <c r="E34" s="55">
        <f>SUM(F34:G34)</f>
        <v>0</v>
      </c>
      <c r="F34" s="55">
        <v>0</v>
      </c>
      <c r="G34" s="55">
        <v>0</v>
      </c>
      <c r="H34" s="53" t="str">
        <f>IF(E34=F34+G34," ","ERROR")</f>
        <v xml:space="preserve"> </v>
      </c>
    </row>
    <row r="35" spans="1:8">
      <c r="A35" s="47">
        <v>20</v>
      </c>
      <c r="B35" s="50" t="s">
        <v>158</v>
      </c>
      <c r="E35" s="55"/>
      <c r="F35" s="55"/>
      <c r="G35" s="55"/>
      <c r="H35" s="53" t="str">
        <f>IF(E35=F35+G35," ","ERROR")</f>
        <v xml:space="preserve"> </v>
      </c>
    </row>
    <row r="36" spans="1:8">
      <c r="A36" s="47">
        <v>21</v>
      </c>
      <c r="B36" s="50" t="s">
        <v>156</v>
      </c>
      <c r="E36" s="55"/>
      <c r="F36" s="55"/>
      <c r="G36" s="55"/>
      <c r="H36" s="53" t="str">
        <f>IF(E36=F36+G36," ","ERROR")</f>
        <v xml:space="preserve"> </v>
      </c>
    </row>
    <row r="37" spans="1:8">
      <c r="A37" s="47">
        <v>22</v>
      </c>
      <c r="B37" s="50" t="s">
        <v>161</v>
      </c>
      <c r="E37" s="60">
        <f>E34+E35+E36</f>
        <v>0</v>
      </c>
      <c r="F37" s="60">
        <f>F34+F35+F36</f>
        <v>0</v>
      </c>
      <c r="G37" s="60">
        <f>G34+G35+G36</f>
        <v>0</v>
      </c>
      <c r="H37" s="53" t="str">
        <f>IF(E37=F37+G37," ","ERROR")</f>
        <v xml:space="preserve"> </v>
      </c>
    </row>
    <row r="38" spans="1:8">
      <c r="A38" s="47">
        <v>23</v>
      </c>
      <c r="B38" s="50" t="s">
        <v>106</v>
      </c>
      <c r="E38" s="61">
        <f>E21+E27+E29+E30+E31+E37</f>
        <v>1873</v>
      </c>
      <c r="F38" s="61">
        <f>F21+F27+F29+F30+F31+F37</f>
        <v>1873</v>
      </c>
      <c r="G38" s="61">
        <f>G21+G27+G29+G30+G31+G37</f>
        <v>0</v>
      </c>
      <c r="H38" s="53" t="str">
        <f>IF(E38=F38+G38," ","ERROR")</f>
        <v xml:space="preserve"> </v>
      </c>
    </row>
    <row r="39" spans="1:8">
      <c r="E39" s="58"/>
      <c r="F39" s="58"/>
      <c r="G39" s="58"/>
      <c r="H39" s="53"/>
    </row>
    <row r="40" spans="1:8">
      <c r="A40" s="47">
        <v>24</v>
      </c>
      <c r="B40" s="50" t="s">
        <v>162</v>
      </c>
      <c r="E40" s="58">
        <f>E13-E38</f>
        <v>-1873</v>
      </c>
      <c r="F40" s="58">
        <f>F13-F38</f>
        <v>-1873</v>
      </c>
      <c r="G40" s="58">
        <f>G13-G38</f>
        <v>0</v>
      </c>
      <c r="H40" s="53" t="str">
        <f>IF(E40=F40+G40," ","ERROR")</f>
        <v xml:space="preserve"> </v>
      </c>
    </row>
    <row r="41" spans="1:8">
      <c r="B41" s="50"/>
      <c r="E41" s="58"/>
      <c r="F41" s="58"/>
      <c r="G41" s="58"/>
      <c r="H41" s="53"/>
    </row>
    <row r="42" spans="1:8">
      <c r="B42" s="50" t="s">
        <v>163</v>
      </c>
      <c r="E42" s="58"/>
      <c r="F42" s="58"/>
      <c r="G42" s="58"/>
      <c r="H42" s="53"/>
    </row>
    <row r="43" spans="1:8">
      <c r="A43" s="47">
        <v>25</v>
      </c>
      <c r="B43" s="50" t="s">
        <v>164</v>
      </c>
      <c r="D43" s="62">
        <v>0.35</v>
      </c>
      <c r="E43" s="55">
        <f>F43+G43</f>
        <v>-656</v>
      </c>
      <c r="F43" s="55">
        <f>ROUND(F40*D43,0)</f>
        <v>-656</v>
      </c>
      <c r="G43" s="55">
        <f>ROUND(G40*D43,0)</f>
        <v>0</v>
      </c>
      <c r="H43" s="53" t="str">
        <f>IF(E43=F43+G43," ","ERROR")</f>
        <v xml:space="preserve"> </v>
      </c>
    </row>
    <row r="44" spans="1:8">
      <c r="A44" s="47">
        <v>26</v>
      </c>
      <c r="B44" s="50" t="s">
        <v>165</v>
      </c>
      <c r="E44" s="55"/>
      <c r="F44" s="55"/>
      <c r="G44" s="55"/>
      <c r="H44" s="53" t="str">
        <f>IF(E44=F44+G44," ","ERROR")</f>
        <v xml:space="preserve"> </v>
      </c>
    </row>
    <row r="45" spans="1:8">
      <c r="A45"/>
      <c r="B45"/>
      <c r="C45"/>
      <c r="D45"/>
      <c r="E45" s="913"/>
      <c r="F45" s="913"/>
      <c r="G45" s="913"/>
      <c r="H45" s="53" t="str">
        <f>IF(E45=F45+G45," ","ERROR")</f>
        <v xml:space="preserve"> </v>
      </c>
    </row>
    <row r="46" spans="1:8">
      <c r="A46" s="259"/>
      <c r="B46" s="262"/>
      <c r="C46" s="256"/>
      <c r="D46" s="256"/>
      <c r="E46" s="269"/>
      <c r="F46" s="269"/>
      <c r="G46" s="269"/>
      <c r="H46" s="53"/>
    </row>
    <row r="47" spans="1:8">
      <c r="A47" s="263">
        <v>27</v>
      </c>
      <c r="B47" s="264" t="s">
        <v>113</v>
      </c>
      <c r="C47" s="265"/>
      <c r="D47" s="265"/>
      <c r="E47" s="273">
        <f>E40-SUM(E43:E44)</f>
        <v>-1217</v>
      </c>
      <c r="F47" s="273">
        <f>F40-SUM(F43:F44)</f>
        <v>-1217</v>
      </c>
      <c r="G47" s="273">
        <f>G40-SUM(G43:G44)</f>
        <v>0</v>
      </c>
      <c r="H47" s="53" t="str">
        <f>IF(E47=F47+G47," ","ERROR")</f>
        <v xml:space="preserve"> </v>
      </c>
    </row>
    <row r="48" spans="1:8">
      <c r="A48" s="259"/>
      <c r="H48" s="53"/>
    </row>
    <row r="49" spans="1:8">
      <c r="A49" s="259"/>
      <c r="B49" s="50" t="s">
        <v>114</v>
      </c>
      <c r="H49" s="53"/>
    </row>
    <row r="50" spans="1:8">
      <c r="A50" s="259"/>
      <c r="B50" s="50" t="s">
        <v>115</v>
      </c>
      <c r="H50" s="53"/>
    </row>
    <row r="51" spans="1:8">
      <c r="A51" s="263">
        <v>28</v>
      </c>
      <c r="B51" s="52" t="s">
        <v>167</v>
      </c>
      <c r="C51" s="53"/>
      <c r="D51" s="53"/>
      <c r="E51" s="54"/>
      <c r="F51" s="54"/>
      <c r="G51" s="54"/>
      <c r="H51" s="53" t="str">
        <f t="shared" ref="H51:H61" si="1">IF(E51=F51+G51," ","ERROR")</f>
        <v xml:space="preserve"> </v>
      </c>
    </row>
    <row r="52" spans="1:8">
      <c r="A52" s="259">
        <v>29</v>
      </c>
      <c r="B52" s="50" t="s">
        <v>168</v>
      </c>
      <c r="E52" s="55">
        <f>F52+G52</f>
        <v>0</v>
      </c>
      <c r="F52" s="55"/>
      <c r="G52" s="55"/>
      <c r="H52" s="53" t="str">
        <f t="shared" si="1"/>
        <v xml:space="preserve"> </v>
      </c>
    </row>
    <row r="53" spans="1:8">
      <c r="A53" s="259">
        <v>30</v>
      </c>
      <c r="B53" s="50" t="s">
        <v>169</v>
      </c>
      <c r="E53" s="55"/>
      <c r="F53" s="55"/>
      <c r="G53" s="55"/>
      <c r="H53" s="53" t="str">
        <f t="shared" si="1"/>
        <v xml:space="preserve"> </v>
      </c>
    </row>
    <row r="54" spans="1:8">
      <c r="A54" s="259">
        <v>31</v>
      </c>
      <c r="B54" s="50" t="s">
        <v>170</v>
      </c>
      <c r="E54" s="55"/>
      <c r="F54" s="55"/>
      <c r="G54" s="55"/>
      <c r="H54" s="53" t="str">
        <f t="shared" si="1"/>
        <v xml:space="preserve"> </v>
      </c>
    </row>
    <row r="55" spans="1:8">
      <c r="A55" s="259">
        <v>32</v>
      </c>
      <c r="B55" s="50" t="s">
        <v>171</v>
      </c>
      <c r="E55" s="59"/>
      <c r="F55" s="59"/>
      <c r="G55" s="59"/>
      <c r="H55" s="53" t="str">
        <f t="shared" si="1"/>
        <v xml:space="preserve"> </v>
      </c>
    </row>
    <row r="56" spans="1:8">
      <c r="A56" s="259">
        <v>33</v>
      </c>
      <c r="B56" s="50" t="s">
        <v>172</v>
      </c>
      <c r="E56" s="58">
        <f>E51+E52+E53+E54+E55</f>
        <v>0</v>
      </c>
      <c r="F56" s="58">
        <f>F51+F52+F53+F54+F55</f>
        <v>0</v>
      </c>
      <c r="G56" s="58">
        <f>G51+G52+G53+G54+G55</f>
        <v>0</v>
      </c>
      <c r="H56" s="53" t="str">
        <f t="shared" si="1"/>
        <v xml:space="preserve"> </v>
      </c>
    </row>
    <row r="57" spans="1:8">
      <c r="A57" s="259">
        <v>34</v>
      </c>
      <c r="B57" s="50" t="s">
        <v>121</v>
      </c>
      <c r="E57" s="55">
        <f>F57+G57</f>
        <v>0</v>
      </c>
      <c r="F57" s="55"/>
      <c r="G57" s="55"/>
      <c r="H57" s="53" t="str">
        <f t="shared" si="1"/>
        <v xml:space="preserve"> </v>
      </c>
    </row>
    <row r="58" spans="1:8">
      <c r="A58" s="259">
        <v>35</v>
      </c>
      <c r="B58" s="50" t="s">
        <v>122</v>
      </c>
      <c r="E58" s="59"/>
      <c r="F58" s="59"/>
      <c r="G58" s="59"/>
      <c r="H58" s="53" t="str">
        <f t="shared" si="1"/>
        <v xml:space="preserve"> </v>
      </c>
    </row>
    <row r="59" spans="1:8">
      <c r="A59" s="259">
        <v>36</v>
      </c>
      <c r="B59" s="50" t="s">
        <v>173</v>
      </c>
      <c r="E59" s="58">
        <f>E57+E58</f>
        <v>0</v>
      </c>
      <c r="F59" s="58">
        <f>F57+F58</f>
        <v>0</v>
      </c>
      <c r="G59" s="58">
        <f>G57+G58</f>
        <v>0</v>
      </c>
      <c r="H59" s="53" t="str">
        <f t="shared" si="1"/>
        <v xml:space="preserve"> </v>
      </c>
    </row>
    <row r="60" spans="1:8">
      <c r="A60" s="259">
        <v>37</v>
      </c>
      <c r="B60" s="50" t="s">
        <v>124</v>
      </c>
      <c r="E60" s="55"/>
      <c r="F60" s="55"/>
      <c r="G60" s="55"/>
      <c r="H60" s="53" t="str">
        <f t="shared" si="1"/>
        <v xml:space="preserve"> </v>
      </c>
    </row>
    <row r="61" spans="1:8">
      <c r="A61" s="259">
        <v>38</v>
      </c>
      <c r="B61" s="50" t="s">
        <v>125</v>
      </c>
      <c r="E61" s="59">
        <f>F61+G61</f>
        <v>0</v>
      </c>
      <c r="F61" s="59"/>
      <c r="G61" s="59"/>
      <c r="H61" s="53" t="str">
        <f t="shared" si="1"/>
        <v xml:space="preserve"> </v>
      </c>
    </row>
    <row r="62" spans="1:8" ht="11.25" customHeight="1">
      <c r="A62" s="259"/>
      <c r="H62" s="53"/>
    </row>
    <row r="63" spans="1:8" ht="13.5" thickBot="1">
      <c r="A63" s="263">
        <v>39</v>
      </c>
      <c r="B63" s="52" t="s">
        <v>126</v>
      </c>
      <c r="C63" s="53"/>
      <c r="D63" s="53"/>
      <c r="E63" s="63">
        <f>E56-E59+E60+E61</f>
        <v>0</v>
      </c>
      <c r="F63" s="63">
        <f>F56-F59+F60+F61</f>
        <v>0</v>
      </c>
      <c r="G63" s="63">
        <f>G56-G59+G60+G61</f>
        <v>0</v>
      </c>
      <c r="H63" s="53" t="str">
        <f>IF(E63=F63+G63," ","ERROR")</f>
        <v xml:space="preserve"> </v>
      </c>
    </row>
    <row r="64" spans="1:8" ht="13.5" thickTop="1">
      <c r="A64" s="44"/>
      <c r="B64" s="69"/>
      <c r="C64" s="69"/>
      <c r="D64" s="69"/>
      <c r="E64" s="671"/>
      <c r="F64" s="672"/>
      <c r="G64" s="69"/>
      <c r="H64" s="69"/>
    </row>
    <row r="65" spans="1:7">
      <c r="A65" s="420" t="str">
        <f>Inputs!$D$6</f>
        <v>AVISTA UTILITIES</v>
      </c>
      <c r="B65" s="420"/>
      <c r="C65" s="420"/>
      <c r="D65" s="440"/>
      <c r="E65" s="441"/>
      <c r="F65" s="440"/>
      <c r="G65" s="442"/>
    </row>
    <row r="66" spans="1:7">
      <c r="A66" s="420" t="s">
        <v>225</v>
      </c>
      <c r="B66" s="420"/>
      <c r="C66" s="420"/>
      <c r="D66" s="440"/>
      <c r="E66" s="441"/>
      <c r="F66" s="440"/>
      <c r="G66" s="442"/>
    </row>
    <row r="67" spans="1:7">
      <c r="A67" s="420" t="str">
        <f>A3</f>
        <v>TWELVE MONTHS ENDED SEPTEMBER 30, 2008</v>
      </c>
      <c r="B67" s="420"/>
      <c r="C67" s="420"/>
      <c r="D67" s="440"/>
      <c r="E67" s="441"/>
      <c r="F67" s="443" t="str">
        <f>F2</f>
        <v>PRO FORMA</v>
      </c>
      <c r="G67" s="440"/>
    </row>
    <row r="68" spans="1:7">
      <c r="A68" s="420" t="s">
        <v>226</v>
      </c>
      <c r="B68" s="420"/>
      <c r="C68" s="420"/>
      <c r="D68" s="440"/>
      <c r="E68" s="441"/>
      <c r="F68" s="443" t="str">
        <f>F3</f>
        <v>COLSTRIP MERCURY EMISSIONS O&amp;M</v>
      </c>
      <c r="G68" s="440"/>
    </row>
    <row r="69" spans="1:7">
      <c r="A69" s="424"/>
      <c r="B69" s="440"/>
      <c r="C69" s="440"/>
      <c r="D69" s="440"/>
      <c r="E69" s="444"/>
      <c r="F69" s="445" t="str">
        <f>F4</f>
        <v>ELECTRIC</v>
      </c>
      <c r="G69" s="440"/>
    </row>
    <row r="70" spans="1:7">
      <c r="A70" s="424"/>
      <c r="B70" s="440"/>
      <c r="C70" s="440"/>
      <c r="D70" s="440"/>
      <c r="E70" s="441"/>
      <c r="F70" s="443"/>
      <c r="G70" s="447"/>
    </row>
    <row r="71" spans="1:7">
      <c r="A71" s="424"/>
      <c r="B71" s="448" t="s">
        <v>134</v>
      </c>
      <c r="C71" s="449"/>
      <c r="D71" s="440"/>
      <c r="E71" s="441"/>
      <c r="F71" s="445" t="s">
        <v>128</v>
      </c>
      <c r="G71" s="440"/>
    </row>
    <row r="72" spans="1:7">
      <c r="A72" s="424"/>
      <c r="B72" s="427" t="s">
        <v>85</v>
      </c>
      <c r="C72" s="440"/>
      <c r="D72" s="440"/>
      <c r="E72" s="440"/>
      <c r="F72" s="442"/>
      <c r="G72" s="440"/>
    </row>
    <row r="73" spans="1:7">
      <c r="A73" s="424"/>
      <c r="B73" s="429" t="s">
        <v>86</v>
      </c>
      <c r="C73" s="440"/>
      <c r="D73" s="440"/>
      <c r="E73" s="440"/>
      <c r="F73" s="450">
        <f>G8</f>
        <v>0</v>
      </c>
      <c r="G73" s="440"/>
    </row>
    <row r="74" spans="1:7">
      <c r="A74" s="424"/>
      <c r="B74" s="427" t="s">
        <v>87</v>
      </c>
      <c r="C74" s="440"/>
      <c r="D74" s="440"/>
      <c r="E74" s="440"/>
      <c r="F74" s="434">
        <f>G9</f>
        <v>0</v>
      </c>
      <c r="G74" s="440"/>
    </row>
    <row r="75" spans="1:7">
      <c r="A75" s="424"/>
      <c r="B75" s="427" t="s">
        <v>150</v>
      </c>
      <c r="C75" s="440"/>
      <c r="D75" s="440"/>
      <c r="E75" s="440"/>
      <c r="F75" s="436">
        <f>G10</f>
        <v>0</v>
      </c>
      <c r="G75" s="440"/>
    </row>
    <row r="76" spans="1:7">
      <c r="A76" s="424"/>
      <c r="B76" s="427" t="s">
        <v>151</v>
      </c>
      <c r="C76" s="440"/>
      <c r="D76" s="440"/>
      <c r="E76" s="440"/>
      <c r="F76" s="434">
        <f>SUM(F73:F75)</f>
        <v>0</v>
      </c>
      <c r="G76" s="440"/>
    </row>
    <row r="77" spans="1:7">
      <c r="A77" s="424"/>
      <c r="B77" s="427" t="s">
        <v>90</v>
      </c>
      <c r="C77" s="440"/>
      <c r="D77" s="440"/>
      <c r="E77" s="440"/>
      <c r="F77" s="436">
        <f>G12</f>
        <v>0</v>
      </c>
      <c r="G77" s="440"/>
    </row>
    <row r="78" spans="1:7">
      <c r="A78" s="424"/>
      <c r="B78" s="427" t="s">
        <v>152</v>
      </c>
      <c r="C78" s="440"/>
      <c r="D78" s="440"/>
      <c r="E78" s="440"/>
      <c r="F78" s="434">
        <f>F76+F77</f>
        <v>0</v>
      </c>
      <c r="G78" s="440"/>
    </row>
    <row r="79" spans="1:7">
      <c r="A79" s="424"/>
      <c r="B79" s="421"/>
      <c r="C79" s="440"/>
      <c r="D79" s="440"/>
      <c r="E79" s="440"/>
      <c r="F79" s="434"/>
      <c r="G79" s="440"/>
    </row>
    <row r="80" spans="1:7">
      <c r="A80" s="424"/>
      <c r="B80" s="427" t="s">
        <v>92</v>
      </c>
      <c r="C80" s="440"/>
      <c r="D80" s="440"/>
      <c r="E80" s="440"/>
      <c r="F80" s="434"/>
      <c r="G80" s="440"/>
    </row>
    <row r="81" spans="1:7">
      <c r="A81" s="424"/>
      <c r="B81" s="427" t="s">
        <v>93</v>
      </c>
      <c r="C81" s="440"/>
      <c r="D81" s="440"/>
      <c r="E81" s="440"/>
      <c r="F81" s="434"/>
      <c r="G81" s="440"/>
    </row>
    <row r="82" spans="1:7">
      <c r="A82" s="424"/>
      <c r="B82" s="427" t="s">
        <v>153</v>
      </c>
      <c r="C82" s="440"/>
      <c r="D82" s="440"/>
      <c r="E82" s="440"/>
      <c r="F82" s="434">
        <f>G17</f>
        <v>0</v>
      </c>
      <c r="G82" s="440"/>
    </row>
    <row r="83" spans="1:7">
      <c r="A83" s="424"/>
      <c r="B83" s="427" t="s">
        <v>154</v>
      </c>
      <c r="C83" s="440"/>
      <c r="D83" s="440"/>
      <c r="E83" s="440"/>
      <c r="F83" s="434">
        <f>G18</f>
        <v>0</v>
      </c>
      <c r="G83" s="440"/>
    </row>
    <row r="84" spans="1:7">
      <c r="A84" s="424"/>
      <c r="B84" s="427" t="s">
        <v>155</v>
      </c>
      <c r="C84" s="440"/>
      <c r="D84" s="440"/>
      <c r="E84" s="440"/>
      <c r="F84" s="434">
        <f>G19</f>
        <v>0</v>
      </c>
      <c r="G84" s="440"/>
    </row>
    <row r="85" spans="1:7">
      <c r="A85" s="424"/>
      <c r="B85" s="427" t="s">
        <v>156</v>
      </c>
      <c r="C85" s="440"/>
      <c r="D85" s="440"/>
      <c r="E85" s="440"/>
      <c r="F85" s="436">
        <f>G20</f>
        <v>0</v>
      </c>
      <c r="G85" s="440"/>
    </row>
    <row r="86" spans="1:7">
      <c r="A86" s="424"/>
      <c r="B86" s="427" t="s">
        <v>157</v>
      </c>
      <c r="C86" s="440"/>
      <c r="D86" s="440"/>
      <c r="E86" s="440"/>
      <c r="F86" s="434">
        <f>SUM(F82:F85)</f>
        <v>0</v>
      </c>
      <c r="G86" s="440"/>
    </row>
    <row r="87" spans="1:7">
      <c r="A87" s="424"/>
      <c r="B87" s="421"/>
      <c r="C87" s="440"/>
      <c r="D87" s="440"/>
      <c r="E87" s="440"/>
      <c r="F87" s="434"/>
      <c r="G87" s="440"/>
    </row>
    <row r="88" spans="1:7">
      <c r="A88" s="424"/>
      <c r="B88" s="427" t="s">
        <v>98</v>
      </c>
      <c r="C88" s="440"/>
      <c r="D88" s="440"/>
      <c r="E88" s="440"/>
      <c r="F88" s="434"/>
      <c r="G88" s="440"/>
    </row>
    <row r="89" spans="1:7">
      <c r="A89" s="424"/>
      <c r="B89" s="427" t="s">
        <v>153</v>
      </c>
      <c r="C89" s="440"/>
      <c r="D89" s="440"/>
      <c r="E89" s="440"/>
      <c r="F89" s="434">
        <f>G24</f>
        <v>0</v>
      </c>
      <c r="G89" s="440"/>
    </row>
    <row r="90" spans="1:7">
      <c r="A90" s="424"/>
      <c r="B90" s="427" t="s">
        <v>158</v>
      </c>
      <c r="C90" s="440"/>
      <c r="D90" s="440"/>
      <c r="E90" s="440"/>
      <c r="F90" s="434">
        <f>G25</f>
        <v>0</v>
      </c>
      <c r="G90" s="440"/>
    </row>
    <row r="91" spans="1:7">
      <c r="A91" s="421"/>
      <c r="B91" s="427" t="s">
        <v>156</v>
      </c>
      <c r="C91" s="440"/>
      <c r="D91" s="440"/>
      <c r="E91" s="440"/>
      <c r="F91" s="434"/>
      <c r="G91" s="440"/>
    </row>
    <row r="92" spans="1:7">
      <c r="A92" s="421"/>
      <c r="B92" s="427" t="s">
        <v>159</v>
      </c>
      <c r="C92" s="440"/>
      <c r="D92" s="440"/>
      <c r="E92" s="440"/>
      <c r="F92" s="433">
        <f>SUM(F89:F91)</f>
        <v>0</v>
      </c>
      <c r="G92" s="440"/>
    </row>
    <row r="93" spans="1:7">
      <c r="A93" s="421"/>
      <c r="B93" s="421"/>
      <c r="C93" s="440"/>
      <c r="D93" s="440"/>
      <c r="E93" s="440"/>
      <c r="F93" s="434"/>
      <c r="G93" s="440"/>
    </row>
    <row r="94" spans="1:7">
      <c r="A94" s="421"/>
      <c r="B94" s="427" t="s">
        <v>101</v>
      </c>
      <c r="C94" s="440"/>
      <c r="D94" s="440"/>
      <c r="E94" s="440"/>
      <c r="F94" s="434">
        <f>G29</f>
        <v>0</v>
      </c>
      <c r="G94" s="440"/>
    </row>
    <row r="95" spans="1:7">
      <c r="A95" s="421"/>
      <c r="B95" s="427" t="s">
        <v>102</v>
      </c>
      <c r="C95" s="440"/>
      <c r="D95" s="440"/>
      <c r="E95" s="440"/>
      <c r="F95" s="434">
        <f>G30</f>
        <v>0</v>
      </c>
      <c r="G95" s="440"/>
    </row>
    <row r="96" spans="1:7">
      <c r="A96" s="421"/>
      <c r="B96" s="427" t="s">
        <v>160</v>
      </c>
      <c r="C96" s="440"/>
      <c r="D96" s="440"/>
      <c r="E96" s="440"/>
      <c r="F96" s="434">
        <f>G31</f>
        <v>0</v>
      </c>
      <c r="G96" s="440"/>
    </row>
    <row r="97" spans="1:7">
      <c r="A97" s="421"/>
      <c r="B97" s="421"/>
      <c r="C97" s="440"/>
      <c r="D97" s="440"/>
      <c r="E97" s="440"/>
      <c r="F97" s="434"/>
      <c r="G97" s="440"/>
    </row>
    <row r="98" spans="1:7">
      <c r="A98" s="421"/>
      <c r="B98" s="427" t="s">
        <v>104</v>
      </c>
      <c r="C98" s="440"/>
      <c r="D98" s="440"/>
      <c r="E98" s="440"/>
      <c r="F98" s="434"/>
      <c r="G98" s="440"/>
    </row>
    <row r="99" spans="1:7">
      <c r="A99" s="421"/>
      <c r="B99" s="427" t="s">
        <v>153</v>
      </c>
      <c r="C99" s="440"/>
      <c r="D99" s="440"/>
      <c r="E99" s="440"/>
      <c r="F99" s="434">
        <f>G34</f>
        <v>0</v>
      </c>
      <c r="G99" s="440"/>
    </row>
    <row r="100" spans="1:7">
      <c r="A100" s="421"/>
      <c r="B100" s="427" t="s">
        <v>158</v>
      </c>
      <c r="C100" s="440"/>
      <c r="D100" s="440"/>
      <c r="E100" s="440"/>
      <c r="F100" s="434">
        <f>G35</f>
        <v>0</v>
      </c>
      <c r="G100" s="440"/>
    </row>
    <row r="101" spans="1:7">
      <c r="A101" s="421"/>
      <c r="B101" s="427" t="s">
        <v>156</v>
      </c>
      <c r="C101" s="440"/>
      <c r="D101" s="440"/>
      <c r="E101" s="440"/>
      <c r="F101" s="436">
        <f>G36</f>
        <v>0</v>
      </c>
      <c r="G101" s="440"/>
    </row>
    <row r="102" spans="1:7">
      <c r="A102" s="421"/>
      <c r="B102" s="427" t="s">
        <v>161</v>
      </c>
      <c r="C102" s="440"/>
      <c r="D102" s="440"/>
      <c r="E102" s="440"/>
      <c r="F102" s="434">
        <f>F99+F100+F101</f>
        <v>0</v>
      </c>
      <c r="G102" s="440"/>
    </row>
    <row r="103" spans="1:7">
      <c r="A103" s="421"/>
      <c r="B103" s="440"/>
      <c r="C103" s="440"/>
      <c r="D103" s="440"/>
      <c r="E103" s="440"/>
      <c r="F103" s="434"/>
      <c r="G103" s="440"/>
    </row>
    <row r="104" spans="1:7">
      <c r="A104" s="421"/>
      <c r="B104" s="440" t="s">
        <v>106</v>
      </c>
      <c r="C104" s="440"/>
      <c r="D104" s="440"/>
      <c r="E104" s="440"/>
      <c r="F104" s="435">
        <f>F86+F92+F94+F95+F96+F102</f>
        <v>0</v>
      </c>
      <c r="G104" s="440"/>
    </row>
    <row r="105" spans="1:7">
      <c r="A105" s="421"/>
      <c r="B105" s="440"/>
      <c r="C105" s="440"/>
      <c r="D105" s="440"/>
      <c r="E105" s="440"/>
      <c r="F105" s="434"/>
      <c r="G105" s="440"/>
    </row>
    <row r="106" spans="1:7">
      <c r="A106" s="421"/>
      <c r="B106" s="440" t="s">
        <v>227</v>
      </c>
      <c r="C106" s="440"/>
      <c r="D106" s="440"/>
      <c r="E106" s="440"/>
      <c r="F106" s="436">
        <f>F78-F104</f>
        <v>0</v>
      </c>
      <c r="G106" s="440"/>
    </row>
    <row r="107" spans="1:7">
      <c r="A107" s="421"/>
      <c r="B107" s="440"/>
      <c r="C107" s="440"/>
      <c r="D107" s="440"/>
      <c r="E107" s="440"/>
      <c r="F107" s="434"/>
      <c r="G107" s="440"/>
    </row>
    <row r="108" spans="1:7">
      <c r="A108" s="421"/>
      <c r="B108" s="440" t="s">
        <v>228</v>
      </c>
      <c r="C108" s="440"/>
      <c r="D108" s="440"/>
      <c r="E108" s="441"/>
      <c r="F108" s="434"/>
      <c r="G108" s="440"/>
    </row>
    <row r="109" spans="1:7" ht="13.5" thickBot="1">
      <c r="A109" s="421"/>
      <c r="B109" s="451" t="s">
        <v>229</v>
      </c>
      <c r="C109" s="452">
        <f>Inputs!$D$4</f>
        <v>1.2215999999999999E-2</v>
      </c>
      <c r="D109" s="440"/>
      <c r="E109" s="441"/>
      <c r="F109" s="439">
        <f>ROUND(F106*C109,0)</f>
        <v>0</v>
      </c>
      <c r="G109" s="440"/>
    </row>
    <row r="110" spans="1:7" ht="13.5" thickTop="1">
      <c r="A110" s="421"/>
      <c r="B110" s="440"/>
      <c r="C110" s="440"/>
      <c r="D110" s="440"/>
      <c r="E110" s="441"/>
      <c r="F110" s="442"/>
      <c r="G110" s="440"/>
    </row>
  </sheetData>
  <phoneticPr fontId="0" type="noConversion"/>
  <pageMargins left="1" right="1" top="0.5" bottom="0.25" header="0.5" footer="0.5"/>
  <pageSetup scale="89" orientation="portrait" r:id="rId1"/>
  <headerFooter alignWithMargins="0"/>
  <rowBreaks count="1" manualBreakCount="1">
    <brk id="64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65"/>
  <dimension ref="A1:H110"/>
  <sheetViews>
    <sheetView zoomScaleNormal="100" workbookViewId="0">
      <selection activeCell="F2" sqref="F2"/>
    </sheetView>
  </sheetViews>
  <sheetFormatPr defaultRowHeight="12.75"/>
  <cols>
    <col min="1" max="1" width="5.5703125" style="47" customWidth="1"/>
    <col min="2" max="2" width="26.140625" style="44" customWidth="1"/>
    <col min="3" max="3" width="12.42578125" style="44" customWidth="1"/>
    <col min="4" max="4" width="6.7109375" style="44" customWidth="1"/>
    <col min="5" max="8" width="12.42578125" style="44" customWidth="1"/>
  </cols>
  <sheetData>
    <row r="1" spans="1:8">
      <c r="A1" s="42" t="str">
        <f>Inputs!$D$6</f>
        <v>AVISTA UTILITIES</v>
      </c>
      <c r="B1" s="43"/>
      <c r="C1" s="42"/>
    </row>
    <row r="2" spans="1:8">
      <c r="A2" s="42" t="s">
        <v>142</v>
      </c>
      <c r="B2" s="43"/>
      <c r="C2" s="42"/>
      <c r="E2" s="42"/>
      <c r="F2" s="456" t="s">
        <v>299</v>
      </c>
      <c r="G2" s="42"/>
    </row>
    <row r="3" spans="1:8">
      <c r="A3" s="43" t="str">
        <f>WAElec09_08!$A$4</f>
        <v>TWELVE MONTHS ENDED SEPTEMBER 30, 2008</v>
      </c>
      <c r="B3" s="43"/>
      <c r="C3" s="42"/>
      <c r="E3" s="42"/>
      <c r="F3" s="47" t="s">
        <v>577</v>
      </c>
      <c r="G3" s="42"/>
    </row>
    <row r="4" spans="1:8">
      <c r="A4" s="42" t="s">
        <v>1</v>
      </c>
      <c r="B4" s="43"/>
      <c r="C4" s="42"/>
      <c r="E4" s="45"/>
      <c r="F4" s="670" t="s">
        <v>145</v>
      </c>
      <c r="G4" s="46"/>
    </row>
    <row r="5" spans="1:8">
      <c r="A5" s="47" t="s">
        <v>14</v>
      </c>
    </row>
    <row r="6" spans="1:8">
      <c r="A6" s="47" t="s">
        <v>146</v>
      </c>
      <c r="B6" s="48" t="s">
        <v>36</v>
      </c>
      <c r="C6" s="48"/>
      <c r="D6" s="47"/>
      <c r="E6" s="48" t="s">
        <v>147</v>
      </c>
      <c r="F6" s="48" t="s">
        <v>148</v>
      </c>
      <c r="G6" s="48" t="s">
        <v>128</v>
      </c>
      <c r="H6" s="49" t="s">
        <v>149</v>
      </c>
    </row>
    <row r="7" spans="1:8">
      <c r="B7" s="50" t="s">
        <v>85</v>
      </c>
    </row>
    <row r="8" spans="1:8">
      <c r="A8" s="51">
        <v>1</v>
      </c>
      <c r="B8" s="52" t="s">
        <v>86</v>
      </c>
      <c r="C8" s="53"/>
      <c r="D8" s="53"/>
      <c r="E8" s="54">
        <f>F8+G8</f>
        <v>0</v>
      </c>
      <c r="F8" s="54">
        <v>0</v>
      </c>
      <c r="G8" s="54">
        <v>0</v>
      </c>
      <c r="H8" s="53" t="str">
        <f t="shared" ref="H8:H13" si="0">IF(E8=F8+G8," ","ERROR")</f>
        <v xml:space="preserve"> </v>
      </c>
    </row>
    <row r="9" spans="1:8">
      <c r="A9" s="47">
        <v>2</v>
      </c>
      <c r="B9" s="50" t="s">
        <v>87</v>
      </c>
      <c r="E9" s="55"/>
      <c r="F9" s="55"/>
      <c r="G9" s="55"/>
      <c r="H9" s="53" t="str">
        <f t="shared" si="0"/>
        <v xml:space="preserve"> </v>
      </c>
    </row>
    <row r="10" spans="1:8">
      <c r="A10" s="47">
        <v>3</v>
      </c>
      <c r="B10" s="50" t="s">
        <v>150</v>
      </c>
      <c r="E10" s="55"/>
      <c r="F10" s="55"/>
      <c r="G10" s="55"/>
      <c r="H10" s="53" t="str">
        <f t="shared" si="0"/>
        <v xml:space="preserve"> </v>
      </c>
    </row>
    <row r="11" spans="1:8">
      <c r="A11" s="47">
        <v>4</v>
      </c>
      <c r="B11" s="50" t="s">
        <v>151</v>
      </c>
      <c r="E11" s="56">
        <f>E8+E9+E10</f>
        <v>0</v>
      </c>
      <c r="F11" s="56">
        <f>F8+F9+F10</f>
        <v>0</v>
      </c>
      <c r="G11" s="56">
        <f>G8+G9+G10</f>
        <v>0</v>
      </c>
      <c r="H11" s="53" t="str">
        <f t="shared" si="0"/>
        <v xml:space="preserve"> </v>
      </c>
    </row>
    <row r="12" spans="1:8">
      <c r="A12" s="47">
        <v>5</v>
      </c>
      <c r="B12" s="50" t="s">
        <v>90</v>
      </c>
      <c r="E12" s="55"/>
      <c r="F12" s="55"/>
      <c r="G12" s="55"/>
      <c r="H12" s="53" t="str">
        <f t="shared" si="0"/>
        <v xml:space="preserve"> </v>
      </c>
    </row>
    <row r="13" spans="1:8">
      <c r="A13" s="47">
        <v>6</v>
      </c>
      <c r="B13" s="50" t="s">
        <v>152</v>
      </c>
      <c r="E13" s="56">
        <f>E11+E12</f>
        <v>0</v>
      </c>
      <c r="F13" s="56">
        <f>F11+F12</f>
        <v>0</v>
      </c>
      <c r="G13" s="56">
        <f>G11+G12</f>
        <v>0</v>
      </c>
      <c r="H13" s="53" t="str">
        <f t="shared" si="0"/>
        <v xml:space="preserve"> </v>
      </c>
    </row>
    <row r="14" spans="1:8">
      <c r="E14" s="58"/>
      <c r="F14" s="58"/>
      <c r="G14" s="58"/>
      <c r="H14" s="53"/>
    </row>
    <row r="15" spans="1:8">
      <c r="B15" s="50" t="s">
        <v>92</v>
      </c>
      <c r="E15" s="58"/>
      <c r="F15" s="58"/>
      <c r="G15" s="58"/>
      <c r="H15" s="53"/>
    </row>
    <row r="16" spans="1:8">
      <c r="B16" s="50" t="s">
        <v>93</v>
      </c>
      <c r="E16" s="58"/>
      <c r="F16" s="58"/>
      <c r="G16" s="58"/>
      <c r="H16" s="53"/>
    </row>
    <row r="17" spans="1:8">
      <c r="A17" s="47">
        <v>7</v>
      </c>
      <c r="B17" s="50" t="s">
        <v>153</v>
      </c>
      <c r="E17" s="55">
        <f>F17+G17</f>
        <v>0</v>
      </c>
      <c r="F17" s="55">
        <v>0</v>
      </c>
      <c r="G17" s="55">
        <v>0</v>
      </c>
      <c r="H17" s="53" t="str">
        <f>IF(E17=F17+G17," ","ERROR")</f>
        <v xml:space="preserve"> </v>
      </c>
    </row>
    <row r="18" spans="1:8">
      <c r="A18" s="47">
        <v>8</v>
      </c>
      <c r="B18" s="50" t="s">
        <v>154</v>
      </c>
      <c r="E18" s="55"/>
      <c r="F18" s="55"/>
      <c r="G18" s="55"/>
      <c r="H18" s="53" t="str">
        <f>IF(E18=F18+G18," ","ERROR")</f>
        <v xml:space="preserve"> </v>
      </c>
    </row>
    <row r="19" spans="1:8">
      <c r="A19" s="47">
        <v>9</v>
      </c>
      <c r="B19" s="50" t="s">
        <v>155</v>
      </c>
      <c r="E19" s="55">
        <f>F19+G19</f>
        <v>3516</v>
      </c>
      <c r="F19" s="55">
        <v>3516</v>
      </c>
      <c r="G19" s="55">
        <v>0</v>
      </c>
      <c r="H19" s="53" t="str">
        <f>IF(E19=F19+G19," ","ERROR")</f>
        <v xml:space="preserve"> </v>
      </c>
    </row>
    <row r="20" spans="1:8">
      <c r="A20" s="47">
        <v>10</v>
      </c>
      <c r="B20" s="50" t="s">
        <v>156</v>
      </c>
      <c r="E20" s="55">
        <f>F20+G20</f>
        <v>0</v>
      </c>
      <c r="F20" s="55"/>
      <c r="G20" s="55"/>
      <c r="H20" s="53" t="str">
        <f>IF(E20=F20+G20," ","ERROR")</f>
        <v xml:space="preserve"> </v>
      </c>
    </row>
    <row r="21" spans="1:8">
      <c r="A21" s="47">
        <v>11</v>
      </c>
      <c r="B21" s="50" t="s">
        <v>157</v>
      </c>
      <c r="E21" s="56">
        <f>E17+E18+E19+E20</f>
        <v>3516</v>
      </c>
      <c r="F21" s="56">
        <f>F17+F18+F19+F20</f>
        <v>3516</v>
      </c>
      <c r="G21" s="56">
        <f>G17+G18+G19+G20</f>
        <v>0</v>
      </c>
      <c r="H21" s="53" t="str">
        <f>IF(E21=F21+G21," ","ERROR")</f>
        <v xml:space="preserve"> </v>
      </c>
    </row>
    <row r="22" spans="1:8">
      <c r="E22" s="58"/>
      <c r="F22" s="58"/>
      <c r="G22" s="58"/>
      <c r="H22" s="53"/>
    </row>
    <row r="23" spans="1:8">
      <c r="B23" s="50" t="s">
        <v>98</v>
      </c>
      <c r="E23" s="58"/>
      <c r="F23" s="58"/>
      <c r="G23" s="58"/>
      <c r="H23" s="53"/>
    </row>
    <row r="24" spans="1:8">
      <c r="A24" s="47">
        <v>12</v>
      </c>
      <c r="B24" s="50" t="s">
        <v>153</v>
      </c>
      <c r="E24" s="55">
        <f>F24+G24</f>
        <v>0</v>
      </c>
      <c r="F24" s="55">
        <v>0</v>
      </c>
      <c r="G24" s="55">
        <v>0</v>
      </c>
      <c r="H24" s="53" t="str">
        <f>IF(E24=F24+G24," ","ERROR")</f>
        <v xml:space="preserve"> </v>
      </c>
    </row>
    <row r="25" spans="1:8">
      <c r="A25" s="47">
        <v>13</v>
      </c>
      <c r="B25" s="50" t="s">
        <v>158</v>
      </c>
      <c r="E25" s="55"/>
      <c r="F25" s="55"/>
      <c r="G25" s="55"/>
      <c r="H25" s="53" t="str">
        <f>IF(E25=F25+G25," ","ERROR")</f>
        <v xml:space="preserve"> </v>
      </c>
    </row>
    <row r="26" spans="1:8">
      <c r="A26" s="47">
        <v>14</v>
      </c>
      <c r="B26" s="50" t="s">
        <v>156</v>
      </c>
      <c r="E26" s="55">
        <f>F26+G26</f>
        <v>0</v>
      </c>
      <c r="F26" s="55">
        <v>0</v>
      </c>
      <c r="G26" s="916">
        <f>F109</f>
        <v>0</v>
      </c>
      <c r="H26" s="53" t="str">
        <f>IF(E26=F26+G26," ","ERROR")</f>
        <v xml:space="preserve"> </v>
      </c>
    </row>
    <row r="27" spans="1:8">
      <c r="A27" s="47">
        <v>15</v>
      </c>
      <c r="B27" s="50" t="s">
        <v>159</v>
      </c>
      <c r="E27" s="56">
        <f>E24+E25+E26</f>
        <v>0</v>
      </c>
      <c r="F27" s="56">
        <f>F24+F25+F26</f>
        <v>0</v>
      </c>
      <c r="G27" s="56">
        <f>G24+G25+G26</f>
        <v>0</v>
      </c>
      <c r="H27" s="53" t="str">
        <f>IF(E27=F27+G27," ","ERROR")</f>
        <v xml:space="preserve"> </v>
      </c>
    </row>
    <row r="28" spans="1:8">
      <c r="E28" s="58"/>
      <c r="F28" s="58"/>
      <c r="G28" s="58"/>
      <c r="H28" s="53"/>
    </row>
    <row r="29" spans="1:8">
      <c r="A29" s="47">
        <v>16</v>
      </c>
      <c r="B29" s="50" t="s">
        <v>101</v>
      </c>
      <c r="E29" s="55">
        <f>SUM(F29:G29)</f>
        <v>0</v>
      </c>
      <c r="F29" s="55">
        <v>0</v>
      </c>
      <c r="G29" s="55">
        <v>0</v>
      </c>
      <c r="H29" s="53" t="str">
        <f>IF(E29=F29+G29," ","ERROR")</f>
        <v xml:space="preserve"> </v>
      </c>
    </row>
    <row r="30" spans="1:8">
      <c r="A30" s="47">
        <v>17</v>
      </c>
      <c r="B30" s="50" t="s">
        <v>102</v>
      </c>
      <c r="E30" s="55">
        <f>SUM(F30:G30)</f>
        <v>0</v>
      </c>
      <c r="F30" s="55">
        <v>0</v>
      </c>
      <c r="G30" s="55">
        <v>0</v>
      </c>
      <c r="H30" s="53" t="str">
        <f>IF(E30=F30+G30," ","ERROR")</f>
        <v xml:space="preserve"> </v>
      </c>
    </row>
    <row r="31" spans="1:8">
      <c r="A31" s="47">
        <v>18</v>
      </c>
      <c r="B31" s="50" t="s">
        <v>160</v>
      </c>
      <c r="E31" s="55">
        <f>SUM(F31:G31)</f>
        <v>0</v>
      </c>
      <c r="F31" s="55">
        <v>0</v>
      </c>
      <c r="G31" s="55">
        <v>0</v>
      </c>
      <c r="H31" s="53" t="str">
        <f>IF(E31=F31+G31," ","ERROR")</f>
        <v xml:space="preserve"> </v>
      </c>
    </row>
    <row r="32" spans="1:8">
      <c r="E32" s="58"/>
      <c r="F32" s="58"/>
      <c r="G32" s="58"/>
      <c r="H32" s="53"/>
    </row>
    <row r="33" spans="1:8">
      <c r="B33" s="50" t="s">
        <v>104</v>
      </c>
      <c r="E33" s="58"/>
      <c r="F33" s="58"/>
      <c r="G33" s="58"/>
      <c r="H33" s="53"/>
    </row>
    <row r="34" spans="1:8">
      <c r="A34" s="47">
        <v>19</v>
      </c>
      <c r="B34" s="50" t="s">
        <v>153</v>
      </c>
      <c r="E34" s="55">
        <f>SUM(F34:G34)</f>
        <v>0</v>
      </c>
      <c r="F34" s="55">
        <v>0</v>
      </c>
      <c r="G34" s="55">
        <v>0</v>
      </c>
      <c r="H34" s="53" t="str">
        <f>IF(E34=F34+G34," ","ERROR")</f>
        <v xml:space="preserve"> </v>
      </c>
    </row>
    <row r="35" spans="1:8">
      <c r="A35" s="47">
        <v>20</v>
      </c>
      <c r="B35" s="50" t="s">
        <v>158</v>
      </c>
      <c r="E35" s="55"/>
      <c r="F35" s="55"/>
      <c r="G35" s="55"/>
      <c r="H35" s="53" t="str">
        <f>IF(E35=F35+G35," ","ERROR")</f>
        <v xml:space="preserve"> </v>
      </c>
    </row>
    <row r="36" spans="1:8">
      <c r="A36" s="47">
        <v>21</v>
      </c>
      <c r="B36" s="50" t="s">
        <v>156</v>
      </c>
      <c r="E36" s="55"/>
      <c r="F36" s="55"/>
      <c r="G36" s="55"/>
      <c r="H36" s="53" t="str">
        <f>IF(E36=F36+G36," ","ERROR")</f>
        <v xml:space="preserve"> </v>
      </c>
    </row>
    <row r="37" spans="1:8">
      <c r="A37" s="47">
        <v>22</v>
      </c>
      <c r="B37" s="50" t="s">
        <v>161</v>
      </c>
      <c r="E37" s="60">
        <f>E34+E35+E36</f>
        <v>0</v>
      </c>
      <c r="F37" s="60">
        <f>F34+F35+F36</f>
        <v>0</v>
      </c>
      <c r="G37" s="60">
        <f>G34+G35+G36</f>
        <v>0</v>
      </c>
      <c r="H37" s="53" t="str">
        <f>IF(E37=F37+G37," ","ERROR")</f>
        <v xml:space="preserve"> </v>
      </c>
    </row>
    <row r="38" spans="1:8">
      <c r="A38" s="47">
        <v>23</v>
      </c>
      <c r="B38" s="50" t="s">
        <v>106</v>
      </c>
      <c r="E38" s="61">
        <f>E21+E27+E29+E30+E31+E37</f>
        <v>3516</v>
      </c>
      <c r="F38" s="61">
        <f>F21+F27+F29+F30+F31+F37</f>
        <v>3516</v>
      </c>
      <c r="G38" s="61">
        <f>G21+G27+G29+G30+G31+G37</f>
        <v>0</v>
      </c>
      <c r="H38" s="53" t="str">
        <f>IF(E38=F38+G38," ","ERROR")</f>
        <v xml:space="preserve"> </v>
      </c>
    </row>
    <row r="39" spans="1:8">
      <c r="E39" s="58"/>
      <c r="F39" s="58"/>
      <c r="G39" s="58"/>
      <c r="H39" s="53"/>
    </row>
    <row r="40" spans="1:8">
      <c r="A40" s="47">
        <v>24</v>
      </c>
      <c r="B40" s="50" t="s">
        <v>162</v>
      </c>
      <c r="E40" s="58">
        <f>E13-E38</f>
        <v>-3516</v>
      </c>
      <c r="F40" s="58">
        <f>F13-F38</f>
        <v>-3516</v>
      </c>
      <c r="G40" s="58">
        <f>G13-G38</f>
        <v>0</v>
      </c>
      <c r="H40" s="53" t="str">
        <f>IF(E40=F40+G40," ","ERROR")</f>
        <v xml:space="preserve"> </v>
      </c>
    </row>
    <row r="41" spans="1:8">
      <c r="B41" s="50"/>
      <c r="E41" s="58"/>
      <c r="F41" s="58"/>
      <c r="G41" s="58"/>
      <c r="H41" s="53"/>
    </row>
    <row r="42" spans="1:8">
      <c r="B42" s="50" t="s">
        <v>163</v>
      </c>
      <c r="E42" s="58"/>
      <c r="F42" s="58"/>
      <c r="G42" s="58"/>
      <c r="H42" s="53"/>
    </row>
    <row r="43" spans="1:8">
      <c r="A43" s="47">
        <v>25</v>
      </c>
      <c r="B43" s="50" t="s">
        <v>164</v>
      </c>
      <c r="D43" s="62">
        <v>0.35</v>
      </c>
      <c r="E43" s="55">
        <f>F43+G43</f>
        <v>-1231</v>
      </c>
      <c r="F43" s="55">
        <f>ROUND(F40*D43,0)</f>
        <v>-1231</v>
      </c>
      <c r="G43" s="55">
        <f>ROUND(G40*D43,0)</f>
        <v>0</v>
      </c>
      <c r="H43" s="53" t="str">
        <f>IF(E43=F43+G43," ","ERROR")</f>
        <v xml:space="preserve"> </v>
      </c>
    </row>
    <row r="44" spans="1:8">
      <c r="A44" s="47">
        <v>26</v>
      </c>
      <c r="B44" s="50" t="s">
        <v>165</v>
      </c>
      <c r="E44" s="55">
        <f>F44+G44</f>
        <v>0</v>
      </c>
      <c r="F44" s="55"/>
      <c r="G44" s="55"/>
      <c r="H44" s="53" t="str">
        <f>IF(E44=F44+G44," ","ERROR")</f>
        <v xml:space="preserve"> </v>
      </c>
    </row>
    <row r="45" spans="1:8">
      <c r="A45"/>
      <c r="B45"/>
      <c r="C45"/>
      <c r="D45"/>
      <c r="E45" s="913"/>
      <c r="F45" s="913"/>
      <c r="G45" s="913"/>
      <c r="H45" s="53" t="str">
        <f>IF(E45=F45+G45," ","ERROR")</f>
        <v xml:space="preserve"> </v>
      </c>
    </row>
    <row r="46" spans="1:8">
      <c r="A46" s="259"/>
      <c r="B46" s="262"/>
      <c r="C46" s="256"/>
      <c r="D46" s="256"/>
      <c r="E46" s="269"/>
      <c r="F46" s="269"/>
      <c r="G46" s="269"/>
      <c r="H46" s="53"/>
    </row>
    <row r="47" spans="1:8">
      <c r="A47" s="263">
        <v>27</v>
      </c>
      <c r="B47" s="264" t="s">
        <v>113</v>
      </c>
      <c r="C47" s="265"/>
      <c r="D47" s="265"/>
      <c r="E47" s="273">
        <f>E40-SUM(E43:E44)</f>
        <v>-2285</v>
      </c>
      <c r="F47" s="273">
        <f>F40-SUM(F43:F44)</f>
        <v>-2285</v>
      </c>
      <c r="G47" s="273">
        <f>G40-SUM(G43:G44)</f>
        <v>0</v>
      </c>
      <c r="H47" s="53" t="str">
        <f>IF(E47=F47+G47," ","ERROR")</f>
        <v xml:space="preserve"> </v>
      </c>
    </row>
    <row r="48" spans="1:8">
      <c r="A48" s="259"/>
      <c r="H48" s="53"/>
    </row>
    <row r="49" spans="1:8">
      <c r="A49" s="259"/>
      <c r="B49" s="50" t="s">
        <v>114</v>
      </c>
      <c r="H49" s="53"/>
    </row>
    <row r="50" spans="1:8">
      <c r="A50" s="259"/>
      <c r="B50" s="50" t="s">
        <v>115</v>
      </c>
      <c r="H50" s="53"/>
    </row>
    <row r="51" spans="1:8">
      <c r="A51" s="263">
        <v>28</v>
      </c>
      <c r="B51" s="52" t="s">
        <v>167</v>
      </c>
      <c r="C51" s="53"/>
      <c r="D51" s="53"/>
      <c r="E51" s="54"/>
      <c r="F51" s="54"/>
      <c r="G51" s="54"/>
      <c r="H51" s="53" t="str">
        <f t="shared" ref="H51:H61" si="1">IF(E51=F51+G51," ","ERROR")</f>
        <v xml:space="preserve"> </v>
      </c>
    </row>
    <row r="52" spans="1:8">
      <c r="A52" s="259">
        <v>29</v>
      </c>
      <c r="B52" s="50" t="s">
        <v>168</v>
      </c>
      <c r="E52" s="55">
        <f>F52+G52</f>
        <v>4398</v>
      </c>
      <c r="F52" s="55">
        <v>4398</v>
      </c>
      <c r="G52" s="55">
        <v>0</v>
      </c>
      <c r="H52" s="53" t="str">
        <f t="shared" si="1"/>
        <v xml:space="preserve"> </v>
      </c>
    </row>
    <row r="53" spans="1:8">
      <c r="A53" s="259">
        <v>30</v>
      </c>
      <c r="B53" s="50" t="s">
        <v>169</v>
      </c>
      <c r="E53" s="55"/>
      <c r="F53" s="55"/>
      <c r="G53" s="55"/>
      <c r="H53" s="53" t="str">
        <f t="shared" si="1"/>
        <v xml:space="preserve"> </v>
      </c>
    </row>
    <row r="54" spans="1:8">
      <c r="A54" s="259">
        <v>31</v>
      </c>
      <c r="B54" s="50" t="s">
        <v>170</v>
      </c>
      <c r="E54" s="55"/>
      <c r="F54" s="55"/>
      <c r="G54" s="55"/>
      <c r="H54" s="53" t="str">
        <f t="shared" si="1"/>
        <v xml:space="preserve"> </v>
      </c>
    </row>
    <row r="55" spans="1:8">
      <c r="A55" s="259">
        <v>32</v>
      </c>
      <c r="B55" s="50" t="s">
        <v>171</v>
      </c>
      <c r="E55" s="59"/>
      <c r="F55" s="59"/>
      <c r="G55" s="59"/>
      <c r="H55" s="53" t="str">
        <f t="shared" si="1"/>
        <v xml:space="preserve"> </v>
      </c>
    </row>
    <row r="56" spans="1:8">
      <c r="A56" s="259">
        <v>33</v>
      </c>
      <c r="B56" s="50" t="s">
        <v>172</v>
      </c>
      <c r="E56" s="58">
        <f>E51+E52+E53+E54+E55</f>
        <v>4398</v>
      </c>
      <c r="F56" s="58">
        <f>F51+F52+F53+F54+F55</f>
        <v>4398</v>
      </c>
      <c r="G56" s="58">
        <f>G51+G52+G53+G54+G55</f>
        <v>0</v>
      </c>
      <c r="H56" s="53" t="str">
        <f t="shared" si="1"/>
        <v xml:space="preserve"> </v>
      </c>
    </row>
    <row r="57" spans="1:8">
      <c r="A57" s="259">
        <v>34</v>
      </c>
      <c r="B57" s="50" t="s">
        <v>121</v>
      </c>
      <c r="E57" s="55">
        <f>F57+G57</f>
        <v>0</v>
      </c>
      <c r="F57" s="55"/>
      <c r="G57" s="55"/>
      <c r="H57" s="53" t="str">
        <f t="shared" si="1"/>
        <v xml:space="preserve"> </v>
      </c>
    </row>
    <row r="58" spans="1:8">
      <c r="A58" s="259">
        <v>35</v>
      </c>
      <c r="B58" s="50" t="s">
        <v>122</v>
      </c>
      <c r="E58" s="59"/>
      <c r="F58" s="59"/>
      <c r="G58" s="59"/>
      <c r="H58" s="53" t="str">
        <f t="shared" si="1"/>
        <v xml:space="preserve"> </v>
      </c>
    </row>
    <row r="59" spans="1:8">
      <c r="A59" s="259">
        <v>36</v>
      </c>
      <c r="B59" s="50" t="s">
        <v>173</v>
      </c>
      <c r="E59" s="58">
        <f>E57+E58</f>
        <v>0</v>
      </c>
      <c r="F59" s="58">
        <f>F57+F58</f>
        <v>0</v>
      </c>
      <c r="G59" s="58">
        <f>G57+G58</f>
        <v>0</v>
      </c>
      <c r="H59" s="53" t="str">
        <f t="shared" si="1"/>
        <v xml:space="preserve"> </v>
      </c>
    </row>
    <row r="60" spans="1:8">
      <c r="A60" s="259">
        <v>37</v>
      </c>
      <c r="B60" s="50" t="s">
        <v>124</v>
      </c>
      <c r="E60" s="55"/>
      <c r="F60" s="55"/>
      <c r="G60" s="55"/>
      <c r="H60" s="53" t="str">
        <f t="shared" si="1"/>
        <v xml:space="preserve"> </v>
      </c>
    </row>
    <row r="61" spans="1:8">
      <c r="A61" s="259">
        <v>38</v>
      </c>
      <c r="B61" s="50" t="s">
        <v>125</v>
      </c>
      <c r="E61" s="59">
        <f>F61+G61</f>
        <v>-1539</v>
      </c>
      <c r="F61" s="59">
        <v>-1539</v>
      </c>
      <c r="G61" s="59">
        <v>0</v>
      </c>
      <c r="H61" s="53" t="str">
        <f t="shared" si="1"/>
        <v xml:space="preserve"> </v>
      </c>
    </row>
    <row r="62" spans="1:8" ht="11.25" customHeight="1">
      <c r="A62" s="259"/>
      <c r="H62" s="53"/>
    </row>
    <row r="63" spans="1:8" ht="13.5" thickBot="1">
      <c r="A63" s="263">
        <v>39</v>
      </c>
      <c r="B63" s="52" t="s">
        <v>126</v>
      </c>
      <c r="C63" s="53"/>
      <c r="D63" s="53"/>
      <c r="E63" s="63">
        <f>E56-E59+E60+E61</f>
        <v>2859</v>
      </c>
      <c r="F63" s="63">
        <f>F56-F59+F60+F61</f>
        <v>2859</v>
      </c>
      <c r="G63" s="63">
        <f>G56-G59+G60+G61</f>
        <v>0</v>
      </c>
      <c r="H63" s="53" t="str">
        <f>IF(E63=F63+G63," ","ERROR")</f>
        <v xml:space="preserve"> </v>
      </c>
    </row>
    <row r="64" spans="1:8" ht="13.5" thickTop="1">
      <c r="A64" s="44"/>
      <c r="B64" s="69"/>
      <c r="C64" s="69"/>
      <c r="D64" s="69"/>
      <c r="E64" s="671"/>
      <c r="F64" s="672"/>
      <c r="G64" s="69"/>
      <c r="H64" s="69"/>
    </row>
    <row r="65" spans="1:7">
      <c r="A65" s="420" t="str">
        <f>Inputs!$D$6</f>
        <v>AVISTA UTILITIES</v>
      </c>
      <c r="B65" s="420"/>
      <c r="C65" s="420"/>
      <c r="D65" s="440"/>
      <c r="E65" s="441"/>
      <c r="F65" s="440"/>
      <c r="G65" s="442"/>
    </row>
    <row r="66" spans="1:7">
      <c r="A66" s="420" t="s">
        <v>225</v>
      </c>
      <c r="B66" s="420"/>
      <c r="C66" s="420"/>
      <c r="D66" s="440"/>
      <c r="E66" s="441"/>
      <c r="F66" s="440"/>
      <c r="G66" s="442"/>
    </row>
    <row r="67" spans="1:7">
      <c r="A67" s="420" t="str">
        <f>A3</f>
        <v>TWELVE MONTHS ENDED SEPTEMBER 30, 2008</v>
      </c>
      <c r="B67" s="420"/>
      <c r="C67" s="420"/>
      <c r="D67" s="440"/>
      <c r="E67" s="441"/>
      <c r="F67" s="443" t="str">
        <f>F2</f>
        <v>PRO FORMA</v>
      </c>
      <c r="G67" s="440"/>
    </row>
    <row r="68" spans="1:7">
      <c r="A68" s="420" t="s">
        <v>226</v>
      </c>
      <c r="B68" s="420"/>
      <c r="C68" s="420"/>
      <c r="D68" s="440"/>
      <c r="E68" s="441"/>
      <c r="F68" s="443" t="str">
        <f>F3</f>
        <v>MONTANA LEASE</v>
      </c>
      <c r="G68" s="440"/>
    </row>
    <row r="69" spans="1:7">
      <c r="A69" s="424"/>
      <c r="B69" s="440"/>
      <c r="C69" s="440"/>
      <c r="D69" s="440"/>
      <c r="E69" s="444"/>
      <c r="F69" s="445" t="str">
        <f>F4</f>
        <v>ELECTRIC</v>
      </c>
      <c r="G69" s="440"/>
    </row>
    <row r="70" spans="1:7">
      <c r="A70" s="424"/>
      <c r="B70" s="440"/>
      <c r="C70" s="440"/>
      <c r="D70" s="440"/>
      <c r="E70" s="441"/>
      <c r="F70" s="443"/>
      <c r="G70" s="447"/>
    </row>
    <row r="71" spans="1:7">
      <c r="A71" s="424"/>
      <c r="B71" s="448" t="s">
        <v>134</v>
      </c>
      <c r="C71" s="449"/>
      <c r="D71" s="440"/>
      <c r="E71" s="441"/>
      <c r="F71" s="445" t="s">
        <v>128</v>
      </c>
      <c r="G71" s="440"/>
    </row>
    <row r="72" spans="1:7">
      <c r="A72" s="424"/>
      <c r="B72" s="427" t="s">
        <v>85</v>
      </c>
      <c r="C72" s="440"/>
      <c r="D72" s="440"/>
      <c r="E72" s="440"/>
      <c r="F72" s="442"/>
      <c r="G72" s="440"/>
    </row>
    <row r="73" spans="1:7">
      <c r="A73" s="424"/>
      <c r="B73" s="429" t="s">
        <v>86</v>
      </c>
      <c r="C73" s="440"/>
      <c r="D73" s="440"/>
      <c r="E73" s="440"/>
      <c r="F73" s="450">
        <f>G8</f>
        <v>0</v>
      </c>
      <c r="G73" s="440"/>
    </row>
    <row r="74" spans="1:7">
      <c r="A74" s="424"/>
      <c r="B74" s="427" t="s">
        <v>87</v>
      </c>
      <c r="C74" s="440"/>
      <c r="D74" s="440"/>
      <c r="E74" s="440"/>
      <c r="F74" s="434">
        <f>G9</f>
        <v>0</v>
      </c>
      <c r="G74" s="440"/>
    </row>
    <row r="75" spans="1:7">
      <c r="A75" s="424"/>
      <c r="B75" s="427" t="s">
        <v>150</v>
      </c>
      <c r="C75" s="440"/>
      <c r="D75" s="440"/>
      <c r="E75" s="440"/>
      <c r="F75" s="436">
        <f>G10</f>
        <v>0</v>
      </c>
      <c r="G75" s="440"/>
    </row>
    <row r="76" spans="1:7">
      <c r="A76" s="424"/>
      <c r="B76" s="427" t="s">
        <v>151</v>
      </c>
      <c r="C76" s="440"/>
      <c r="D76" s="440"/>
      <c r="E76" s="440"/>
      <c r="F76" s="434">
        <f>SUM(F73:F75)</f>
        <v>0</v>
      </c>
      <c r="G76" s="440"/>
    </row>
    <row r="77" spans="1:7">
      <c r="A77" s="424"/>
      <c r="B77" s="427" t="s">
        <v>90</v>
      </c>
      <c r="C77" s="440"/>
      <c r="D77" s="440"/>
      <c r="E77" s="440"/>
      <c r="F77" s="436">
        <f>G12</f>
        <v>0</v>
      </c>
      <c r="G77" s="440"/>
    </row>
    <row r="78" spans="1:7">
      <c r="A78" s="424"/>
      <c r="B78" s="427" t="s">
        <v>152</v>
      </c>
      <c r="C78" s="440"/>
      <c r="D78" s="440"/>
      <c r="E78" s="440"/>
      <c r="F78" s="434">
        <f>F76+F77</f>
        <v>0</v>
      </c>
      <c r="G78" s="440"/>
    </row>
    <row r="79" spans="1:7">
      <c r="A79" s="424"/>
      <c r="B79" s="421"/>
      <c r="C79" s="440"/>
      <c r="D79" s="440"/>
      <c r="E79" s="440"/>
      <c r="F79" s="434"/>
      <c r="G79" s="440"/>
    </row>
    <row r="80" spans="1:7">
      <c r="A80" s="424"/>
      <c r="B80" s="427" t="s">
        <v>92</v>
      </c>
      <c r="C80" s="440"/>
      <c r="D80" s="440"/>
      <c r="E80" s="440"/>
      <c r="F80" s="434"/>
      <c r="G80" s="440"/>
    </row>
    <row r="81" spans="1:7">
      <c r="A81" s="424"/>
      <c r="B81" s="427" t="s">
        <v>93</v>
      </c>
      <c r="C81" s="440"/>
      <c r="D81" s="440"/>
      <c r="E81" s="440"/>
      <c r="F81" s="434"/>
      <c r="G81" s="440"/>
    </row>
    <row r="82" spans="1:7">
      <c r="A82" s="424"/>
      <c r="B82" s="427" t="s">
        <v>153</v>
      </c>
      <c r="C82" s="440"/>
      <c r="D82" s="440"/>
      <c r="E82" s="440"/>
      <c r="F82" s="434">
        <f>G17</f>
        <v>0</v>
      </c>
      <c r="G82" s="440"/>
    </row>
    <row r="83" spans="1:7">
      <c r="A83" s="424"/>
      <c r="B83" s="427" t="s">
        <v>154</v>
      </c>
      <c r="C83" s="440"/>
      <c r="D83" s="440"/>
      <c r="E83" s="440"/>
      <c r="F83" s="434">
        <f>G18</f>
        <v>0</v>
      </c>
      <c r="G83" s="440"/>
    </row>
    <row r="84" spans="1:7">
      <c r="A84" s="424"/>
      <c r="B84" s="427" t="s">
        <v>155</v>
      </c>
      <c r="C84" s="440"/>
      <c r="D84" s="440"/>
      <c r="E84" s="440"/>
      <c r="F84" s="434">
        <f>G19</f>
        <v>0</v>
      </c>
      <c r="G84" s="440"/>
    </row>
    <row r="85" spans="1:7">
      <c r="A85" s="424"/>
      <c r="B85" s="427" t="s">
        <v>156</v>
      </c>
      <c r="C85" s="440"/>
      <c r="D85" s="440"/>
      <c r="E85" s="440"/>
      <c r="F85" s="436">
        <f>G20</f>
        <v>0</v>
      </c>
      <c r="G85" s="440"/>
    </row>
    <row r="86" spans="1:7">
      <c r="A86" s="424"/>
      <c r="B86" s="427" t="s">
        <v>157</v>
      </c>
      <c r="C86" s="440"/>
      <c r="D86" s="440"/>
      <c r="E86" s="440"/>
      <c r="F86" s="434">
        <f>SUM(F82:F85)</f>
        <v>0</v>
      </c>
      <c r="G86" s="440"/>
    </row>
    <row r="87" spans="1:7">
      <c r="A87" s="424"/>
      <c r="B87" s="421"/>
      <c r="C87" s="440"/>
      <c r="D87" s="440"/>
      <c r="E87" s="440"/>
      <c r="F87" s="434"/>
      <c r="G87" s="440"/>
    </row>
    <row r="88" spans="1:7">
      <c r="A88" s="424"/>
      <c r="B88" s="427" t="s">
        <v>98</v>
      </c>
      <c r="C88" s="440"/>
      <c r="D88" s="440"/>
      <c r="E88" s="440"/>
      <c r="F88" s="434"/>
      <c r="G88" s="440"/>
    </row>
    <row r="89" spans="1:7">
      <c r="A89" s="424"/>
      <c r="B89" s="427" t="s">
        <v>153</v>
      </c>
      <c r="C89" s="440"/>
      <c r="D89" s="440"/>
      <c r="E89" s="440"/>
      <c r="F89" s="434">
        <f>G24</f>
        <v>0</v>
      </c>
      <c r="G89" s="440"/>
    </row>
    <row r="90" spans="1:7">
      <c r="A90" s="424"/>
      <c r="B90" s="427" t="s">
        <v>158</v>
      </c>
      <c r="C90" s="440"/>
      <c r="D90" s="440"/>
      <c r="E90" s="440"/>
      <c r="F90" s="434">
        <f>G25</f>
        <v>0</v>
      </c>
      <c r="G90" s="440"/>
    </row>
    <row r="91" spans="1:7">
      <c r="A91" s="421"/>
      <c r="B91" s="427" t="s">
        <v>156</v>
      </c>
      <c r="C91" s="440"/>
      <c r="D91" s="440"/>
      <c r="E91" s="440"/>
      <c r="F91" s="434"/>
      <c r="G91" s="440"/>
    </row>
    <row r="92" spans="1:7">
      <c r="A92" s="421"/>
      <c r="B92" s="427" t="s">
        <v>159</v>
      </c>
      <c r="C92" s="440"/>
      <c r="D92" s="440"/>
      <c r="E92" s="440"/>
      <c r="F92" s="433">
        <f>SUM(F89:F91)</f>
        <v>0</v>
      </c>
      <c r="G92" s="440"/>
    </row>
    <row r="93" spans="1:7">
      <c r="A93" s="421"/>
      <c r="B93" s="421"/>
      <c r="C93" s="440"/>
      <c r="D93" s="440"/>
      <c r="E93" s="440"/>
      <c r="F93" s="434"/>
      <c r="G93" s="440"/>
    </row>
    <row r="94" spans="1:7">
      <c r="A94" s="421"/>
      <c r="B94" s="427" t="s">
        <v>101</v>
      </c>
      <c r="C94" s="440"/>
      <c r="D94" s="440"/>
      <c r="E94" s="440"/>
      <c r="F94" s="434">
        <f>G29</f>
        <v>0</v>
      </c>
      <c r="G94" s="440"/>
    </row>
    <row r="95" spans="1:7">
      <c r="A95" s="421"/>
      <c r="B95" s="427" t="s">
        <v>102</v>
      </c>
      <c r="C95" s="440"/>
      <c r="D95" s="440"/>
      <c r="E95" s="440"/>
      <c r="F95" s="434">
        <f>G30</f>
        <v>0</v>
      </c>
      <c r="G95" s="440"/>
    </row>
    <row r="96" spans="1:7">
      <c r="A96" s="421"/>
      <c r="B96" s="427" t="s">
        <v>160</v>
      </c>
      <c r="C96" s="440"/>
      <c r="D96" s="440"/>
      <c r="E96" s="440"/>
      <c r="F96" s="434">
        <f>G31</f>
        <v>0</v>
      </c>
      <c r="G96" s="440"/>
    </row>
    <row r="97" spans="1:7">
      <c r="A97" s="421"/>
      <c r="B97" s="421"/>
      <c r="C97" s="440"/>
      <c r="D97" s="440"/>
      <c r="E97" s="440"/>
      <c r="F97" s="434"/>
      <c r="G97" s="440"/>
    </row>
    <row r="98" spans="1:7">
      <c r="A98" s="421"/>
      <c r="B98" s="427" t="s">
        <v>104</v>
      </c>
      <c r="C98" s="440"/>
      <c r="D98" s="440"/>
      <c r="E98" s="440"/>
      <c r="F98" s="434"/>
      <c r="G98" s="440"/>
    </row>
    <row r="99" spans="1:7">
      <c r="A99" s="421"/>
      <c r="B99" s="427" t="s">
        <v>153</v>
      </c>
      <c r="C99" s="440"/>
      <c r="D99" s="440"/>
      <c r="E99" s="440"/>
      <c r="F99" s="434">
        <f>G34</f>
        <v>0</v>
      </c>
      <c r="G99" s="440"/>
    </row>
    <row r="100" spans="1:7">
      <c r="A100" s="421"/>
      <c r="B100" s="427" t="s">
        <v>158</v>
      </c>
      <c r="C100" s="440"/>
      <c r="D100" s="440"/>
      <c r="E100" s="440"/>
      <c r="F100" s="434">
        <f>G35</f>
        <v>0</v>
      </c>
      <c r="G100" s="440"/>
    </row>
    <row r="101" spans="1:7">
      <c r="A101" s="421"/>
      <c r="B101" s="427" t="s">
        <v>156</v>
      </c>
      <c r="C101" s="440"/>
      <c r="D101" s="440"/>
      <c r="E101" s="440"/>
      <c r="F101" s="436">
        <f>G36</f>
        <v>0</v>
      </c>
      <c r="G101" s="440"/>
    </row>
    <row r="102" spans="1:7">
      <c r="A102" s="421"/>
      <c r="B102" s="427" t="s">
        <v>161</v>
      </c>
      <c r="C102" s="440"/>
      <c r="D102" s="440"/>
      <c r="E102" s="440"/>
      <c r="F102" s="434">
        <f>F99+F100+F101</f>
        <v>0</v>
      </c>
      <c r="G102" s="440"/>
    </row>
    <row r="103" spans="1:7">
      <c r="A103" s="421"/>
      <c r="B103" s="440"/>
      <c r="C103" s="440"/>
      <c r="D103" s="440"/>
      <c r="E103" s="440"/>
      <c r="F103" s="434"/>
      <c r="G103" s="440"/>
    </row>
    <row r="104" spans="1:7">
      <c r="A104" s="421"/>
      <c r="B104" s="440" t="s">
        <v>106</v>
      </c>
      <c r="C104" s="440"/>
      <c r="D104" s="440"/>
      <c r="E104" s="440"/>
      <c r="F104" s="435">
        <f>F86+F92+F94+F95+F96+F102</f>
        <v>0</v>
      </c>
      <c r="G104" s="440"/>
    </row>
    <row r="105" spans="1:7">
      <c r="A105" s="421"/>
      <c r="B105" s="440"/>
      <c r="C105" s="440"/>
      <c r="D105" s="440"/>
      <c r="E105" s="440"/>
      <c r="F105" s="434"/>
      <c r="G105" s="440"/>
    </row>
    <row r="106" spans="1:7">
      <c r="A106" s="421"/>
      <c r="B106" s="440" t="s">
        <v>227</v>
      </c>
      <c r="C106" s="440"/>
      <c r="D106" s="440"/>
      <c r="E106" s="440"/>
      <c r="F106" s="436">
        <f>F78-F104</f>
        <v>0</v>
      </c>
      <c r="G106" s="440"/>
    </row>
    <row r="107" spans="1:7">
      <c r="A107" s="421"/>
      <c r="B107" s="440"/>
      <c r="C107" s="440"/>
      <c r="D107" s="440"/>
      <c r="E107" s="440"/>
      <c r="F107" s="434"/>
      <c r="G107" s="440"/>
    </row>
    <row r="108" spans="1:7">
      <c r="A108" s="421"/>
      <c r="B108" s="440" t="s">
        <v>228</v>
      </c>
      <c r="C108" s="440"/>
      <c r="D108" s="440"/>
      <c r="E108" s="441"/>
      <c r="F108" s="434"/>
      <c r="G108" s="440"/>
    </row>
    <row r="109" spans="1:7" ht="13.5" thickBot="1">
      <c r="A109" s="421"/>
      <c r="B109" s="451" t="s">
        <v>229</v>
      </c>
      <c r="C109" s="452">
        <f>Inputs!$D$4</f>
        <v>1.2215999999999999E-2</v>
      </c>
      <c r="D109" s="440"/>
      <c r="E109" s="441"/>
      <c r="F109" s="439">
        <f>ROUND(F106*C109,0)</f>
        <v>0</v>
      </c>
      <c r="G109" s="440"/>
    </row>
    <row r="110" spans="1:7" ht="13.5" thickTop="1">
      <c r="A110" s="421"/>
      <c r="B110" s="440"/>
      <c r="C110" s="440"/>
      <c r="D110" s="440"/>
      <c r="E110" s="441"/>
      <c r="F110" s="442"/>
      <c r="G110" s="440"/>
    </row>
  </sheetData>
  <phoneticPr fontId="0" type="noConversion"/>
  <pageMargins left="1" right="1" top="0.5" bottom="0.25" header="0.5" footer="0.5"/>
  <pageSetup scale="90" orientation="portrait" r:id="rId1"/>
  <headerFooter alignWithMargins="0"/>
  <rowBreaks count="1" manualBreakCount="1">
    <brk id="64" max="6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66"/>
  <dimension ref="A1:H110"/>
  <sheetViews>
    <sheetView workbookViewId="0">
      <selection activeCell="F3" sqref="F3"/>
    </sheetView>
  </sheetViews>
  <sheetFormatPr defaultRowHeight="12.75"/>
  <cols>
    <col min="1" max="1" width="5.5703125" style="47" customWidth="1"/>
    <col min="2" max="2" width="26.140625" style="44" customWidth="1"/>
    <col min="3" max="3" width="12.42578125" style="44" customWidth="1"/>
    <col min="4" max="4" width="6.7109375" style="44" customWidth="1"/>
    <col min="5" max="8" width="12.42578125" style="44" customWidth="1"/>
  </cols>
  <sheetData>
    <row r="1" spans="1:8">
      <c r="A1" s="42" t="str">
        <f>Inputs!$D$6</f>
        <v>AVISTA UTILITIES</v>
      </c>
      <c r="B1" s="43"/>
      <c r="C1" s="42"/>
    </row>
    <row r="2" spans="1:8">
      <c r="A2" s="42" t="s">
        <v>142</v>
      </c>
      <c r="B2" s="43"/>
      <c r="C2" s="42"/>
      <c r="E2" s="42"/>
      <c r="F2" s="456" t="s">
        <v>299</v>
      </c>
      <c r="G2" s="42"/>
    </row>
    <row r="3" spans="1:8">
      <c r="A3" s="43" t="str">
        <f>WAElec09_08!$A$4</f>
        <v>TWELVE MONTHS ENDED SEPTEMBER 30, 2008</v>
      </c>
      <c r="B3" s="43"/>
      <c r="C3" s="42"/>
      <c r="E3" s="42"/>
      <c r="F3" s="47" t="s">
        <v>578</v>
      </c>
      <c r="G3" s="42"/>
    </row>
    <row r="4" spans="1:8">
      <c r="A4" s="42" t="s">
        <v>1</v>
      </c>
      <c r="B4" s="43"/>
      <c r="C4" s="42"/>
      <c r="E4" s="45"/>
      <c r="F4" s="670" t="s">
        <v>145</v>
      </c>
      <c r="G4" s="46"/>
    </row>
    <row r="5" spans="1:8">
      <c r="A5" s="47" t="s">
        <v>14</v>
      </c>
    </row>
    <row r="6" spans="1:8">
      <c r="A6" s="47" t="s">
        <v>146</v>
      </c>
      <c r="B6" s="48" t="s">
        <v>36</v>
      </c>
      <c r="C6" s="48"/>
      <c r="D6" s="47"/>
      <c r="E6" s="48" t="s">
        <v>147</v>
      </c>
      <c r="F6" s="48" t="s">
        <v>148</v>
      </c>
      <c r="G6" s="48" t="s">
        <v>128</v>
      </c>
      <c r="H6" s="49" t="s">
        <v>149</v>
      </c>
    </row>
    <row r="7" spans="1:8">
      <c r="B7" s="50" t="s">
        <v>85</v>
      </c>
    </row>
    <row r="8" spans="1:8">
      <c r="A8" s="51">
        <v>1</v>
      </c>
      <c r="B8" s="52" t="s">
        <v>86</v>
      </c>
      <c r="C8" s="53"/>
      <c r="D8" s="53"/>
      <c r="E8" s="54">
        <f>F8+G8</f>
        <v>0</v>
      </c>
      <c r="F8" s="54">
        <v>0</v>
      </c>
      <c r="G8" s="54">
        <v>0</v>
      </c>
      <c r="H8" s="53" t="str">
        <f t="shared" ref="H8:H13" si="0">IF(E8=F8+G8," ","ERROR")</f>
        <v xml:space="preserve"> </v>
      </c>
    </row>
    <row r="9" spans="1:8">
      <c r="A9" s="47">
        <v>2</v>
      </c>
      <c r="B9" s="50" t="s">
        <v>87</v>
      </c>
      <c r="E9" s="55"/>
      <c r="F9" s="55"/>
      <c r="G9" s="55"/>
      <c r="H9" s="53" t="str">
        <f t="shared" si="0"/>
        <v xml:space="preserve"> </v>
      </c>
    </row>
    <row r="10" spans="1:8">
      <c r="A10" s="47">
        <v>3</v>
      </c>
      <c r="B10" s="50" t="s">
        <v>150</v>
      </c>
      <c r="E10" s="55"/>
      <c r="F10" s="55"/>
      <c r="G10" s="55"/>
      <c r="H10" s="53" t="str">
        <f t="shared" si="0"/>
        <v xml:space="preserve"> </v>
      </c>
    </row>
    <row r="11" spans="1:8">
      <c r="A11" s="47">
        <v>4</v>
      </c>
      <c r="B11" s="50" t="s">
        <v>151</v>
      </c>
      <c r="E11" s="56">
        <f>E8+E9+E10</f>
        <v>0</v>
      </c>
      <c r="F11" s="56">
        <f>F8+F9+F10</f>
        <v>0</v>
      </c>
      <c r="G11" s="56">
        <f>G8+G9+G10</f>
        <v>0</v>
      </c>
      <c r="H11" s="53" t="str">
        <f t="shared" si="0"/>
        <v xml:space="preserve"> </v>
      </c>
    </row>
    <row r="12" spans="1:8">
      <c r="A12" s="47">
        <v>5</v>
      </c>
      <c r="B12" s="50" t="s">
        <v>90</v>
      </c>
      <c r="E12" s="55"/>
      <c r="F12" s="55"/>
      <c r="G12" s="55"/>
      <c r="H12" s="53" t="str">
        <f t="shared" si="0"/>
        <v xml:space="preserve"> </v>
      </c>
    </row>
    <row r="13" spans="1:8">
      <c r="A13" s="47">
        <v>6</v>
      </c>
      <c r="B13" s="50" t="s">
        <v>152</v>
      </c>
      <c r="E13" s="56">
        <f>E11+E12</f>
        <v>0</v>
      </c>
      <c r="F13" s="56">
        <f>F11+F12</f>
        <v>0</v>
      </c>
      <c r="G13" s="56">
        <f>G11+G12</f>
        <v>0</v>
      </c>
      <c r="H13" s="53" t="str">
        <f t="shared" si="0"/>
        <v xml:space="preserve"> </v>
      </c>
    </row>
    <row r="14" spans="1:8">
      <c r="E14" s="58"/>
      <c r="F14" s="58"/>
      <c r="G14" s="58"/>
      <c r="H14" s="53"/>
    </row>
    <row r="15" spans="1:8">
      <c r="B15" s="50" t="s">
        <v>92</v>
      </c>
      <c r="E15" s="58"/>
      <c r="F15" s="58"/>
      <c r="G15" s="58"/>
      <c r="H15" s="53"/>
    </row>
    <row r="16" spans="1:8">
      <c r="B16" s="50" t="s">
        <v>93</v>
      </c>
      <c r="E16" s="58"/>
      <c r="F16" s="58"/>
      <c r="G16" s="58"/>
      <c r="H16" s="53"/>
    </row>
    <row r="17" spans="1:8">
      <c r="A17" s="47">
        <v>7</v>
      </c>
      <c r="B17" s="50" t="s">
        <v>153</v>
      </c>
      <c r="E17" s="55">
        <f>F17+G17</f>
        <v>0</v>
      </c>
      <c r="F17" s="55">
        <v>0</v>
      </c>
      <c r="G17" s="55">
        <v>0</v>
      </c>
      <c r="H17" s="53" t="str">
        <f>IF(E17=F17+G17," ","ERROR")</f>
        <v xml:space="preserve"> </v>
      </c>
    </row>
    <row r="18" spans="1:8">
      <c r="A18" s="47">
        <v>8</v>
      </c>
      <c r="B18" s="50" t="s">
        <v>154</v>
      </c>
      <c r="E18" s="55"/>
      <c r="F18" s="55"/>
      <c r="G18" s="55"/>
      <c r="H18" s="53" t="str">
        <f>IF(E18=F18+G18," ","ERROR")</f>
        <v xml:space="preserve"> </v>
      </c>
    </row>
    <row r="19" spans="1:8">
      <c r="A19" s="47">
        <v>9</v>
      </c>
      <c r="B19" s="50" t="s">
        <v>155</v>
      </c>
      <c r="E19" s="55">
        <f>F19+G19</f>
        <v>0</v>
      </c>
      <c r="F19" s="55">
        <v>0</v>
      </c>
      <c r="G19" s="55"/>
      <c r="H19" s="53" t="str">
        <f>IF(E19=F19+G19," ","ERROR")</f>
        <v xml:space="preserve"> </v>
      </c>
    </row>
    <row r="20" spans="1:8">
      <c r="A20" s="47">
        <v>10</v>
      </c>
      <c r="B20" s="50" t="s">
        <v>156</v>
      </c>
      <c r="E20" s="55">
        <f>F20+G20</f>
        <v>0</v>
      </c>
      <c r="F20" s="55"/>
      <c r="G20" s="55"/>
      <c r="H20" s="53" t="str">
        <f>IF(E20=F20+G20," ","ERROR")</f>
        <v xml:space="preserve"> </v>
      </c>
    </row>
    <row r="21" spans="1:8">
      <c r="A21" s="47">
        <v>11</v>
      </c>
      <c r="B21" s="50" t="s">
        <v>157</v>
      </c>
      <c r="E21" s="56">
        <f>E17+E18+E19+E20</f>
        <v>0</v>
      </c>
      <c r="F21" s="56">
        <f>F17+F18+F19+F20</f>
        <v>0</v>
      </c>
      <c r="G21" s="56">
        <f>G17+G18+G19+G20</f>
        <v>0</v>
      </c>
      <c r="H21" s="53" t="str">
        <f>IF(E21=F21+G21," ","ERROR")</f>
        <v xml:space="preserve"> </v>
      </c>
    </row>
    <row r="22" spans="1:8">
      <c r="E22" s="58"/>
      <c r="F22" s="58"/>
      <c r="G22" s="58"/>
      <c r="H22" s="53"/>
    </row>
    <row r="23" spans="1:8">
      <c r="B23" s="50" t="s">
        <v>98</v>
      </c>
      <c r="E23" s="58"/>
      <c r="F23" s="58"/>
      <c r="G23" s="58"/>
      <c r="H23" s="53"/>
    </row>
    <row r="24" spans="1:8">
      <c r="A24" s="47">
        <v>12</v>
      </c>
      <c r="B24" s="50" t="s">
        <v>153</v>
      </c>
      <c r="E24" s="55">
        <f>F24+G24</f>
        <v>0</v>
      </c>
      <c r="F24" s="55">
        <v>0</v>
      </c>
      <c r="G24" s="55">
        <v>0</v>
      </c>
      <c r="H24" s="53" t="str">
        <f>IF(E24=F24+G24," ","ERROR")</f>
        <v xml:space="preserve"> </v>
      </c>
    </row>
    <row r="25" spans="1:8">
      <c r="A25" s="47">
        <v>13</v>
      </c>
      <c r="B25" s="50" t="s">
        <v>158</v>
      </c>
      <c r="E25" s="55"/>
      <c r="F25" s="55"/>
      <c r="G25" s="55"/>
      <c r="H25" s="53" t="str">
        <f>IF(E25=F25+G25," ","ERROR")</f>
        <v xml:space="preserve"> </v>
      </c>
    </row>
    <row r="26" spans="1:8">
      <c r="A26" s="47">
        <v>14</v>
      </c>
      <c r="B26" s="50" t="s">
        <v>156</v>
      </c>
      <c r="E26" s="55">
        <f>F26+G26</f>
        <v>0</v>
      </c>
      <c r="F26" s="55">
        <v>0</v>
      </c>
      <c r="G26" s="916">
        <f>F109</f>
        <v>0</v>
      </c>
      <c r="H26" s="53" t="str">
        <f>IF(E26=F26+G26," ","ERROR")</f>
        <v xml:space="preserve"> </v>
      </c>
    </row>
    <row r="27" spans="1:8">
      <c r="A27" s="47">
        <v>15</v>
      </c>
      <c r="B27" s="50" t="s">
        <v>159</v>
      </c>
      <c r="E27" s="56">
        <f>E24+E25+E26</f>
        <v>0</v>
      </c>
      <c r="F27" s="56">
        <f>F24+F25+F26</f>
        <v>0</v>
      </c>
      <c r="G27" s="56">
        <f>G24+G25+G26</f>
        <v>0</v>
      </c>
      <c r="H27" s="53" t="str">
        <f>IF(E27=F27+G27," ","ERROR")</f>
        <v xml:space="preserve"> </v>
      </c>
    </row>
    <row r="28" spans="1:8">
      <c r="E28" s="58"/>
      <c r="F28" s="58"/>
      <c r="G28" s="58"/>
      <c r="H28" s="53"/>
    </row>
    <row r="29" spans="1:8">
      <c r="A29" s="47">
        <v>16</v>
      </c>
      <c r="B29" s="50" t="s">
        <v>101</v>
      </c>
      <c r="E29" s="55">
        <f>SUM(F29:G29)</f>
        <v>0</v>
      </c>
      <c r="F29" s="55">
        <v>0</v>
      </c>
      <c r="G29" s="55">
        <v>0</v>
      </c>
      <c r="H29" s="53" t="str">
        <f>IF(E29=F29+G29," ","ERROR")</f>
        <v xml:space="preserve"> </v>
      </c>
    </row>
    <row r="30" spans="1:8">
      <c r="A30" s="47">
        <v>17</v>
      </c>
      <c r="B30" s="50" t="s">
        <v>102</v>
      </c>
      <c r="E30" s="55">
        <f>SUM(F30:G30)</f>
        <v>0</v>
      </c>
      <c r="F30" s="55">
        <v>0</v>
      </c>
      <c r="G30" s="55">
        <v>0</v>
      </c>
      <c r="H30" s="53" t="str">
        <f>IF(E30=F30+G30," ","ERROR")</f>
        <v xml:space="preserve"> </v>
      </c>
    </row>
    <row r="31" spans="1:8">
      <c r="A31" s="47">
        <v>18</v>
      </c>
      <c r="B31" s="50" t="s">
        <v>160</v>
      </c>
      <c r="E31" s="55">
        <f>SUM(F31:G31)</f>
        <v>0</v>
      </c>
      <c r="F31" s="55">
        <v>0</v>
      </c>
      <c r="G31" s="55">
        <v>0</v>
      </c>
      <c r="H31" s="53" t="str">
        <f>IF(E31=F31+G31," ","ERROR")</f>
        <v xml:space="preserve"> </v>
      </c>
    </row>
    <row r="32" spans="1:8">
      <c r="E32" s="58"/>
      <c r="F32" s="58"/>
      <c r="G32" s="58"/>
      <c r="H32" s="53"/>
    </row>
    <row r="33" spans="1:8">
      <c r="B33" s="50" t="s">
        <v>104</v>
      </c>
      <c r="E33" s="58"/>
      <c r="F33" s="58"/>
      <c r="G33" s="58"/>
      <c r="H33" s="53"/>
    </row>
    <row r="34" spans="1:8">
      <c r="A34" s="47">
        <v>19</v>
      </c>
      <c r="B34" s="50" t="s">
        <v>153</v>
      </c>
      <c r="E34" s="55">
        <f>SUM(F34:G34)</f>
        <v>550</v>
      </c>
      <c r="F34" s="55">
        <v>550</v>
      </c>
      <c r="G34" s="55">
        <v>0</v>
      </c>
      <c r="H34" s="53" t="str">
        <f>IF(E34=F34+G34," ","ERROR")</f>
        <v xml:space="preserve"> </v>
      </c>
    </row>
    <row r="35" spans="1:8">
      <c r="A35" s="47">
        <v>20</v>
      </c>
      <c r="B35" s="50" t="s">
        <v>158</v>
      </c>
      <c r="E35" s="55"/>
      <c r="F35" s="55"/>
      <c r="G35" s="55"/>
      <c r="H35" s="53" t="str">
        <f>IF(E35=F35+G35," ","ERROR")</f>
        <v xml:space="preserve"> </v>
      </c>
    </row>
    <row r="36" spans="1:8">
      <c r="A36" s="47">
        <v>21</v>
      </c>
      <c r="B36" s="50" t="s">
        <v>156</v>
      </c>
      <c r="E36" s="55"/>
      <c r="F36" s="55"/>
      <c r="G36" s="55"/>
      <c r="H36" s="53" t="str">
        <f>IF(E36=F36+G36," ","ERROR")</f>
        <v xml:space="preserve"> </v>
      </c>
    </row>
    <row r="37" spans="1:8">
      <c r="A37" s="47">
        <v>22</v>
      </c>
      <c r="B37" s="50" t="s">
        <v>161</v>
      </c>
      <c r="E37" s="60">
        <f>E34+E35+E36</f>
        <v>550</v>
      </c>
      <c r="F37" s="60">
        <f>F34+F35+F36</f>
        <v>550</v>
      </c>
      <c r="G37" s="60">
        <f>G34+G35+G36</f>
        <v>0</v>
      </c>
      <c r="H37" s="53" t="str">
        <f>IF(E37=F37+G37," ","ERROR")</f>
        <v xml:space="preserve"> </v>
      </c>
    </row>
    <row r="38" spans="1:8">
      <c r="A38" s="47">
        <v>23</v>
      </c>
      <c r="B38" s="50" t="s">
        <v>106</v>
      </c>
      <c r="E38" s="61">
        <f>E21+E27+E29+E30+E31+E37</f>
        <v>550</v>
      </c>
      <c r="F38" s="61">
        <f>F21+F27+F29+F30+F31+F37</f>
        <v>550</v>
      </c>
      <c r="G38" s="61">
        <f>G21+G27+G29+G30+G31+G37</f>
        <v>0</v>
      </c>
      <c r="H38" s="53" t="str">
        <f>IF(E38=F38+G38," ","ERROR")</f>
        <v xml:space="preserve"> </v>
      </c>
    </row>
    <row r="39" spans="1:8">
      <c r="E39" s="58"/>
      <c r="F39" s="58"/>
      <c r="G39" s="58"/>
      <c r="H39" s="53"/>
    </row>
    <row r="40" spans="1:8">
      <c r="A40" s="47">
        <v>24</v>
      </c>
      <c r="B40" s="50" t="s">
        <v>162</v>
      </c>
      <c r="E40" s="58">
        <f>E13-E38</f>
        <v>-550</v>
      </c>
      <c r="F40" s="58">
        <f>F13-F38</f>
        <v>-550</v>
      </c>
      <c r="G40" s="58">
        <f>G13-G38</f>
        <v>0</v>
      </c>
      <c r="H40" s="53" t="str">
        <f>IF(E40=F40+G40," ","ERROR")</f>
        <v xml:space="preserve"> </v>
      </c>
    </row>
    <row r="41" spans="1:8">
      <c r="B41" s="50"/>
      <c r="E41" s="58"/>
      <c r="F41" s="58"/>
      <c r="G41" s="58"/>
      <c r="H41" s="53"/>
    </row>
    <row r="42" spans="1:8">
      <c r="B42" s="50" t="s">
        <v>163</v>
      </c>
      <c r="E42" s="58"/>
      <c r="F42" s="58"/>
      <c r="G42" s="58"/>
      <c r="H42" s="53"/>
    </row>
    <row r="43" spans="1:8">
      <c r="A43" s="47">
        <v>25</v>
      </c>
      <c r="B43" s="50" t="s">
        <v>164</v>
      </c>
      <c r="D43" s="62">
        <v>0.35</v>
      </c>
      <c r="E43" s="55">
        <f>F43+G43</f>
        <v>-193</v>
      </c>
      <c r="F43" s="55">
        <f>ROUND(F40*D43,0)</f>
        <v>-193</v>
      </c>
      <c r="G43" s="55">
        <f>ROUND(G40*D43,0)</f>
        <v>0</v>
      </c>
      <c r="H43" s="53" t="str">
        <f>IF(E43=F43+G43," ","ERROR")</f>
        <v xml:space="preserve"> </v>
      </c>
    </row>
    <row r="44" spans="1:8">
      <c r="A44" s="47">
        <v>26</v>
      </c>
      <c r="B44" s="50" t="s">
        <v>165</v>
      </c>
      <c r="E44" s="55"/>
      <c r="F44" s="55"/>
      <c r="G44" s="55"/>
      <c r="H44" s="53" t="str">
        <f>IF(E44=F44+G44," ","ERROR")</f>
        <v xml:space="preserve"> </v>
      </c>
    </row>
    <row r="45" spans="1:8">
      <c r="A45"/>
      <c r="B45"/>
      <c r="C45"/>
      <c r="D45"/>
      <c r="E45" s="913"/>
      <c r="F45" s="913"/>
      <c r="G45" s="913"/>
      <c r="H45" s="53" t="str">
        <f>IF(E45=F45+G45," ","ERROR")</f>
        <v xml:space="preserve"> </v>
      </c>
    </row>
    <row r="46" spans="1:8">
      <c r="A46" s="259"/>
      <c r="B46" s="262"/>
      <c r="C46" s="256"/>
      <c r="D46" s="256"/>
      <c r="E46" s="269"/>
      <c r="F46" s="269"/>
      <c r="G46" s="269"/>
      <c r="H46" s="53"/>
    </row>
    <row r="47" spans="1:8">
      <c r="A47" s="263">
        <v>27</v>
      </c>
      <c r="B47" s="264" t="s">
        <v>113</v>
      </c>
      <c r="C47" s="265"/>
      <c r="D47" s="265"/>
      <c r="E47" s="273">
        <f>E40-SUM(E43:E44)</f>
        <v>-357</v>
      </c>
      <c r="F47" s="273">
        <f>F40-SUM(F43:F44)</f>
        <v>-357</v>
      </c>
      <c r="G47" s="273">
        <f>G40-SUM(G43:G44)</f>
        <v>0</v>
      </c>
      <c r="H47" s="53" t="str">
        <f>IF(E47=F47+G47," ","ERROR")</f>
        <v xml:space="preserve"> </v>
      </c>
    </row>
    <row r="48" spans="1:8">
      <c r="A48" s="259"/>
      <c r="H48" s="53"/>
    </row>
    <row r="49" spans="1:8">
      <c r="A49" s="259"/>
      <c r="B49" s="50" t="s">
        <v>114</v>
      </c>
      <c r="H49" s="53"/>
    </row>
    <row r="50" spans="1:8">
      <c r="A50" s="259"/>
      <c r="B50" s="50" t="s">
        <v>115</v>
      </c>
      <c r="H50" s="53"/>
    </row>
    <row r="51" spans="1:8">
      <c r="A51" s="263">
        <v>28</v>
      </c>
      <c r="B51" s="52" t="s">
        <v>167</v>
      </c>
      <c r="C51" s="53"/>
      <c r="D51" s="53"/>
      <c r="E51" s="54"/>
      <c r="F51" s="54"/>
      <c r="G51" s="54"/>
      <c r="H51" s="53" t="str">
        <f t="shared" ref="H51:H61" si="1">IF(E51=F51+G51," ","ERROR")</f>
        <v xml:space="preserve"> </v>
      </c>
    </row>
    <row r="52" spans="1:8">
      <c r="A52" s="259">
        <v>29</v>
      </c>
      <c r="B52" s="50" t="s">
        <v>168</v>
      </c>
      <c r="E52" s="55">
        <f>F52+G52</f>
        <v>0</v>
      </c>
      <c r="F52" s="55"/>
      <c r="G52" s="55"/>
      <c r="H52" s="53" t="str">
        <f t="shared" si="1"/>
        <v xml:space="preserve"> </v>
      </c>
    </row>
    <row r="53" spans="1:8">
      <c r="A53" s="259">
        <v>30</v>
      </c>
      <c r="B53" s="50" t="s">
        <v>169</v>
      </c>
      <c r="E53" s="55"/>
      <c r="F53" s="55"/>
      <c r="G53" s="55"/>
      <c r="H53" s="53" t="str">
        <f t="shared" si="1"/>
        <v xml:space="preserve"> </v>
      </c>
    </row>
    <row r="54" spans="1:8">
      <c r="A54" s="259">
        <v>31</v>
      </c>
      <c r="B54" s="50" t="s">
        <v>170</v>
      </c>
      <c r="E54" s="55"/>
      <c r="F54" s="55"/>
      <c r="G54" s="55"/>
      <c r="H54" s="53" t="str">
        <f t="shared" si="1"/>
        <v xml:space="preserve"> </v>
      </c>
    </row>
    <row r="55" spans="1:8">
      <c r="A55" s="259">
        <v>32</v>
      </c>
      <c r="B55" s="50" t="s">
        <v>171</v>
      </c>
      <c r="E55" s="59"/>
      <c r="F55" s="59"/>
      <c r="G55" s="59"/>
      <c r="H55" s="53" t="str">
        <f t="shared" si="1"/>
        <v xml:space="preserve"> </v>
      </c>
    </row>
    <row r="56" spans="1:8">
      <c r="A56" s="259">
        <v>33</v>
      </c>
      <c r="B56" s="50" t="s">
        <v>172</v>
      </c>
      <c r="E56" s="58">
        <f>E51+E52+E53+E54+E55</f>
        <v>0</v>
      </c>
      <c r="F56" s="58">
        <f>F51+F52+F53+F54+F55</f>
        <v>0</v>
      </c>
      <c r="G56" s="58">
        <f>G51+G52+G53+G54+G55</f>
        <v>0</v>
      </c>
      <c r="H56" s="53" t="str">
        <f t="shared" si="1"/>
        <v xml:space="preserve"> </v>
      </c>
    </row>
    <row r="57" spans="1:8">
      <c r="A57" s="259">
        <v>34</v>
      </c>
      <c r="B57" s="50" t="s">
        <v>121</v>
      </c>
      <c r="E57" s="55">
        <f>F57+G57</f>
        <v>0</v>
      </c>
      <c r="F57" s="55"/>
      <c r="G57" s="55"/>
      <c r="H57" s="53" t="str">
        <f t="shared" si="1"/>
        <v xml:space="preserve"> </v>
      </c>
    </row>
    <row r="58" spans="1:8">
      <c r="A58" s="259">
        <v>35</v>
      </c>
      <c r="B58" s="50" t="s">
        <v>122</v>
      </c>
      <c r="E58" s="59"/>
      <c r="F58" s="59"/>
      <c r="G58" s="59"/>
      <c r="H58" s="53" t="str">
        <f t="shared" si="1"/>
        <v xml:space="preserve"> </v>
      </c>
    </row>
    <row r="59" spans="1:8">
      <c r="A59" s="259">
        <v>36</v>
      </c>
      <c r="B59" s="50" t="s">
        <v>173</v>
      </c>
      <c r="E59" s="58">
        <f>E57+E58</f>
        <v>0</v>
      </c>
      <c r="F59" s="58">
        <f>F57+F58</f>
        <v>0</v>
      </c>
      <c r="G59" s="58">
        <f>G57+G58</f>
        <v>0</v>
      </c>
      <c r="H59" s="53" t="str">
        <f t="shared" si="1"/>
        <v xml:space="preserve"> </v>
      </c>
    </row>
    <row r="60" spans="1:8">
      <c r="A60" s="259">
        <v>37</v>
      </c>
      <c r="B60" s="50" t="s">
        <v>124</v>
      </c>
      <c r="E60" s="55"/>
      <c r="F60" s="55"/>
      <c r="G60" s="55"/>
      <c r="H60" s="53" t="str">
        <f t="shared" si="1"/>
        <v xml:space="preserve"> </v>
      </c>
    </row>
    <row r="61" spans="1:8">
      <c r="A61" s="259">
        <v>38</v>
      </c>
      <c r="B61" s="50" t="s">
        <v>125</v>
      </c>
      <c r="E61" s="59">
        <f>F61+G61</f>
        <v>0</v>
      </c>
      <c r="F61" s="59"/>
      <c r="G61" s="59"/>
      <c r="H61" s="53" t="str">
        <f t="shared" si="1"/>
        <v xml:space="preserve"> </v>
      </c>
    </row>
    <row r="62" spans="1:8" ht="11.25" customHeight="1">
      <c r="A62" s="259"/>
      <c r="H62" s="53"/>
    </row>
    <row r="63" spans="1:8" ht="13.5" thickBot="1">
      <c r="A63" s="263">
        <v>39</v>
      </c>
      <c r="B63" s="52" t="s">
        <v>126</v>
      </c>
      <c r="C63" s="53"/>
      <c r="D63" s="53"/>
      <c r="E63" s="63">
        <f>E56-E59+E60+E61</f>
        <v>0</v>
      </c>
      <c r="F63" s="63">
        <f>F56-F59+F60+F61</f>
        <v>0</v>
      </c>
      <c r="G63" s="63">
        <f>G56-G59+G60+G61</f>
        <v>0</v>
      </c>
      <c r="H63" s="53" t="str">
        <f>IF(E63=F63+G63," ","ERROR")</f>
        <v xml:space="preserve"> </v>
      </c>
    </row>
    <row r="64" spans="1:8" ht="13.5" thickTop="1">
      <c r="A64" s="44"/>
      <c r="B64" s="69"/>
      <c r="C64" s="69"/>
      <c r="D64" s="69"/>
      <c r="E64" s="671"/>
      <c r="F64" s="672"/>
      <c r="G64" s="69"/>
      <c r="H64" s="69"/>
    </row>
    <row r="65" spans="1:7">
      <c r="A65" s="420" t="str">
        <f>Inputs!$D$6</f>
        <v>AVISTA UTILITIES</v>
      </c>
      <c r="B65" s="420"/>
      <c r="C65" s="420"/>
      <c r="D65" s="440"/>
      <c r="E65" s="441"/>
      <c r="F65" s="440"/>
      <c r="G65" s="442"/>
    </row>
    <row r="66" spans="1:7">
      <c r="A66" s="420" t="s">
        <v>225</v>
      </c>
      <c r="B66" s="420"/>
      <c r="C66" s="420"/>
      <c r="D66" s="440"/>
      <c r="E66" s="441"/>
      <c r="F66" s="440"/>
      <c r="G66" s="442"/>
    </row>
    <row r="67" spans="1:7">
      <c r="A67" s="420" t="str">
        <f>A3</f>
        <v>TWELVE MONTHS ENDED SEPTEMBER 30, 2008</v>
      </c>
      <c r="B67" s="420"/>
      <c r="C67" s="420"/>
      <c r="D67" s="440"/>
      <c r="E67" s="441"/>
      <c r="F67" s="443" t="str">
        <f>F2</f>
        <v>PRO FORMA</v>
      </c>
      <c r="G67" s="440"/>
    </row>
    <row r="68" spans="1:7">
      <c r="A68" s="420" t="s">
        <v>226</v>
      </c>
      <c r="B68" s="420"/>
      <c r="C68" s="420"/>
      <c r="D68" s="440"/>
      <c r="E68" s="441"/>
      <c r="F68" s="443" t="str">
        <f>F3</f>
        <v>INCENTIVES</v>
      </c>
      <c r="G68" s="440"/>
    </row>
    <row r="69" spans="1:7">
      <c r="A69" s="424"/>
      <c r="B69" s="440"/>
      <c r="C69" s="440"/>
      <c r="D69" s="440"/>
      <c r="E69" s="444"/>
      <c r="F69" s="445" t="str">
        <f>F4</f>
        <v>ELECTRIC</v>
      </c>
      <c r="G69" s="440"/>
    </row>
    <row r="70" spans="1:7">
      <c r="A70" s="424"/>
      <c r="B70" s="440"/>
      <c r="C70" s="440"/>
      <c r="D70" s="440"/>
      <c r="E70" s="441"/>
      <c r="F70" s="443"/>
      <c r="G70" s="447"/>
    </row>
    <row r="71" spans="1:7">
      <c r="A71" s="424"/>
      <c r="B71" s="448" t="s">
        <v>134</v>
      </c>
      <c r="C71" s="449"/>
      <c r="D71" s="440"/>
      <c r="E71" s="441"/>
      <c r="F71" s="445" t="s">
        <v>128</v>
      </c>
      <c r="G71" s="440"/>
    </row>
    <row r="72" spans="1:7">
      <c r="A72" s="424"/>
      <c r="B72" s="427" t="s">
        <v>85</v>
      </c>
      <c r="C72" s="440"/>
      <c r="D72" s="440"/>
      <c r="E72" s="440"/>
      <c r="F72" s="442"/>
      <c r="G72" s="440"/>
    </row>
    <row r="73" spans="1:7">
      <c r="A73" s="424"/>
      <c r="B73" s="429" t="s">
        <v>86</v>
      </c>
      <c r="C73" s="440"/>
      <c r="D73" s="440"/>
      <c r="E73" s="440"/>
      <c r="F73" s="450">
        <f>G8</f>
        <v>0</v>
      </c>
      <c r="G73" s="440"/>
    </row>
    <row r="74" spans="1:7">
      <c r="A74" s="424"/>
      <c r="B74" s="427" t="s">
        <v>87</v>
      </c>
      <c r="C74" s="440"/>
      <c r="D74" s="440"/>
      <c r="E74" s="440"/>
      <c r="F74" s="434">
        <f>G9</f>
        <v>0</v>
      </c>
      <c r="G74" s="440"/>
    </row>
    <row r="75" spans="1:7">
      <c r="A75" s="424"/>
      <c r="B75" s="427" t="s">
        <v>150</v>
      </c>
      <c r="C75" s="440"/>
      <c r="D75" s="440"/>
      <c r="E75" s="440"/>
      <c r="F75" s="436">
        <f>G10</f>
        <v>0</v>
      </c>
      <c r="G75" s="440"/>
    </row>
    <row r="76" spans="1:7">
      <c r="A76" s="424"/>
      <c r="B76" s="427" t="s">
        <v>151</v>
      </c>
      <c r="C76" s="440"/>
      <c r="D76" s="440"/>
      <c r="E76" s="440"/>
      <c r="F76" s="434">
        <f>SUM(F73:F75)</f>
        <v>0</v>
      </c>
      <c r="G76" s="440"/>
    </row>
    <row r="77" spans="1:7">
      <c r="A77" s="424"/>
      <c r="B77" s="427" t="s">
        <v>90</v>
      </c>
      <c r="C77" s="440"/>
      <c r="D77" s="440"/>
      <c r="E77" s="440"/>
      <c r="F77" s="436">
        <f>G12</f>
        <v>0</v>
      </c>
      <c r="G77" s="440"/>
    </row>
    <row r="78" spans="1:7">
      <c r="A78" s="424"/>
      <c r="B78" s="427" t="s">
        <v>152</v>
      </c>
      <c r="C78" s="440"/>
      <c r="D78" s="440"/>
      <c r="E78" s="440"/>
      <c r="F78" s="434">
        <f>F76+F77</f>
        <v>0</v>
      </c>
      <c r="G78" s="440"/>
    </row>
    <row r="79" spans="1:7">
      <c r="A79" s="424"/>
      <c r="B79" s="421"/>
      <c r="C79" s="440"/>
      <c r="D79" s="440"/>
      <c r="E79" s="440"/>
      <c r="F79" s="434"/>
      <c r="G79" s="440"/>
    </row>
    <row r="80" spans="1:7">
      <c r="A80" s="424"/>
      <c r="B80" s="427" t="s">
        <v>92</v>
      </c>
      <c r="C80" s="440"/>
      <c r="D80" s="440"/>
      <c r="E80" s="440"/>
      <c r="F80" s="434"/>
      <c r="G80" s="440"/>
    </row>
    <row r="81" spans="1:7">
      <c r="A81" s="424"/>
      <c r="B81" s="427" t="s">
        <v>93</v>
      </c>
      <c r="C81" s="440"/>
      <c r="D81" s="440"/>
      <c r="E81" s="440"/>
      <c r="F81" s="434"/>
      <c r="G81" s="440"/>
    </row>
    <row r="82" spans="1:7">
      <c r="A82" s="424"/>
      <c r="B82" s="427" t="s">
        <v>153</v>
      </c>
      <c r="C82" s="440"/>
      <c r="D82" s="440"/>
      <c r="E82" s="440"/>
      <c r="F82" s="434">
        <f>G17</f>
        <v>0</v>
      </c>
      <c r="G82" s="440"/>
    </row>
    <row r="83" spans="1:7">
      <c r="A83" s="424"/>
      <c r="B83" s="427" t="s">
        <v>154</v>
      </c>
      <c r="C83" s="440"/>
      <c r="D83" s="440"/>
      <c r="E83" s="440"/>
      <c r="F83" s="434">
        <f>G18</f>
        <v>0</v>
      </c>
      <c r="G83" s="440"/>
    </row>
    <row r="84" spans="1:7">
      <c r="A84" s="424"/>
      <c r="B84" s="427" t="s">
        <v>155</v>
      </c>
      <c r="C84" s="440"/>
      <c r="D84" s="440"/>
      <c r="E84" s="440"/>
      <c r="F84" s="434">
        <f>G19</f>
        <v>0</v>
      </c>
      <c r="G84" s="440"/>
    </row>
    <row r="85" spans="1:7">
      <c r="A85" s="424"/>
      <c r="B85" s="427" t="s">
        <v>156</v>
      </c>
      <c r="C85" s="440"/>
      <c r="D85" s="440"/>
      <c r="E85" s="440"/>
      <c r="F85" s="436">
        <f>G20</f>
        <v>0</v>
      </c>
      <c r="G85" s="440"/>
    </row>
    <row r="86" spans="1:7">
      <c r="A86" s="424"/>
      <c r="B86" s="427" t="s">
        <v>157</v>
      </c>
      <c r="C86" s="440"/>
      <c r="D86" s="440"/>
      <c r="E86" s="440"/>
      <c r="F86" s="434">
        <f>SUM(F82:F85)</f>
        <v>0</v>
      </c>
      <c r="G86" s="440"/>
    </row>
    <row r="87" spans="1:7">
      <c r="A87" s="424"/>
      <c r="B87" s="421"/>
      <c r="C87" s="440"/>
      <c r="D87" s="440"/>
      <c r="E87" s="440"/>
      <c r="F87" s="434"/>
      <c r="G87" s="440"/>
    </row>
    <row r="88" spans="1:7">
      <c r="A88" s="424"/>
      <c r="B88" s="427" t="s">
        <v>98</v>
      </c>
      <c r="C88" s="440"/>
      <c r="D88" s="440"/>
      <c r="E88" s="440"/>
      <c r="F88" s="434"/>
      <c r="G88" s="440"/>
    </row>
    <row r="89" spans="1:7">
      <c r="A89" s="424"/>
      <c r="B89" s="427" t="s">
        <v>153</v>
      </c>
      <c r="C89" s="440"/>
      <c r="D89" s="440"/>
      <c r="E89" s="440"/>
      <c r="F89" s="434">
        <f>G24</f>
        <v>0</v>
      </c>
      <c r="G89" s="440"/>
    </row>
    <row r="90" spans="1:7">
      <c r="A90" s="424"/>
      <c r="B90" s="427" t="s">
        <v>158</v>
      </c>
      <c r="C90" s="440"/>
      <c r="D90" s="440"/>
      <c r="E90" s="440"/>
      <c r="F90" s="434">
        <f>G25</f>
        <v>0</v>
      </c>
      <c r="G90" s="440"/>
    </row>
    <row r="91" spans="1:7">
      <c r="A91" s="421"/>
      <c r="B91" s="427" t="s">
        <v>156</v>
      </c>
      <c r="C91" s="440"/>
      <c r="D91" s="440"/>
      <c r="E91" s="440"/>
      <c r="F91" s="434"/>
      <c r="G91" s="440"/>
    </row>
    <row r="92" spans="1:7">
      <c r="A92" s="421"/>
      <c r="B92" s="427" t="s">
        <v>159</v>
      </c>
      <c r="C92" s="440"/>
      <c r="D92" s="440"/>
      <c r="E92" s="440"/>
      <c r="F92" s="433">
        <f>SUM(F89:F91)</f>
        <v>0</v>
      </c>
      <c r="G92" s="440"/>
    </row>
    <row r="93" spans="1:7">
      <c r="A93" s="421"/>
      <c r="B93" s="421"/>
      <c r="C93" s="440"/>
      <c r="D93" s="440"/>
      <c r="E93" s="440"/>
      <c r="F93" s="434"/>
      <c r="G93" s="440"/>
    </row>
    <row r="94" spans="1:7">
      <c r="A94" s="421"/>
      <c r="B94" s="427" t="s">
        <v>101</v>
      </c>
      <c r="C94" s="440"/>
      <c r="D94" s="440"/>
      <c r="E94" s="440"/>
      <c r="F94" s="434">
        <f>G29</f>
        <v>0</v>
      </c>
      <c r="G94" s="440"/>
    </row>
    <row r="95" spans="1:7">
      <c r="A95" s="421"/>
      <c r="B95" s="427" t="s">
        <v>102</v>
      </c>
      <c r="C95" s="440"/>
      <c r="D95" s="440"/>
      <c r="E95" s="440"/>
      <c r="F95" s="434">
        <f>G30</f>
        <v>0</v>
      </c>
      <c r="G95" s="440"/>
    </row>
    <row r="96" spans="1:7">
      <c r="A96" s="421"/>
      <c r="B96" s="427" t="s">
        <v>160</v>
      </c>
      <c r="C96" s="440"/>
      <c r="D96" s="440"/>
      <c r="E96" s="440"/>
      <c r="F96" s="434">
        <f>G31</f>
        <v>0</v>
      </c>
      <c r="G96" s="440"/>
    </row>
    <row r="97" spans="1:7">
      <c r="A97" s="421"/>
      <c r="B97" s="421"/>
      <c r="C97" s="440"/>
      <c r="D97" s="440"/>
      <c r="E97" s="440"/>
      <c r="F97" s="434"/>
      <c r="G97" s="440"/>
    </row>
    <row r="98" spans="1:7">
      <c r="A98" s="421"/>
      <c r="B98" s="427" t="s">
        <v>104</v>
      </c>
      <c r="C98" s="440"/>
      <c r="D98" s="440"/>
      <c r="E98" s="440"/>
      <c r="F98" s="434"/>
      <c r="G98" s="440"/>
    </row>
    <row r="99" spans="1:7">
      <c r="A99" s="421"/>
      <c r="B99" s="427" t="s">
        <v>153</v>
      </c>
      <c r="C99" s="440"/>
      <c r="D99" s="440"/>
      <c r="E99" s="440"/>
      <c r="F99" s="434">
        <f>G34</f>
        <v>0</v>
      </c>
      <c r="G99" s="440"/>
    </row>
    <row r="100" spans="1:7">
      <c r="A100" s="421"/>
      <c r="B100" s="427" t="s">
        <v>158</v>
      </c>
      <c r="C100" s="440"/>
      <c r="D100" s="440"/>
      <c r="E100" s="440"/>
      <c r="F100" s="434">
        <f>G35</f>
        <v>0</v>
      </c>
      <c r="G100" s="440"/>
    </row>
    <row r="101" spans="1:7">
      <c r="A101" s="421"/>
      <c r="B101" s="427" t="s">
        <v>156</v>
      </c>
      <c r="C101" s="440"/>
      <c r="D101" s="440"/>
      <c r="E101" s="440"/>
      <c r="F101" s="436">
        <f>G36</f>
        <v>0</v>
      </c>
      <c r="G101" s="440"/>
    </row>
    <row r="102" spans="1:7">
      <c r="A102" s="421"/>
      <c r="B102" s="427" t="s">
        <v>161</v>
      </c>
      <c r="C102" s="440"/>
      <c r="D102" s="440"/>
      <c r="E102" s="440"/>
      <c r="F102" s="434">
        <f>F99+F100+F101</f>
        <v>0</v>
      </c>
      <c r="G102" s="440"/>
    </row>
    <row r="103" spans="1:7">
      <c r="A103" s="421"/>
      <c r="B103" s="440"/>
      <c r="C103" s="440"/>
      <c r="D103" s="440"/>
      <c r="E103" s="440"/>
      <c r="F103" s="434"/>
      <c r="G103" s="440"/>
    </row>
    <row r="104" spans="1:7">
      <c r="A104" s="421"/>
      <c r="B104" s="440" t="s">
        <v>106</v>
      </c>
      <c r="C104" s="440"/>
      <c r="D104" s="440"/>
      <c r="E104" s="440"/>
      <c r="F104" s="435">
        <f>F86+F92+F94+F95+F96+F102</f>
        <v>0</v>
      </c>
      <c r="G104" s="440"/>
    </row>
    <row r="105" spans="1:7">
      <c r="A105" s="421"/>
      <c r="B105" s="440"/>
      <c r="C105" s="440"/>
      <c r="D105" s="440"/>
      <c r="E105" s="440"/>
      <c r="F105" s="434"/>
      <c r="G105" s="440"/>
    </row>
    <row r="106" spans="1:7">
      <c r="A106" s="421"/>
      <c r="B106" s="440" t="s">
        <v>227</v>
      </c>
      <c r="C106" s="440"/>
      <c r="D106" s="440"/>
      <c r="E106" s="440"/>
      <c r="F106" s="436">
        <f>F78-F104</f>
        <v>0</v>
      </c>
      <c r="G106" s="440"/>
    </row>
    <row r="107" spans="1:7">
      <c r="A107" s="421"/>
      <c r="B107" s="440"/>
      <c r="C107" s="440"/>
      <c r="D107" s="440"/>
      <c r="E107" s="440"/>
      <c r="F107" s="434"/>
      <c r="G107" s="440"/>
    </row>
    <row r="108" spans="1:7">
      <c r="A108" s="421"/>
      <c r="B108" s="440" t="s">
        <v>228</v>
      </c>
      <c r="C108" s="440"/>
      <c r="D108" s="440"/>
      <c r="E108" s="441"/>
      <c r="F108" s="434"/>
      <c r="G108" s="440"/>
    </row>
    <row r="109" spans="1:7" ht="13.5" thickBot="1">
      <c r="A109" s="421"/>
      <c r="B109" s="451" t="s">
        <v>229</v>
      </c>
      <c r="C109" s="452">
        <f>Inputs!$D$4</f>
        <v>1.2215999999999999E-2</v>
      </c>
      <c r="D109" s="440"/>
      <c r="E109" s="441"/>
      <c r="F109" s="439">
        <f>ROUND(F106*C109,0)</f>
        <v>0</v>
      </c>
      <c r="G109" s="440"/>
    </row>
    <row r="110" spans="1:7" ht="13.5" thickTop="1">
      <c r="A110" s="421"/>
      <c r="B110" s="440"/>
      <c r="C110" s="440"/>
      <c r="D110" s="440"/>
      <c r="E110" s="441"/>
      <c r="F110" s="442"/>
      <c r="G110" s="440"/>
    </row>
  </sheetData>
  <phoneticPr fontId="0" type="noConversion"/>
  <pageMargins left="1" right="1" top="0.5" bottom="0.25" header="0.5" footer="0.5"/>
  <pageSetup scale="90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74"/>
  <dimension ref="A1:H110"/>
  <sheetViews>
    <sheetView workbookViewId="0">
      <selection activeCell="K21" sqref="K21"/>
    </sheetView>
  </sheetViews>
  <sheetFormatPr defaultRowHeight="12.75"/>
  <cols>
    <col min="1" max="1" width="5.5703125" style="47" customWidth="1"/>
    <col min="2" max="2" width="26.140625" style="44" customWidth="1"/>
    <col min="3" max="3" width="12.42578125" style="44" customWidth="1"/>
    <col min="4" max="4" width="6.7109375" style="44" customWidth="1"/>
    <col min="5" max="8" width="12.42578125" style="44" customWidth="1"/>
  </cols>
  <sheetData>
    <row r="1" spans="1:8" ht="15.75">
      <c r="A1" s="42" t="str">
        <f>Inputs!$D$6</f>
        <v>AVISTA UTILITIES</v>
      </c>
      <c r="B1" s="43"/>
      <c r="C1" s="42"/>
      <c r="E1" s="1333"/>
      <c r="F1" s="1334" t="s">
        <v>693</v>
      </c>
      <c r="G1" s="1333"/>
    </row>
    <row r="2" spans="1:8">
      <c r="A2" s="42" t="s">
        <v>142</v>
      </c>
      <c r="B2" s="43"/>
      <c r="C2" s="42"/>
      <c r="E2" s="42"/>
      <c r="F2" s="456" t="s">
        <v>299</v>
      </c>
      <c r="G2" s="42"/>
    </row>
    <row r="3" spans="1:8">
      <c r="A3" s="43" t="str">
        <f>WAElec09_08!$A$4</f>
        <v>TWELVE MONTHS ENDED SEPTEMBER 30, 2008</v>
      </c>
      <c r="B3" s="43"/>
      <c r="C3" s="42"/>
      <c r="E3" s="42"/>
      <c r="F3" s="47" t="s">
        <v>676</v>
      </c>
      <c r="G3" s="42"/>
    </row>
    <row r="4" spans="1:8">
      <c r="A4" s="42" t="s">
        <v>1</v>
      </c>
      <c r="B4" s="43"/>
      <c r="C4" s="42"/>
      <c r="E4" s="45"/>
      <c r="F4" s="670" t="s">
        <v>145</v>
      </c>
      <c r="G4" s="46"/>
    </row>
    <row r="5" spans="1:8">
      <c r="A5" s="47" t="s">
        <v>14</v>
      </c>
    </row>
    <row r="6" spans="1:8">
      <c r="A6" s="47" t="s">
        <v>146</v>
      </c>
      <c r="B6" s="48" t="s">
        <v>36</v>
      </c>
      <c r="C6" s="48"/>
      <c r="D6" s="47"/>
      <c r="E6" s="48" t="s">
        <v>147</v>
      </c>
      <c r="F6" s="48" t="s">
        <v>148</v>
      </c>
      <c r="G6" s="48" t="s">
        <v>128</v>
      </c>
      <c r="H6" s="49" t="s">
        <v>149</v>
      </c>
    </row>
    <row r="7" spans="1:8">
      <c r="B7" s="50" t="s">
        <v>85</v>
      </c>
    </row>
    <row r="8" spans="1:8">
      <c r="A8" s="51">
        <v>1</v>
      </c>
      <c r="B8" s="52" t="s">
        <v>86</v>
      </c>
      <c r="C8" s="53"/>
      <c r="D8" s="53"/>
      <c r="E8" s="54">
        <f>F8+G8</f>
        <v>0</v>
      </c>
      <c r="F8" s="54">
        <v>0</v>
      </c>
      <c r="G8" s="54">
        <v>0</v>
      </c>
      <c r="H8" s="53" t="str">
        <f t="shared" ref="H8:H13" si="0">IF(E8=F8+G8," ","ERROR")</f>
        <v xml:space="preserve"> </v>
      </c>
    </row>
    <row r="9" spans="1:8">
      <c r="A9" s="47">
        <v>2</v>
      </c>
      <c r="B9" s="50" t="s">
        <v>87</v>
      </c>
      <c r="E9" s="55"/>
      <c r="F9" s="55"/>
      <c r="G9" s="55"/>
      <c r="H9" s="53" t="str">
        <f t="shared" si="0"/>
        <v xml:space="preserve"> </v>
      </c>
    </row>
    <row r="10" spans="1:8">
      <c r="A10" s="47">
        <v>3</v>
      </c>
      <c r="B10" s="50" t="s">
        <v>150</v>
      </c>
      <c r="E10" s="55"/>
      <c r="F10" s="55"/>
      <c r="G10" s="55"/>
      <c r="H10" s="53" t="str">
        <f t="shared" si="0"/>
        <v xml:space="preserve"> </v>
      </c>
    </row>
    <row r="11" spans="1:8">
      <c r="A11" s="47">
        <v>4</v>
      </c>
      <c r="B11" s="50" t="s">
        <v>151</v>
      </c>
      <c r="E11" s="56">
        <f>E8+E9+E10</f>
        <v>0</v>
      </c>
      <c r="F11" s="56">
        <f>F8+F9+F10</f>
        <v>0</v>
      </c>
      <c r="G11" s="56">
        <f>G8+G9+G10</f>
        <v>0</v>
      </c>
      <c r="H11" s="53" t="str">
        <f t="shared" si="0"/>
        <v xml:space="preserve"> </v>
      </c>
    </row>
    <row r="12" spans="1:8">
      <c r="A12" s="47">
        <v>5</v>
      </c>
      <c r="B12" s="50" t="s">
        <v>90</v>
      </c>
      <c r="E12" s="55"/>
      <c r="F12" s="55"/>
      <c r="G12" s="55"/>
      <c r="H12" s="53" t="str">
        <f t="shared" si="0"/>
        <v xml:space="preserve"> </v>
      </c>
    </row>
    <row r="13" spans="1:8">
      <c r="A13" s="47">
        <v>6</v>
      </c>
      <c r="B13" s="50" t="s">
        <v>152</v>
      </c>
      <c r="E13" s="56">
        <f>E11+E12</f>
        <v>0</v>
      </c>
      <c r="F13" s="56">
        <f>F11+F12</f>
        <v>0</v>
      </c>
      <c r="G13" s="56">
        <f>G11+G12</f>
        <v>0</v>
      </c>
      <c r="H13" s="53" t="str">
        <f t="shared" si="0"/>
        <v xml:space="preserve"> </v>
      </c>
    </row>
    <row r="14" spans="1:8">
      <c r="E14" s="58"/>
      <c r="F14" s="58"/>
      <c r="G14" s="58"/>
      <c r="H14" s="53"/>
    </row>
    <row r="15" spans="1:8">
      <c r="B15" s="50" t="s">
        <v>92</v>
      </c>
      <c r="E15" s="58"/>
      <c r="F15" s="58"/>
      <c r="G15" s="58"/>
      <c r="H15" s="53"/>
    </row>
    <row r="16" spans="1:8">
      <c r="B16" s="50" t="s">
        <v>93</v>
      </c>
      <c r="E16" s="58"/>
      <c r="F16" s="58"/>
      <c r="G16" s="58"/>
      <c r="H16" s="53"/>
    </row>
    <row r="17" spans="1:8">
      <c r="A17" s="47">
        <v>7</v>
      </c>
      <c r="B17" s="50" t="s">
        <v>153</v>
      </c>
      <c r="E17" s="55">
        <f>F17+G17</f>
        <v>0</v>
      </c>
      <c r="F17" s="55">
        <v>0</v>
      </c>
      <c r="G17" s="55">
        <v>0</v>
      </c>
      <c r="H17" s="53" t="str">
        <f>IF(E17=F17+G17," ","ERROR")</f>
        <v xml:space="preserve"> </v>
      </c>
    </row>
    <row r="18" spans="1:8">
      <c r="A18" s="47">
        <v>8</v>
      </c>
      <c r="B18" s="50" t="s">
        <v>154</v>
      </c>
      <c r="E18" s="55"/>
      <c r="F18" s="55"/>
      <c r="G18" s="55"/>
      <c r="H18" s="53" t="str">
        <f>IF(E18=F18+G18," ","ERROR")</f>
        <v xml:space="preserve"> </v>
      </c>
    </row>
    <row r="19" spans="1:8">
      <c r="A19" s="47">
        <v>9</v>
      </c>
      <c r="B19" s="50" t="s">
        <v>155</v>
      </c>
      <c r="E19" s="55">
        <f>F19+G19</f>
        <v>0</v>
      </c>
      <c r="F19" s="55">
        <v>0</v>
      </c>
      <c r="G19" s="55"/>
      <c r="H19" s="53" t="str">
        <f>IF(E19=F19+G19," ","ERROR")</f>
        <v xml:space="preserve"> </v>
      </c>
    </row>
    <row r="20" spans="1:8">
      <c r="A20" s="47">
        <v>10</v>
      </c>
      <c r="B20" s="50" t="s">
        <v>156</v>
      </c>
      <c r="E20" s="55">
        <f>F20+G20</f>
        <v>0</v>
      </c>
      <c r="F20" s="55"/>
      <c r="G20" s="55"/>
      <c r="H20" s="53" t="str">
        <f>IF(E20=F20+G20," ","ERROR")</f>
        <v xml:space="preserve"> </v>
      </c>
    </row>
    <row r="21" spans="1:8">
      <c r="A21" s="47">
        <v>11</v>
      </c>
      <c r="B21" s="50" t="s">
        <v>157</v>
      </c>
      <c r="E21" s="56">
        <f>E17+E18+E19+E20</f>
        <v>0</v>
      </c>
      <c r="F21" s="56">
        <f>F17+F18+F19+F20</f>
        <v>0</v>
      </c>
      <c r="G21" s="56">
        <f>G17+G18+G19+G20</f>
        <v>0</v>
      </c>
      <c r="H21" s="53" t="str">
        <f>IF(E21=F21+G21," ","ERROR")</f>
        <v xml:space="preserve"> </v>
      </c>
    </row>
    <row r="22" spans="1:8">
      <c r="E22" s="58"/>
      <c r="F22" s="58"/>
      <c r="G22" s="58"/>
      <c r="H22" s="53"/>
    </row>
    <row r="23" spans="1:8">
      <c r="B23" s="50" t="s">
        <v>98</v>
      </c>
      <c r="E23" s="58"/>
      <c r="F23" s="58"/>
      <c r="G23" s="58"/>
      <c r="H23" s="53"/>
    </row>
    <row r="24" spans="1:8">
      <c r="A24" s="47">
        <v>12</v>
      </c>
      <c r="B24" s="50" t="s">
        <v>153</v>
      </c>
      <c r="E24" s="55">
        <f>F24+G24</f>
        <v>0</v>
      </c>
      <c r="F24" s="55">
        <v>0</v>
      </c>
      <c r="G24" s="55">
        <v>0</v>
      </c>
      <c r="H24" s="53" t="str">
        <f>IF(E24=F24+G24," ","ERROR")</f>
        <v xml:space="preserve"> </v>
      </c>
    </row>
    <row r="25" spans="1:8">
      <c r="A25" s="47">
        <v>13</v>
      </c>
      <c r="B25" s="50" t="s">
        <v>158</v>
      </c>
      <c r="E25" s="55"/>
      <c r="F25" s="55"/>
      <c r="G25" s="55"/>
      <c r="H25" s="53" t="str">
        <f>IF(E25=F25+G25," ","ERROR")</f>
        <v xml:space="preserve"> </v>
      </c>
    </row>
    <row r="26" spans="1:8">
      <c r="A26" s="47">
        <v>14</v>
      </c>
      <c r="B26" s="50" t="s">
        <v>156</v>
      </c>
      <c r="E26" s="55">
        <f>F26+G26</f>
        <v>0</v>
      </c>
      <c r="F26" s="55">
        <v>0</v>
      </c>
      <c r="G26" s="916">
        <f>F109</f>
        <v>0</v>
      </c>
      <c r="H26" s="53" t="str">
        <f>IF(E26=F26+G26," ","ERROR")</f>
        <v xml:space="preserve"> </v>
      </c>
    </row>
    <row r="27" spans="1:8">
      <c r="A27" s="47">
        <v>15</v>
      </c>
      <c r="B27" s="50" t="s">
        <v>159</v>
      </c>
      <c r="E27" s="56">
        <f>E24+E25+E26</f>
        <v>0</v>
      </c>
      <c r="F27" s="56">
        <f>F24+F25+F26</f>
        <v>0</v>
      </c>
      <c r="G27" s="56">
        <f>G24+G25+G26</f>
        <v>0</v>
      </c>
      <c r="H27" s="53" t="str">
        <f>IF(E27=F27+G27," ","ERROR")</f>
        <v xml:space="preserve"> </v>
      </c>
    </row>
    <row r="28" spans="1:8">
      <c r="E28" s="58"/>
      <c r="F28" s="58"/>
      <c r="G28" s="58"/>
      <c r="H28" s="53"/>
    </row>
    <row r="29" spans="1:8">
      <c r="A29" s="47">
        <v>16</v>
      </c>
      <c r="B29" s="50" t="s">
        <v>101</v>
      </c>
      <c r="E29" s="55">
        <f>SUM(F29:G29)</f>
        <v>0</v>
      </c>
      <c r="F29" s="55">
        <v>0</v>
      </c>
      <c r="G29" s="55">
        <v>0</v>
      </c>
      <c r="H29" s="53" t="str">
        <f>IF(E29=F29+G29," ","ERROR")</f>
        <v xml:space="preserve"> </v>
      </c>
    </row>
    <row r="30" spans="1:8">
      <c r="A30" s="47">
        <v>17</v>
      </c>
      <c r="B30" s="50" t="s">
        <v>102</v>
      </c>
      <c r="E30" s="55">
        <f>SUM(F30:G30)</f>
        <v>0</v>
      </c>
      <c r="F30" s="55">
        <v>0</v>
      </c>
      <c r="G30" s="55">
        <v>0</v>
      </c>
      <c r="H30" s="53" t="str">
        <f>IF(E30=F30+G30," ","ERROR")</f>
        <v xml:space="preserve"> </v>
      </c>
    </row>
    <row r="31" spans="1:8">
      <c r="A31" s="47">
        <v>18</v>
      </c>
      <c r="B31" s="50" t="s">
        <v>160</v>
      </c>
      <c r="E31" s="55">
        <f>SUM(F31:G31)</f>
        <v>0</v>
      </c>
      <c r="F31" s="55">
        <v>0</v>
      </c>
      <c r="G31" s="55">
        <v>0</v>
      </c>
      <c r="H31" s="53" t="str">
        <f>IF(E31=F31+G31," ","ERROR")</f>
        <v xml:space="preserve"> </v>
      </c>
    </row>
    <row r="32" spans="1:8">
      <c r="E32" s="58"/>
      <c r="F32" s="58"/>
      <c r="G32" s="58"/>
      <c r="H32" s="53"/>
    </row>
    <row r="33" spans="1:8">
      <c r="B33" s="50" t="s">
        <v>104</v>
      </c>
      <c r="E33" s="58"/>
      <c r="F33" s="58"/>
      <c r="G33" s="58"/>
      <c r="H33" s="53"/>
    </row>
    <row r="34" spans="1:8">
      <c r="A34" s="47">
        <v>19</v>
      </c>
      <c r="B34" s="50" t="s">
        <v>153</v>
      </c>
      <c r="E34" s="55">
        <f>SUM(F34:G34)</f>
        <v>0</v>
      </c>
      <c r="F34" s="55">
        <v>0</v>
      </c>
      <c r="G34" s="55">
        <v>0</v>
      </c>
      <c r="H34" s="53" t="str">
        <f>IF(E34=F34+G34," ","ERROR")</f>
        <v xml:space="preserve"> </v>
      </c>
    </row>
    <row r="35" spans="1:8">
      <c r="A35" s="47">
        <v>20</v>
      </c>
      <c r="B35" s="50" t="s">
        <v>158</v>
      </c>
      <c r="E35" s="55"/>
      <c r="F35" s="55"/>
      <c r="G35" s="55"/>
      <c r="H35" s="53" t="str">
        <f>IF(E35=F35+G35," ","ERROR")</f>
        <v xml:space="preserve"> </v>
      </c>
    </row>
    <row r="36" spans="1:8">
      <c r="A36" s="47">
        <v>21</v>
      </c>
      <c r="B36" s="50" t="s">
        <v>156</v>
      </c>
      <c r="E36" s="55"/>
      <c r="F36" s="55"/>
      <c r="G36" s="55"/>
      <c r="H36" s="53" t="str">
        <f>IF(E36=F36+G36," ","ERROR")</f>
        <v xml:space="preserve"> </v>
      </c>
    </row>
    <row r="37" spans="1:8">
      <c r="A37" s="47">
        <v>22</v>
      </c>
      <c r="B37" s="50" t="s">
        <v>161</v>
      </c>
      <c r="E37" s="60">
        <f>E34+E35+E36</f>
        <v>0</v>
      </c>
      <c r="F37" s="60">
        <f>F34+F35+F36</f>
        <v>0</v>
      </c>
      <c r="G37" s="60">
        <f>G34+G35+G36</f>
        <v>0</v>
      </c>
      <c r="H37" s="53" t="str">
        <f>IF(E37=F37+G37," ","ERROR")</f>
        <v xml:space="preserve"> </v>
      </c>
    </row>
    <row r="38" spans="1:8">
      <c r="A38" s="47">
        <v>23</v>
      </c>
      <c r="B38" s="50" t="s">
        <v>106</v>
      </c>
      <c r="E38" s="61">
        <f>E21+E27+E29+E30+E31+E37</f>
        <v>0</v>
      </c>
      <c r="F38" s="61">
        <f>F21+F27+F29+F30+F31+F37</f>
        <v>0</v>
      </c>
      <c r="G38" s="61">
        <f>G21+G27+G29+G30+G31+G37</f>
        <v>0</v>
      </c>
      <c r="H38" s="53" t="str">
        <f>IF(E38=F38+G38," ","ERROR")</f>
        <v xml:space="preserve"> </v>
      </c>
    </row>
    <row r="39" spans="1:8">
      <c r="E39" s="58"/>
      <c r="F39" s="58"/>
      <c r="G39" s="58"/>
      <c r="H39" s="53"/>
    </row>
    <row r="40" spans="1:8">
      <c r="A40" s="47">
        <v>24</v>
      </c>
      <c r="B40" s="50" t="s">
        <v>162</v>
      </c>
      <c r="E40" s="58">
        <f>E13-E38</f>
        <v>0</v>
      </c>
      <c r="F40" s="58">
        <f>F13-F38</f>
        <v>0</v>
      </c>
      <c r="G40" s="58">
        <f>G13-G38</f>
        <v>0</v>
      </c>
      <c r="H40" s="53" t="str">
        <f>IF(E40=F40+G40," ","ERROR")</f>
        <v xml:space="preserve"> </v>
      </c>
    </row>
    <row r="41" spans="1:8">
      <c r="B41" s="50"/>
      <c r="E41" s="58"/>
      <c r="F41" s="58"/>
      <c r="G41" s="58"/>
      <c r="H41" s="53"/>
    </row>
    <row r="42" spans="1:8">
      <c r="B42" s="50" t="s">
        <v>163</v>
      </c>
      <c r="E42" s="58"/>
      <c r="F42" s="58"/>
      <c r="G42" s="58"/>
      <c r="H42" s="53"/>
    </row>
    <row r="43" spans="1:8">
      <c r="A43" s="47">
        <v>25</v>
      </c>
      <c r="B43" s="50" t="s">
        <v>164</v>
      </c>
      <c r="D43" s="62">
        <v>0.35</v>
      </c>
      <c r="E43" s="55">
        <f>F43+G43</f>
        <v>0</v>
      </c>
      <c r="F43" s="55">
        <f>ROUND(F40*D43,0)</f>
        <v>0</v>
      </c>
      <c r="G43" s="55">
        <f>ROUND(G40*D43,0)</f>
        <v>0</v>
      </c>
      <c r="H43" s="53" t="str">
        <f>IF(E43=F43+G43," ","ERROR")</f>
        <v xml:space="preserve"> </v>
      </c>
    </row>
    <row r="44" spans="1:8">
      <c r="A44" s="47">
        <v>26</v>
      </c>
      <c r="B44" s="50" t="s">
        <v>165</v>
      </c>
      <c r="E44" s="55"/>
      <c r="F44" s="55"/>
      <c r="G44" s="55"/>
      <c r="H44" s="53" t="str">
        <f>IF(E44=F44+G44," ","ERROR")</f>
        <v xml:space="preserve"> </v>
      </c>
    </row>
    <row r="45" spans="1:8">
      <c r="A45"/>
      <c r="B45"/>
      <c r="C45"/>
      <c r="D45"/>
      <c r="E45" s="913"/>
      <c r="F45" s="913"/>
      <c r="G45" s="913"/>
      <c r="H45" s="53" t="str">
        <f>IF(E45=F45+G45," ","ERROR")</f>
        <v xml:space="preserve"> </v>
      </c>
    </row>
    <row r="46" spans="1:8">
      <c r="A46" s="259"/>
      <c r="B46" s="262"/>
      <c r="C46" s="256"/>
      <c r="D46" s="256"/>
      <c r="E46" s="269"/>
      <c r="F46" s="269"/>
      <c r="G46" s="269"/>
      <c r="H46" s="53"/>
    </row>
    <row r="47" spans="1:8">
      <c r="A47" s="263">
        <v>27</v>
      </c>
      <c r="B47" s="264" t="s">
        <v>113</v>
      </c>
      <c r="C47" s="265"/>
      <c r="D47" s="265"/>
      <c r="E47" s="273">
        <f>E40-SUM(E43:E44)</f>
        <v>0</v>
      </c>
      <c r="F47" s="273">
        <f>F40-SUM(F43:F44)</f>
        <v>0</v>
      </c>
      <c r="G47" s="273">
        <f>G40-SUM(G43:G44)</f>
        <v>0</v>
      </c>
      <c r="H47" s="53" t="str">
        <f>IF(E47=F47+G47," ","ERROR")</f>
        <v xml:space="preserve"> </v>
      </c>
    </row>
    <row r="48" spans="1:8">
      <c r="A48" s="259"/>
      <c r="H48" s="53"/>
    </row>
    <row r="49" spans="1:8">
      <c r="A49" s="259"/>
      <c r="B49" s="50" t="s">
        <v>114</v>
      </c>
      <c r="H49" s="53"/>
    </row>
    <row r="50" spans="1:8">
      <c r="A50" s="259"/>
      <c r="B50" s="50" t="s">
        <v>115</v>
      </c>
      <c r="H50" s="53"/>
    </row>
    <row r="51" spans="1:8">
      <c r="A51" s="263">
        <v>28</v>
      </c>
      <c r="B51" s="52" t="s">
        <v>167</v>
      </c>
      <c r="C51" s="53"/>
      <c r="D51" s="53"/>
      <c r="E51" s="54"/>
      <c r="F51" s="54"/>
      <c r="G51" s="54"/>
      <c r="H51" s="53" t="str">
        <f t="shared" ref="H51:H61" si="1">IF(E51=F51+G51," ","ERROR")</f>
        <v xml:space="preserve"> </v>
      </c>
    </row>
    <row r="52" spans="1:8">
      <c r="A52" s="259">
        <v>29</v>
      </c>
      <c r="B52" s="50" t="s">
        <v>168</v>
      </c>
      <c r="E52" s="55">
        <f>F52+G52</f>
        <v>0</v>
      </c>
      <c r="F52" s="55"/>
      <c r="G52" s="55"/>
      <c r="H52" s="53" t="str">
        <f t="shared" si="1"/>
        <v xml:space="preserve"> </v>
      </c>
    </row>
    <row r="53" spans="1:8">
      <c r="A53" s="259">
        <v>30</v>
      </c>
      <c r="B53" s="50" t="s">
        <v>169</v>
      </c>
      <c r="E53" s="55"/>
      <c r="F53" s="55"/>
      <c r="G53" s="55"/>
      <c r="H53" s="53" t="str">
        <f t="shared" si="1"/>
        <v xml:space="preserve"> </v>
      </c>
    </row>
    <row r="54" spans="1:8">
      <c r="A54" s="259">
        <v>31</v>
      </c>
      <c r="B54" s="50" t="s">
        <v>170</v>
      </c>
      <c r="E54" s="55"/>
      <c r="F54" s="55"/>
      <c r="G54" s="55"/>
      <c r="H54" s="53" t="str">
        <f t="shared" si="1"/>
        <v xml:space="preserve"> </v>
      </c>
    </row>
    <row r="55" spans="1:8">
      <c r="A55" s="259">
        <v>32</v>
      </c>
      <c r="B55" s="50" t="s">
        <v>171</v>
      </c>
      <c r="E55" s="59"/>
      <c r="F55" s="59"/>
      <c r="G55" s="59"/>
      <c r="H55" s="53" t="str">
        <f t="shared" si="1"/>
        <v xml:space="preserve"> </v>
      </c>
    </row>
    <row r="56" spans="1:8">
      <c r="A56" s="259">
        <v>33</v>
      </c>
      <c r="B56" s="50" t="s">
        <v>172</v>
      </c>
      <c r="E56" s="58">
        <f>E51+E52+E53+E54+E55</f>
        <v>0</v>
      </c>
      <c r="F56" s="58">
        <f>F51+F52+F53+F54+F55</f>
        <v>0</v>
      </c>
      <c r="G56" s="58">
        <f>G51+G52+G53+G54+G55</f>
        <v>0</v>
      </c>
      <c r="H56" s="53" t="str">
        <f t="shared" si="1"/>
        <v xml:space="preserve"> </v>
      </c>
    </row>
    <row r="57" spans="1:8">
      <c r="A57" s="259">
        <v>34</v>
      </c>
      <c r="B57" s="50" t="s">
        <v>121</v>
      </c>
      <c r="E57" s="55">
        <f>F57+G57</f>
        <v>0</v>
      </c>
      <c r="F57" s="55"/>
      <c r="G57" s="55"/>
      <c r="H57" s="53" t="str">
        <f t="shared" si="1"/>
        <v xml:space="preserve"> </v>
      </c>
    </row>
    <row r="58" spans="1:8">
      <c r="A58" s="259">
        <v>35</v>
      </c>
      <c r="B58" s="50" t="s">
        <v>122</v>
      </c>
      <c r="E58" s="59"/>
      <c r="F58" s="59"/>
      <c r="G58" s="59"/>
      <c r="H58" s="53" t="str">
        <f t="shared" si="1"/>
        <v xml:space="preserve"> </v>
      </c>
    </row>
    <row r="59" spans="1:8">
      <c r="A59" s="259">
        <v>36</v>
      </c>
      <c r="B59" s="50" t="s">
        <v>173</v>
      </c>
      <c r="E59" s="58">
        <f>E57+E58</f>
        <v>0</v>
      </c>
      <c r="F59" s="58">
        <f>F57+F58</f>
        <v>0</v>
      </c>
      <c r="G59" s="58">
        <f>G57+G58</f>
        <v>0</v>
      </c>
      <c r="H59" s="53" t="str">
        <f t="shared" si="1"/>
        <v xml:space="preserve"> </v>
      </c>
    </row>
    <row r="60" spans="1:8">
      <c r="A60" s="259">
        <v>37</v>
      </c>
      <c r="B60" s="50" t="s">
        <v>124</v>
      </c>
      <c r="E60" s="55"/>
      <c r="F60" s="55"/>
      <c r="G60" s="55"/>
      <c r="H60" s="53" t="str">
        <f t="shared" si="1"/>
        <v xml:space="preserve"> </v>
      </c>
    </row>
    <row r="61" spans="1:8">
      <c r="A61" s="259">
        <v>38</v>
      </c>
      <c r="B61" s="50" t="s">
        <v>125</v>
      </c>
      <c r="E61" s="59">
        <f>F61+G61</f>
        <v>0</v>
      </c>
      <c r="F61" s="59"/>
      <c r="G61" s="59"/>
      <c r="H61" s="53" t="str">
        <f t="shared" si="1"/>
        <v xml:space="preserve"> </v>
      </c>
    </row>
    <row r="62" spans="1:8" ht="11.25" customHeight="1">
      <c r="A62" s="259"/>
      <c r="H62" s="53"/>
    </row>
    <row r="63" spans="1:8" ht="13.5" thickBot="1">
      <c r="A63" s="263">
        <v>39</v>
      </c>
      <c r="B63" s="52" t="s">
        <v>126</v>
      </c>
      <c r="C63" s="53"/>
      <c r="D63" s="53"/>
      <c r="E63" s="63">
        <f>E56-E59+E60+E61</f>
        <v>0</v>
      </c>
      <c r="F63" s="63">
        <f>F56-F59+F60+F61</f>
        <v>0</v>
      </c>
      <c r="G63" s="63">
        <f>G56-G59+G60+G61</f>
        <v>0</v>
      </c>
      <c r="H63" s="53" t="str">
        <f>IF(E63=F63+G63," ","ERROR")</f>
        <v xml:space="preserve"> </v>
      </c>
    </row>
    <row r="64" spans="1:8" ht="13.5" thickTop="1">
      <c r="A64" s="44"/>
      <c r="B64" s="69"/>
      <c r="C64" s="69"/>
      <c r="D64" s="69"/>
      <c r="E64" s="671"/>
      <c r="F64" s="672"/>
      <c r="G64" s="69"/>
      <c r="H64" s="69"/>
    </row>
    <row r="65" spans="1:7">
      <c r="A65" s="420" t="str">
        <f>Inputs!$D$6</f>
        <v>AVISTA UTILITIES</v>
      </c>
      <c r="B65" s="420"/>
      <c r="C65" s="420"/>
      <c r="D65" s="440"/>
      <c r="E65" s="441"/>
      <c r="F65" s="440"/>
      <c r="G65" s="442"/>
    </row>
    <row r="66" spans="1:7">
      <c r="A66" s="420" t="s">
        <v>225</v>
      </c>
      <c r="B66" s="420"/>
      <c r="C66" s="420"/>
      <c r="D66" s="440"/>
      <c r="E66" s="441"/>
      <c r="F66" s="440"/>
      <c r="G66" s="442"/>
    </row>
    <row r="67" spans="1:7">
      <c r="A67" s="420" t="str">
        <f>A3</f>
        <v>TWELVE MONTHS ENDED SEPTEMBER 30, 2008</v>
      </c>
      <c r="B67" s="420"/>
      <c r="C67" s="420"/>
      <c r="D67" s="440"/>
      <c r="E67" s="441"/>
      <c r="F67" s="443" t="str">
        <f>F2</f>
        <v>PRO FORMA</v>
      </c>
      <c r="G67" s="440"/>
    </row>
    <row r="68" spans="1:7">
      <c r="A68" s="420" t="s">
        <v>226</v>
      </c>
      <c r="B68" s="420"/>
      <c r="C68" s="420"/>
      <c r="D68" s="440"/>
      <c r="E68" s="441"/>
      <c r="F68" s="443" t="str">
        <f>F3</f>
        <v>O&amp;M GENERATION PLANT EXPENSE</v>
      </c>
      <c r="G68" s="440"/>
    </row>
    <row r="69" spans="1:7">
      <c r="A69" s="424"/>
      <c r="B69" s="440"/>
      <c r="C69" s="440"/>
      <c r="D69" s="440"/>
      <c r="E69" s="444"/>
      <c r="F69" s="445" t="str">
        <f>F4</f>
        <v>ELECTRIC</v>
      </c>
      <c r="G69" s="440"/>
    </row>
    <row r="70" spans="1:7">
      <c r="A70" s="424"/>
      <c r="B70" s="440"/>
      <c r="C70" s="440"/>
      <c r="D70" s="440"/>
      <c r="E70" s="441"/>
      <c r="F70" s="443"/>
      <c r="G70" s="447"/>
    </row>
    <row r="71" spans="1:7">
      <c r="A71" s="424"/>
      <c r="B71" s="448" t="s">
        <v>134</v>
      </c>
      <c r="C71" s="449"/>
      <c r="D71" s="440"/>
      <c r="E71" s="441"/>
      <c r="F71" s="445" t="s">
        <v>128</v>
      </c>
      <c r="G71" s="440"/>
    </row>
    <row r="72" spans="1:7">
      <c r="A72" s="424"/>
      <c r="B72" s="427" t="s">
        <v>85</v>
      </c>
      <c r="C72" s="440"/>
      <c r="D72" s="440"/>
      <c r="E72" s="440"/>
      <c r="F72" s="442"/>
      <c r="G72" s="440"/>
    </row>
    <row r="73" spans="1:7">
      <c r="A73" s="424"/>
      <c r="B73" s="429" t="s">
        <v>86</v>
      </c>
      <c r="C73" s="440"/>
      <c r="D73" s="440"/>
      <c r="E73" s="440"/>
      <c r="F73" s="450">
        <f>G8</f>
        <v>0</v>
      </c>
      <c r="G73" s="440"/>
    </row>
    <row r="74" spans="1:7">
      <c r="A74" s="424"/>
      <c r="B74" s="427" t="s">
        <v>87</v>
      </c>
      <c r="C74" s="440"/>
      <c r="D74" s="440"/>
      <c r="E74" s="440"/>
      <c r="F74" s="434">
        <f>G9</f>
        <v>0</v>
      </c>
      <c r="G74" s="440"/>
    </row>
    <row r="75" spans="1:7">
      <c r="A75" s="424"/>
      <c r="B75" s="427" t="s">
        <v>150</v>
      </c>
      <c r="C75" s="440"/>
      <c r="D75" s="440"/>
      <c r="E75" s="440"/>
      <c r="F75" s="436">
        <f>G10</f>
        <v>0</v>
      </c>
      <c r="G75" s="440"/>
    </row>
    <row r="76" spans="1:7">
      <c r="A76" s="424"/>
      <c r="B76" s="427" t="s">
        <v>151</v>
      </c>
      <c r="C76" s="440"/>
      <c r="D76" s="440"/>
      <c r="E76" s="440"/>
      <c r="F76" s="434">
        <f>SUM(F73:F75)</f>
        <v>0</v>
      </c>
      <c r="G76" s="440"/>
    </row>
    <row r="77" spans="1:7">
      <c r="A77" s="424"/>
      <c r="B77" s="427" t="s">
        <v>90</v>
      </c>
      <c r="C77" s="440"/>
      <c r="D77" s="440"/>
      <c r="E77" s="440"/>
      <c r="F77" s="436">
        <f>G12</f>
        <v>0</v>
      </c>
      <c r="G77" s="440"/>
    </row>
    <row r="78" spans="1:7">
      <c r="A78" s="424"/>
      <c r="B78" s="427" t="s">
        <v>152</v>
      </c>
      <c r="C78" s="440"/>
      <c r="D78" s="440"/>
      <c r="E78" s="440"/>
      <c r="F78" s="434">
        <f>F76+F77</f>
        <v>0</v>
      </c>
      <c r="G78" s="440"/>
    </row>
    <row r="79" spans="1:7">
      <c r="A79" s="424"/>
      <c r="B79" s="421"/>
      <c r="C79" s="440"/>
      <c r="D79" s="440"/>
      <c r="E79" s="440"/>
      <c r="F79" s="434"/>
      <c r="G79" s="440"/>
    </row>
    <row r="80" spans="1:7">
      <c r="A80" s="424"/>
      <c r="B80" s="427" t="s">
        <v>92</v>
      </c>
      <c r="C80" s="440"/>
      <c r="D80" s="440"/>
      <c r="E80" s="440"/>
      <c r="F80" s="434"/>
      <c r="G80" s="440"/>
    </row>
    <row r="81" spans="1:7">
      <c r="A81" s="424"/>
      <c r="B81" s="427" t="s">
        <v>93</v>
      </c>
      <c r="C81" s="440"/>
      <c r="D81" s="440"/>
      <c r="E81" s="440"/>
      <c r="F81" s="434"/>
      <c r="G81" s="440"/>
    </row>
    <row r="82" spans="1:7">
      <c r="A82" s="424"/>
      <c r="B82" s="427" t="s">
        <v>153</v>
      </c>
      <c r="C82" s="440"/>
      <c r="D82" s="440"/>
      <c r="E82" s="440"/>
      <c r="F82" s="434">
        <f>G17</f>
        <v>0</v>
      </c>
      <c r="G82" s="440"/>
    </row>
    <row r="83" spans="1:7">
      <c r="A83" s="424"/>
      <c r="B83" s="427" t="s">
        <v>154</v>
      </c>
      <c r="C83" s="440"/>
      <c r="D83" s="440"/>
      <c r="E83" s="440"/>
      <c r="F83" s="434">
        <f>G18</f>
        <v>0</v>
      </c>
      <c r="G83" s="440"/>
    </row>
    <row r="84" spans="1:7">
      <c r="A84" s="424"/>
      <c r="B84" s="427" t="s">
        <v>155</v>
      </c>
      <c r="C84" s="440"/>
      <c r="D84" s="440"/>
      <c r="E84" s="440"/>
      <c r="F84" s="434">
        <f>G19</f>
        <v>0</v>
      </c>
      <c r="G84" s="440"/>
    </row>
    <row r="85" spans="1:7">
      <c r="A85" s="424"/>
      <c r="B85" s="427" t="s">
        <v>156</v>
      </c>
      <c r="C85" s="440"/>
      <c r="D85" s="440"/>
      <c r="E85" s="440"/>
      <c r="F85" s="436">
        <f>G20</f>
        <v>0</v>
      </c>
      <c r="G85" s="440"/>
    </row>
    <row r="86" spans="1:7">
      <c r="A86" s="424"/>
      <c r="B86" s="427" t="s">
        <v>157</v>
      </c>
      <c r="C86" s="440"/>
      <c r="D86" s="440"/>
      <c r="E86" s="440"/>
      <c r="F86" s="434">
        <f>SUM(F82:F85)</f>
        <v>0</v>
      </c>
      <c r="G86" s="440"/>
    </row>
    <row r="87" spans="1:7">
      <c r="A87" s="424"/>
      <c r="B87" s="421"/>
      <c r="C87" s="440"/>
      <c r="D87" s="440"/>
      <c r="E87" s="440"/>
      <c r="F87" s="434"/>
      <c r="G87" s="440"/>
    </row>
    <row r="88" spans="1:7">
      <c r="A88" s="424"/>
      <c r="B88" s="427" t="s">
        <v>98</v>
      </c>
      <c r="C88" s="440"/>
      <c r="D88" s="440"/>
      <c r="E88" s="440"/>
      <c r="F88" s="434"/>
      <c r="G88" s="440"/>
    </row>
    <row r="89" spans="1:7">
      <c r="A89" s="424"/>
      <c r="B89" s="427" t="s">
        <v>153</v>
      </c>
      <c r="C89" s="440"/>
      <c r="D89" s="440"/>
      <c r="E89" s="440"/>
      <c r="F89" s="434">
        <f>G24</f>
        <v>0</v>
      </c>
      <c r="G89" s="440"/>
    </row>
    <row r="90" spans="1:7">
      <c r="A90" s="424"/>
      <c r="B90" s="427" t="s">
        <v>158</v>
      </c>
      <c r="C90" s="440"/>
      <c r="D90" s="440"/>
      <c r="E90" s="440"/>
      <c r="F90" s="434">
        <f>G25</f>
        <v>0</v>
      </c>
      <c r="G90" s="440"/>
    </row>
    <row r="91" spans="1:7">
      <c r="A91" s="421"/>
      <c r="B91" s="427" t="s">
        <v>156</v>
      </c>
      <c r="C91" s="440"/>
      <c r="D91" s="440"/>
      <c r="E91" s="440"/>
      <c r="F91" s="434"/>
      <c r="G91" s="440"/>
    </row>
    <row r="92" spans="1:7">
      <c r="A92" s="421"/>
      <c r="B92" s="427" t="s">
        <v>159</v>
      </c>
      <c r="C92" s="440"/>
      <c r="D92" s="440"/>
      <c r="E92" s="440"/>
      <c r="F92" s="433">
        <f>SUM(F89:F91)</f>
        <v>0</v>
      </c>
      <c r="G92" s="440"/>
    </row>
    <row r="93" spans="1:7">
      <c r="A93" s="421"/>
      <c r="B93" s="421"/>
      <c r="C93" s="440"/>
      <c r="D93" s="440"/>
      <c r="E93" s="440"/>
      <c r="F93" s="434"/>
      <c r="G93" s="440"/>
    </row>
    <row r="94" spans="1:7">
      <c r="A94" s="421"/>
      <c r="B94" s="427" t="s">
        <v>101</v>
      </c>
      <c r="C94" s="440"/>
      <c r="D94" s="440"/>
      <c r="E94" s="440"/>
      <c r="F94" s="434">
        <f>G29</f>
        <v>0</v>
      </c>
      <c r="G94" s="440"/>
    </row>
    <row r="95" spans="1:7">
      <c r="A95" s="421"/>
      <c r="B95" s="427" t="s">
        <v>102</v>
      </c>
      <c r="C95" s="440"/>
      <c r="D95" s="440"/>
      <c r="E95" s="440"/>
      <c r="F95" s="434">
        <f>G30</f>
        <v>0</v>
      </c>
      <c r="G95" s="440"/>
    </row>
    <row r="96" spans="1:7">
      <c r="A96" s="421"/>
      <c r="B96" s="427" t="s">
        <v>160</v>
      </c>
      <c r="C96" s="440"/>
      <c r="D96" s="440"/>
      <c r="E96" s="440"/>
      <c r="F96" s="434">
        <f>G31</f>
        <v>0</v>
      </c>
      <c r="G96" s="440"/>
    </row>
    <row r="97" spans="1:7">
      <c r="A97" s="421"/>
      <c r="B97" s="421"/>
      <c r="C97" s="440"/>
      <c r="D97" s="440"/>
      <c r="E97" s="440"/>
      <c r="F97" s="434"/>
      <c r="G97" s="440"/>
    </row>
    <row r="98" spans="1:7">
      <c r="A98" s="421"/>
      <c r="B98" s="427" t="s">
        <v>104</v>
      </c>
      <c r="C98" s="440"/>
      <c r="D98" s="440"/>
      <c r="E98" s="440"/>
      <c r="F98" s="434"/>
      <c r="G98" s="440"/>
    </row>
    <row r="99" spans="1:7">
      <c r="A99" s="421"/>
      <c r="B99" s="427" t="s">
        <v>153</v>
      </c>
      <c r="C99" s="440"/>
      <c r="D99" s="440"/>
      <c r="E99" s="440"/>
      <c r="F99" s="434">
        <f>G34</f>
        <v>0</v>
      </c>
      <c r="G99" s="440"/>
    </row>
    <row r="100" spans="1:7">
      <c r="A100" s="421"/>
      <c r="B100" s="427" t="s">
        <v>158</v>
      </c>
      <c r="C100" s="440"/>
      <c r="D100" s="440"/>
      <c r="E100" s="440"/>
      <c r="F100" s="434">
        <f>G35</f>
        <v>0</v>
      </c>
      <c r="G100" s="440"/>
    </row>
    <row r="101" spans="1:7">
      <c r="A101" s="421"/>
      <c r="B101" s="427" t="s">
        <v>156</v>
      </c>
      <c r="C101" s="440"/>
      <c r="D101" s="440"/>
      <c r="E101" s="440"/>
      <c r="F101" s="436">
        <f>G36</f>
        <v>0</v>
      </c>
      <c r="G101" s="440"/>
    </row>
    <row r="102" spans="1:7">
      <c r="A102" s="421"/>
      <c r="B102" s="427" t="s">
        <v>161</v>
      </c>
      <c r="C102" s="440"/>
      <c r="D102" s="440"/>
      <c r="E102" s="440"/>
      <c r="F102" s="434">
        <f>F99+F100+F101</f>
        <v>0</v>
      </c>
      <c r="G102" s="440"/>
    </row>
    <row r="103" spans="1:7">
      <c r="A103" s="421"/>
      <c r="B103" s="440"/>
      <c r="C103" s="440"/>
      <c r="D103" s="440"/>
      <c r="E103" s="440"/>
      <c r="F103" s="434"/>
      <c r="G103" s="440"/>
    </row>
    <row r="104" spans="1:7">
      <c r="A104" s="421"/>
      <c r="B104" s="440" t="s">
        <v>106</v>
      </c>
      <c r="C104" s="440"/>
      <c r="D104" s="440"/>
      <c r="E104" s="440"/>
      <c r="F104" s="435">
        <f>F86+F92+F94+F95+F96+F102</f>
        <v>0</v>
      </c>
      <c r="G104" s="440"/>
    </row>
    <row r="105" spans="1:7">
      <c r="A105" s="421"/>
      <c r="B105" s="440"/>
      <c r="C105" s="440"/>
      <c r="D105" s="440"/>
      <c r="E105" s="440"/>
      <c r="F105" s="434"/>
      <c r="G105" s="440"/>
    </row>
    <row r="106" spans="1:7">
      <c r="A106" s="421"/>
      <c r="B106" s="440" t="s">
        <v>227</v>
      </c>
      <c r="C106" s="440"/>
      <c r="D106" s="440"/>
      <c r="E106" s="440"/>
      <c r="F106" s="436">
        <f>F78-F104</f>
        <v>0</v>
      </c>
      <c r="G106" s="440"/>
    </row>
    <row r="107" spans="1:7">
      <c r="A107" s="421"/>
      <c r="B107" s="440"/>
      <c r="C107" s="440"/>
      <c r="D107" s="440"/>
      <c r="E107" s="440"/>
      <c r="F107" s="434"/>
      <c r="G107" s="440"/>
    </row>
    <row r="108" spans="1:7">
      <c r="A108" s="421"/>
      <c r="B108" s="440" t="s">
        <v>228</v>
      </c>
      <c r="C108" s="440"/>
      <c r="D108" s="440"/>
      <c r="E108" s="441"/>
      <c r="F108" s="434"/>
      <c r="G108" s="440"/>
    </row>
    <row r="109" spans="1:7" ht="13.5" thickBot="1">
      <c r="A109" s="421"/>
      <c r="B109" s="451" t="s">
        <v>229</v>
      </c>
      <c r="C109" s="452">
        <f>Inputs!$D$4</f>
        <v>1.2215999999999999E-2</v>
      </c>
      <c r="D109" s="440"/>
      <c r="E109" s="441"/>
      <c r="F109" s="439">
        <f>ROUND(F106*C109,0)</f>
        <v>0</v>
      </c>
      <c r="G109" s="440"/>
    </row>
    <row r="110" spans="1:7" ht="13.5" thickTop="1">
      <c r="A110" s="421"/>
      <c r="B110" s="440"/>
      <c r="C110" s="440"/>
      <c r="D110" s="440"/>
      <c r="E110" s="441"/>
      <c r="F110" s="442"/>
      <c r="G110" s="440"/>
    </row>
  </sheetData>
  <phoneticPr fontId="0" type="noConversion"/>
  <pageMargins left="1" right="1" top="0.5" bottom="0.25" header="0.5" footer="0.5"/>
  <pageSetup scale="90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68"/>
  <dimension ref="A1:H110"/>
  <sheetViews>
    <sheetView workbookViewId="0">
      <selection activeCell="F40" sqref="F40"/>
    </sheetView>
  </sheetViews>
  <sheetFormatPr defaultRowHeight="12.75"/>
  <cols>
    <col min="1" max="1" width="5.5703125" style="47" customWidth="1"/>
    <col min="2" max="2" width="26.140625" style="44" customWidth="1"/>
    <col min="3" max="3" width="12.42578125" style="44" customWidth="1"/>
    <col min="4" max="4" width="6.7109375" style="44" customWidth="1"/>
    <col min="5" max="8" width="12.42578125" style="44" customWidth="1"/>
  </cols>
  <sheetData>
    <row r="1" spans="1:8">
      <c r="A1" s="42" t="str">
        <f>Inputs!$D$6</f>
        <v>AVISTA UTILITIES</v>
      </c>
      <c r="B1" s="43"/>
      <c r="C1" s="42"/>
      <c r="F1" s="47" t="s">
        <v>675</v>
      </c>
    </row>
    <row r="2" spans="1:8">
      <c r="A2" s="42" t="s">
        <v>142</v>
      </c>
      <c r="B2" s="43"/>
      <c r="C2" s="42"/>
      <c r="E2" s="42"/>
      <c r="F2" s="456" t="s">
        <v>299</v>
      </c>
      <c r="G2" s="42"/>
    </row>
    <row r="3" spans="1:8">
      <c r="A3" s="43" t="str">
        <f>WAElec09_08!$A$4</f>
        <v>TWELVE MONTHS ENDED SEPTEMBER 30, 2008</v>
      </c>
      <c r="B3" s="43"/>
      <c r="C3" s="42"/>
      <c r="E3" s="42"/>
      <c r="F3" s="47" t="s">
        <v>674</v>
      </c>
      <c r="G3" s="42"/>
    </row>
    <row r="4" spans="1:8">
      <c r="A4" s="42" t="s">
        <v>1</v>
      </c>
      <c r="B4" s="43"/>
      <c r="C4" s="42"/>
      <c r="E4" s="45"/>
      <c r="F4" s="670" t="s">
        <v>145</v>
      </c>
      <c r="G4" s="46"/>
    </row>
    <row r="5" spans="1:8">
      <c r="A5" s="47" t="s">
        <v>14</v>
      </c>
    </row>
    <row r="6" spans="1:8">
      <c r="A6" s="47" t="s">
        <v>146</v>
      </c>
      <c r="B6" s="48" t="s">
        <v>36</v>
      </c>
      <c r="C6" s="48"/>
      <c r="D6" s="47"/>
      <c r="E6" s="48" t="s">
        <v>147</v>
      </c>
      <c r="F6" s="48" t="s">
        <v>148</v>
      </c>
      <c r="G6" s="48" t="s">
        <v>128</v>
      </c>
      <c r="H6" s="49" t="s">
        <v>149</v>
      </c>
    </row>
    <row r="7" spans="1:8">
      <c r="B7" s="50" t="s">
        <v>85</v>
      </c>
    </row>
    <row r="8" spans="1:8">
      <c r="A8" s="51">
        <v>1</v>
      </c>
      <c r="B8" s="52" t="s">
        <v>86</v>
      </c>
      <c r="C8" s="53"/>
      <c r="D8" s="53"/>
      <c r="E8" s="54">
        <f>F8+G8</f>
        <v>0</v>
      </c>
      <c r="F8" s="54">
        <v>0</v>
      </c>
      <c r="G8" s="54">
        <v>0</v>
      </c>
      <c r="H8" s="53" t="str">
        <f t="shared" ref="H8:H13" si="0">IF(E8=F8+G8," ","ERROR")</f>
        <v xml:space="preserve"> </v>
      </c>
    </row>
    <row r="9" spans="1:8">
      <c r="A9" s="47">
        <v>2</v>
      </c>
      <c r="B9" s="50" t="s">
        <v>87</v>
      </c>
      <c r="E9" s="55"/>
      <c r="F9" s="55"/>
      <c r="G9" s="55"/>
      <c r="H9" s="53" t="str">
        <f t="shared" si="0"/>
        <v xml:space="preserve"> </v>
      </c>
    </row>
    <row r="10" spans="1:8">
      <c r="A10" s="47">
        <v>3</v>
      </c>
      <c r="B10" s="50" t="s">
        <v>150</v>
      </c>
      <c r="E10" s="55"/>
      <c r="F10" s="55"/>
      <c r="G10" s="55"/>
      <c r="H10" s="53" t="str">
        <f t="shared" si="0"/>
        <v xml:space="preserve"> </v>
      </c>
    </row>
    <row r="11" spans="1:8">
      <c r="A11" s="47">
        <v>4</v>
      </c>
      <c r="B11" s="50" t="s">
        <v>151</v>
      </c>
      <c r="E11" s="56">
        <f>E8+E9+E10</f>
        <v>0</v>
      </c>
      <c r="F11" s="56">
        <f>F8+F9+F10</f>
        <v>0</v>
      </c>
      <c r="G11" s="56">
        <f>G8+G9+G10</f>
        <v>0</v>
      </c>
      <c r="H11" s="53" t="str">
        <f t="shared" si="0"/>
        <v xml:space="preserve"> </v>
      </c>
    </row>
    <row r="12" spans="1:8">
      <c r="A12" s="47">
        <v>5</v>
      </c>
      <c r="B12" s="50" t="s">
        <v>90</v>
      </c>
      <c r="E12" s="55"/>
      <c r="F12" s="55"/>
      <c r="G12" s="55"/>
      <c r="H12" s="53" t="str">
        <f t="shared" si="0"/>
        <v xml:space="preserve"> </v>
      </c>
    </row>
    <row r="13" spans="1:8">
      <c r="A13" s="47">
        <v>6</v>
      </c>
      <c r="B13" s="50" t="s">
        <v>152</v>
      </c>
      <c r="E13" s="56">
        <f>E11+E12</f>
        <v>0</v>
      </c>
      <c r="F13" s="56">
        <f>F11+F12</f>
        <v>0</v>
      </c>
      <c r="G13" s="56">
        <f>G11+G12</f>
        <v>0</v>
      </c>
      <c r="H13" s="53" t="str">
        <f t="shared" si="0"/>
        <v xml:space="preserve"> </v>
      </c>
    </row>
    <row r="14" spans="1:8">
      <c r="E14" s="58"/>
      <c r="F14" s="58"/>
      <c r="G14" s="58"/>
      <c r="H14" s="53"/>
    </row>
    <row r="15" spans="1:8">
      <c r="B15" s="50" t="s">
        <v>92</v>
      </c>
      <c r="E15" s="58"/>
      <c r="F15" s="58"/>
      <c r="G15" s="58"/>
      <c r="H15" s="53"/>
    </row>
    <row r="16" spans="1:8">
      <c r="B16" s="50" t="s">
        <v>93</v>
      </c>
      <c r="E16" s="58"/>
      <c r="F16" s="58"/>
      <c r="G16" s="58"/>
      <c r="H16" s="53"/>
    </row>
    <row r="17" spans="1:8">
      <c r="A17" s="47">
        <v>7</v>
      </c>
      <c r="B17" s="50" t="s">
        <v>153</v>
      </c>
      <c r="E17" s="55">
        <f>F17+G17</f>
        <v>1041</v>
      </c>
      <c r="F17" s="55">
        <f>975+66</f>
        <v>1041</v>
      </c>
      <c r="G17" s="55">
        <v>0</v>
      </c>
      <c r="H17" s="53" t="str">
        <f>IF(E17=F17+G17," ","ERROR")</f>
        <v xml:space="preserve"> </v>
      </c>
    </row>
    <row r="18" spans="1:8">
      <c r="A18" s="47">
        <v>8</v>
      </c>
      <c r="B18" s="50" t="s">
        <v>154</v>
      </c>
      <c r="E18" s="55"/>
      <c r="F18" s="55"/>
      <c r="G18" s="55"/>
      <c r="H18" s="53" t="str">
        <f>IF(E18=F18+G18," ","ERROR")</f>
        <v xml:space="preserve"> </v>
      </c>
    </row>
    <row r="19" spans="1:8">
      <c r="A19" s="47">
        <v>9</v>
      </c>
      <c r="B19" s="50" t="s">
        <v>155</v>
      </c>
      <c r="E19" s="55">
        <f>F19+G19</f>
        <v>0</v>
      </c>
      <c r="F19" s="55">
        <v>0</v>
      </c>
      <c r="G19" s="55"/>
      <c r="H19" s="53" t="str">
        <f>IF(E19=F19+G19," ","ERROR")</f>
        <v xml:space="preserve"> </v>
      </c>
    </row>
    <row r="20" spans="1:8">
      <c r="A20" s="47">
        <v>10</v>
      </c>
      <c r="B20" s="50" t="s">
        <v>156</v>
      </c>
      <c r="E20" s="55">
        <f>F20+G20</f>
        <v>0</v>
      </c>
      <c r="F20" s="55"/>
      <c r="G20" s="55"/>
      <c r="H20" s="53" t="str">
        <f>IF(E20=F20+G20," ","ERROR")</f>
        <v xml:space="preserve"> </v>
      </c>
    </row>
    <row r="21" spans="1:8">
      <c r="A21" s="47">
        <v>11</v>
      </c>
      <c r="B21" s="50" t="s">
        <v>157</v>
      </c>
      <c r="E21" s="56">
        <f>E17+E18+E19+E20</f>
        <v>1041</v>
      </c>
      <c r="F21" s="56">
        <f>F17+F18+F19+F20</f>
        <v>1041</v>
      </c>
      <c r="G21" s="56">
        <f>G17+G18+G19+G20</f>
        <v>0</v>
      </c>
      <c r="H21" s="53" t="str">
        <f>IF(E21=F21+G21," ","ERROR")</f>
        <v xml:space="preserve"> </v>
      </c>
    </row>
    <row r="22" spans="1:8">
      <c r="E22" s="58"/>
      <c r="F22" s="58"/>
      <c r="G22" s="58"/>
      <c r="H22" s="53"/>
    </row>
    <row r="23" spans="1:8">
      <c r="B23" s="50" t="s">
        <v>98</v>
      </c>
      <c r="E23" s="58"/>
      <c r="F23" s="58"/>
      <c r="G23" s="58"/>
      <c r="H23" s="53"/>
    </row>
    <row r="24" spans="1:8">
      <c r="A24" s="47">
        <v>12</v>
      </c>
      <c r="B24" s="50" t="s">
        <v>153</v>
      </c>
      <c r="E24" s="55">
        <f>F24+G24</f>
        <v>778</v>
      </c>
      <c r="F24" s="55">
        <v>778</v>
      </c>
      <c r="G24" s="55">
        <v>0</v>
      </c>
      <c r="H24" s="53" t="str">
        <f>IF(E24=F24+G24," ","ERROR")</f>
        <v xml:space="preserve"> </v>
      </c>
    </row>
    <row r="25" spans="1:8">
      <c r="A25" s="47">
        <v>13</v>
      </c>
      <c r="B25" s="50" t="s">
        <v>158</v>
      </c>
      <c r="E25" s="55"/>
      <c r="F25" s="55"/>
      <c r="G25" s="55"/>
      <c r="H25" s="53" t="str">
        <f>IF(E25=F25+G25," ","ERROR")</f>
        <v xml:space="preserve"> </v>
      </c>
    </row>
    <row r="26" spans="1:8">
      <c r="A26" s="47">
        <v>14</v>
      </c>
      <c r="B26" s="50" t="s">
        <v>156</v>
      </c>
      <c r="E26" s="55">
        <f>F26+G26</f>
        <v>0</v>
      </c>
      <c r="F26" s="55">
        <v>0</v>
      </c>
      <c r="G26" s="916">
        <f>F109</f>
        <v>0</v>
      </c>
      <c r="H26" s="53" t="str">
        <f>IF(E26=F26+G26," ","ERROR")</f>
        <v xml:space="preserve"> </v>
      </c>
    </row>
    <row r="27" spans="1:8">
      <c r="A27" s="47">
        <v>15</v>
      </c>
      <c r="B27" s="50" t="s">
        <v>159</v>
      </c>
      <c r="E27" s="56">
        <f>E24+E25+E26</f>
        <v>778</v>
      </c>
      <c r="F27" s="56">
        <f>F24+F25+F26</f>
        <v>778</v>
      </c>
      <c r="G27" s="56">
        <f>G24+G25+G26</f>
        <v>0</v>
      </c>
      <c r="H27" s="53" t="str">
        <f>IF(E27=F27+G27," ","ERROR")</f>
        <v xml:space="preserve"> </v>
      </c>
    </row>
    <row r="28" spans="1:8">
      <c r="E28" s="58"/>
      <c r="F28" s="58"/>
      <c r="G28" s="58"/>
      <c r="H28" s="53"/>
    </row>
    <row r="29" spans="1:8">
      <c r="A29" s="47">
        <v>16</v>
      </c>
      <c r="B29" s="50" t="s">
        <v>101</v>
      </c>
      <c r="E29" s="55">
        <f>SUM(F29:G29)</f>
        <v>329</v>
      </c>
      <c r="F29" s="55">
        <v>329</v>
      </c>
      <c r="G29" s="55">
        <v>0</v>
      </c>
      <c r="H29" s="53" t="str">
        <f>IF(E29=F29+G29," ","ERROR")</f>
        <v xml:space="preserve"> </v>
      </c>
    </row>
    <row r="30" spans="1:8">
      <c r="A30" s="47">
        <v>17</v>
      </c>
      <c r="B30" s="50" t="s">
        <v>102</v>
      </c>
      <c r="E30" s="55">
        <f>SUM(F30:G30)</f>
        <v>19</v>
      </c>
      <c r="F30" s="55">
        <v>19</v>
      </c>
      <c r="G30" s="55">
        <v>0</v>
      </c>
      <c r="H30" s="53" t="str">
        <f>IF(E30=F30+G30," ","ERROR")</f>
        <v xml:space="preserve"> </v>
      </c>
    </row>
    <row r="31" spans="1:8">
      <c r="A31" s="47">
        <v>18</v>
      </c>
      <c r="B31" s="50" t="s">
        <v>160</v>
      </c>
      <c r="E31" s="55">
        <f>SUM(F31:G31)</f>
        <v>30</v>
      </c>
      <c r="F31" s="55">
        <v>30</v>
      </c>
      <c r="G31" s="55">
        <v>0</v>
      </c>
      <c r="H31" s="53" t="str">
        <f>IF(E31=F31+G31," ","ERROR")</f>
        <v xml:space="preserve"> </v>
      </c>
    </row>
    <row r="32" spans="1:8">
      <c r="E32" s="58"/>
      <c r="F32" s="58"/>
      <c r="G32" s="58"/>
      <c r="H32" s="53"/>
    </row>
    <row r="33" spans="1:8">
      <c r="B33" s="50" t="s">
        <v>104</v>
      </c>
      <c r="E33" s="58"/>
      <c r="F33" s="58"/>
      <c r="G33" s="58"/>
      <c r="H33" s="53"/>
    </row>
    <row r="34" spans="1:8">
      <c r="A34" s="47">
        <v>19</v>
      </c>
      <c r="B34" s="50" t="s">
        <v>153</v>
      </c>
      <c r="E34" s="55">
        <f>SUM(F34:G34)</f>
        <v>1768</v>
      </c>
      <c r="F34" s="55">
        <f>801+967</f>
        <v>1768</v>
      </c>
      <c r="G34" s="55">
        <v>0</v>
      </c>
      <c r="H34" s="53" t="str">
        <f>IF(E34=F34+G34," ","ERROR")</f>
        <v xml:space="preserve"> </v>
      </c>
    </row>
    <row r="35" spans="1:8">
      <c r="A35" s="47">
        <v>20</v>
      </c>
      <c r="B35" s="50" t="s">
        <v>158</v>
      </c>
      <c r="E35" s="55"/>
      <c r="F35" s="55"/>
      <c r="G35" s="55"/>
      <c r="H35" s="53" t="str">
        <f>IF(E35=F35+G35," ","ERROR")</f>
        <v xml:space="preserve"> </v>
      </c>
    </row>
    <row r="36" spans="1:8">
      <c r="A36" s="47">
        <v>21</v>
      </c>
      <c r="B36" s="50" t="s">
        <v>156</v>
      </c>
      <c r="E36" s="55"/>
      <c r="F36" s="55"/>
      <c r="G36" s="55"/>
      <c r="H36" s="53" t="str">
        <f>IF(E36=F36+G36," ","ERROR")</f>
        <v xml:space="preserve"> </v>
      </c>
    </row>
    <row r="37" spans="1:8">
      <c r="A37" s="47">
        <v>22</v>
      </c>
      <c r="B37" s="50" t="s">
        <v>161</v>
      </c>
      <c r="E37" s="60">
        <f>E34+E35+E36</f>
        <v>1768</v>
      </c>
      <c r="F37" s="60">
        <f>F34+F35+F36</f>
        <v>1768</v>
      </c>
      <c r="G37" s="60">
        <f>G34+G35+G36</f>
        <v>0</v>
      </c>
      <c r="H37" s="53" t="str">
        <f>IF(E37=F37+G37," ","ERROR")</f>
        <v xml:space="preserve"> </v>
      </c>
    </row>
    <row r="38" spans="1:8">
      <c r="A38" s="47">
        <v>23</v>
      </c>
      <c r="B38" s="50" t="s">
        <v>106</v>
      </c>
      <c r="E38" s="61">
        <f>E21+E27+E29+E30+E31+E37</f>
        <v>3965</v>
      </c>
      <c r="F38" s="61">
        <f>F21+F27+F29+F30+F31+F37</f>
        <v>3965</v>
      </c>
      <c r="G38" s="61">
        <f>G21+G27+G29+G30+G31+G37</f>
        <v>0</v>
      </c>
      <c r="H38" s="53" t="str">
        <f>IF(E38=F38+G38," ","ERROR")</f>
        <v xml:space="preserve"> </v>
      </c>
    </row>
    <row r="39" spans="1:8">
      <c r="E39" s="58"/>
      <c r="F39" s="58"/>
      <c r="G39" s="58"/>
      <c r="H39" s="53"/>
    </row>
    <row r="40" spans="1:8">
      <c r="A40" s="47">
        <v>24</v>
      </c>
      <c r="B40" s="50" t="s">
        <v>162</v>
      </c>
      <c r="E40" s="58">
        <f>E13-E38</f>
        <v>-3965</v>
      </c>
      <c r="F40" s="58">
        <f>F13-F38</f>
        <v>-3965</v>
      </c>
      <c r="G40" s="58">
        <f>G13-G38</f>
        <v>0</v>
      </c>
      <c r="H40" s="53" t="str">
        <f>IF(E40=F40+G40," ","ERROR")</f>
        <v xml:space="preserve"> </v>
      </c>
    </row>
    <row r="41" spans="1:8">
      <c r="B41" s="50"/>
      <c r="E41" s="58"/>
      <c r="F41" s="58"/>
      <c r="G41" s="58"/>
      <c r="H41" s="53"/>
    </row>
    <row r="42" spans="1:8">
      <c r="B42" s="50" t="s">
        <v>163</v>
      </c>
      <c r="E42" s="58"/>
      <c r="F42" s="58"/>
      <c r="G42" s="58"/>
      <c r="H42" s="53"/>
    </row>
    <row r="43" spans="1:8">
      <c r="A43" s="47">
        <v>25</v>
      </c>
      <c r="B43" s="50" t="s">
        <v>164</v>
      </c>
      <c r="D43" s="62">
        <v>0.35</v>
      </c>
      <c r="E43" s="55">
        <f>F43+G43</f>
        <v>-1388</v>
      </c>
      <c r="F43" s="55">
        <f>ROUND(F40*D43,0)</f>
        <v>-1388</v>
      </c>
      <c r="G43" s="55">
        <f>ROUND(G40*D43,0)</f>
        <v>0</v>
      </c>
      <c r="H43" s="53" t="str">
        <f>IF(E43=F43+G43," ","ERROR")</f>
        <v xml:space="preserve"> </v>
      </c>
    </row>
    <row r="44" spans="1:8">
      <c r="A44" s="47">
        <v>26</v>
      </c>
      <c r="B44" s="50" t="s">
        <v>165</v>
      </c>
      <c r="E44" s="55"/>
      <c r="F44" s="55"/>
      <c r="G44" s="55"/>
      <c r="H44" s="53" t="str">
        <f>IF(E44=F44+G44," ","ERROR")</f>
        <v xml:space="preserve"> </v>
      </c>
    </row>
    <row r="45" spans="1:8">
      <c r="A45"/>
      <c r="B45"/>
      <c r="C45"/>
      <c r="D45"/>
      <c r="E45" s="913"/>
      <c r="F45" s="913"/>
      <c r="G45" s="913"/>
      <c r="H45" s="53" t="str">
        <f>IF(E45=F45+G45," ","ERROR")</f>
        <v xml:space="preserve"> </v>
      </c>
    </row>
    <row r="46" spans="1:8">
      <c r="A46" s="259"/>
      <c r="B46" s="262"/>
      <c r="C46" s="256"/>
      <c r="D46" s="256"/>
      <c r="E46" s="269"/>
      <c r="F46" s="269"/>
      <c r="G46" s="269"/>
      <c r="H46" s="53"/>
    </row>
    <row r="47" spans="1:8">
      <c r="A47" s="263">
        <v>27</v>
      </c>
      <c r="B47" s="264" t="s">
        <v>113</v>
      </c>
      <c r="C47" s="265"/>
      <c r="D47" s="265"/>
      <c r="E47" s="273">
        <f>E40-SUM(E43:E44)</f>
        <v>-2577</v>
      </c>
      <c r="F47" s="273">
        <f>F40-SUM(F43:F44)</f>
        <v>-2577</v>
      </c>
      <c r="G47" s="273">
        <f>G40-SUM(G43:G44)</f>
        <v>0</v>
      </c>
      <c r="H47" s="53" t="str">
        <f>IF(E47=F47+G47," ","ERROR")</f>
        <v xml:space="preserve"> </v>
      </c>
    </row>
    <row r="48" spans="1:8">
      <c r="A48" s="259"/>
      <c r="H48" s="53"/>
    </row>
    <row r="49" spans="1:8">
      <c r="A49" s="259"/>
      <c r="B49" s="50" t="s">
        <v>114</v>
      </c>
      <c r="H49" s="53"/>
    </row>
    <row r="50" spans="1:8">
      <c r="A50" s="259"/>
      <c r="B50" s="50" t="s">
        <v>115</v>
      </c>
      <c r="H50" s="53"/>
    </row>
    <row r="51" spans="1:8">
      <c r="A51" s="263">
        <v>28</v>
      </c>
      <c r="B51" s="52" t="s">
        <v>167</v>
      </c>
      <c r="C51" s="53"/>
      <c r="D51" s="53"/>
      <c r="E51" s="54"/>
      <c r="F51" s="54"/>
      <c r="G51" s="54"/>
      <c r="H51" s="53" t="str">
        <f t="shared" ref="H51:H61" si="1">IF(E51=F51+G51," ","ERROR")</f>
        <v xml:space="preserve"> </v>
      </c>
    </row>
    <row r="52" spans="1:8">
      <c r="A52" s="259">
        <v>29</v>
      </c>
      <c r="B52" s="50" t="s">
        <v>168</v>
      </c>
      <c r="E52" s="55">
        <f>F52+G52</f>
        <v>0</v>
      </c>
      <c r="F52" s="55"/>
      <c r="G52" s="55"/>
      <c r="H52" s="53" t="str">
        <f t="shared" si="1"/>
        <v xml:space="preserve"> </v>
      </c>
    </row>
    <row r="53" spans="1:8">
      <c r="A53" s="259">
        <v>30</v>
      </c>
      <c r="B53" s="50" t="s">
        <v>169</v>
      </c>
      <c r="E53" s="55"/>
      <c r="F53" s="55"/>
      <c r="G53" s="55"/>
      <c r="H53" s="53" t="str">
        <f t="shared" si="1"/>
        <v xml:space="preserve"> </v>
      </c>
    </row>
    <row r="54" spans="1:8">
      <c r="A54" s="259">
        <v>31</v>
      </c>
      <c r="B54" s="50" t="s">
        <v>170</v>
      </c>
      <c r="E54" s="55"/>
      <c r="F54" s="55"/>
      <c r="G54" s="55"/>
      <c r="H54" s="53" t="str">
        <f t="shared" si="1"/>
        <v xml:space="preserve"> </v>
      </c>
    </row>
    <row r="55" spans="1:8">
      <c r="A55" s="259">
        <v>32</v>
      </c>
      <c r="B55" s="50" t="s">
        <v>171</v>
      </c>
      <c r="E55" s="59"/>
      <c r="F55" s="59"/>
      <c r="G55" s="59"/>
      <c r="H55" s="53" t="str">
        <f t="shared" si="1"/>
        <v xml:space="preserve"> </v>
      </c>
    </row>
    <row r="56" spans="1:8">
      <c r="A56" s="259">
        <v>33</v>
      </c>
      <c r="B56" s="50" t="s">
        <v>172</v>
      </c>
      <c r="E56" s="58">
        <f>E51+E52+E53+E54+E55</f>
        <v>0</v>
      </c>
      <c r="F56" s="58">
        <f>F51+F52+F53+F54+F55</f>
        <v>0</v>
      </c>
      <c r="G56" s="58">
        <f>G51+G52+G53+G54+G55</f>
        <v>0</v>
      </c>
      <c r="H56" s="53" t="str">
        <f t="shared" si="1"/>
        <v xml:space="preserve"> </v>
      </c>
    </row>
    <row r="57" spans="1:8">
      <c r="A57" s="259">
        <v>34</v>
      </c>
      <c r="B57" s="50" t="s">
        <v>121</v>
      </c>
      <c r="E57" s="55">
        <f>F57+G57</f>
        <v>0</v>
      </c>
      <c r="F57" s="55"/>
      <c r="G57" s="55"/>
      <c r="H57" s="53" t="str">
        <f t="shared" si="1"/>
        <v xml:space="preserve"> </v>
      </c>
    </row>
    <row r="58" spans="1:8">
      <c r="A58" s="259">
        <v>35</v>
      </c>
      <c r="B58" s="50" t="s">
        <v>122</v>
      </c>
      <c r="E58" s="59"/>
      <c r="F58" s="59"/>
      <c r="G58" s="59"/>
      <c r="H58" s="53" t="str">
        <f t="shared" si="1"/>
        <v xml:space="preserve"> </v>
      </c>
    </row>
    <row r="59" spans="1:8">
      <c r="A59" s="259">
        <v>36</v>
      </c>
      <c r="B59" s="50" t="s">
        <v>173</v>
      </c>
      <c r="E59" s="58">
        <f>E57+E58</f>
        <v>0</v>
      </c>
      <c r="F59" s="58">
        <f>F57+F58</f>
        <v>0</v>
      </c>
      <c r="G59" s="58">
        <f>G57+G58</f>
        <v>0</v>
      </c>
      <c r="H59" s="53" t="str">
        <f t="shared" si="1"/>
        <v xml:space="preserve"> </v>
      </c>
    </row>
    <row r="60" spans="1:8">
      <c r="A60" s="259">
        <v>37</v>
      </c>
      <c r="B60" s="50" t="s">
        <v>124</v>
      </c>
      <c r="E60" s="55"/>
      <c r="F60" s="55"/>
      <c r="G60" s="55"/>
      <c r="H60" s="53" t="str">
        <f t="shared" si="1"/>
        <v xml:space="preserve"> </v>
      </c>
    </row>
    <row r="61" spans="1:8">
      <c r="A61" s="259">
        <v>38</v>
      </c>
      <c r="B61" s="50" t="s">
        <v>125</v>
      </c>
      <c r="E61" s="59">
        <f>F61+G61</f>
        <v>0</v>
      </c>
      <c r="F61" s="59"/>
      <c r="G61" s="59"/>
      <c r="H61" s="53" t="str">
        <f t="shared" si="1"/>
        <v xml:space="preserve"> </v>
      </c>
    </row>
    <row r="62" spans="1:8" ht="11.25" customHeight="1">
      <c r="A62" s="259"/>
      <c r="H62" s="53"/>
    </row>
    <row r="63" spans="1:8" ht="13.5" thickBot="1">
      <c r="A63" s="263">
        <v>39</v>
      </c>
      <c r="B63" s="52" t="s">
        <v>126</v>
      </c>
      <c r="C63" s="53"/>
      <c r="D63" s="53"/>
      <c r="E63" s="63">
        <f>E56-E59+E60+E61</f>
        <v>0</v>
      </c>
      <c r="F63" s="63">
        <f>F56-F59+F60+F61</f>
        <v>0</v>
      </c>
      <c r="G63" s="63">
        <f>G56-G59+G60+G61</f>
        <v>0</v>
      </c>
      <c r="H63" s="53" t="str">
        <f>IF(E63=F63+G63," ","ERROR")</f>
        <v xml:space="preserve"> </v>
      </c>
    </row>
    <row r="64" spans="1:8" ht="13.5" thickTop="1">
      <c r="A64" s="44"/>
      <c r="B64" s="69"/>
      <c r="C64" s="69"/>
      <c r="D64" s="69"/>
      <c r="E64" s="671"/>
      <c r="F64" s="672"/>
      <c r="G64" s="69"/>
      <c r="H64" s="69"/>
    </row>
    <row r="65" spans="1:7">
      <c r="A65" s="420" t="str">
        <f>Inputs!$D$6</f>
        <v>AVISTA UTILITIES</v>
      </c>
      <c r="B65" s="420"/>
      <c r="C65" s="420"/>
      <c r="D65" s="440"/>
      <c r="E65" s="441"/>
      <c r="F65" s="440"/>
      <c r="G65" s="442"/>
    </row>
    <row r="66" spans="1:7">
      <c r="A66" s="420" t="s">
        <v>225</v>
      </c>
      <c r="B66" s="420"/>
      <c r="C66" s="420"/>
      <c r="D66" s="440"/>
      <c r="E66" s="441"/>
      <c r="F66" s="440"/>
      <c r="G66" s="442"/>
    </row>
    <row r="67" spans="1:7">
      <c r="A67" s="420" t="str">
        <f>A3</f>
        <v>TWELVE MONTHS ENDED SEPTEMBER 30, 2008</v>
      </c>
      <c r="B67" s="420"/>
      <c r="C67" s="420"/>
      <c r="D67" s="440"/>
      <c r="E67" s="441"/>
      <c r="F67" s="443" t="str">
        <f>F2</f>
        <v>PRO FORMA</v>
      </c>
      <c r="G67" s="440"/>
    </row>
    <row r="68" spans="1:7">
      <c r="A68" s="420" t="s">
        <v>226</v>
      </c>
      <c r="B68" s="420"/>
      <c r="C68" s="420"/>
      <c r="D68" s="440"/>
      <c r="E68" s="441"/>
      <c r="F68" s="443" t="str">
        <f>F3</f>
        <v>EMPLOYEE BENEFITS</v>
      </c>
      <c r="G68" s="440"/>
    </row>
    <row r="69" spans="1:7">
      <c r="A69" s="424"/>
      <c r="B69" s="440"/>
      <c r="C69" s="440"/>
      <c r="D69" s="440"/>
      <c r="E69" s="444"/>
      <c r="F69" s="445" t="str">
        <f>F4</f>
        <v>ELECTRIC</v>
      </c>
      <c r="G69" s="440"/>
    </row>
    <row r="70" spans="1:7">
      <c r="A70" s="424"/>
      <c r="B70" s="440"/>
      <c r="C70" s="440"/>
      <c r="D70" s="440"/>
      <c r="E70" s="441"/>
      <c r="F70" s="443"/>
      <c r="G70" s="447"/>
    </row>
    <row r="71" spans="1:7">
      <c r="A71" s="424"/>
      <c r="B71" s="448" t="s">
        <v>134</v>
      </c>
      <c r="C71" s="449"/>
      <c r="D71" s="440"/>
      <c r="E71" s="441"/>
      <c r="F71" s="445" t="s">
        <v>128</v>
      </c>
      <c r="G71" s="440"/>
    </row>
    <row r="72" spans="1:7">
      <c r="A72" s="424"/>
      <c r="B72" s="427" t="s">
        <v>85</v>
      </c>
      <c r="C72" s="440"/>
      <c r="D72" s="440"/>
      <c r="E72" s="440"/>
      <c r="F72" s="442"/>
      <c r="G72" s="440"/>
    </row>
    <row r="73" spans="1:7">
      <c r="A73" s="424"/>
      <c r="B73" s="429" t="s">
        <v>86</v>
      </c>
      <c r="C73" s="440"/>
      <c r="D73" s="440"/>
      <c r="E73" s="440"/>
      <c r="F73" s="450">
        <f>G8</f>
        <v>0</v>
      </c>
      <c r="G73" s="440"/>
    </row>
    <row r="74" spans="1:7">
      <c r="A74" s="424"/>
      <c r="B74" s="427" t="s">
        <v>87</v>
      </c>
      <c r="C74" s="440"/>
      <c r="D74" s="440"/>
      <c r="E74" s="440"/>
      <c r="F74" s="434">
        <f>G9</f>
        <v>0</v>
      </c>
      <c r="G74" s="440"/>
    </row>
    <row r="75" spans="1:7">
      <c r="A75" s="424"/>
      <c r="B75" s="427" t="s">
        <v>150</v>
      </c>
      <c r="C75" s="440"/>
      <c r="D75" s="440"/>
      <c r="E75" s="440"/>
      <c r="F75" s="436">
        <f>G10</f>
        <v>0</v>
      </c>
      <c r="G75" s="440"/>
    </row>
    <row r="76" spans="1:7">
      <c r="A76" s="424"/>
      <c r="B76" s="427" t="s">
        <v>151</v>
      </c>
      <c r="C76" s="440"/>
      <c r="D76" s="440"/>
      <c r="E76" s="440"/>
      <c r="F76" s="434">
        <f>SUM(F73:F75)</f>
        <v>0</v>
      </c>
      <c r="G76" s="440"/>
    </row>
    <row r="77" spans="1:7">
      <c r="A77" s="424"/>
      <c r="B77" s="427" t="s">
        <v>90</v>
      </c>
      <c r="C77" s="440"/>
      <c r="D77" s="440"/>
      <c r="E77" s="440"/>
      <c r="F77" s="436">
        <f>G12</f>
        <v>0</v>
      </c>
      <c r="G77" s="440"/>
    </row>
    <row r="78" spans="1:7">
      <c r="A78" s="424"/>
      <c r="B78" s="427" t="s">
        <v>152</v>
      </c>
      <c r="C78" s="440"/>
      <c r="D78" s="440"/>
      <c r="E78" s="440"/>
      <c r="F78" s="434">
        <f>F76+F77</f>
        <v>0</v>
      </c>
      <c r="G78" s="440"/>
    </row>
    <row r="79" spans="1:7">
      <c r="A79" s="424"/>
      <c r="B79" s="421"/>
      <c r="C79" s="440"/>
      <c r="D79" s="440"/>
      <c r="E79" s="440"/>
      <c r="F79" s="434"/>
      <c r="G79" s="440"/>
    </row>
    <row r="80" spans="1:7">
      <c r="A80" s="424"/>
      <c r="B80" s="427" t="s">
        <v>92</v>
      </c>
      <c r="C80" s="440"/>
      <c r="D80" s="440"/>
      <c r="E80" s="440"/>
      <c r="F80" s="434"/>
      <c r="G80" s="440"/>
    </row>
    <row r="81" spans="1:7">
      <c r="A81" s="424"/>
      <c r="B81" s="427" t="s">
        <v>93</v>
      </c>
      <c r="C81" s="440"/>
      <c r="D81" s="440"/>
      <c r="E81" s="440"/>
      <c r="F81" s="434"/>
      <c r="G81" s="440"/>
    </row>
    <row r="82" spans="1:7">
      <c r="A82" s="424"/>
      <c r="B82" s="427" t="s">
        <v>153</v>
      </c>
      <c r="C82" s="440"/>
      <c r="D82" s="440"/>
      <c r="E82" s="440"/>
      <c r="F82" s="434">
        <f>G17</f>
        <v>0</v>
      </c>
      <c r="G82" s="440"/>
    </row>
    <row r="83" spans="1:7">
      <c r="A83" s="424"/>
      <c r="B83" s="427" t="s">
        <v>154</v>
      </c>
      <c r="C83" s="440"/>
      <c r="D83" s="440"/>
      <c r="E83" s="440"/>
      <c r="F83" s="434">
        <f>G18</f>
        <v>0</v>
      </c>
      <c r="G83" s="440"/>
    </row>
    <row r="84" spans="1:7">
      <c r="A84" s="424"/>
      <c r="B84" s="427" t="s">
        <v>155</v>
      </c>
      <c r="C84" s="440"/>
      <c r="D84" s="440"/>
      <c r="E84" s="440"/>
      <c r="F84" s="434">
        <f>G19</f>
        <v>0</v>
      </c>
      <c r="G84" s="440"/>
    </row>
    <row r="85" spans="1:7">
      <c r="A85" s="424"/>
      <c r="B85" s="427" t="s">
        <v>156</v>
      </c>
      <c r="C85" s="440"/>
      <c r="D85" s="440"/>
      <c r="E85" s="440"/>
      <c r="F85" s="436">
        <f>G20</f>
        <v>0</v>
      </c>
      <c r="G85" s="440"/>
    </row>
    <row r="86" spans="1:7">
      <c r="A86" s="424"/>
      <c r="B86" s="427" t="s">
        <v>157</v>
      </c>
      <c r="C86" s="440"/>
      <c r="D86" s="440"/>
      <c r="E86" s="440"/>
      <c r="F86" s="434">
        <f>SUM(F82:F85)</f>
        <v>0</v>
      </c>
      <c r="G86" s="440"/>
    </row>
    <row r="87" spans="1:7">
      <c r="A87" s="424"/>
      <c r="B87" s="421"/>
      <c r="C87" s="440"/>
      <c r="D87" s="440"/>
      <c r="E87" s="440"/>
      <c r="F87" s="434"/>
      <c r="G87" s="440"/>
    </row>
    <row r="88" spans="1:7">
      <c r="A88" s="424"/>
      <c r="B88" s="427" t="s">
        <v>98</v>
      </c>
      <c r="C88" s="440"/>
      <c r="D88" s="440"/>
      <c r="E88" s="440"/>
      <c r="F88" s="434"/>
      <c r="G88" s="440"/>
    </row>
    <row r="89" spans="1:7">
      <c r="A89" s="424"/>
      <c r="B89" s="427" t="s">
        <v>153</v>
      </c>
      <c r="C89" s="440"/>
      <c r="D89" s="440"/>
      <c r="E89" s="440"/>
      <c r="F89" s="434">
        <f>G24</f>
        <v>0</v>
      </c>
      <c r="G89" s="440"/>
    </row>
    <row r="90" spans="1:7">
      <c r="A90" s="424"/>
      <c r="B90" s="427" t="s">
        <v>158</v>
      </c>
      <c r="C90" s="440"/>
      <c r="D90" s="440"/>
      <c r="E90" s="440"/>
      <c r="F90" s="434">
        <f>G25</f>
        <v>0</v>
      </c>
      <c r="G90" s="440"/>
    </row>
    <row r="91" spans="1:7">
      <c r="A91" s="421"/>
      <c r="B91" s="427" t="s">
        <v>156</v>
      </c>
      <c r="C91" s="440"/>
      <c r="D91" s="440"/>
      <c r="E91" s="440"/>
      <c r="F91" s="434"/>
      <c r="G91" s="440"/>
    </row>
    <row r="92" spans="1:7">
      <c r="A92" s="421"/>
      <c r="B92" s="427" t="s">
        <v>159</v>
      </c>
      <c r="C92" s="440"/>
      <c r="D92" s="440"/>
      <c r="E92" s="440"/>
      <c r="F92" s="433">
        <f>SUM(F89:F91)</f>
        <v>0</v>
      </c>
      <c r="G92" s="440"/>
    </row>
    <row r="93" spans="1:7">
      <c r="A93" s="421"/>
      <c r="B93" s="421"/>
      <c r="C93" s="440"/>
      <c r="D93" s="440"/>
      <c r="E93" s="440"/>
      <c r="F93" s="434"/>
      <c r="G93" s="440"/>
    </row>
    <row r="94" spans="1:7">
      <c r="A94" s="421"/>
      <c r="B94" s="427" t="s">
        <v>101</v>
      </c>
      <c r="C94" s="440"/>
      <c r="D94" s="440"/>
      <c r="E94" s="440"/>
      <c r="F94" s="434">
        <f>G29</f>
        <v>0</v>
      </c>
      <c r="G94" s="440"/>
    </row>
    <row r="95" spans="1:7">
      <c r="A95" s="421"/>
      <c r="B95" s="427" t="s">
        <v>102</v>
      </c>
      <c r="C95" s="440"/>
      <c r="D95" s="440"/>
      <c r="E95" s="440"/>
      <c r="F95" s="434">
        <f>G30</f>
        <v>0</v>
      </c>
      <c r="G95" s="440"/>
    </row>
    <row r="96" spans="1:7">
      <c r="A96" s="421"/>
      <c r="B96" s="427" t="s">
        <v>160</v>
      </c>
      <c r="C96" s="440"/>
      <c r="D96" s="440"/>
      <c r="E96" s="440"/>
      <c r="F96" s="434">
        <f>G31</f>
        <v>0</v>
      </c>
      <c r="G96" s="440"/>
    </row>
    <row r="97" spans="1:7">
      <c r="A97" s="421"/>
      <c r="B97" s="421"/>
      <c r="C97" s="440"/>
      <c r="D97" s="440"/>
      <c r="E97" s="440"/>
      <c r="F97" s="434"/>
      <c r="G97" s="440"/>
    </row>
    <row r="98" spans="1:7">
      <c r="A98" s="421"/>
      <c r="B98" s="427" t="s">
        <v>104</v>
      </c>
      <c r="C98" s="440"/>
      <c r="D98" s="440"/>
      <c r="E98" s="440"/>
      <c r="F98" s="434"/>
      <c r="G98" s="440"/>
    </row>
    <row r="99" spans="1:7">
      <c r="A99" s="421"/>
      <c r="B99" s="427" t="s">
        <v>153</v>
      </c>
      <c r="C99" s="440"/>
      <c r="D99" s="440"/>
      <c r="E99" s="440"/>
      <c r="F99" s="434">
        <f>G34</f>
        <v>0</v>
      </c>
      <c r="G99" s="440"/>
    </row>
    <row r="100" spans="1:7">
      <c r="A100" s="421"/>
      <c r="B100" s="427" t="s">
        <v>158</v>
      </c>
      <c r="C100" s="440"/>
      <c r="D100" s="440"/>
      <c r="E100" s="440"/>
      <c r="F100" s="434">
        <f>G35</f>
        <v>0</v>
      </c>
      <c r="G100" s="440"/>
    </row>
    <row r="101" spans="1:7">
      <c r="A101" s="421"/>
      <c r="B101" s="427" t="s">
        <v>156</v>
      </c>
      <c r="C101" s="440"/>
      <c r="D101" s="440"/>
      <c r="E101" s="440"/>
      <c r="F101" s="436">
        <f>G36</f>
        <v>0</v>
      </c>
      <c r="G101" s="440"/>
    </row>
    <row r="102" spans="1:7">
      <c r="A102" s="421"/>
      <c r="B102" s="427" t="s">
        <v>161</v>
      </c>
      <c r="C102" s="440"/>
      <c r="D102" s="440"/>
      <c r="E102" s="440"/>
      <c r="F102" s="434">
        <f>F99+F100+F101</f>
        <v>0</v>
      </c>
      <c r="G102" s="440"/>
    </row>
    <row r="103" spans="1:7">
      <c r="A103" s="421"/>
      <c r="B103" s="440"/>
      <c r="C103" s="440"/>
      <c r="D103" s="440"/>
      <c r="E103" s="440"/>
      <c r="F103" s="434"/>
      <c r="G103" s="440"/>
    </row>
    <row r="104" spans="1:7">
      <c r="A104" s="421"/>
      <c r="B104" s="440" t="s">
        <v>106</v>
      </c>
      <c r="C104" s="440"/>
      <c r="D104" s="440"/>
      <c r="E104" s="440"/>
      <c r="F104" s="435">
        <f>F86+F92+F94+F95+F96+F102</f>
        <v>0</v>
      </c>
      <c r="G104" s="440"/>
    </row>
    <row r="105" spans="1:7">
      <c r="A105" s="421"/>
      <c r="B105" s="440"/>
      <c r="C105" s="440"/>
      <c r="D105" s="440"/>
      <c r="E105" s="440"/>
      <c r="F105" s="434"/>
      <c r="G105" s="440"/>
    </row>
    <row r="106" spans="1:7">
      <c r="A106" s="421"/>
      <c r="B106" s="440" t="s">
        <v>227</v>
      </c>
      <c r="C106" s="440"/>
      <c r="D106" s="440"/>
      <c r="E106" s="440"/>
      <c r="F106" s="436">
        <f>F78-F104</f>
        <v>0</v>
      </c>
      <c r="G106" s="440"/>
    </row>
    <row r="107" spans="1:7">
      <c r="A107" s="421"/>
      <c r="B107" s="440"/>
      <c r="C107" s="440"/>
      <c r="D107" s="440"/>
      <c r="E107" s="440"/>
      <c r="F107" s="434"/>
      <c r="G107" s="440"/>
    </row>
    <row r="108" spans="1:7">
      <c r="A108" s="421"/>
      <c r="B108" s="440" t="s">
        <v>228</v>
      </c>
      <c r="C108" s="440"/>
      <c r="D108" s="440"/>
      <c r="E108" s="441"/>
      <c r="F108" s="434"/>
      <c r="G108" s="440"/>
    </row>
    <row r="109" spans="1:7" ht="13.5" thickBot="1">
      <c r="A109" s="421"/>
      <c r="B109" s="451" t="s">
        <v>229</v>
      </c>
      <c r="C109" s="452">
        <f>Inputs!$D$4</f>
        <v>1.2215999999999999E-2</v>
      </c>
      <c r="D109" s="440"/>
      <c r="E109" s="441"/>
      <c r="F109" s="439">
        <f>ROUND(F106*C109,0)</f>
        <v>0</v>
      </c>
      <c r="G109" s="440"/>
    </row>
    <row r="110" spans="1:7" ht="13.5" thickTop="1">
      <c r="A110" s="421"/>
      <c r="B110" s="440"/>
      <c r="C110" s="440"/>
      <c r="D110" s="440"/>
      <c r="E110" s="441"/>
      <c r="F110" s="442"/>
      <c r="G110" s="440"/>
    </row>
  </sheetData>
  <phoneticPr fontId="0" type="noConversion"/>
  <pageMargins left="1" right="1" top="0.5" bottom="0.25" header="0.5" footer="0.5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T132"/>
  <sheetViews>
    <sheetView topLeftCell="A31" zoomScaleNormal="100" zoomScaleSheetLayoutView="100" workbookViewId="0">
      <selection activeCell="I45" sqref="I45"/>
    </sheetView>
  </sheetViews>
  <sheetFormatPr defaultColWidth="11.42578125" defaultRowHeight="12.75"/>
  <cols>
    <col min="1" max="1" width="6.42578125" style="669" customWidth="1"/>
    <col min="2" max="2" width="12.140625" style="669" customWidth="1"/>
    <col min="3" max="3" width="16" style="669" customWidth="1"/>
    <col min="4" max="4" width="6.140625" style="669" customWidth="1"/>
    <col min="5" max="5" width="6.42578125" style="669" customWidth="1"/>
    <col min="6" max="7" width="11.42578125" style="669" customWidth="1"/>
    <col min="8" max="8" width="9" style="743" customWidth="1"/>
    <col min="9" max="9" width="7" style="677" customWidth="1"/>
    <col min="10" max="10" width="10.7109375" style="964" customWidth="1"/>
    <col min="11" max="11" width="26.85546875" style="669" customWidth="1"/>
    <col min="12" max="12" width="13.140625" style="669" customWidth="1"/>
    <col min="13" max="13" width="5.85546875" style="669" customWidth="1"/>
    <col min="14" max="14" width="9" style="669" customWidth="1"/>
    <col min="15" max="16" width="11.42578125" style="669" customWidth="1"/>
    <col min="17" max="17" width="11.42578125" style="716" customWidth="1"/>
    <col min="18" max="18" width="3" style="669" customWidth="1"/>
    <col min="19" max="16384" width="11.42578125" style="669"/>
  </cols>
  <sheetData>
    <row r="1" spans="1:18">
      <c r="A1" s="669" t="s">
        <v>130</v>
      </c>
      <c r="D1" s="674" t="str">
        <f>Inputs!$D$6</f>
        <v>AVISTA UTILITIES</v>
      </c>
      <c r="J1" s="986"/>
      <c r="K1" s="675"/>
      <c r="L1" s="675"/>
      <c r="M1" s="676"/>
      <c r="N1" s="675"/>
      <c r="O1" s="675"/>
      <c r="P1" s="675"/>
      <c r="Q1" s="983"/>
      <c r="R1" s="674"/>
    </row>
    <row r="2" spans="1:18">
      <c r="D2" s="677"/>
      <c r="J2" s="986"/>
      <c r="K2" s="675"/>
      <c r="L2" s="675"/>
      <c r="M2" s="678"/>
      <c r="N2" s="675"/>
      <c r="O2" s="675"/>
      <c r="P2" s="675"/>
      <c r="Q2" s="983"/>
      <c r="R2" s="674"/>
    </row>
    <row r="3" spans="1:18">
      <c r="D3" s="677" t="s">
        <v>131</v>
      </c>
      <c r="J3" s="986"/>
      <c r="K3" s="675"/>
      <c r="L3" s="675"/>
      <c r="M3" s="678"/>
      <c r="N3" s="675"/>
      <c r="O3" s="675"/>
      <c r="P3" s="675"/>
      <c r="Q3" s="983"/>
      <c r="R3" s="674"/>
    </row>
    <row r="4" spans="1:18">
      <c r="D4" s="677" t="s">
        <v>132</v>
      </c>
      <c r="J4" s="986"/>
      <c r="K4" s="675"/>
      <c r="L4" s="675"/>
      <c r="M4" s="678"/>
      <c r="N4" s="675"/>
      <c r="O4" s="675"/>
      <c r="P4" s="675"/>
      <c r="Q4" s="983"/>
      <c r="R4" s="674"/>
    </row>
    <row r="5" spans="1:18">
      <c r="C5" s="716"/>
      <c r="D5" s="1064" t="str">
        <f>Inputs!D2</f>
        <v>TWELVE MONTHS ENDED SEPTEMBER 30, 2008</v>
      </c>
      <c r="E5" s="716"/>
      <c r="F5" s="716"/>
      <c r="J5" s="986"/>
      <c r="K5" s="675"/>
      <c r="L5" s="675"/>
      <c r="M5" s="680"/>
      <c r="N5" s="675"/>
      <c r="O5" s="675"/>
      <c r="P5" s="675"/>
      <c r="Q5" s="983"/>
      <c r="R5" s="674"/>
    </row>
    <row r="6" spans="1:18">
      <c r="J6" s="986"/>
      <c r="K6" s="675"/>
      <c r="L6" s="675"/>
      <c r="M6" s="675"/>
      <c r="N6" s="675"/>
      <c r="O6" s="675"/>
      <c r="P6" s="675"/>
      <c r="Q6" s="983"/>
      <c r="R6" s="674"/>
    </row>
    <row r="7" spans="1:18">
      <c r="J7" s="986"/>
      <c r="K7" s="675"/>
      <c r="L7" s="675"/>
      <c r="M7" s="675"/>
      <c r="N7" s="675"/>
      <c r="O7" s="675"/>
      <c r="P7" s="675"/>
      <c r="Q7" s="983"/>
      <c r="R7" s="674"/>
    </row>
    <row r="8" spans="1:18">
      <c r="F8" s="681"/>
      <c r="G8" s="682" t="s">
        <v>132</v>
      </c>
      <c r="H8" s="744"/>
      <c r="J8" s="986"/>
      <c r="K8" s="962"/>
      <c r="L8" s="675"/>
      <c r="M8" s="675"/>
      <c r="N8" s="675"/>
      <c r="O8" s="675"/>
      <c r="P8" s="678"/>
      <c r="Q8" s="983"/>
      <c r="R8" s="674"/>
    </row>
    <row r="9" spans="1:18">
      <c r="A9" s="682" t="s">
        <v>133</v>
      </c>
      <c r="B9" s="744" t="s">
        <v>304</v>
      </c>
      <c r="C9" s="682"/>
      <c r="D9" s="677"/>
      <c r="F9" s="682" t="s">
        <v>135</v>
      </c>
      <c r="G9" s="682" t="s">
        <v>38</v>
      </c>
      <c r="H9" s="744" t="s">
        <v>136</v>
      </c>
      <c r="I9" s="682" t="s">
        <v>414</v>
      </c>
      <c r="J9" s="985" t="s">
        <v>415</v>
      </c>
      <c r="K9" s="963"/>
      <c r="L9" s="678"/>
      <c r="M9" s="678"/>
      <c r="N9" s="675"/>
      <c r="O9" s="678"/>
      <c r="P9" s="678"/>
      <c r="Q9" s="1302"/>
      <c r="R9" s="674"/>
    </row>
    <row r="10" spans="1:18">
      <c r="A10" s="683" t="str">
        <f>WAElec09_08!E$10</f>
        <v>b</v>
      </c>
      <c r="B10" s="715" t="str">
        <f>TRIM(CONCATENATE(WAElec09_08!E$7," ",WAElec09_08!E$8," ",WAElec09_08!E$9))</f>
        <v>Per Results Report</v>
      </c>
      <c r="C10" s="716"/>
      <c r="D10" s="716"/>
      <c r="E10" s="716"/>
      <c r="F10" s="717">
        <f>WAElec09_08!E$52</f>
        <v>68538</v>
      </c>
      <c r="G10" s="717">
        <f>WAElec09_08!E$68</f>
        <v>1053828</v>
      </c>
      <c r="I10" s="1292" t="s">
        <v>662</v>
      </c>
      <c r="J10" s="677"/>
      <c r="K10" s="962"/>
      <c r="L10" s="675"/>
      <c r="M10" s="675"/>
      <c r="N10" s="675"/>
      <c r="O10" s="685"/>
      <c r="P10" s="685"/>
      <c r="Q10" s="983"/>
      <c r="R10" s="674"/>
    </row>
    <row r="11" spans="1:18" s="716" customFormat="1">
      <c r="A11" s="752" t="str">
        <f>WAElec09_08!F$10</f>
        <v>c</v>
      </c>
      <c r="B11" s="715" t="str">
        <f>TRIM(CONCATENATE(WAElec09_08!F$7," ",WAElec09_08!F$8," ",WAElec09_08!F$9))</f>
        <v>Deferred FIT Rate Base</v>
      </c>
      <c r="F11" s="718">
        <f>WAElec09_08!F$52</f>
        <v>0</v>
      </c>
      <c r="G11" s="718">
        <f>WAElec09_08!F$68</f>
        <v>-142713</v>
      </c>
      <c r="H11" s="981"/>
      <c r="I11" s="1292" t="s">
        <v>477</v>
      </c>
      <c r="K11" s="962" t="s">
        <v>502</v>
      </c>
      <c r="L11" s="983"/>
      <c r="M11" s="983"/>
      <c r="N11" s="983"/>
      <c r="O11" s="886"/>
      <c r="P11" s="886"/>
      <c r="Q11" s="983"/>
      <c r="R11" s="984"/>
    </row>
    <row r="12" spans="1:18" s="716" customFormat="1">
      <c r="A12" s="752" t="str">
        <f>WAElec09_08!G$10</f>
        <v>d</v>
      </c>
      <c r="B12" s="715" t="str">
        <f>TRIM(CONCATENATE(WAElec09_08!G$7," ",WAElec09_08!G$8," ",WAElec09_08!G$9))</f>
        <v>Deferred Gain on Office Building</v>
      </c>
      <c r="F12" s="718">
        <f>WAElec09_08!G$52</f>
        <v>0</v>
      </c>
      <c r="G12" s="718">
        <f>WAElec09_08!G$68</f>
        <v>-126</v>
      </c>
      <c r="H12" s="981"/>
      <c r="I12" s="1292" t="s">
        <v>500</v>
      </c>
      <c r="J12" s="677"/>
      <c r="K12" s="669" t="s">
        <v>658</v>
      </c>
      <c r="L12" s="983"/>
      <c r="M12" s="983"/>
      <c r="N12" s="983"/>
      <c r="O12" s="886"/>
      <c r="P12" s="886"/>
      <c r="Q12" s="983"/>
      <c r="R12" s="984"/>
    </row>
    <row r="13" spans="1:18" s="716" customFormat="1">
      <c r="A13" s="752" t="str">
        <f>WAElec09_08!H$10</f>
        <v>e</v>
      </c>
      <c r="B13" s="715" t="str">
        <f>TRIM(CONCATENATE(WAElec09_08!H$7," ",WAElec09_08!H$8," ",WAElec09_08!H$9))</f>
        <v>Colstrip 3 AFUDC Elimination</v>
      </c>
      <c r="F13" s="718">
        <f>WAElec09_08!H$52</f>
        <v>202</v>
      </c>
      <c r="G13" s="718">
        <f>WAElec09_08!H$68</f>
        <v>-1956</v>
      </c>
      <c r="H13" s="981"/>
      <c r="I13" s="1292" t="s">
        <v>500</v>
      </c>
      <c r="J13" s="677"/>
      <c r="K13" s="675"/>
      <c r="L13" s="983"/>
      <c r="M13" s="983"/>
      <c r="N13" s="983"/>
      <c r="O13" s="886"/>
      <c r="P13" s="886"/>
      <c r="Q13" s="983"/>
      <c r="R13" s="984"/>
    </row>
    <row r="14" spans="1:18" s="716" customFormat="1">
      <c r="A14" s="752" t="str">
        <f>WAElec09_08!I$10</f>
        <v>f</v>
      </c>
      <c r="B14" s="715" t="str">
        <f>TRIM(CONCATENATE(WAElec09_08!I$7," ",WAElec09_08!I$8," ",WAElec09_08!I$9))</f>
        <v>Colstrip Common AFUDC</v>
      </c>
      <c r="F14" s="718">
        <f>WAElec09_08!I$52</f>
        <v>0</v>
      </c>
      <c r="G14" s="718">
        <f>WAElec09_08!I$68</f>
        <v>436</v>
      </c>
      <c r="H14" s="981"/>
      <c r="I14" s="1292" t="s">
        <v>500</v>
      </c>
      <c r="J14" s="677"/>
      <c r="L14" s="1187" t="s">
        <v>220</v>
      </c>
      <c r="M14" s="983"/>
      <c r="N14" s="983"/>
      <c r="O14" s="886"/>
      <c r="P14" s="886"/>
      <c r="Q14" s="983"/>
      <c r="R14" s="984"/>
    </row>
    <row r="15" spans="1:18" s="716" customFormat="1">
      <c r="A15" s="752" t="str">
        <f>WAElec09_08!J$10</f>
        <v>g</v>
      </c>
      <c r="B15" s="715" t="str">
        <f>TRIM(CONCATENATE(WAElec09_08!J$7," ",WAElec09_08!J$8," ",WAElec09_08!J$9))</f>
        <v>Kettle Falls Disallow.</v>
      </c>
      <c r="F15" s="718">
        <f>WAElec09_08!J$52</f>
        <v>-56</v>
      </c>
      <c r="G15" s="718">
        <f>WAElec09_08!J$68</f>
        <v>-854</v>
      </c>
      <c r="H15" s="981"/>
      <c r="I15" s="1292" t="s">
        <v>500</v>
      </c>
      <c r="J15" s="677"/>
      <c r="K15" s="675"/>
      <c r="L15" s="983"/>
      <c r="M15" s="983"/>
      <c r="N15" s="983"/>
      <c r="O15" s="886"/>
      <c r="P15" s="886"/>
      <c r="Q15" s="983"/>
      <c r="R15" s="984"/>
    </row>
    <row r="16" spans="1:18" s="716" customFormat="1">
      <c r="A16" s="752" t="str">
        <f>WAElec09_08!K$10</f>
        <v>h</v>
      </c>
      <c r="B16" s="715" t="str">
        <f>TRIM(CONCATENATE(WAElec09_08!K$7," ",WAElec09_08!K$8," ",WAElec09_08!K$9))</f>
        <v>Customer Advances</v>
      </c>
      <c r="F16" s="718">
        <f>WAElec09_08!K$52</f>
        <v>0</v>
      </c>
      <c r="G16" s="718">
        <f>WAElec09_08!K$68</f>
        <v>-231</v>
      </c>
      <c r="H16" s="981"/>
      <c r="I16" s="1292" t="s">
        <v>500</v>
      </c>
      <c r="J16" s="677"/>
      <c r="K16" s="675"/>
      <c r="L16" s="983"/>
      <c r="M16" s="983"/>
      <c r="N16" s="983"/>
      <c r="O16" s="886"/>
      <c r="P16" s="886"/>
      <c r="Q16" s="983"/>
      <c r="R16" s="984"/>
    </row>
    <row r="17" spans="1:18" s="716" customFormat="1">
      <c r="A17" s="752" t="str">
        <f>WAElec09_08!L$10</f>
        <v>i</v>
      </c>
      <c r="B17" s="715" t="str">
        <f>TRIM(CONCATENATE(WAElec09_08!L$7," ",WAElec09_08!L$8," ",WAElec09_08!L$9))</f>
        <v>Depreciation True-up</v>
      </c>
      <c r="F17" s="718">
        <f>WAElec09_08!L$52</f>
        <v>39</v>
      </c>
      <c r="G17" s="718">
        <f>WAElec09_08!L$68</f>
        <v>0</v>
      </c>
      <c r="H17" s="981"/>
      <c r="I17" s="1292" t="s">
        <v>500</v>
      </c>
      <c r="J17" s="677"/>
      <c r="K17" s="669"/>
      <c r="L17" s="983"/>
      <c r="M17" s="983"/>
      <c r="N17" s="983"/>
      <c r="O17" s="886"/>
      <c r="P17" s="886"/>
      <c r="Q17" s="983"/>
      <c r="R17" s="984"/>
    </row>
    <row r="18" spans="1:18" s="716" customFormat="1">
      <c r="A18" s="752" t="str">
        <f>WAElec09_08!M$10</f>
        <v>j</v>
      </c>
      <c r="B18" s="715" t="str">
        <f>TRIM(CONCATENATE(WAElec09_08!M$7," ",WAElec09_08!M$8," ",WAElec09_08!M$9))</f>
        <v>Settlement Exchange Power</v>
      </c>
      <c r="F18" s="718">
        <f>WAElec09_08!M$52</f>
        <v>0</v>
      </c>
      <c r="G18" s="718">
        <f>WAElec09_08!M$68</f>
        <v>18422</v>
      </c>
      <c r="I18" s="1296" t="s">
        <v>419</v>
      </c>
      <c r="K18" s="669" t="s">
        <v>658</v>
      </c>
      <c r="L18" s="983"/>
      <c r="M18" s="983"/>
      <c r="N18" s="983"/>
      <c r="O18" s="886"/>
      <c r="P18" s="886"/>
      <c r="Q18" s="983"/>
      <c r="R18" s="984"/>
    </row>
    <row r="19" spans="1:18" hidden="1">
      <c r="A19" s="683"/>
      <c r="B19" s="687"/>
      <c r="F19" s="688"/>
      <c r="G19" s="688"/>
      <c r="I19" s="1292"/>
      <c r="K19" s="675"/>
      <c r="L19" s="675"/>
      <c r="M19" s="675"/>
      <c r="N19" s="675"/>
      <c r="O19" s="686"/>
      <c r="P19" s="686"/>
      <c r="Q19" s="983"/>
      <c r="R19" s="674"/>
    </row>
    <row r="20" spans="1:18">
      <c r="A20" s="684"/>
      <c r="B20" s="669" t="s">
        <v>137</v>
      </c>
      <c r="F20" s="689">
        <f>SUM(F10:F19)</f>
        <v>68723</v>
      </c>
      <c r="G20" s="689">
        <f>SUM(G10:G19)</f>
        <v>926806</v>
      </c>
      <c r="H20" s="746">
        <f>F20/G20</f>
        <v>7.4150361564340322E-2</v>
      </c>
      <c r="I20" s="1293"/>
      <c r="J20" s="987"/>
      <c r="K20" s="691">
        <f>WAElec09_08!N69</f>
        <v>7.4200000000000002E-2</v>
      </c>
      <c r="L20" s="675"/>
      <c r="M20" s="675"/>
      <c r="N20" s="675"/>
      <c r="O20" s="686"/>
      <c r="P20" s="686"/>
      <c r="Q20" s="983"/>
      <c r="R20" s="674"/>
    </row>
    <row r="21" spans="1:18">
      <c r="A21" s="980"/>
      <c r="F21" s="690"/>
      <c r="G21" s="690"/>
      <c r="I21" s="1292"/>
      <c r="K21" s="675"/>
      <c r="L21" s="675"/>
      <c r="M21" s="675"/>
      <c r="N21" s="675"/>
      <c r="O21" s="686"/>
      <c r="P21" s="686"/>
      <c r="Q21" s="1303"/>
      <c r="R21" s="674"/>
    </row>
    <row r="22" spans="1:18" s="698" customFormat="1">
      <c r="A22" s="752" t="str">
        <f>WAElec09_08!O$10</f>
        <v>k</v>
      </c>
      <c r="B22" s="715" t="str">
        <f>TRIM(CONCATENATE(WAElec09_08!O$7," ",WAElec09_08!O$8," ",WAElec09_08!O$9))</f>
        <v>Eliminate B &amp; O Taxes</v>
      </c>
      <c r="C22" s="716"/>
      <c r="D22" s="716"/>
      <c r="E22" s="716"/>
      <c r="F22" s="718">
        <f>WAElec09_08!O$52</f>
        <v>-22</v>
      </c>
      <c r="G22" s="718">
        <f>WAElec09_08!O$68</f>
        <v>0</v>
      </c>
      <c r="H22" s="743"/>
      <c r="I22" s="1292" t="s">
        <v>306</v>
      </c>
      <c r="K22" s="675" t="s">
        <v>501</v>
      </c>
      <c r="L22" s="700"/>
      <c r="M22" s="700"/>
      <c r="N22" s="700"/>
      <c r="O22" s="703"/>
      <c r="P22" s="703"/>
      <c r="Q22" s="983"/>
      <c r="R22" s="699"/>
    </row>
    <row r="23" spans="1:18" s="698" customFormat="1">
      <c r="A23" s="752" t="str">
        <f>WAElec09_08!P$10</f>
        <v>l</v>
      </c>
      <c r="B23" s="715" t="str">
        <f>TRIM(CONCATENATE(WAElec09_08!P$7," ",WAElec09_08!P$8," ",WAElec09_08!P$9))</f>
        <v>Property Tax</v>
      </c>
      <c r="C23" s="716"/>
      <c r="D23" s="716"/>
      <c r="E23" s="716"/>
      <c r="F23" s="718">
        <f>WAElec09_08!P$52</f>
        <v>-939</v>
      </c>
      <c r="G23" s="718">
        <f>WAElec09_08!P$68</f>
        <v>0</v>
      </c>
      <c r="H23" s="743"/>
      <c r="I23" s="1292" t="s">
        <v>662</v>
      </c>
      <c r="J23" s="677"/>
      <c r="K23" s="700"/>
      <c r="L23" s="700"/>
      <c r="M23" s="700"/>
      <c r="N23" s="700"/>
      <c r="O23" s="703"/>
      <c r="P23" s="703"/>
      <c r="Q23" s="983"/>
      <c r="R23" s="699"/>
    </row>
    <row r="24" spans="1:18" s="698" customFormat="1">
      <c r="A24" s="752" t="str">
        <f>WAElec09_08!Q$10</f>
        <v>m</v>
      </c>
      <c r="B24" s="715" t="str">
        <f>TRIM(CONCATENATE(WAElec09_08!Q$7," ",WAElec09_08!Q$8," ",WAElec09_08!Q$9))</f>
        <v>Uncollect. Expense</v>
      </c>
      <c r="C24" s="716"/>
      <c r="D24" s="716"/>
      <c r="E24" s="716"/>
      <c r="F24" s="718">
        <f>WAElec09_08!Q$52</f>
        <v>70</v>
      </c>
      <c r="G24" s="718">
        <f>WAElec09_08!Q$68</f>
        <v>0</v>
      </c>
      <c r="H24" s="743"/>
      <c r="I24" s="1292" t="s">
        <v>500</v>
      </c>
      <c r="J24" s="677"/>
      <c r="K24" s="700"/>
      <c r="L24" s="700"/>
      <c r="M24" s="700"/>
      <c r="N24" s="700"/>
      <c r="O24" s="703"/>
      <c r="P24" s="703"/>
      <c r="Q24" s="983"/>
      <c r="R24" s="699"/>
    </row>
    <row r="25" spans="1:18" s="698" customFormat="1">
      <c r="A25" s="752" t="str">
        <f>WAElec09_08!R$10</f>
        <v>n</v>
      </c>
      <c r="B25" s="715" t="str">
        <f>TRIM(CONCATENATE(WAElec09_08!R$7," ",WAElec09_08!R$8," ",WAElec09_08!R$9))</f>
        <v>Regulatory Expense</v>
      </c>
      <c r="C25" s="716"/>
      <c r="D25" s="716"/>
      <c r="E25" s="716"/>
      <c r="F25" s="718">
        <f>WAElec09_08!R$52</f>
        <v>-52</v>
      </c>
      <c r="G25" s="718">
        <f>WAElec09_08!R$68</f>
        <v>0</v>
      </c>
      <c r="H25" s="743"/>
      <c r="I25" s="716" t="s">
        <v>662</v>
      </c>
      <c r="J25" s="677"/>
      <c r="K25" s="700"/>
      <c r="L25" s="700"/>
      <c r="M25" s="700" t="s">
        <v>499</v>
      </c>
      <c r="N25" s="700"/>
      <c r="O25" s="703"/>
      <c r="P25" s="703"/>
      <c r="Q25" s="983"/>
      <c r="R25" s="699"/>
    </row>
    <row r="26" spans="1:18" s="698" customFormat="1">
      <c r="A26" s="752" t="str">
        <f>WAElec09_08!S$10</f>
        <v>o</v>
      </c>
      <c r="B26" s="715" t="str">
        <f>TRIM(CONCATENATE(WAElec09_08!S$7," ",WAElec09_08!S$8," ",WAElec09_08!S$9))</f>
        <v>Injuries and Damages</v>
      </c>
      <c r="C26" s="716"/>
      <c r="D26" s="716"/>
      <c r="E26" s="716"/>
      <c r="F26" s="718">
        <f>WAElec09_08!S$52</f>
        <v>-56</v>
      </c>
      <c r="G26" s="718">
        <f>WAElec09_08!S$68</f>
        <v>0</v>
      </c>
      <c r="H26" s="743"/>
      <c r="I26" s="1292" t="s">
        <v>662</v>
      </c>
      <c r="J26" s="677"/>
      <c r="K26" s="700"/>
      <c r="L26" s="1187" t="s">
        <v>220</v>
      </c>
      <c r="M26" s="700"/>
      <c r="N26" s="700"/>
      <c r="O26" s="703"/>
      <c r="P26" s="703"/>
      <c r="Q26" s="983"/>
      <c r="R26" s="699"/>
    </row>
    <row r="27" spans="1:18" s="965" customFormat="1">
      <c r="A27" s="752" t="str">
        <f>WAElec09_08!T$10</f>
        <v>p</v>
      </c>
      <c r="B27" s="715" t="str">
        <f>TRIM(CONCATENATE(WAElec09_08!T$7," ",WAElec09_08!T$8," ",WAElec09_08!T$9))</f>
        <v>FIT</v>
      </c>
      <c r="C27" s="716"/>
      <c r="E27" s="716"/>
      <c r="F27" s="718">
        <f>WAElec09_08!T$52</f>
        <v>-1751</v>
      </c>
      <c r="G27" s="718">
        <f>WAElec09_08!T$68</f>
        <v>0</v>
      </c>
      <c r="H27" s="966"/>
      <c r="I27" s="1292" t="s">
        <v>477</v>
      </c>
      <c r="K27" s="1097"/>
      <c r="L27" s="1096"/>
      <c r="M27" s="962"/>
      <c r="N27" s="962"/>
      <c r="O27" s="967"/>
      <c r="P27" s="967"/>
      <c r="Q27" s="983"/>
      <c r="R27" s="968"/>
    </row>
    <row r="28" spans="1:18" s="698" customFormat="1">
      <c r="A28" s="752" t="str">
        <f>WAElec09_08!U$10</f>
        <v>q</v>
      </c>
      <c r="B28" s="715" t="str">
        <f>TRIM(CONCATENATE(WAElec09_08!U$7," ",WAElec09_08!U$8," ",WAElec09_08!U$9))</f>
        <v>Eliminate WA Power Cost Defer</v>
      </c>
      <c r="C28" s="716"/>
      <c r="D28" s="716"/>
      <c r="E28" s="716"/>
      <c r="F28" s="718">
        <f>WAElec09_08!U$52</f>
        <v>-8844</v>
      </c>
      <c r="G28" s="718">
        <f>WAElec09_08!U$68</f>
        <v>0</v>
      </c>
      <c r="H28" s="743"/>
      <c r="I28" s="1296" t="s">
        <v>419</v>
      </c>
      <c r="K28" s="700"/>
      <c r="L28" s="700"/>
      <c r="M28" s="700"/>
      <c r="N28" s="700"/>
      <c r="O28" s="703"/>
      <c r="P28" s="703"/>
      <c r="Q28" s="983"/>
      <c r="R28" s="699"/>
    </row>
    <row r="29" spans="1:18" s="698" customFormat="1">
      <c r="A29" s="752" t="str">
        <f>WAElec09_08!V$10</f>
        <v>r</v>
      </c>
      <c r="B29" s="715" t="str">
        <f>TRIM(CONCATENATE(WAElec09_08!V$7," ",WAElec09_08!V$8," ",WAElec09_08!V$9))</f>
        <v>Nez Perce Settlement Adjustment</v>
      </c>
      <c r="C29" s="716"/>
      <c r="D29" s="716"/>
      <c r="E29" s="716"/>
      <c r="F29" s="718">
        <f>WAElec09_08!V$52</f>
        <v>-6</v>
      </c>
      <c r="G29" s="718">
        <f>WAElec09_08!V$68</f>
        <v>0</v>
      </c>
      <c r="H29" s="743"/>
      <c r="I29" s="1292" t="s">
        <v>662</v>
      </c>
      <c r="J29" s="677"/>
      <c r="K29" s="700"/>
      <c r="L29" s="700"/>
      <c r="M29" s="700"/>
      <c r="N29" s="700"/>
      <c r="O29" s="703"/>
      <c r="P29" s="703"/>
      <c r="Q29" s="983"/>
      <c r="R29" s="699"/>
    </row>
    <row r="30" spans="1:18" s="965" customFormat="1">
      <c r="A30" s="752" t="str">
        <f>WAElec09_08!W$10</f>
        <v>s</v>
      </c>
      <c r="B30" s="715" t="str">
        <f>TRIM(CONCATENATE(WAElec09_08!W$7," ",WAElec09_08!W$8," ",WAElec09_08!W$9))</f>
        <v>Eliminate A/R Expenses</v>
      </c>
      <c r="C30" s="716"/>
      <c r="D30" s="716"/>
      <c r="E30" s="716"/>
      <c r="F30" s="718">
        <f>WAElec09_08!W$52</f>
        <v>335</v>
      </c>
      <c r="G30" s="718">
        <f>WAElec09_08!W$68</f>
        <v>0</v>
      </c>
      <c r="H30" s="966"/>
      <c r="I30" s="1292" t="s">
        <v>662</v>
      </c>
      <c r="J30" s="677"/>
      <c r="K30" s="962"/>
      <c r="L30" s="962"/>
      <c r="M30" s="962"/>
      <c r="N30" s="962"/>
      <c r="O30" s="967"/>
      <c r="P30" s="967"/>
      <c r="Q30" s="983"/>
      <c r="R30" s="964"/>
    </row>
    <row r="31" spans="1:18">
      <c r="A31" s="752" t="str">
        <f>WAElec09_08!X$10</f>
        <v>t</v>
      </c>
      <c r="B31" s="715" t="str">
        <f>TRIM(CONCATENATE(WAElec09_08!X$7," ",WAElec09_08!X$8," ",WAElec09_08!X$9))</f>
        <v>Office Space Charges to Subsidiaries</v>
      </c>
      <c r="C31" s="716"/>
      <c r="D31" s="716"/>
      <c r="E31" s="716"/>
      <c r="F31" s="718">
        <f>WAElec09_08!X$52</f>
        <v>5</v>
      </c>
      <c r="G31" s="718">
        <f>WAElec09_08!X$68</f>
        <v>0</v>
      </c>
      <c r="I31" s="1292" t="s">
        <v>500</v>
      </c>
      <c r="J31" s="677"/>
      <c r="K31" s="1017"/>
      <c r="L31" s="675"/>
      <c r="M31" s="675"/>
      <c r="N31" s="675"/>
      <c r="O31" s="686"/>
      <c r="P31" s="686"/>
      <c r="Q31" s="983"/>
      <c r="R31" s="674"/>
    </row>
    <row r="32" spans="1:18" s="965" customFormat="1">
      <c r="A32" s="752" t="str">
        <f>WAElec09_08!Y$10</f>
        <v>u</v>
      </c>
      <c r="B32" s="715" t="str">
        <f>TRIM(CONCATENATE(WAElec09_08!Y$7," ",WAElec09_08!Y$8," ",WAElec09_08!Y$9))</f>
        <v>Restate Excise Taxes</v>
      </c>
      <c r="C32" s="716"/>
      <c r="D32" s="716"/>
      <c r="E32" s="716"/>
      <c r="F32" s="718">
        <f>WAElec09_08!Y$52</f>
        <v>-20</v>
      </c>
      <c r="G32" s="718">
        <f>WAElec09_08!Y$68</f>
        <v>0</v>
      </c>
      <c r="H32" s="981"/>
      <c r="I32" s="1292" t="s">
        <v>306</v>
      </c>
      <c r="K32" s="962"/>
      <c r="L32" s="962"/>
      <c r="M32" s="962"/>
      <c r="N32" s="962"/>
      <c r="O32" s="967"/>
      <c r="P32" s="967"/>
      <c r="Q32" s="983"/>
      <c r="R32" s="968"/>
    </row>
    <row r="33" spans="1:18" s="965" customFormat="1">
      <c r="A33" s="752" t="str">
        <f>WAElec09_08!Z$10</f>
        <v>v</v>
      </c>
      <c r="B33" s="715" t="str">
        <f>TRIM(CONCATENATE(WAElec09_08!Z$7," ",WAElec09_08!Z$8," ",WAElec09_08!Z$9))</f>
        <v>Net Gains/losses</v>
      </c>
      <c r="C33" s="716"/>
      <c r="D33" s="716"/>
      <c r="E33" s="716"/>
      <c r="F33" s="718">
        <f>WAElec09_08!Z$52</f>
        <v>79</v>
      </c>
      <c r="G33" s="718">
        <f>WAElec09_08!Z$68</f>
        <v>0</v>
      </c>
      <c r="H33" s="981"/>
      <c r="I33" s="716" t="s">
        <v>662</v>
      </c>
      <c r="J33" s="677"/>
      <c r="K33" s="962"/>
      <c r="L33" s="962"/>
      <c r="M33" s="962"/>
      <c r="N33" s="962"/>
      <c r="O33" s="967"/>
      <c r="P33" s="967"/>
      <c r="Q33" s="983"/>
      <c r="R33" s="968"/>
    </row>
    <row r="34" spans="1:18">
      <c r="A34" s="752" t="str">
        <f>WAElec09_08!AA$10</f>
        <v>w</v>
      </c>
      <c r="B34" s="715" t="str">
        <f>TRIM(CONCATENATE(WAElec09_08!AA$7," ",WAElec09_08!AA$8," ",WAElec09_08!AA$9))</f>
        <v>Revenue Normalization</v>
      </c>
      <c r="C34" s="716"/>
      <c r="D34" s="988"/>
      <c r="E34" s="716"/>
      <c r="F34" s="718">
        <f>WAElec09_08!AA$52</f>
        <v>23394</v>
      </c>
      <c r="G34" s="718">
        <f>WAElec09_08!AA$68</f>
        <v>0</v>
      </c>
      <c r="H34" s="748"/>
      <c r="I34" s="677" t="s">
        <v>505</v>
      </c>
      <c r="K34" s="962"/>
      <c r="L34" s="675"/>
      <c r="M34" s="675"/>
      <c r="N34" s="675"/>
      <c r="O34" s="686"/>
      <c r="P34" s="686"/>
      <c r="Q34" s="983"/>
      <c r="R34" s="674"/>
    </row>
    <row r="35" spans="1:18" s="965" customFormat="1">
      <c r="A35" s="752" t="str">
        <f>WAElec09_08!AB$10</f>
        <v>x</v>
      </c>
      <c r="B35" s="715" t="str">
        <f>TRIM(CONCATENATE(WAElec09_08!AB$7," ",WAElec09_08!AB$8," ",WAElec09_08!AB$9))</f>
        <v>Misc Restating</v>
      </c>
      <c r="C35" s="716"/>
      <c r="D35" s="716"/>
      <c r="E35" s="716"/>
      <c r="F35" s="718">
        <f>WAElec09_08!AB$52</f>
        <v>139</v>
      </c>
      <c r="G35" s="718">
        <f>WAElec09_08!AB$68</f>
        <v>0</v>
      </c>
      <c r="H35" s="966"/>
      <c r="I35" s="1292" t="s">
        <v>500</v>
      </c>
      <c r="J35" s="677"/>
      <c r="K35" s="669"/>
      <c r="Q35" s="716"/>
    </row>
    <row r="36" spans="1:18" s="1109" customFormat="1">
      <c r="A36" s="1106" t="str">
        <f>WAElec09_08!AC$10</f>
        <v>y</v>
      </c>
      <c r="B36" s="1107" t="str">
        <f>TRIM(CONCATENATE(WAElec09_08!AC$7," ",WAElec09_08!AC$8," ",WAElec09_08!AC$9))</f>
        <v>Restate Debt Interest</v>
      </c>
      <c r="C36" s="1108"/>
      <c r="E36" s="1108"/>
      <c r="F36" s="1110">
        <f>WAElec09_08!AC$52</f>
        <v>894.37865999999917</v>
      </c>
      <c r="G36" s="1110">
        <f>WAElec09_08!AC$68</f>
        <v>0</v>
      </c>
      <c r="H36" s="1111"/>
      <c r="I36" s="1108"/>
      <c r="J36" s="692" t="s">
        <v>307</v>
      </c>
      <c r="K36" s="1017" t="s">
        <v>603</v>
      </c>
      <c r="L36" s="1096"/>
      <c r="M36" s="1096"/>
      <c r="N36" s="1096"/>
      <c r="O36" s="1102"/>
      <c r="P36" s="1102"/>
      <c r="Q36" s="1304"/>
      <c r="R36" s="1112"/>
    </row>
    <row r="37" spans="1:18" hidden="1">
      <c r="A37" s="753"/>
      <c r="B37" s="715"/>
      <c r="C37" s="716"/>
      <c r="D37" s="716"/>
      <c r="E37" s="716"/>
      <c r="F37" s="718"/>
      <c r="G37" s="718"/>
      <c r="I37" s="1292"/>
      <c r="K37" s="675"/>
      <c r="L37" s="675"/>
      <c r="M37" s="675"/>
      <c r="N37" s="675"/>
      <c r="O37" s="686"/>
      <c r="P37" s="686"/>
      <c r="Q37" s="983"/>
      <c r="R37" s="674"/>
    </row>
    <row r="38" spans="1:18" hidden="1">
      <c r="A38" s="753"/>
      <c r="B38" s="715"/>
      <c r="C38" s="716"/>
      <c r="D38" s="716"/>
      <c r="E38" s="716"/>
      <c r="F38" s="886"/>
      <c r="G38" s="886"/>
      <c r="I38" s="1292"/>
      <c r="K38" s="675"/>
      <c r="L38" s="675"/>
      <c r="M38" s="675"/>
      <c r="N38" s="675"/>
      <c r="O38" s="686"/>
      <c r="P38" s="686"/>
      <c r="Q38" s="983"/>
      <c r="R38" s="674"/>
    </row>
    <row r="39" spans="1:18" hidden="1">
      <c r="A39" s="753">
        <f>WAElec09_08!AE$10</f>
        <v>0</v>
      </c>
      <c r="B39" s="715" t="str">
        <f>TRIM(CONCATENATE(WAElec09_08!AE$7," ",WAElec09_08!AE$8," ",WAElec09_08!AE$9))</f>
        <v/>
      </c>
      <c r="C39" s="716"/>
      <c r="D39" s="716"/>
      <c r="E39" s="716"/>
      <c r="F39" s="718">
        <f>WAElec09_08!AE$52</f>
        <v>0</v>
      </c>
      <c r="G39" s="718">
        <f>WAElec09_08!AE$68</f>
        <v>0</v>
      </c>
      <c r="I39" s="1292"/>
      <c r="K39" s="675"/>
      <c r="L39" s="675"/>
      <c r="M39" s="675"/>
      <c r="N39" s="675"/>
      <c r="O39" s="686"/>
      <c r="P39" s="686"/>
      <c r="Q39" s="983"/>
      <c r="R39" s="674"/>
    </row>
    <row r="40" spans="1:18" hidden="1">
      <c r="A40" s="753"/>
      <c r="B40" s="715"/>
      <c r="C40" s="716"/>
      <c r="D40" s="716"/>
      <c r="E40" s="716"/>
      <c r="F40" s="718"/>
      <c r="G40" s="718"/>
      <c r="I40" s="1292"/>
      <c r="K40" s="675"/>
      <c r="L40" s="675"/>
      <c r="M40" s="675"/>
      <c r="N40" s="675"/>
      <c r="O40" s="686"/>
      <c r="P40" s="686"/>
      <c r="Q40" s="983"/>
      <c r="R40" s="674"/>
    </row>
    <row r="41" spans="1:18" s="881" customFormat="1" hidden="1">
      <c r="A41" s="753"/>
      <c r="B41" s="715"/>
      <c r="C41" s="716"/>
      <c r="D41" s="716"/>
      <c r="E41" s="716"/>
      <c r="F41" s="931"/>
      <c r="G41" s="931"/>
      <c r="H41" s="743"/>
      <c r="I41" s="1292"/>
      <c r="J41" s="964"/>
      <c r="K41" s="882"/>
      <c r="L41" s="882"/>
      <c r="M41" s="882"/>
      <c r="N41" s="882"/>
      <c r="O41" s="883"/>
      <c r="P41" s="883"/>
      <c r="Q41" s="983"/>
      <c r="R41" s="884"/>
    </row>
    <row r="42" spans="1:18" ht="13.5" thickBot="1">
      <c r="A42" s="692"/>
      <c r="B42" s="669" t="s">
        <v>138</v>
      </c>
      <c r="F42" s="930">
        <f>SUM(F20:F41)</f>
        <v>81949.378660000002</v>
      </c>
      <c r="G42" s="694">
        <f>SUM(G20:G41)</f>
        <v>926806</v>
      </c>
      <c r="H42" s="750">
        <f>F42/G42</f>
        <v>8.8421286288608403E-2</v>
      </c>
      <c r="I42" s="1294"/>
      <c r="K42" s="691">
        <f>WAElec09_08!AG69</f>
        <v>8.8400000000000006E-2</v>
      </c>
      <c r="L42" s="675"/>
      <c r="M42" s="675"/>
      <c r="N42" s="675"/>
      <c r="O42" s="686"/>
      <c r="P42" s="686"/>
      <c r="Q42" s="983"/>
      <c r="R42" s="674"/>
    </row>
    <row r="43" spans="1:18" ht="13.5" thickTop="1">
      <c r="A43" s="692"/>
      <c r="F43" s="911"/>
      <c r="G43" s="685"/>
      <c r="H43" s="747"/>
      <c r="I43" s="1295"/>
      <c r="K43" s="675"/>
      <c r="L43" s="675"/>
      <c r="M43" s="675"/>
      <c r="N43" s="675"/>
      <c r="O43" s="686"/>
      <c r="P43" s="686"/>
      <c r="Q43" s="983"/>
      <c r="R43" s="674"/>
    </row>
    <row r="44" spans="1:18">
      <c r="A44" s="752" t="str">
        <f>WAElec09_08!AH$10</f>
        <v>PF1</v>
      </c>
      <c r="B44" s="715" t="str">
        <f>TRIM(CONCATENATE(WAElec09_08!AH$7," ",WAElec09_08!AH$8," ",WAElec09_08!AH$9))</f>
        <v>Pro Forma Power Supply</v>
      </c>
      <c r="C44" s="716"/>
      <c r="D44" s="716"/>
      <c r="E44" s="716"/>
      <c r="F44" s="718">
        <f>WAElec09_08!AH$52</f>
        <v>-6903.5</v>
      </c>
      <c r="G44" s="718">
        <f>WAElec09_08!AH$68</f>
        <v>0</v>
      </c>
      <c r="H44" s="748"/>
      <c r="I44" s="677" t="s">
        <v>307</v>
      </c>
      <c r="K44" s="675"/>
      <c r="L44" s="675"/>
      <c r="M44" s="675"/>
      <c r="N44" s="675"/>
      <c r="O44" s="686"/>
      <c r="P44" s="686"/>
      <c r="Q44" s="983"/>
      <c r="R44" s="674"/>
    </row>
    <row r="45" spans="1:18" s="1086" customFormat="1">
      <c r="A45" s="1106" t="str">
        <f>WAElec09_08!AI$10</f>
        <v>PF2</v>
      </c>
      <c r="B45" s="1107" t="str">
        <f>TRIM(CONCATENATE(WAElec09_08!AI$7," ",WAElec09_08!AI$8," ",WAElec09_08!AI$9))</f>
        <v>Pro Forma Prod Property Adj</v>
      </c>
      <c r="C45" s="1108"/>
      <c r="D45" s="1108"/>
      <c r="E45" s="1108"/>
      <c r="F45" s="1110">
        <f>WAElec09_08!AI$52</f>
        <v>6449</v>
      </c>
      <c r="G45" s="1110">
        <f>WAElec09_08!AI$68</f>
        <v>-12500</v>
      </c>
      <c r="H45" s="1113"/>
      <c r="I45" s="692" t="s">
        <v>306</v>
      </c>
      <c r="L45" s="1017"/>
      <c r="M45" s="1017"/>
      <c r="N45" s="1017"/>
      <c r="O45" s="1114"/>
      <c r="P45" s="1114"/>
      <c r="Q45" s="1304"/>
      <c r="R45" s="1115"/>
    </row>
    <row r="46" spans="1:18">
      <c r="A46" s="752" t="str">
        <f>WAElec09_08!AJ$10</f>
        <v>PF3</v>
      </c>
      <c r="B46" s="715" t="str">
        <f>TRIM(CONCATENATE(WAElec09_08!AJ$7," ",WAElec09_08!AJ$8," ",WAElec09_08!AJ$9))</f>
        <v>Pro Forma Labor Non-Exec</v>
      </c>
      <c r="C46" s="716"/>
      <c r="D46" s="716"/>
      <c r="E46" s="716"/>
      <c r="F46" s="718">
        <f>WAElec09_08!AJ$52</f>
        <v>-1942</v>
      </c>
      <c r="G46" s="718">
        <f>WAElec09_08!AJ$68</f>
        <v>0</v>
      </c>
      <c r="I46" s="1292" t="s">
        <v>477</v>
      </c>
      <c r="K46" s="675"/>
      <c r="L46" s="675"/>
      <c r="M46" s="675"/>
      <c r="N46" s="675"/>
      <c r="O46" s="686"/>
      <c r="P46" s="686"/>
      <c r="Q46" s="983"/>
      <c r="R46" s="674"/>
    </row>
    <row r="47" spans="1:18">
      <c r="A47" s="752" t="str">
        <f>WAElec09_08!AK$10</f>
        <v>PF4</v>
      </c>
      <c r="B47" s="715" t="str">
        <f>TRIM(CONCATENATE(WAElec09_08!AK$7," ",WAElec09_08!AK$8," ",WAElec09_08!AK$9))</f>
        <v>Pro Forma Labor Exec</v>
      </c>
      <c r="C47" s="716"/>
      <c r="D47" s="716"/>
      <c r="E47" s="716"/>
      <c r="F47" s="718">
        <f>WAElec09_08!AK$52</f>
        <v>-155</v>
      </c>
      <c r="G47" s="718">
        <f>WAElec09_08!AK$68</f>
        <v>0</v>
      </c>
      <c r="I47" s="1292" t="s">
        <v>477</v>
      </c>
      <c r="K47" s="675"/>
      <c r="L47" s="675"/>
      <c r="M47" s="675"/>
      <c r="N47" s="675"/>
      <c r="O47" s="686"/>
      <c r="P47" s="686"/>
      <c r="Q47" s="983"/>
      <c r="R47" s="674"/>
    </row>
    <row r="48" spans="1:18">
      <c r="A48" s="752" t="str">
        <f>WAElec09_08!AL$10</f>
        <v>PF5</v>
      </c>
      <c r="B48" s="715" t="str">
        <f>TRIM(CONCATENATE(WAElec09_08!AL$7," ",WAElec09_08!AL$8," ",WAElec09_08!AL$9))</f>
        <v>Pro Forma Transmission Rev/Exp</v>
      </c>
      <c r="C48" s="716"/>
      <c r="D48" s="716"/>
      <c r="E48" s="716"/>
      <c r="F48" s="718">
        <f>WAElec09_08!AL$52</f>
        <v>-51</v>
      </c>
      <c r="G48" s="718">
        <f>WAElec09_08!AL$68</f>
        <v>0</v>
      </c>
      <c r="I48" s="1292" t="s">
        <v>307</v>
      </c>
      <c r="K48" s="675"/>
      <c r="L48" s="675"/>
      <c r="M48" s="675"/>
      <c r="N48" s="675"/>
      <c r="O48" s="686"/>
      <c r="P48" s="686"/>
      <c r="Q48" s="983"/>
      <c r="R48" s="674"/>
    </row>
    <row r="49" spans="1:20">
      <c r="A49" s="752" t="str">
        <f>WAElec09_08!AM$10</f>
        <v>PF6</v>
      </c>
      <c r="B49" s="715" t="str">
        <f>TRIM(CONCATENATE(WAElec09_08!AM$7," ",WAElec09_08!AM$8," ",WAElec09_08!AM$9))</f>
        <v>Pro Forma Capital Add 2008</v>
      </c>
      <c r="C49" s="716"/>
      <c r="D49" s="716"/>
      <c r="E49" s="716"/>
      <c r="F49" s="718">
        <f>WAElec09_08!AM$52</f>
        <v>-473</v>
      </c>
      <c r="G49" s="718">
        <f>WAElec09_08!AM$68</f>
        <v>21445</v>
      </c>
      <c r="I49" s="1292" t="s">
        <v>500</v>
      </c>
      <c r="J49" s="743"/>
      <c r="K49" s="675"/>
      <c r="L49" s="1187" t="s">
        <v>220</v>
      </c>
      <c r="M49" s="675"/>
      <c r="N49" s="675"/>
      <c r="O49" s="686"/>
      <c r="P49" s="686"/>
      <c r="Q49" s="983"/>
      <c r="R49" s="674"/>
    </row>
    <row r="50" spans="1:20">
      <c r="A50" s="752" t="str">
        <f>WAElec09_08!AN$10</f>
        <v>PF7</v>
      </c>
      <c r="B50" s="715" t="str">
        <f>TRIM(CONCATENATE(WAElec09_08!AN$7," ",WAElec09_08!AN$8," ",WAElec09_08!AN$9))</f>
        <v>Pro Forma Capital Add 2009</v>
      </c>
      <c r="C50" s="716"/>
      <c r="D50" s="716"/>
      <c r="E50" s="716"/>
      <c r="F50" s="718">
        <f>WAElec09_08!AN$52</f>
        <v>-2906</v>
      </c>
      <c r="G50" s="718">
        <f>WAElec09_08!AN$68</f>
        <v>22936</v>
      </c>
      <c r="I50" s="1292" t="s">
        <v>500</v>
      </c>
      <c r="J50" s="743"/>
    </row>
    <row r="51" spans="1:20">
      <c r="A51" s="752" t="str">
        <f>WAElec09_08!AO$10</f>
        <v>PF8</v>
      </c>
      <c r="B51" s="715" t="str">
        <f>TRIM(CONCATENATE(WAElec09_08!AO$7," ",WAElec09_08!AO$8," ",WAElec09_08!AO$9))</f>
        <v>Pro Forma Noxon Gen 2010</v>
      </c>
      <c r="C51" s="716"/>
      <c r="D51" s="716"/>
      <c r="E51" s="716"/>
      <c r="F51" s="718">
        <f>WAElec09_08!AO$52</f>
        <v>-156</v>
      </c>
      <c r="G51" s="718">
        <f>WAElec09_08!AO$68</f>
        <v>5386</v>
      </c>
      <c r="I51" s="1292" t="s">
        <v>500</v>
      </c>
      <c r="J51" s="743"/>
    </row>
    <row r="52" spans="1:20">
      <c r="A52" s="752" t="str">
        <f>WAElec09_08!AP$10</f>
        <v>PF9</v>
      </c>
      <c r="B52" s="715" t="str">
        <f>TRIM(CONCATENATE(WAElec09_08!AP$7," ",WAElec09_08!AP$8," ",WAElec09_08!AP$9))</f>
        <v>Pro Forma Asset Management</v>
      </c>
      <c r="C52" s="716"/>
      <c r="D52" s="716"/>
      <c r="E52" s="716"/>
      <c r="F52" s="718">
        <f>WAElec09_08!AP$52</f>
        <v>-1883</v>
      </c>
      <c r="G52" s="718">
        <f>WAElec09_08!AP$68</f>
        <v>0</v>
      </c>
      <c r="I52" s="1297" t="s">
        <v>307</v>
      </c>
      <c r="K52" s="1086"/>
    </row>
    <row r="53" spans="1:20">
      <c r="A53" s="752" t="str">
        <f>WAElec09_08!AQ$10</f>
        <v>PF10</v>
      </c>
      <c r="B53" s="715" t="str">
        <f>TRIM(CONCATENATE(WAElec09_08!AQ$7," ",WAElec09_08!AQ$8," ",WAElec09_08!AQ$9))</f>
        <v>Pro Forma Information Services</v>
      </c>
      <c r="C53" s="716"/>
      <c r="D53" s="716"/>
      <c r="E53" s="716"/>
      <c r="F53" s="718">
        <f>WAElec09_08!AQ$52</f>
        <v>-1139</v>
      </c>
      <c r="G53" s="718">
        <f>WAElec09_08!AQ$68</f>
        <v>0</v>
      </c>
      <c r="I53" s="1297" t="s">
        <v>307</v>
      </c>
    </row>
    <row r="54" spans="1:20">
      <c r="A54" s="752" t="str">
        <f>WAElec09_08!AR$10</f>
        <v>PF11</v>
      </c>
      <c r="B54" s="715" t="str">
        <f>TRIM(CONCATENATE(WAElec09_08!AR$7," ",WAElec09_08!AR$8," ",WAElec09_08!AR$9))</f>
        <v>Pro Forma Spokane Rvr Relicensing</v>
      </c>
      <c r="C54" s="716"/>
      <c r="D54" s="716"/>
      <c r="E54" s="716"/>
      <c r="F54" s="718">
        <f>WAElec09_08!AR$52</f>
        <v>-2363</v>
      </c>
      <c r="G54" s="718">
        <f>WAElec09_08!AR$68</f>
        <v>23325</v>
      </c>
      <c r="I54" s="1292" t="s">
        <v>500</v>
      </c>
      <c r="J54" s="677"/>
    </row>
    <row r="55" spans="1:20">
      <c r="A55" s="752" t="str">
        <f>WAElec09_08!AS$10</f>
        <v>PF12</v>
      </c>
      <c r="B55" s="715" t="str">
        <f>TRIM(CONCATENATE(WAElec09_08!AS$7," ",WAElec09_08!AS$8," ",WAElec09_08!AS$9))</f>
        <v>Pro Forma CDA Tribe Settlement</v>
      </c>
      <c r="C55" s="716"/>
      <c r="D55" s="716"/>
      <c r="E55" s="716"/>
      <c r="F55" s="718">
        <f>WAElec09_08!AS$52</f>
        <v>-539</v>
      </c>
      <c r="G55" s="718">
        <f>WAElec09_08!AS$68</f>
        <v>16819</v>
      </c>
      <c r="I55" s="1292" t="s">
        <v>500</v>
      </c>
      <c r="J55" s="677"/>
    </row>
    <row r="56" spans="1:20">
      <c r="A56" s="752" t="str">
        <f>WAElec09_08!AT$10</f>
        <v>PF13</v>
      </c>
      <c r="B56" s="715" t="str">
        <f>TRIM(CONCATENATE(WAElec09_08!AT$7," ",WAElec09_08!AT$8," ",WAElec09_08!AT$9))</f>
        <v>Pro Forma Montana Lease</v>
      </c>
      <c r="C56" s="716"/>
      <c r="D56" s="716"/>
      <c r="E56" s="716"/>
      <c r="F56" s="718">
        <f>WAElec09_08!AT$52</f>
        <v>-2285</v>
      </c>
      <c r="G56" s="718">
        <f>WAElec09_08!AT$68</f>
        <v>2859</v>
      </c>
      <c r="I56" s="1292" t="s">
        <v>500</v>
      </c>
      <c r="J56" s="677"/>
    </row>
    <row r="57" spans="1:20">
      <c r="A57" s="752" t="str">
        <f>WAElec09_08!AU$10</f>
        <v>PF14</v>
      </c>
      <c r="B57" s="715" t="str">
        <f>TRIM(CONCATENATE(WAElec09_08!AU$7," ",WAElec09_08!AU$8," ",WAElec09_08!AU$9))</f>
        <v>Pro Forma Colstrip Mercury Emiss. O&amp;M</v>
      </c>
      <c r="C57" s="716"/>
      <c r="D57" s="716"/>
      <c r="E57" s="716"/>
      <c r="F57" s="718">
        <f>WAElec09_08!AU$52</f>
        <v>-1217</v>
      </c>
      <c r="G57" s="718">
        <f>WAElec09_08!AU$68</f>
        <v>0</v>
      </c>
      <c r="I57" s="1297" t="s">
        <v>307</v>
      </c>
    </row>
    <row r="58" spans="1:20">
      <c r="A58" s="752" t="str">
        <f>WAElec09_08!AV$10</f>
        <v>PF15</v>
      </c>
      <c r="B58" s="715" t="str">
        <f>TRIM(CONCATENATE(WAElec09_08!AV$7," ",WAElec09_08!AV$8," ",WAElec09_08!AV$9))</f>
        <v>Pro Forma Incentives</v>
      </c>
      <c r="C58" s="716"/>
      <c r="D58" s="716"/>
      <c r="E58" s="716"/>
      <c r="F58" s="718">
        <f>WAElec09_08!AV$52</f>
        <v>-357</v>
      </c>
      <c r="G58" s="718">
        <f>WAElec09_08!AV$68</f>
        <v>0</v>
      </c>
      <c r="I58" s="1292" t="s">
        <v>500</v>
      </c>
      <c r="J58" s="677"/>
    </row>
    <row r="59" spans="1:20">
      <c r="A59" s="752" t="str">
        <f>WAElec09_08!AW$10</f>
        <v>PF16</v>
      </c>
      <c r="B59" s="715" t="str">
        <f>TRIM(CONCATENATE(WAElec09_08!AW$7," ",WAElec09_08!AW$8," ",WAElec09_08!AW$9))</f>
        <v>Pro Forma O&amp;M Plant Expense</v>
      </c>
      <c r="C59" s="716"/>
      <c r="D59" s="716"/>
      <c r="E59" s="716"/>
      <c r="F59" s="718">
        <f>WAElec09_08!AW$52</f>
        <v>0</v>
      </c>
      <c r="G59" s="718">
        <f>WAElec09_08!AW$68</f>
        <v>0</v>
      </c>
      <c r="I59" s="1297" t="s">
        <v>307</v>
      </c>
    </row>
    <row r="60" spans="1:20">
      <c r="A60" s="752" t="str">
        <f>WAElec09_08!AX$10</f>
        <v>PF17</v>
      </c>
      <c r="B60" s="715" t="str">
        <f>TRIM(CONCATENATE(WAElec09_08!AX$7," ",WAElec09_08!AX$8," ",WAElec09_08!AX$9))</f>
        <v>Pro Forma Employee Benefits</v>
      </c>
      <c r="C60" s="716"/>
      <c r="D60" s="716"/>
      <c r="E60" s="716"/>
      <c r="F60" s="718">
        <f>WAElec09_08!AX$52</f>
        <v>-2577</v>
      </c>
      <c r="G60" s="718">
        <f>WAElec09_08!AX$68</f>
        <v>0</v>
      </c>
      <c r="I60" s="1292" t="s">
        <v>477</v>
      </c>
    </row>
    <row r="61" spans="1:20">
      <c r="A61" s="752" t="str">
        <f>WAElec09_08!AY$10</f>
        <v>PF18</v>
      </c>
      <c r="B61" s="715" t="str">
        <f>TRIM(CONCATENATE(WAElec09_08!AY$7," ",WAElec09_08!AY$8," ",WAElec09_08!AY$9))</f>
        <v>Pro Forma Insurance</v>
      </c>
      <c r="C61" s="716"/>
      <c r="D61" s="716"/>
      <c r="E61" s="716"/>
      <c r="F61" s="718">
        <f>WAElec09_08!AY$52</f>
        <v>-184</v>
      </c>
      <c r="G61" s="718">
        <f>WAElec09_08!AY$68</f>
        <v>0</v>
      </c>
      <c r="I61" s="1292" t="s">
        <v>500</v>
      </c>
      <c r="J61" s="677"/>
    </row>
    <row r="62" spans="1:20">
      <c r="A62" s="752" t="str">
        <f>WAElec09_08!AZ$10</f>
        <v>PF19</v>
      </c>
      <c r="B62" s="715" t="str">
        <f>TRIM(CONCATENATE(WAElec09_08!AZ$7," ",WAElec09_08!AZ$8," ",WAElec09_08!AZ$9))</f>
        <v>Pro Forma Clark Fork PM&amp;E</v>
      </c>
      <c r="C62" s="716"/>
      <c r="D62" s="716"/>
      <c r="E62" s="716"/>
      <c r="F62" s="886">
        <f>WAElec09_08!AZ$52</f>
        <v>-426</v>
      </c>
      <c r="G62" s="886">
        <f>WAElec09_08!AZ$68</f>
        <v>0</v>
      </c>
      <c r="I62" s="1292" t="s">
        <v>500</v>
      </c>
      <c r="J62" s="677"/>
    </row>
    <row r="63" spans="1:20" hidden="1">
      <c r="A63" s="752" t="str">
        <f>WAElec09_08!BA$10</f>
        <v>PF20</v>
      </c>
      <c r="B63" s="715" t="str">
        <f>TRIM(CONCATENATE(WAElec09_08!BA$7," ",WAElec09_08!BA$8," ",WAElec09_08!BA$9))</f>
        <v>Pro Forma Open</v>
      </c>
      <c r="C63" s="716"/>
      <c r="D63" s="716"/>
      <c r="E63" s="716"/>
      <c r="F63" s="886">
        <f>WAElec09_08!BA$52</f>
        <v>0</v>
      </c>
      <c r="G63" s="886">
        <f>WAElec09_08!BA$68</f>
        <v>0</v>
      </c>
      <c r="I63" s="1292"/>
    </row>
    <row r="64" spans="1:20" hidden="1">
      <c r="A64" s="677"/>
      <c r="B64" s="839"/>
      <c r="C64" s="675"/>
      <c r="D64" s="675"/>
      <c r="E64" s="693"/>
      <c r="F64" s="1055"/>
      <c r="G64" s="1055"/>
      <c r="H64" s="744"/>
      <c r="I64" s="678"/>
      <c r="J64" s="986"/>
      <c r="K64" s="747">
        <f>WAElec09_08!BD69</f>
        <v>6.2399999999999997E-2</v>
      </c>
      <c r="M64" s="675"/>
      <c r="N64" s="675"/>
      <c r="O64" s="686"/>
      <c r="P64" s="686"/>
      <c r="Q64" s="983"/>
      <c r="R64" s="674"/>
      <c r="T64" s="1062" t="s">
        <v>596</v>
      </c>
    </row>
    <row r="65" spans="1:20" ht="13.5" thickBot="1">
      <c r="A65" s="677"/>
      <c r="B65" s="675" t="s">
        <v>421</v>
      </c>
      <c r="C65" s="675"/>
      <c r="D65" s="675"/>
      <c r="E65" s="693"/>
      <c r="F65" s="1322">
        <f>SUM(F42:F64)</f>
        <v>62841.878660000002</v>
      </c>
      <c r="G65" s="1322">
        <f>SUM(G42:G64)</f>
        <v>1007076</v>
      </c>
      <c r="H65" s="1323">
        <f>F65/G65</f>
        <v>6.2400333897342404E-2</v>
      </c>
      <c r="I65" s="926"/>
      <c r="M65" s="675"/>
      <c r="N65" s="675"/>
      <c r="O65" s="685"/>
      <c r="P65" s="685"/>
      <c r="Q65" s="1305"/>
      <c r="R65" s="674"/>
      <c r="T65" s="1058">
        <v>8.1299999999999997E-2</v>
      </c>
    </row>
    <row r="66" spans="1:20" ht="13.5" thickTop="1">
      <c r="A66" s="677"/>
      <c r="B66" s="675"/>
      <c r="C66" s="675"/>
      <c r="D66" s="675"/>
      <c r="E66" s="693"/>
      <c r="F66" s="911"/>
      <c r="G66" s="911"/>
      <c r="H66" s="912"/>
      <c r="I66" s="926"/>
      <c r="J66" s="986"/>
      <c r="M66" s="675"/>
      <c r="N66" s="675"/>
      <c r="O66" s="685"/>
      <c r="P66" s="685"/>
      <c r="Q66" s="1305"/>
      <c r="R66" s="674"/>
      <c r="S66" s="675"/>
      <c r="T66" s="1059">
        <f>WAElec09_08!BD13+WAElec09_08!BD14</f>
        <v>390953</v>
      </c>
    </row>
    <row r="67" spans="1:20">
      <c r="A67" s="677"/>
      <c r="B67" s="675"/>
      <c r="C67" s="675"/>
      <c r="D67" s="675"/>
      <c r="E67" s="693"/>
      <c r="F67" s="911"/>
      <c r="G67" s="911"/>
      <c r="H67" s="912"/>
      <c r="I67" s="926"/>
      <c r="J67" s="986"/>
      <c r="M67" s="675"/>
      <c r="N67" s="675"/>
      <c r="O67" s="685"/>
      <c r="P67" s="685"/>
      <c r="Q67" s="1305"/>
      <c r="R67" s="674"/>
      <c r="S67" s="1061" t="s">
        <v>594</v>
      </c>
      <c r="T67" s="1060">
        <f>((G42*T65)-F42)/0.622/T66</f>
        <v>-2.7141406369494529E-2</v>
      </c>
    </row>
    <row r="68" spans="1:20">
      <c r="A68" s="677"/>
      <c r="B68" s="675"/>
      <c r="C68" s="675"/>
      <c r="D68" s="675"/>
      <c r="E68" s="693"/>
      <c r="F68" s="911"/>
      <c r="G68" s="911"/>
      <c r="H68" s="912"/>
      <c r="I68" s="926"/>
      <c r="J68" s="986"/>
      <c r="M68" s="675"/>
      <c r="N68" s="675"/>
      <c r="O68" s="685"/>
      <c r="P68" s="685"/>
      <c r="Q68" s="1305"/>
      <c r="R68" s="674"/>
      <c r="S68" s="1061" t="s">
        <v>595</v>
      </c>
      <c r="T68" s="1060">
        <f>((G65*T65)-F65)/0.622/T66</f>
        <v>7.827110104920218E-2</v>
      </c>
    </row>
    <row r="69" spans="1:20">
      <c r="A69" s="677"/>
      <c r="B69" s="675"/>
      <c r="C69" s="675"/>
      <c r="D69" s="675"/>
      <c r="E69" s="693"/>
      <c r="F69" s="911"/>
      <c r="G69" s="911"/>
      <c r="H69" s="912"/>
      <c r="I69" s="926"/>
      <c r="J69" s="986"/>
      <c r="K69" s="675"/>
      <c r="L69" s="675"/>
      <c r="M69" s="675"/>
      <c r="N69" s="675"/>
      <c r="O69" s="685"/>
      <c r="P69" s="685"/>
      <c r="Q69" s="1305"/>
      <c r="R69" s="674"/>
    </row>
    <row r="70" spans="1:20">
      <c r="A70" s="677"/>
      <c r="B70" s="675"/>
      <c r="C70" s="675"/>
      <c r="D70" s="675"/>
      <c r="E70" s="693"/>
      <c r="F70" s="961"/>
      <c r="G70" s="911"/>
      <c r="H70" s="912"/>
      <c r="I70" s="926"/>
      <c r="J70" s="986"/>
      <c r="K70" s="675"/>
      <c r="L70" s="675"/>
      <c r="M70" s="675"/>
      <c r="N70" s="675"/>
      <c r="O70" s="685"/>
      <c r="P70" s="685"/>
      <c r="Q70" s="1305"/>
      <c r="R70" s="674"/>
    </row>
    <row r="71" spans="1:20" s="675" customFormat="1" hidden="1">
      <c r="A71" s="669"/>
      <c r="B71" s="669"/>
      <c r="C71" s="669"/>
      <c r="D71" s="674" t="str">
        <f>Inputs!$D$6</f>
        <v>AVISTA UTILITIES</v>
      </c>
      <c r="E71" s="669"/>
      <c r="G71" s="669"/>
      <c r="H71" s="743"/>
      <c r="I71" s="677"/>
      <c r="J71" s="964"/>
      <c r="N71" s="693"/>
      <c r="O71" s="693"/>
      <c r="Q71" s="983"/>
      <c r="R71" s="676"/>
    </row>
    <row r="72" spans="1:20" s="675" customFormat="1" hidden="1">
      <c r="A72" s="678"/>
      <c r="B72" s="669"/>
      <c r="C72" s="669"/>
      <c r="D72" s="677"/>
      <c r="E72" s="669"/>
      <c r="F72" s="669"/>
      <c r="G72" s="669"/>
      <c r="H72" s="743"/>
      <c r="I72" s="677"/>
      <c r="J72" s="964"/>
      <c r="N72" s="693"/>
      <c r="O72" s="686"/>
      <c r="P72" s="686"/>
      <c r="Q72" s="983"/>
      <c r="R72" s="676"/>
    </row>
    <row r="73" spans="1:20" s="675" customFormat="1" hidden="1">
      <c r="A73" s="678"/>
      <c r="B73" s="669"/>
      <c r="C73" s="669"/>
      <c r="D73" s="677" t="s">
        <v>131</v>
      </c>
      <c r="E73" s="669"/>
      <c r="F73" s="669"/>
      <c r="G73" s="669"/>
      <c r="H73" s="743"/>
      <c r="I73" s="677"/>
      <c r="J73" s="964"/>
      <c r="N73" s="693"/>
      <c r="O73" s="686"/>
      <c r="P73" s="686"/>
      <c r="Q73" s="983"/>
      <c r="R73" s="676"/>
    </row>
    <row r="74" spans="1:20" s="675" customFormat="1" hidden="1">
      <c r="A74" s="678"/>
      <c r="B74" s="669"/>
      <c r="C74" s="669"/>
      <c r="D74" s="677" t="s">
        <v>139</v>
      </c>
      <c r="E74" s="669"/>
      <c r="F74" s="669"/>
      <c r="G74" s="669"/>
      <c r="H74" s="743"/>
      <c r="I74" s="677"/>
      <c r="J74" s="964"/>
      <c r="N74" s="693"/>
      <c r="O74" s="686"/>
      <c r="P74" s="686"/>
      <c r="Q74" s="983"/>
      <c r="R74" s="676"/>
    </row>
    <row r="75" spans="1:20" s="675" customFormat="1" hidden="1">
      <c r="A75" s="669"/>
      <c r="B75" s="669"/>
      <c r="C75" s="669"/>
      <c r="D75" s="696" t="str">
        <f>$D$5</f>
        <v>TWELVE MONTHS ENDED SEPTEMBER 30, 2008</v>
      </c>
      <c r="E75" s="669"/>
      <c r="F75" s="669"/>
      <c r="G75" s="1101"/>
      <c r="H75" s="1116"/>
      <c r="I75" s="1112"/>
      <c r="J75" s="1103"/>
      <c r="K75" s="1017"/>
      <c r="N75" s="693"/>
      <c r="O75" s="686"/>
      <c r="P75" s="686"/>
      <c r="Q75" s="983"/>
      <c r="R75" s="676"/>
    </row>
    <row r="76" spans="1:20" hidden="1">
      <c r="K76" s="675"/>
      <c r="L76" s="675"/>
      <c r="M76" s="678"/>
      <c r="N76" s="675"/>
      <c r="O76" s="675"/>
      <c r="P76" s="675"/>
      <c r="Q76" s="983"/>
      <c r="R76" s="674"/>
    </row>
    <row r="77" spans="1:20" hidden="1">
      <c r="K77" s="675"/>
      <c r="L77" s="675"/>
      <c r="M77" s="678"/>
      <c r="N77" s="675"/>
      <c r="O77" s="675"/>
      <c r="P77" s="675"/>
      <c r="Q77" s="983"/>
      <c r="R77" s="674"/>
    </row>
    <row r="78" spans="1:20" hidden="1">
      <c r="F78" s="681"/>
      <c r="G78" s="682" t="s">
        <v>139</v>
      </c>
      <c r="K78" s="675"/>
      <c r="L78" s="675"/>
      <c r="M78" s="678"/>
      <c r="N78" s="675"/>
      <c r="O78" s="675"/>
      <c r="P78" s="675"/>
      <c r="Q78" s="983"/>
      <c r="R78" s="674"/>
    </row>
    <row r="79" spans="1:20" hidden="1">
      <c r="A79" s="682" t="s">
        <v>133</v>
      </c>
      <c r="B79" s="682" t="s">
        <v>134</v>
      </c>
      <c r="C79" s="677"/>
      <c r="D79" s="677"/>
      <c r="F79" s="682" t="s">
        <v>135</v>
      </c>
      <c r="G79" s="682" t="s">
        <v>38</v>
      </c>
      <c r="H79" s="751" t="s">
        <v>136</v>
      </c>
      <c r="I79" s="682" t="s">
        <v>414</v>
      </c>
      <c r="J79" s="985" t="s">
        <v>415</v>
      </c>
      <c r="K79" s="675"/>
      <c r="L79" s="675"/>
      <c r="M79" s="678"/>
      <c r="N79" s="675"/>
      <c r="O79" s="675"/>
      <c r="P79" s="675"/>
      <c r="Q79" s="983"/>
      <c r="R79" s="674"/>
    </row>
    <row r="80" spans="1:20" hidden="1">
      <c r="A80" s="752" t="str">
        <f>IDElec12_07!E$10</f>
        <v>b</v>
      </c>
      <c r="B80" s="1107" t="str">
        <f>TRIM(CONCATENATE(IDElec12_07!E$7," ",IDElec12_07!E$8," ",IDElec12_07!E$9))</f>
        <v>Per Results Report</v>
      </c>
      <c r="C80" s="1127"/>
      <c r="D80" s="1127"/>
      <c r="E80" s="1127"/>
      <c r="F80" s="1202">
        <f>IDElec12_07!E$52</f>
        <v>42313</v>
      </c>
      <c r="G80" s="1202">
        <f>IDElec12_07!E$68</f>
        <v>605157</v>
      </c>
      <c r="H80" s="1201"/>
      <c r="I80" s="1068" t="s">
        <v>307</v>
      </c>
      <c r="J80" s="669"/>
      <c r="K80" s="675"/>
      <c r="L80" s="675"/>
      <c r="M80" s="680"/>
      <c r="N80" s="675"/>
      <c r="O80" s="675"/>
      <c r="P80" s="675"/>
      <c r="Q80" s="983"/>
      <c r="R80" s="674"/>
    </row>
    <row r="81" spans="1:18" s="698" customFormat="1" hidden="1">
      <c r="A81" s="752" t="str">
        <f>IDElec12_07!F$10</f>
        <v>c</v>
      </c>
      <c r="B81" s="715" t="str">
        <f>TRIM(CONCATENATE(IDElec12_07!F$7," ",IDElec12_07!F$8," ",IDElec12_07!F$9))</f>
        <v>Deferred FIT Rate Base</v>
      </c>
      <c r="F81" s="718">
        <f>IDElec12_07!F$52</f>
        <v>0</v>
      </c>
      <c r="G81" s="718">
        <f>IDElec12_07!F$68</f>
        <v>-82407</v>
      </c>
      <c r="H81" s="743"/>
      <c r="I81" s="677" t="s">
        <v>477</v>
      </c>
      <c r="J81" s="964"/>
      <c r="K81" s="700"/>
      <c r="L81" s="700"/>
      <c r="M81" s="700"/>
      <c r="N81" s="700"/>
      <c r="O81" s="700"/>
      <c r="P81" s="700"/>
      <c r="Q81" s="983"/>
      <c r="R81" s="699"/>
    </row>
    <row r="82" spans="1:18" s="698" customFormat="1" hidden="1">
      <c r="A82" s="752" t="str">
        <f>IDElec12_07!G$10</f>
        <v>d</v>
      </c>
      <c r="B82" s="715" t="str">
        <f>TRIM(CONCATENATE(IDElec12_07!G$7," ",IDElec12_07!G$8," ",IDElec12_07!G$9))</f>
        <v>Deferred Gain on Office Building</v>
      </c>
      <c r="F82" s="718">
        <f>IDElec12_07!G$52</f>
        <v>0</v>
      </c>
      <c r="G82" s="718">
        <f>IDElec12_07!G$68</f>
        <v>0</v>
      </c>
      <c r="H82" s="743"/>
      <c r="I82" s="677" t="s">
        <v>579</v>
      </c>
      <c r="J82" s="964"/>
      <c r="K82" s="700"/>
      <c r="L82" s="700"/>
      <c r="M82" s="700"/>
      <c r="N82" s="700"/>
      <c r="O82" s="700"/>
      <c r="P82" s="700"/>
      <c r="Q82" s="983"/>
      <c r="R82" s="699"/>
    </row>
    <row r="83" spans="1:18" s="698" customFormat="1" hidden="1">
      <c r="A83" s="752" t="str">
        <f>IDElec12_07!H$10</f>
        <v>e</v>
      </c>
      <c r="B83" s="715" t="str">
        <f>TRIM(CONCATENATE(IDElec12_07!H$7," ",IDElec12_07!H$8," ",IDElec12_07!H$9))</f>
        <v>Colstrip 3 AFUDC Elimination</v>
      </c>
      <c r="F83" s="718">
        <f>IDElec12_07!H$52</f>
        <v>0</v>
      </c>
      <c r="G83" s="718">
        <f>IDElec12_07!H$68</f>
        <v>0</v>
      </c>
      <c r="H83" s="743"/>
      <c r="I83" s="677" t="s">
        <v>579</v>
      </c>
      <c r="J83" s="964"/>
      <c r="K83" s="700"/>
      <c r="L83" s="1187" t="s">
        <v>629</v>
      </c>
      <c r="M83" s="700"/>
      <c r="N83" s="700"/>
      <c r="O83" s="700"/>
      <c r="P83" s="701"/>
      <c r="Q83" s="983"/>
      <c r="R83" s="699"/>
    </row>
    <row r="84" spans="1:18" s="698" customFormat="1" hidden="1">
      <c r="A84" s="752" t="str">
        <f>IDElec12_07!I$10</f>
        <v>f</v>
      </c>
      <c r="B84" s="715" t="str">
        <f>TRIM(CONCATENATE(IDElec12_07!I$7," ",IDElec12_07!I$8," ",IDElec12_07!I$9))</f>
        <v>Colstrip Common AFUDC</v>
      </c>
      <c r="F84" s="718">
        <f>IDElec12_07!I$52</f>
        <v>0</v>
      </c>
      <c r="G84" s="718">
        <f>IDElec12_07!I$68</f>
        <v>0</v>
      </c>
      <c r="H84" s="743"/>
      <c r="I84" s="677" t="s">
        <v>579</v>
      </c>
      <c r="J84" s="964"/>
      <c r="K84" s="701"/>
      <c r="L84" s="701"/>
      <c r="M84" s="701"/>
      <c r="N84" s="700"/>
      <c r="O84" s="701"/>
      <c r="P84" s="701"/>
      <c r="Q84" s="1302"/>
      <c r="R84" s="699"/>
    </row>
    <row r="85" spans="1:18" s="698" customFormat="1" hidden="1">
      <c r="A85" s="752" t="str">
        <f>IDElec12_07!J$10</f>
        <v>g</v>
      </c>
      <c r="B85" s="715" t="str">
        <f>TRIM(CONCATENATE(IDElec12_07!J$7," ",IDElec12_07!J$8," ",IDElec12_07!J$9))</f>
        <v>Kettle Falls &amp; Boulder Park Disallow.</v>
      </c>
      <c r="F85" s="718">
        <f>IDElec12_07!J$52</f>
        <v>0</v>
      </c>
      <c r="G85" s="718">
        <f>IDElec12_07!J$68</f>
        <v>0</v>
      </c>
      <c r="H85" s="743"/>
      <c r="I85" s="677" t="s">
        <v>579</v>
      </c>
      <c r="J85" s="964"/>
      <c r="K85" s="700"/>
      <c r="L85" s="700"/>
      <c r="M85" s="700"/>
      <c r="N85" s="700"/>
      <c r="O85" s="702"/>
      <c r="P85" s="702"/>
      <c r="Q85" s="983"/>
      <c r="R85" s="699"/>
    </row>
    <row r="86" spans="1:18" s="698" customFormat="1" hidden="1">
      <c r="A86" s="752" t="str">
        <f>IDElec12_07!K$10</f>
        <v>h</v>
      </c>
      <c r="B86" s="715" t="str">
        <f>TRIM(CONCATENATE(IDElec12_07!K$7," ",IDElec12_07!K$8," ",IDElec12_07!K$9))</f>
        <v>Customer Advances</v>
      </c>
      <c r="F86" s="718">
        <f>IDElec12_07!K$52</f>
        <v>0</v>
      </c>
      <c r="G86" s="718">
        <f>IDElec12_07!K$68</f>
        <v>0</v>
      </c>
      <c r="I86" s="677" t="s">
        <v>579</v>
      </c>
      <c r="J86" s="964"/>
      <c r="L86" s="700"/>
      <c r="M86" s="700"/>
      <c r="N86" s="700"/>
      <c r="O86" s="703"/>
      <c r="P86" s="703"/>
      <c r="Q86" s="983"/>
      <c r="R86" s="699"/>
    </row>
    <row r="87" spans="1:18" s="698" customFormat="1" hidden="1">
      <c r="A87" s="752" t="str">
        <f>IDElec12_07!L$10</f>
        <v>i</v>
      </c>
      <c r="B87" s="715" t="str">
        <f>TRIM(CONCATENATE(IDElec12_07!L$7," ",IDElec12_07!L$8," ",IDElec12_07!L$9))</f>
        <v>Weatherizn and DSM Investment</v>
      </c>
      <c r="F87" s="718">
        <f>IDElec12_07!L$52</f>
        <v>0</v>
      </c>
      <c r="G87" s="718">
        <f>IDElec12_07!L$68</f>
        <v>2630</v>
      </c>
      <c r="H87" s="743"/>
      <c r="I87" s="677" t="s">
        <v>306</v>
      </c>
      <c r="J87" s="964"/>
      <c r="K87" s="700"/>
      <c r="L87" s="700"/>
      <c r="M87" s="700"/>
      <c r="N87" s="700"/>
      <c r="O87" s="703"/>
      <c r="P87" s="703"/>
      <c r="Q87" s="983"/>
      <c r="R87" s="699"/>
    </row>
    <row r="88" spans="1:18" s="698" customFormat="1" hidden="1">
      <c r="A88" s="752"/>
      <c r="B88" s="715"/>
      <c r="F88" s="718"/>
      <c r="G88" s="718"/>
      <c r="H88" s="743"/>
      <c r="I88" s="677"/>
      <c r="J88" s="964"/>
      <c r="K88" s="700"/>
      <c r="L88" s="700"/>
      <c r="M88" s="700"/>
      <c r="N88" s="700"/>
      <c r="O88" s="703"/>
      <c r="P88" s="703"/>
      <c r="Q88" s="983"/>
      <c r="R88" s="699"/>
    </row>
    <row r="89" spans="1:18" s="698" customFormat="1" hidden="1">
      <c r="A89" s="752"/>
      <c r="B89" s="715"/>
      <c r="F89" s="718"/>
      <c r="G89" s="718"/>
      <c r="H89" s="743"/>
      <c r="I89" s="677"/>
      <c r="J89" s="964"/>
      <c r="K89" s="700"/>
      <c r="L89" s="700"/>
      <c r="M89" s="700"/>
      <c r="N89" s="700"/>
      <c r="O89" s="703"/>
      <c r="P89" s="703"/>
      <c r="Q89" s="983"/>
      <c r="R89" s="699"/>
    </row>
    <row r="90" spans="1:18" hidden="1">
      <c r="B90" s="669" t="s">
        <v>137</v>
      </c>
      <c r="F90" s="689">
        <f>SUM(F80:F89)</f>
        <v>42313</v>
      </c>
      <c r="G90" s="689">
        <f>SUM(G80:G89)</f>
        <v>525380</v>
      </c>
      <c r="H90" s="746">
        <f>F90/G90</f>
        <v>8.0537896379763219E-2</v>
      </c>
      <c r="J90" s="987"/>
      <c r="K90" s="691">
        <f>IDElec12_07!N69</f>
        <v>8.0500000000000002E-2</v>
      </c>
      <c r="L90" s="675"/>
      <c r="M90" s="675"/>
      <c r="N90" s="675"/>
      <c r="O90" s="686"/>
      <c r="P90" s="686"/>
      <c r="Q90" s="983"/>
      <c r="R90" s="674"/>
    </row>
    <row r="91" spans="1:18" hidden="1">
      <c r="A91" s="677"/>
      <c r="F91" s="690"/>
      <c r="G91" s="690"/>
      <c r="K91" s="675"/>
      <c r="L91" s="675"/>
      <c r="M91" s="675"/>
      <c r="N91" s="675"/>
      <c r="O91" s="686"/>
      <c r="P91" s="686"/>
      <c r="Q91" s="983"/>
      <c r="R91" s="674"/>
    </row>
    <row r="92" spans="1:18" s="698" customFormat="1" hidden="1">
      <c r="A92" s="752" t="str">
        <f>IDElec12_07!O$10</f>
        <v>j</v>
      </c>
      <c r="B92" s="715" t="str">
        <f>TRIM(CONCATENATE(IDElec12_07!O$7," ",IDElec12_07!O$8," ",IDElec12_07!O$9))</f>
        <v>Depreciation True-up</v>
      </c>
      <c r="F92" s="718">
        <f>IDElec12_07!O$52</f>
        <v>0</v>
      </c>
      <c r="G92" s="718">
        <f>IDElec12_07!O$68</f>
        <v>0</v>
      </c>
      <c r="I92" s="677" t="s">
        <v>500</v>
      </c>
      <c r="J92" s="964"/>
      <c r="L92" s="700"/>
      <c r="M92" s="700"/>
      <c r="N92" s="700"/>
      <c r="O92" s="703"/>
      <c r="P92" s="703"/>
      <c r="Q92" s="983"/>
      <c r="R92" s="699"/>
    </row>
    <row r="93" spans="1:18" s="698" customFormat="1" hidden="1">
      <c r="A93" s="752" t="str">
        <f>IDElec12_07!P$10</f>
        <v>k</v>
      </c>
      <c r="B93" s="715" t="str">
        <f>TRIM(CONCATENATE(IDElec12_07!P$7," ",IDElec12_07!P$8," ",IDElec12_07!P$9))</f>
        <v>Eliminate B &amp; O Taxes</v>
      </c>
      <c r="C93" s="716"/>
      <c r="F93" s="718">
        <f>IDElec12_07!P$52</f>
        <v>0</v>
      </c>
      <c r="G93" s="718">
        <f>IDElec12_07!P$68</f>
        <v>0</v>
      </c>
      <c r="H93" s="743"/>
      <c r="I93" s="677" t="s">
        <v>306</v>
      </c>
      <c r="J93" s="964"/>
      <c r="K93" s="700"/>
      <c r="L93" s="700"/>
      <c r="M93" s="700"/>
      <c r="N93" s="700"/>
      <c r="O93" s="703"/>
      <c r="P93" s="703"/>
      <c r="Q93" s="983"/>
      <c r="R93" s="699"/>
    </row>
    <row r="94" spans="1:18" s="698" customFormat="1" hidden="1">
      <c r="A94" s="752" t="str">
        <f>IDElec12_07!Q$10</f>
        <v>l</v>
      </c>
      <c r="B94" s="715" t="str">
        <f>TRIM(CONCATENATE(IDElec12_07!Q$7," ",IDElec12_07!Q$8," ",IDElec12_07!Q$9))</f>
        <v>Property Tax</v>
      </c>
      <c r="C94" s="716"/>
      <c r="F94" s="718">
        <f>IDElec12_07!Q$52</f>
        <v>0</v>
      </c>
      <c r="G94" s="718">
        <f>IDElec12_07!Q$68</f>
        <v>0</v>
      </c>
      <c r="H94" s="743"/>
      <c r="I94" s="677" t="s">
        <v>477</v>
      </c>
      <c r="J94" s="964"/>
      <c r="K94" s="700"/>
      <c r="L94" s="700"/>
      <c r="M94" s="700"/>
      <c r="N94" s="700"/>
      <c r="O94" s="703"/>
      <c r="P94" s="703"/>
      <c r="Q94" s="983"/>
      <c r="R94" s="699"/>
    </row>
    <row r="95" spans="1:18" s="698" customFormat="1" hidden="1">
      <c r="A95" s="752" t="str">
        <f>IDElec12_07!R$10</f>
        <v>m</v>
      </c>
      <c r="B95" s="715" t="str">
        <f>TRIM(CONCATENATE(IDElec12_07!R$7," ",IDElec12_07!R$8," ",IDElec12_07!R$9))</f>
        <v>Uncollect. Expense</v>
      </c>
      <c r="C95" s="716"/>
      <c r="F95" s="718">
        <f>IDElec12_07!R$52</f>
        <v>0</v>
      </c>
      <c r="G95" s="718">
        <f>IDElec12_07!R$68</f>
        <v>0</v>
      </c>
      <c r="H95" s="743"/>
      <c r="I95" s="677" t="s">
        <v>477</v>
      </c>
      <c r="J95" s="964"/>
      <c r="K95" s="700"/>
      <c r="L95" s="700"/>
      <c r="M95" s="700"/>
      <c r="N95" s="700"/>
      <c r="O95" s="703"/>
      <c r="P95" s="703"/>
      <c r="Q95" s="1303"/>
      <c r="R95" s="699"/>
    </row>
    <row r="96" spans="1:18" s="698" customFormat="1" hidden="1">
      <c r="A96" s="752" t="str">
        <f>IDElec12_07!S$10</f>
        <v>n</v>
      </c>
      <c r="B96" s="715" t="str">
        <f>TRIM(CONCATENATE(IDElec12_07!S$7," ",IDElec12_07!S$8," ",IDElec12_07!S$9))</f>
        <v>Regulatory Expense</v>
      </c>
      <c r="C96" s="716"/>
      <c r="F96" s="718">
        <f>IDElec12_07!S$52</f>
        <v>0</v>
      </c>
      <c r="G96" s="718">
        <f>IDElec12_07!S$68</f>
        <v>0</v>
      </c>
      <c r="H96" s="743"/>
      <c r="I96" s="677" t="s">
        <v>477</v>
      </c>
      <c r="J96" s="964"/>
      <c r="K96" s="700"/>
      <c r="L96" s="700"/>
      <c r="M96" s="700"/>
      <c r="N96" s="700"/>
      <c r="O96" s="703"/>
      <c r="P96" s="703"/>
      <c r="Q96" s="983"/>
      <c r="R96" s="699"/>
    </row>
    <row r="97" spans="1:18" s="698" customFormat="1" hidden="1">
      <c r="A97" s="752" t="str">
        <f>IDElec12_07!T$10</f>
        <v>o</v>
      </c>
      <c r="B97" s="715" t="str">
        <f>TRIM(CONCATENATE(IDElec12_07!T$7," ",IDElec12_07!T$8," ",IDElec12_07!T$9))</f>
        <v>Injuries and Damages</v>
      </c>
      <c r="C97" s="716"/>
      <c r="F97" s="718">
        <f>IDElec12_07!T$52</f>
        <v>0</v>
      </c>
      <c r="G97" s="718">
        <f>IDElec12_07!T$68</f>
        <v>0</v>
      </c>
      <c r="H97" s="743"/>
      <c r="I97" s="677" t="s">
        <v>579</v>
      </c>
      <c r="J97" s="964"/>
      <c r="K97" s="700"/>
      <c r="L97" s="1187" t="s">
        <v>629</v>
      </c>
      <c r="M97" s="700"/>
      <c r="N97" s="700"/>
      <c r="O97" s="703"/>
      <c r="P97" s="703"/>
      <c r="Q97" s="983"/>
      <c r="R97" s="699"/>
    </row>
    <row r="98" spans="1:18" s="698" customFormat="1" hidden="1">
      <c r="A98" s="752" t="str">
        <f>IDElec12_07!U$10</f>
        <v>p</v>
      </c>
      <c r="B98" s="715" t="str">
        <f>TRIM(CONCATENATE(IDElec12_07!U$7," ",IDElec12_07!U$8," ",IDElec12_07!U$9))</f>
        <v>FIT</v>
      </c>
      <c r="C98" s="716"/>
      <c r="F98" s="718">
        <f>IDElec12_07!U$52</f>
        <v>0</v>
      </c>
      <c r="G98" s="718">
        <f>IDElec12_07!U$68</f>
        <v>0</v>
      </c>
      <c r="H98" s="745"/>
      <c r="I98" s="677" t="s">
        <v>477</v>
      </c>
      <c r="J98" s="964"/>
      <c r="K98" s="700"/>
      <c r="L98" s="700"/>
      <c r="M98" s="700"/>
      <c r="N98" s="700"/>
      <c r="O98" s="703"/>
      <c r="P98" s="703"/>
      <c r="Q98" s="983"/>
      <c r="R98" s="699"/>
    </row>
    <row r="99" spans="1:18" s="698" customFormat="1" hidden="1">
      <c r="A99" s="752" t="str">
        <f>IDElec12_07!V$10</f>
        <v>q</v>
      </c>
      <c r="B99" s="715" t="str">
        <f>TRIM(CONCATENATE(IDElec12_07!V$7," ",IDElec12_07!V$8," ",IDElec12_07!V$9))</f>
        <v>Idaho PCA</v>
      </c>
      <c r="C99" s="716"/>
      <c r="F99" s="718">
        <f>IDElec12_07!V$52</f>
        <v>0</v>
      </c>
      <c r="G99" s="718">
        <f>IDElec12_07!V$68</f>
        <v>0</v>
      </c>
      <c r="H99" s="745"/>
      <c r="I99" s="677" t="s">
        <v>419</v>
      </c>
      <c r="K99" s="700"/>
      <c r="L99" s="700"/>
      <c r="M99" s="700"/>
      <c r="N99" s="700"/>
      <c r="O99" s="703"/>
      <c r="P99" s="703"/>
      <c r="Q99" s="983"/>
      <c r="R99" s="699"/>
    </row>
    <row r="100" spans="1:18" s="698" customFormat="1" hidden="1">
      <c r="A100" s="752" t="str">
        <f>IDElec12_07!W$10</f>
        <v>r</v>
      </c>
      <c r="B100" s="715" t="str">
        <f>TRIM(CONCATENATE(IDElec12_07!W$7," ",IDElec12_07!W$8," ",IDElec12_07!W$9))</f>
        <v>Nez Perce Settlement Adjustment</v>
      </c>
      <c r="C100" s="716"/>
      <c r="F100" s="718">
        <f>IDElec12_07!W$52</f>
        <v>0</v>
      </c>
      <c r="G100" s="718">
        <f>IDElec12_07!W$68</f>
        <v>0</v>
      </c>
      <c r="H100" s="745"/>
      <c r="I100" s="677" t="s">
        <v>579</v>
      </c>
      <c r="J100" s="964"/>
      <c r="K100" s="700"/>
      <c r="L100" s="700"/>
      <c r="M100" s="700"/>
      <c r="N100" s="700"/>
      <c r="O100" s="703"/>
      <c r="P100" s="703"/>
      <c r="Q100" s="983"/>
      <c r="R100" s="699"/>
    </row>
    <row r="101" spans="1:18" s="1132" customFormat="1" hidden="1">
      <c r="A101" s="1106" t="str">
        <f>IDElec12_07!X$10</f>
        <v>s</v>
      </c>
      <c r="B101" s="1107" t="str">
        <f>TRIM(CONCATENATE(IDElec12_07!X$7," ",IDElec12_07!X$8," ",IDElec12_07!X$9))</f>
        <v>Eliminate A/R Expenses</v>
      </c>
      <c r="C101" s="1108"/>
      <c r="F101" s="1110">
        <f>IDElec12_07!X$52</f>
        <v>0</v>
      </c>
      <c r="G101" s="1110">
        <f>IDElec12_07!X$68</f>
        <v>0</v>
      </c>
      <c r="H101" s="1133"/>
      <c r="I101" s="692" t="s">
        <v>579</v>
      </c>
      <c r="L101" s="1134"/>
      <c r="M101" s="1134"/>
      <c r="N101" s="1134"/>
      <c r="O101" s="1135"/>
      <c r="P101" s="1135"/>
      <c r="Q101" s="1304"/>
      <c r="R101" s="1136"/>
    </row>
    <row r="102" spans="1:18" s="881" customFormat="1" hidden="1">
      <c r="A102" s="752" t="str">
        <f>IDElec12_07!Y$10</f>
        <v>t</v>
      </c>
      <c r="B102" s="715" t="str">
        <f>TRIM(CONCATENATE(IDElec12_07!Y$7," ",IDElec12_07!Y$8," ",IDElec12_07!Y$9))</f>
        <v>Clark Fork PM&amp;E</v>
      </c>
      <c r="C102" s="716"/>
      <c r="D102" s="698"/>
      <c r="E102" s="698"/>
      <c r="F102" s="718">
        <f>IDElec12_07!Y$52</f>
        <v>-336</v>
      </c>
      <c r="G102" s="718">
        <f>IDElec12_07!Y$68</f>
        <v>0</v>
      </c>
      <c r="H102" s="887"/>
      <c r="I102" s="677" t="s">
        <v>306</v>
      </c>
      <c r="K102" s="700" t="s">
        <v>590</v>
      </c>
      <c r="L102" s="882"/>
      <c r="M102" s="882"/>
      <c r="N102" s="882"/>
      <c r="O102" s="883"/>
      <c r="P102" s="883"/>
      <c r="Q102" s="983"/>
      <c r="R102" s="884"/>
    </row>
    <row r="103" spans="1:18" ht="12" hidden="1" customHeight="1">
      <c r="A103" s="752" t="str">
        <f>IDElec12_07!Z$10</f>
        <v>u</v>
      </c>
      <c r="B103" s="715" t="str">
        <f>TRIM(CONCATENATE(IDElec12_07!Z$7," ",IDElec12_07!Z$8," ",IDElec12_07!Z$9))</f>
        <v>Revenue Normalization Adjustment</v>
      </c>
      <c r="C103" s="716"/>
      <c r="D103" s="698"/>
      <c r="E103" s="698"/>
      <c r="F103" s="718">
        <f>IDElec12_07!Z$52</f>
        <v>0</v>
      </c>
      <c r="G103" s="718">
        <f>IDElec12_07!Z$68</f>
        <v>0</v>
      </c>
      <c r="I103" s="677" t="s">
        <v>505</v>
      </c>
      <c r="K103" s="882" t="s">
        <v>598</v>
      </c>
      <c r="L103" s="675"/>
      <c r="M103" s="675"/>
      <c r="N103" s="675"/>
      <c r="O103" s="686"/>
      <c r="P103" s="686"/>
      <c r="Q103" s="983"/>
      <c r="R103" s="674"/>
    </row>
    <row r="104" spans="1:18" s="1132" customFormat="1" ht="11.25" hidden="1" customHeight="1">
      <c r="A104" s="1106" t="str">
        <f>IDElec12_07!AA$10</f>
        <v>v</v>
      </c>
      <c r="B104" s="1107" t="str">
        <f>TRIM(CONCATENATE(IDElec12_07!AA$7," ",IDElec12_07!AA$8," ",IDElec12_07!AA$9))</f>
        <v>Restate Debt Interest</v>
      </c>
      <c r="C104" s="1108"/>
      <c r="F104" s="1110">
        <f>IDElec12_07!AA$52</f>
        <v>0</v>
      </c>
      <c r="G104" s="1110">
        <f>IDElec12_07!AA$68</f>
        <v>0</v>
      </c>
      <c r="H104" s="1133"/>
      <c r="I104" s="692" t="s">
        <v>307</v>
      </c>
      <c r="K104" s="1134" t="s">
        <v>603</v>
      </c>
      <c r="L104" s="1134"/>
      <c r="M104" s="1134"/>
      <c r="N104" s="1134"/>
      <c r="O104" s="1135"/>
      <c r="P104" s="1135"/>
      <c r="Q104" s="1304"/>
      <c r="R104" s="1136"/>
    </row>
    <row r="105" spans="1:18" hidden="1">
      <c r="A105" s="1106" t="str">
        <f>IDElec12_07!AB$10</f>
        <v>w</v>
      </c>
      <c r="B105" s="1107" t="str">
        <f>TRIM(CONCATENATE(IDElec12_07!AB$7," ",IDElec12_07!AB$8," ",IDElec12_07!AB$9))</f>
        <v>Misc Restating</v>
      </c>
      <c r="C105" s="1108"/>
      <c r="D105" s="1132"/>
      <c r="E105" s="1132"/>
      <c r="F105" s="1110">
        <f>IDElec12_07!AB$52</f>
        <v>0</v>
      </c>
      <c r="G105" s="1110">
        <f>IDElec12_07!AB$68</f>
        <v>0</v>
      </c>
      <c r="H105" s="1128"/>
      <c r="I105" s="692"/>
      <c r="J105" s="1103"/>
      <c r="K105" s="700"/>
      <c r="L105" s="675"/>
      <c r="M105" s="675"/>
      <c r="N105" s="675"/>
      <c r="O105" s="686"/>
      <c r="P105" s="686"/>
      <c r="Q105" s="983"/>
      <c r="R105" s="674"/>
    </row>
    <row r="106" spans="1:18" ht="0.75" hidden="1" customHeight="1">
      <c r="A106" s="1106"/>
      <c r="B106" s="1107"/>
      <c r="C106" s="1108"/>
      <c r="D106" s="1108"/>
      <c r="E106" s="1108"/>
      <c r="F106" s="1110"/>
      <c r="G106" s="1110"/>
      <c r="H106" s="1128"/>
      <c r="I106" s="692"/>
      <c r="J106" s="1103"/>
      <c r="K106" s="675"/>
      <c r="L106" s="675"/>
      <c r="M106" s="675"/>
      <c r="N106" s="675"/>
      <c r="O106" s="686"/>
      <c r="P106" s="686"/>
      <c r="Q106" s="983"/>
      <c r="R106" s="674"/>
    </row>
    <row r="107" spans="1:18" hidden="1">
      <c r="A107" s="1106"/>
      <c r="B107" s="1107"/>
      <c r="C107" s="1108"/>
      <c r="D107" s="1108"/>
      <c r="E107" s="1108"/>
      <c r="F107" s="1110"/>
      <c r="G107" s="1110"/>
      <c r="H107" s="1128"/>
      <c r="I107" s="692"/>
      <c r="J107" s="1103"/>
      <c r="K107" s="675"/>
      <c r="L107" s="675"/>
      <c r="M107" s="675"/>
      <c r="N107" s="675"/>
      <c r="O107" s="686"/>
      <c r="P107" s="686"/>
      <c r="Q107" s="983"/>
      <c r="R107" s="674"/>
    </row>
    <row r="108" spans="1:18" ht="13.5" hidden="1" thickBot="1">
      <c r="A108" s="692"/>
      <c r="B108" s="1086" t="s">
        <v>138</v>
      </c>
      <c r="C108" s="1086"/>
      <c r="D108" s="1086"/>
      <c r="E108" s="1086"/>
      <c r="F108" s="1286">
        <f>SUM(F90:F107)</f>
        <v>41977</v>
      </c>
      <c r="G108" s="1286">
        <f>SUM(G90:G107)</f>
        <v>525380</v>
      </c>
      <c r="H108" s="1287">
        <f>F108/G108</f>
        <v>7.9898359282804823E-2</v>
      </c>
      <c r="I108" s="1288"/>
      <c r="J108" s="1289"/>
      <c r="K108" s="691">
        <f>IDElec12_07!AG69</f>
        <v>7.9899999999999999E-2</v>
      </c>
      <c r="L108" s="675"/>
      <c r="M108" s="675"/>
      <c r="N108" s="675"/>
      <c r="O108" s="686"/>
      <c r="P108" s="686"/>
      <c r="Q108" s="983"/>
      <c r="R108" s="674"/>
    </row>
    <row r="109" spans="1:18" ht="13.5" hidden="1" thickTop="1">
      <c r="A109" s="692"/>
      <c r="B109" s="1086"/>
      <c r="C109" s="1086"/>
      <c r="D109" s="1086"/>
      <c r="E109" s="1086"/>
      <c r="F109" s="1086"/>
      <c r="G109" s="1086"/>
      <c r="H109" s="1128"/>
      <c r="I109" s="692"/>
      <c r="J109" s="1289"/>
      <c r="K109" s="675"/>
      <c r="L109" s="675"/>
      <c r="M109" s="675"/>
      <c r="N109" s="675"/>
      <c r="O109" s="686"/>
      <c r="P109" s="686"/>
      <c r="Q109" s="983"/>
      <c r="R109" s="674"/>
    </row>
    <row r="110" spans="1:18" ht="12.75" hidden="1" customHeight="1">
      <c r="A110" s="1106" t="str">
        <f>IDElec12_07!AH$10</f>
        <v>PF1</v>
      </c>
      <c r="B110" s="1107" t="str">
        <f>TRIM(CONCATENATE(IDElec12_07!AH$7," ",IDElec12_07!AH$8," ",IDElec12_07!AH$9))</f>
        <v>Pro Forma Power Supply</v>
      </c>
      <c r="C110" s="1108"/>
      <c r="D110" s="1127"/>
      <c r="E110" s="1127"/>
      <c r="F110" s="1110">
        <f>IDElec12_07!AH$52</f>
        <v>-222</v>
      </c>
      <c r="G110" s="1110">
        <f>IDElec12_07!AH$68</f>
        <v>0</v>
      </c>
      <c r="H110" s="1113"/>
      <c r="I110" s="692" t="s">
        <v>307</v>
      </c>
      <c r="K110" s="1086"/>
      <c r="L110" s="1086"/>
      <c r="M110" s="675"/>
      <c r="N110" s="675"/>
      <c r="O110" s="686"/>
      <c r="P110" s="686"/>
      <c r="Q110" s="983"/>
      <c r="R110" s="674"/>
    </row>
    <row r="111" spans="1:18" hidden="1">
      <c r="A111" s="1106" t="str">
        <f>IDElec12_07!AI$10</f>
        <v>PF2</v>
      </c>
      <c r="B111" s="1107" t="str">
        <f>TRIM(CONCATENATE(IDElec12_07!AI$7," ",IDElec12_07!AI$8," ",IDElec12_07!AI$9))</f>
        <v>Pro Forma Production Factor Adj</v>
      </c>
      <c r="C111" s="1108"/>
      <c r="D111" s="1127"/>
      <c r="E111" s="1127"/>
      <c r="F111" s="1110">
        <f>IDElec12_07!AI$52</f>
        <v>3821</v>
      </c>
      <c r="G111" s="1110" t="e">
        <f>IDElec12_07!AI$68</f>
        <v>#DIV/0!</v>
      </c>
      <c r="H111" s="1128"/>
      <c r="I111" s="692" t="s">
        <v>306</v>
      </c>
      <c r="J111" s="1103"/>
      <c r="L111" s="675"/>
      <c r="M111" s="675"/>
      <c r="N111" s="675"/>
      <c r="O111" s="686"/>
      <c r="P111" s="686"/>
      <c r="Q111" s="983"/>
      <c r="R111" s="674"/>
    </row>
    <row r="112" spans="1:18" hidden="1">
      <c r="A112" s="1106" t="str">
        <f>IDElec12_07!AJ$10</f>
        <v>PF3</v>
      </c>
      <c r="B112" s="1107" t="str">
        <f>TRIM(CONCATENATE(IDElec12_07!AJ$7," ",IDElec12_07!AJ$8," ",IDElec12_07!AJ$9))</f>
        <v>Pro Forma Labor Non-Exec</v>
      </c>
      <c r="C112" s="1108"/>
      <c r="D112" s="1127"/>
      <c r="E112" s="1127"/>
      <c r="F112" s="1110">
        <f>IDElec12_07!AJ$52</f>
        <v>-693</v>
      </c>
      <c r="G112" s="1110">
        <f>IDElec12_07!AJ$68</f>
        <v>0</v>
      </c>
      <c r="H112" s="1128"/>
      <c r="I112" s="692" t="s">
        <v>477</v>
      </c>
      <c r="J112" s="1103"/>
      <c r="K112" s="675"/>
      <c r="L112" s="675"/>
      <c r="M112" s="675"/>
      <c r="N112" s="675"/>
      <c r="O112" s="686"/>
      <c r="P112" s="686"/>
      <c r="Q112" s="983"/>
      <c r="R112" s="674"/>
    </row>
    <row r="113" spans="1:20" hidden="1">
      <c r="A113" s="752" t="str">
        <f>IDElec12_07!AK$10</f>
        <v>PF4</v>
      </c>
      <c r="B113" s="715" t="str">
        <f>TRIM(CONCATENATE(IDElec12_07!AK$7," ",IDElec12_07!AK$8," ",IDElec12_07!AK$9))</f>
        <v>Pro Forma Labor Exec</v>
      </c>
      <c r="C113" s="716"/>
      <c r="D113" s="684"/>
      <c r="E113" s="684"/>
      <c r="F113" s="718">
        <f>IDElec12_07!AK$52</f>
        <v>-83</v>
      </c>
      <c r="G113" s="718">
        <f>IDElec12_07!AK$68</f>
        <v>0</v>
      </c>
      <c r="I113" s="692" t="s">
        <v>477</v>
      </c>
      <c r="K113" s="675"/>
      <c r="L113" s="675"/>
      <c r="M113" s="675"/>
      <c r="N113" s="675"/>
      <c r="O113" s="686"/>
      <c r="P113" s="686"/>
      <c r="Q113" s="983"/>
      <c r="R113" s="674"/>
    </row>
    <row r="114" spans="1:20" hidden="1">
      <c r="A114" s="752" t="str">
        <f>IDElec12_07!AL$10</f>
        <v>PF5</v>
      </c>
      <c r="B114" s="715" t="str">
        <f>TRIM(CONCATENATE(IDElec12_07!AL$7," ",IDElec12_07!AL$8," ",IDElec12_07!AL$9))</f>
        <v>Pro Forma Transmission Rev/Exp</v>
      </c>
      <c r="C114" s="716"/>
      <c r="D114" s="684"/>
      <c r="E114" s="684"/>
      <c r="F114" s="718">
        <f>IDElec12_07!AL$52</f>
        <v>0</v>
      </c>
      <c r="G114" s="718">
        <f>IDElec12_07!AL$68</f>
        <v>0</v>
      </c>
      <c r="I114" s="692" t="s">
        <v>307</v>
      </c>
      <c r="K114" s="675"/>
      <c r="L114" s="675"/>
      <c r="M114" s="675"/>
      <c r="N114" s="675"/>
      <c r="O114" s="686"/>
      <c r="P114" s="686"/>
      <c r="Q114" s="983"/>
      <c r="R114" s="674"/>
    </row>
    <row r="115" spans="1:20" hidden="1">
      <c r="A115" s="752" t="str">
        <f>IDElec12_07!AM$10</f>
        <v>PF6</v>
      </c>
      <c r="B115" s="715" t="str">
        <f>TRIM(CONCATENATE(IDElec12_07!AM$7," ",IDElec12_07!AM$8," ",IDElec12_07!AM$9))</f>
        <v>Pro Forma Capital Add 2007</v>
      </c>
      <c r="C115" s="716"/>
      <c r="D115" s="684"/>
      <c r="E115" s="684"/>
      <c r="F115" s="718">
        <f>IDElec12_07!AM$52</f>
        <v>0</v>
      </c>
      <c r="G115" s="718">
        <f>IDElec12_07!AM$68</f>
        <v>0</v>
      </c>
      <c r="I115" s="677" t="s">
        <v>607</v>
      </c>
      <c r="K115" s="675"/>
      <c r="L115" s="675"/>
      <c r="M115" s="675"/>
      <c r="N115" s="675"/>
      <c r="O115" s="686"/>
      <c r="P115" s="686"/>
      <c r="Q115" s="983"/>
      <c r="R115" s="674"/>
    </row>
    <row r="116" spans="1:20" hidden="1">
      <c r="A116" s="752" t="str">
        <f>IDElec12_07!AN$10</f>
        <v>PF7</v>
      </c>
      <c r="B116" s="715" t="str">
        <f>TRIM(CONCATENATE(IDElec12_07!AN$7," ",IDElec12_07!AN$8," ",IDElec12_07!AN$9))</f>
        <v>Pro Forma Capital Add 2008</v>
      </c>
      <c r="C116" s="716"/>
      <c r="D116" s="684"/>
      <c r="E116" s="684"/>
      <c r="F116" s="718">
        <f>IDElec12_07!AN$52</f>
        <v>0</v>
      </c>
      <c r="G116" s="718">
        <f>IDElec12_07!AN$68</f>
        <v>0</v>
      </c>
      <c r="I116" s="677" t="s">
        <v>607</v>
      </c>
      <c r="L116" s="675"/>
      <c r="M116" s="675"/>
      <c r="N116" s="675"/>
      <c r="O116" s="686"/>
      <c r="P116" s="686"/>
      <c r="Q116" s="983"/>
      <c r="R116" s="674"/>
    </row>
    <row r="117" spans="1:20" hidden="1">
      <c r="A117" s="752" t="str">
        <f>IDElec12_07!AO$10</f>
        <v>PF8</v>
      </c>
      <c r="B117" s="715" t="str">
        <f>TRIM(CONCATENATE(IDElec12_07!AO$7," ",IDElec12_07!AO$8," ",IDElec12_07!AO$9))</f>
        <v>Pro Forma Asset Management</v>
      </c>
      <c r="C117" s="716"/>
      <c r="D117" s="684"/>
      <c r="E117" s="684"/>
      <c r="F117" s="886">
        <f>IDElec12_07!AO$52</f>
        <v>0</v>
      </c>
      <c r="G117" s="886">
        <f>IDElec12_07!AO$68</f>
        <v>0</v>
      </c>
      <c r="I117" s="692" t="s">
        <v>307</v>
      </c>
      <c r="K117" s="1086"/>
      <c r="L117" s="675"/>
      <c r="M117" s="675"/>
      <c r="N117" s="675"/>
      <c r="O117" s="686"/>
      <c r="P117" s="686"/>
      <c r="Q117" s="983"/>
      <c r="R117" s="674"/>
    </row>
    <row r="118" spans="1:20" hidden="1">
      <c r="A118" s="752" t="str">
        <f>IDElec12_07!AP$10</f>
        <v>PF9</v>
      </c>
      <c r="B118" s="715" t="str">
        <f>TRIM(CONCATENATE(IDElec12_07!AP$7," ",IDElec12_07!AP$8," ",IDElec12_07!AP$9))</f>
        <v>Pro Forma Spokane Rvr Relicensing</v>
      </c>
      <c r="C118" s="716"/>
      <c r="D118" s="684"/>
      <c r="E118" s="684"/>
      <c r="F118" s="886">
        <f>IDElec12_07!AP$52</f>
        <v>0</v>
      </c>
      <c r="G118" s="886">
        <f>IDElec12_07!AP$68</f>
        <v>0</v>
      </c>
      <c r="I118" s="692" t="s">
        <v>306</v>
      </c>
      <c r="L118" s="1187" t="s">
        <v>629</v>
      </c>
      <c r="M118" s="675"/>
      <c r="N118" s="675"/>
      <c r="O118" s="686"/>
      <c r="P118" s="686"/>
      <c r="Q118" s="983"/>
      <c r="R118" s="674"/>
    </row>
    <row r="119" spans="1:20" hidden="1">
      <c r="A119" s="752" t="str">
        <f>IDElec12_07!AQ$10</f>
        <v>PF10</v>
      </c>
      <c r="B119" s="715" t="str">
        <f>TRIM(CONCATENATE(IDElec12_07!AQ$7," ",IDElec12_07!AQ$8," ",IDElec12_07!AQ$9))</f>
        <v>Pro Forma CDA Tribe Settlement</v>
      </c>
      <c r="C119" s="716"/>
      <c r="D119" s="684"/>
      <c r="E119" s="684"/>
      <c r="F119" s="886">
        <f>IDElec12_07!AQ$52</f>
        <v>0</v>
      </c>
      <c r="G119" s="886">
        <f>IDElec12_07!AQ$68</f>
        <v>0</v>
      </c>
      <c r="I119" s="692" t="s">
        <v>500</v>
      </c>
      <c r="L119" s="675"/>
      <c r="M119" s="675"/>
      <c r="N119" s="675"/>
      <c r="O119" s="686"/>
      <c r="P119" s="686"/>
      <c r="Q119" s="983"/>
      <c r="R119" s="674"/>
    </row>
    <row r="120" spans="1:20" hidden="1">
      <c r="A120" s="752" t="str">
        <f>IDElec12_07!AR$10</f>
        <v>PF11</v>
      </c>
      <c r="B120" s="715" t="str">
        <f>TRIM(CONCATENATE(IDElec12_07!AR$7," ",IDElec12_07!AR$8," ",IDElec12_07!AR$9))</f>
        <v>Pro Forma Montana Lease</v>
      </c>
      <c r="C120" s="716"/>
      <c r="D120" s="684"/>
      <c r="E120" s="684"/>
      <c r="F120" s="886">
        <f>IDElec12_07!AR$52</f>
        <v>0</v>
      </c>
      <c r="G120" s="886">
        <f>IDElec12_07!AR$68</f>
        <v>0</v>
      </c>
      <c r="I120" s="692" t="s">
        <v>500</v>
      </c>
      <c r="J120" s="1103"/>
      <c r="L120" s="675"/>
      <c r="M120" s="675"/>
      <c r="N120" s="675"/>
      <c r="O120" s="686"/>
      <c r="P120" s="686"/>
      <c r="Q120" s="983"/>
      <c r="R120" s="674"/>
    </row>
    <row r="121" spans="1:20" hidden="1">
      <c r="A121" s="752" t="str">
        <f>IDElec12_07!AS$10</f>
        <v>PF12</v>
      </c>
      <c r="B121" s="715" t="str">
        <f>TRIM(CONCATENATE(IDElec12_07!AS$7," ",IDElec12_07!AS$8," ",IDElec12_07!AS$9))</f>
        <v>Pro Forma Colstrip Mercury Emiss. O&amp;M</v>
      </c>
      <c r="C121" s="716"/>
      <c r="D121" s="684"/>
      <c r="E121" s="684"/>
      <c r="F121" s="886">
        <f>IDElec12_07!AS$52</f>
        <v>0</v>
      </c>
      <c r="G121" s="886">
        <f>IDElec12_07!AS$68</f>
        <v>0</v>
      </c>
      <c r="I121" s="692" t="s">
        <v>307</v>
      </c>
      <c r="K121" s="1086"/>
      <c r="L121" s="675"/>
      <c r="M121" s="675"/>
      <c r="N121" s="675"/>
      <c r="O121" s="686"/>
      <c r="P121" s="686"/>
      <c r="Q121" s="983"/>
      <c r="R121" s="674"/>
    </row>
    <row r="122" spans="1:20" hidden="1">
      <c r="A122" s="752" t="str">
        <f>IDElec12_07!AT$10</f>
        <v>PF13</v>
      </c>
      <c r="B122" s="715" t="str">
        <f>TRIM(CONCATENATE(IDElec12_07!AT$7," ",IDElec12_07!AT$8," ",IDElec12_07!AT$9))</f>
        <v>Pro Forma Incentives</v>
      </c>
      <c r="C122" s="716"/>
      <c r="D122" s="684"/>
      <c r="E122" s="684"/>
      <c r="F122" s="886">
        <f>IDElec12_07!AT$52</f>
        <v>0</v>
      </c>
      <c r="G122" s="886">
        <f>IDElec12_07!AT$68</f>
        <v>0</v>
      </c>
      <c r="I122" s="692" t="s">
        <v>500</v>
      </c>
      <c r="L122" s="675"/>
      <c r="M122" s="675"/>
      <c r="N122" s="675"/>
      <c r="O122" s="686"/>
      <c r="P122" s="686"/>
      <c r="Q122" s="983"/>
      <c r="R122" s="674"/>
    </row>
    <row r="123" spans="1:20" ht="13.5" hidden="1" customHeight="1">
      <c r="A123" s="1106" t="str">
        <f>IDElec12_07!AU$10</f>
        <v>PF14</v>
      </c>
      <c r="B123" s="1107" t="str">
        <f>TRIM(CONCATENATE(IDElec12_07!AU$7," ",IDElec12_07!AU$8," ",IDElec12_07!AU$9))</f>
        <v>Pro Forma ID AMR</v>
      </c>
      <c r="C123" s="1108"/>
      <c r="D123" s="1127"/>
      <c r="E123" s="1127"/>
      <c r="F123" s="1007">
        <f>IDElec12_07!AU$52</f>
        <v>-689</v>
      </c>
      <c r="G123" s="1007">
        <f>IDElec12_07!AU$68</f>
        <v>21852</v>
      </c>
      <c r="H123" s="1128"/>
      <c r="I123" s="692" t="s">
        <v>500</v>
      </c>
      <c r="J123" s="1056"/>
      <c r="K123" s="1086"/>
      <c r="L123" s="675"/>
      <c r="M123" s="675"/>
      <c r="N123" s="675"/>
      <c r="O123" s="686"/>
      <c r="P123" s="686"/>
      <c r="Q123" s="983"/>
      <c r="R123" s="674"/>
    </row>
    <row r="124" spans="1:20" ht="12.75" hidden="1" customHeight="1">
      <c r="A124" s="752" t="str">
        <f>IDElec12_07!AV$10</f>
        <v>PF15</v>
      </c>
      <c r="B124" s="715" t="str">
        <f>TRIM(CONCATENATE(IDElec12_07!AV$7," ",IDElec12_07!AV$8," ",IDElec12_07!AV$9))</f>
        <v>Pro Forma CS2 Levelized Adj</v>
      </c>
      <c r="C124" s="716"/>
      <c r="D124" s="684"/>
      <c r="E124" s="684"/>
      <c r="F124" s="886">
        <f>IDElec12_07!AV$52</f>
        <v>-140</v>
      </c>
      <c r="G124" s="886">
        <f>IDElec12_07!AV$68</f>
        <v>0</v>
      </c>
      <c r="I124" s="692" t="s">
        <v>419</v>
      </c>
      <c r="L124" s="675"/>
      <c r="M124" s="675"/>
      <c r="N124" s="675"/>
      <c r="O124" s="686"/>
      <c r="P124" s="686"/>
      <c r="Q124" s="983"/>
      <c r="R124" s="674"/>
    </row>
    <row r="125" spans="1:20" ht="1.5" hidden="1" customHeight="1">
      <c r="A125" s="752" t="str">
        <f>IDElec12_07!AX$10</f>
        <v>PF17</v>
      </c>
      <c r="B125" s="715" t="str">
        <f>TRIM(CONCATENATE(IDElec12_07!AX$7," ",IDElec12_07!AX$8," ",IDElec12_07!AX$9))</f>
        <v>Pro Forma Open</v>
      </c>
      <c r="C125" s="716"/>
      <c r="D125" s="684"/>
      <c r="E125" s="684"/>
      <c r="F125" s="886">
        <f>IDElec12_07!AX$52</f>
        <v>0</v>
      </c>
      <c r="G125" s="886">
        <f>IDElec12_07!AX$68</f>
        <v>0</v>
      </c>
      <c r="L125" s="675"/>
      <c r="M125" s="675"/>
      <c r="N125" s="675"/>
      <c r="O125" s="686"/>
      <c r="P125" s="686"/>
      <c r="Q125" s="983"/>
      <c r="R125" s="674"/>
    </row>
    <row r="126" spans="1:20" ht="13.5" hidden="1" customHeight="1">
      <c r="A126" s="677"/>
      <c r="B126" s="675"/>
      <c r="C126" s="675"/>
      <c r="D126" s="675"/>
      <c r="E126" s="693"/>
      <c r="F126" s="1055"/>
      <c r="G126" s="1055"/>
      <c r="H126" s="749"/>
      <c r="I126" s="678"/>
      <c r="J126" s="986"/>
      <c r="K126" s="675"/>
      <c r="L126" s="675"/>
      <c r="M126" s="675"/>
      <c r="N126" s="675"/>
      <c r="O126" s="686"/>
      <c r="P126" s="686"/>
      <c r="Q126" s="983"/>
      <c r="R126" s="674"/>
    </row>
    <row r="127" spans="1:20" ht="13.5" hidden="1" customHeight="1" thickBot="1">
      <c r="B127" s="675" t="s">
        <v>421</v>
      </c>
      <c r="C127" s="675"/>
      <c r="D127" s="675"/>
      <c r="E127" s="693"/>
      <c r="F127" s="694">
        <f>SUM(F108:F126)</f>
        <v>43971</v>
      </c>
      <c r="G127" s="694" t="e">
        <f>SUM(G108:G126)</f>
        <v>#DIV/0!</v>
      </c>
      <c r="H127" s="750" t="e">
        <f>F127/G127</f>
        <v>#DIV/0!</v>
      </c>
      <c r="I127" s="926"/>
      <c r="K127" s="691"/>
      <c r="L127" s="675"/>
      <c r="M127" s="675"/>
      <c r="N127" s="675"/>
      <c r="O127" s="686"/>
      <c r="P127" s="686"/>
      <c r="Q127" s="983"/>
      <c r="R127" s="674"/>
    </row>
    <row r="128" spans="1:20" ht="14.25" customHeight="1">
      <c r="B128" s="675"/>
      <c r="C128" s="675"/>
      <c r="D128" s="675"/>
      <c r="E128" s="693"/>
      <c r="F128" s="686"/>
      <c r="G128" s="686"/>
      <c r="H128" s="749"/>
      <c r="I128" s="678"/>
      <c r="K128" s="675"/>
      <c r="L128" s="675"/>
      <c r="M128" s="675"/>
      <c r="N128" s="675"/>
      <c r="O128" s="686"/>
      <c r="P128" s="686"/>
      <c r="Q128" s="983"/>
      <c r="R128" s="674"/>
      <c r="T128" s="1063" t="s">
        <v>588</v>
      </c>
    </row>
    <row r="129" spans="6:20" ht="14.25" customHeight="1">
      <c r="F129" s="961"/>
      <c r="S129" s="1100">
        <f>L111/T130</f>
        <v>0</v>
      </c>
      <c r="T129" s="1058">
        <v>8.1299999999999997E-2</v>
      </c>
    </row>
    <row r="130" spans="6:20" ht="14.25" customHeight="1">
      <c r="S130" s="675"/>
      <c r="T130" s="1059">
        <f>IDElec12_07!BA13+IDElec12_07!BA14</f>
        <v>211113</v>
      </c>
    </row>
    <row r="131" spans="6:20" ht="14.25" customHeight="1">
      <c r="S131" s="1061" t="s">
        <v>594</v>
      </c>
      <c r="T131" s="1060">
        <f>((G108*T129)-F108)/0.64/T130</f>
        <v>5.4502357742062324E-3</v>
      </c>
    </row>
    <row r="132" spans="6:20">
      <c r="S132" s="1061" t="s">
        <v>595</v>
      </c>
      <c r="T132" s="1060" t="e">
        <f>((G127*T129)-F127)/0.64/T130</f>
        <v>#DIV/0!</v>
      </c>
    </row>
  </sheetData>
  <customSheetViews>
    <customSheetView guid="{A15D1962-B049-11D2-8670-0000832CEEE8}" scale="75" showPageBreaks="1" hiddenRows="1" showRuler="0" topLeftCell="A20">
      <selection activeCell="A42" sqref="A42:IV47"/>
      <rowBreaks count="1" manualBreakCount="1">
        <brk id="48" max="65535" man="1"/>
      </rowBreaks>
      <pageMargins left="0.75" right="0.75" top="1" bottom="1" header="0.5" footer="0.5"/>
      <pageSetup orientation="portrait" horizontalDpi="4294967292" verticalDpi="0" r:id="rId1"/>
      <headerFooter alignWithMargins="0">
        <oddHeader xml:space="preserve">&amp;C
</oddHeader>
        <oddFooter xml:space="preserve">&amp;C
</oddFooter>
      </headerFooter>
    </customSheetView>
    <customSheetView guid="{6E1B8C45-B07F-11D2-B0DC-0000832CDFF0}" scale="75" showPageBreaks="1" printArea="1" hiddenRows="1" showRuler="0" topLeftCell="A49">
      <selection activeCell="O30" sqref="O30"/>
      <rowBreaks count="1" manualBreakCount="1">
        <brk id="48" max="65535" man="1"/>
      </rowBreaks>
      <pageMargins left="0.75" right="0.75" top="1" bottom="1" header="0.5" footer="0.5"/>
      <pageSetup orientation="portrait" horizontalDpi="4294967292" verticalDpi="0" r:id="rId2"/>
      <headerFooter alignWithMargins="0">
        <oddHeader xml:space="preserve">&amp;C
</oddHeader>
        <oddFooter xml:space="preserve">&amp;C
</oddFooter>
      </headerFooter>
    </customSheetView>
  </customSheetViews>
  <phoneticPr fontId="0" type="noConversion"/>
  <pageMargins left="1.1000000000000001" right="0.75" top="1.1299999999999999" bottom="0.75" header="0.5" footer="0.5"/>
  <pageSetup scale="91" fitToWidth="2" fitToHeight="2" orientation="portrait" horizontalDpi="4294967292" r:id="rId3"/>
  <headerFooter alignWithMargins="0">
    <oddHeader xml:space="preserve">&amp;C
</oddHeader>
    <oddFooter xml:space="preserve">&amp;C
</oddFooter>
  </headerFooter>
  <rowBreaks count="1" manualBreakCount="1">
    <brk id="65" max="7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69"/>
  <dimension ref="A1:H110"/>
  <sheetViews>
    <sheetView workbookViewId="0">
      <selection activeCell="F3" sqref="F3"/>
    </sheetView>
  </sheetViews>
  <sheetFormatPr defaultRowHeight="12.75"/>
  <cols>
    <col min="1" max="1" width="5.5703125" style="47" customWidth="1"/>
    <col min="2" max="2" width="26.140625" style="44" customWidth="1"/>
    <col min="3" max="3" width="12.42578125" style="44" customWidth="1"/>
    <col min="4" max="4" width="6.7109375" style="44" customWidth="1"/>
    <col min="5" max="8" width="12.42578125" style="44" customWidth="1"/>
  </cols>
  <sheetData>
    <row r="1" spans="1:8">
      <c r="A1" s="42" t="str">
        <f>Inputs!$D$6</f>
        <v>AVISTA UTILITIES</v>
      </c>
      <c r="B1" s="43"/>
      <c r="C1" s="42"/>
    </row>
    <row r="2" spans="1:8">
      <c r="A2" s="42" t="s">
        <v>142</v>
      </c>
      <c r="B2" s="43"/>
      <c r="C2" s="42"/>
      <c r="E2" s="42"/>
      <c r="F2" s="456" t="s">
        <v>299</v>
      </c>
      <c r="G2" s="42"/>
    </row>
    <row r="3" spans="1:8">
      <c r="A3" s="43" t="str">
        <f>WAElec09_08!$A$4</f>
        <v>TWELVE MONTHS ENDED SEPTEMBER 30, 2008</v>
      </c>
      <c r="B3" s="43"/>
      <c r="C3" s="42"/>
      <c r="E3" s="42"/>
      <c r="F3" s="47" t="s">
        <v>673</v>
      </c>
      <c r="G3" s="42"/>
    </row>
    <row r="4" spans="1:8">
      <c r="A4" s="42" t="s">
        <v>1</v>
      </c>
      <c r="B4" s="43"/>
      <c r="C4" s="42"/>
      <c r="E4" s="45"/>
      <c r="F4" s="670" t="s">
        <v>145</v>
      </c>
      <c r="G4" s="46"/>
    </row>
    <row r="5" spans="1:8">
      <c r="A5" s="47" t="s">
        <v>14</v>
      </c>
    </row>
    <row r="6" spans="1:8">
      <c r="A6" s="47" t="s">
        <v>146</v>
      </c>
      <c r="B6" s="48" t="s">
        <v>36</v>
      </c>
      <c r="C6" s="48"/>
      <c r="D6" s="47"/>
      <c r="E6" s="48" t="s">
        <v>147</v>
      </c>
      <c r="F6" s="48" t="s">
        <v>148</v>
      </c>
      <c r="G6" s="48" t="s">
        <v>128</v>
      </c>
      <c r="H6" s="49" t="s">
        <v>149</v>
      </c>
    </row>
    <row r="7" spans="1:8">
      <c r="B7" s="50" t="s">
        <v>85</v>
      </c>
    </row>
    <row r="8" spans="1:8">
      <c r="A8" s="51">
        <v>1</v>
      </c>
      <c r="B8" s="52" t="s">
        <v>86</v>
      </c>
      <c r="C8" s="53"/>
      <c r="D8" s="53"/>
      <c r="E8" s="54">
        <f>F8+G8</f>
        <v>0</v>
      </c>
      <c r="F8" s="54">
        <v>0</v>
      </c>
      <c r="G8" s="54">
        <v>0</v>
      </c>
      <c r="H8" s="53" t="str">
        <f t="shared" ref="H8:H13" si="0">IF(E8=F8+G8," ","ERROR")</f>
        <v xml:space="preserve"> </v>
      </c>
    </row>
    <row r="9" spans="1:8">
      <c r="A9" s="47">
        <v>2</v>
      </c>
      <c r="B9" s="50" t="s">
        <v>87</v>
      </c>
      <c r="E9" s="55"/>
      <c r="F9" s="55"/>
      <c r="G9" s="55"/>
      <c r="H9" s="53" t="str">
        <f t="shared" si="0"/>
        <v xml:space="preserve"> </v>
      </c>
    </row>
    <row r="10" spans="1:8">
      <c r="A10" s="47">
        <v>3</v>
      </c>
      <c r="B10" s="50" t="s">
        <v>150</v>
      </c>
      <c r="E10" s="55"/>
      <c r="F10" s="55"/>
      <c r="G10" s="55"/>
      <c r="H10" s="53" t="str">
        <f t="shared" si="0"/>
        <v xml:space="preserve"> </v>
      </c>
    </row>
    <row r="11" spans="1:8">
      <c r="A11" s="47">
        <v>4</v>
      </c>
      <c r="B11" s="50" t="s">
        <v>151</v>
      </c>
      <c r="E11" s="56">
        <f>E8+E9+E10</f>
        <v>0</v>
      </c>
      <c r="F11" s="56">
        <f>F8+F9+F10</f>
        <v>0</v>
      </c>
      <c r="G11" s="56">
        <f>G8+G9+G10</f>
        <v>0</v>
      </c>
      <c r="H11" s="53" t="str">
        <f t="shared" si="0"/>
        <v xml:space="preserve"> </v>
      </c>
    </row>
    <row r="12" spans="1:8">
      <c r="A12" s="47">
        <v>5</v>
      </c>
      <c r="B12" s="50" t="s">
        <v>90</v>
      </c>
      <c r="E12" s="55"/>
      <c r="F12" s="55"/>
      <c r="G12" s="55"/>
      <c r="H12" s="53" t="str">
        <f t="shared" si="0"/>
        <v xml:space="preserve"> </v>
      </c>
    </row>
    <row r="13" spans="1:8">
      <c r="A13" s="47">
        <v>6</v>
      </c>
      <c r="B13" s="50" t="s">
        <v>152</v>
      </c>
      <c r="E13" s="56">
        <f>E11+E12</f>
        <v>0</v>
      </c>
      <c r="F13" s="56">
        <f>F11+F12</f>
        <v>0</v>
      </c>
      <c r="G13" s="56">
        <f>G11+G12</f>
        <v>0</v>
      </c>
      <c r="H13" s="53" t="str">
        <f t="shared" si="0"/>
        <v xml:space="preserve"> </v>
      </c>
    </row>
    <row r="14" spans="1:8">
      <c r="E14" s="58"/>
      <c r="F14" s="58"/>
      <c r="G14" s="58"/>
      <c r="H14" s="53"/>
    </row>
    <row r="15" spans="1:8">
      <c r="B15" s="50" t="s">
        <v>92</v>
      </c>
      <c r="E15" s="58"/>
      <c r="F15" s="58"/>
      <c r="G15" s="58"/>
      <c r="H15" s="53"/>
    </row>
    <row r="16" spans="1:8">
      <c r="B16" s="50" t="s">
        <v>93</v>
      </c>
      <c r="E16" s="58"/>
      <c r="F16" s="58"/>
      <c r="G16" s="58"/>
      <c r="H16" s="53"/>
    </row>
    <row r="17" spans="1:8">
      <c r="A17" s="47">
        <v>7</v>
      </c>
      <c r="B17" s="50" t="s">
        <v>153</v>
      </c>
      <c r="E17" s="55">
        <f>F17+G17</f>
        <v>0</v>
      </c>
      <c r="F17" s="55">
        <v>0</v>
      </c>
      <c r="G17" s="55">
        <v>0</v>
      </c>
      <c r="H17" s="53" t="str">
        <f>IF(E17=F17+G17," ","ERROR")</f>
        <v xml:space="preserve"> </v>
      </c>
    </row>
    <row r="18" spans="1:8">
      <c r="A18" s="47">
        <v>8</v>
      </c>
      <c r="B18" s="50" t="s">
        <v>154</v>
      </c>
      <c r="E18" s="55"/>
      <c r="F18" s="55"/>
      <c r="G18" s="55"/>
      <c r="H18" s="53" t="str">
        <f>IF(E18=F18+G18," ","ERROR")</f>
        <v xml:space="preserve"> </v>
      </c>
    </row>
    <row r="19" spans="1:8">
      <c r="A19" s="47">
        <v>9</v>
      </c>
      <c r="B19" s="50" t="s">
        <v>155</v>
      </c>
      <c r="E19" s="55">
        <f>F19+G19</f>
        <v>0</v>
      </c>
      <c r="F19" s="55">
        <v>0</v>
      </c>
      <c r="G19" s="55"/>
      <c r="H19" s="53" t="str">
        <f>IF(E19=F19+G19," ","ERROR")</f>
        <v xml:space="preserve"> </v>
      </c>
    </row>
    <row r="20" spans="1:8">
      <c r="A20" s="47">
        <v>10</v>
      </c>
      <c r="B20" s="50" t="s">
        <v>156</v>
      </c>
      <c r="E20" s="55">
        <f>F20+G20</f>
        <v>0</v>
      </c>
      <c r="F20" s="55"/>
      <c r="G20" s="55"/>
      <c r="H20" s="53" t="str">
        <f>IF(E20=F20+G20," ","ERROR")</f>
        <v xml:space="preserve"> </v>
      </c>
    </row>
    <row r="21" spans="1:8">
      <c r="A21" s="47">
        <v>11</v>
      </c>
      <c r="B21" s="50" t="s">
        <v>157</v>
      </c>
      <c r="E21" s="56">
        <f>E17+E18+E19+E20</f>
        <v>0</v>
      </c>
      <c r="F21" s="56">
        <f>F17+F18+F19+F20</f>
        <v>0</v>
      </c>
      <c r="G21" s="56">
        <f>G17+G18+G19+G20</f>
        <v>0</v>
      </c>
      <c r="H21" s="53" t="str">
        <f>IF(E21=F21+G21," ","ERROR")</f>
        <v xml:space="preserve"> </v>
      </c>
    </row>
    <row r="22" spans="1:8">
      <c r="E22" s="58"/>
      <c r="F22" s="58"/>
      <c r="G22" s="58"/>
      <c r="H22" s="53"/>
    </row>
    <row r="23" spans="1:8">
      <c r="B23" s="50" t="s">
        <v>98</v>
      </c>
      <c r="E23" s="58"/>
      <c r="F23" s="58"/>
      <c r="G23" s="58"/>
      <c r="H23" s="53"/>
    </row>
    <row r="24" spans="1:8">
      <c r="A24" s="47">
        <v>12</v>
      </c>
      <c r="B24" s="50" t="s">
        <v>153</v>
      </c>
      <c r="E24" s="55">
        <f>F24+G24</f>
        <v>0</v>
      </c>
      <c r="F24" s="55">
        <v>0</v>
      </c>
      <c r="G24" s="55">
        <v>0</v>
      </c>
      <c r="H24" s="53" t="str">
        <f>IF(E24=F24+G24," ","ERROR")</f>
        <v xml:space="preserve"> </v>
      </c>
    </row>
    <row r="25" spans="1:8">
      <c r="A25" s="47">
        <v>13</v>
      </c>
      <c r="B25" s="50" t="s">
        <v>158</v>
      </c>
      <c r="E25" s="55"/>
      <c r="F25" s="55"/>
      <c r="G25" s="55"/>
      <c r="H25" s="53" t="str">
        <f>IF(E25=F25+G25," ","ERROR")</f>
        <v xml:space="preserve"> </v>
      </c>
    </row>
    <row r="26" spans="1:8">
      <c r="A26" s="47">
        <v>14</v>
      </c>
      <c r="B26" s="50" t="s">
        <v>156</v>
      </c>
      <c r="E26" s="55">
        <f>F26+G26</f>
        <v>0</v>
      </c>
      <c r="F26" s="55">
        <v>0</v>
      </c>
      <c r="G26" s="916">
        <f>F109</f>
        <v>0</v>
      </c>
      <c r="H26" s="53" t="str">
        <f>IF(E26=F26+G26," ","ERROR")</f>
        <v xml:space="preserve"> </v>
      </c>
    </row>
    <row r="27" spans="1:8">
      <c r="A27" s="47">
        <v>15</v>
      </c>
      <c r="B27" s="50" t="s">
        <v>159</v>
      </c>
      <c r="E27" s="56">
        <f>E24+E25+E26</f>
        <v>0</v>
      </c>
      <c r="F27" s="56">
        <f>F24+F25+F26</f>
        <v>0</v>
      </c>
      <c r="G27" s="56">
        <f>G24+G25+G26</f>
        <v>0</v>
      </c>
      <c r="H27" s="53" t="str">
        <f>IF(E27=F27+G27," ","ERROR")</f>
        <v xml:space="preserve"> </v>
      </c>
    </row>
    <row r="28" spans="1:8">
      <c r="E28" s="58"/>
      <c r="F28" s="58"/>
      <c r="G28" s="58"/>
      <c r="H28" s="53"/>
    </row>
    <row r="29" spans="1:8">
      <c r="A29" s="47">
        <v>16</v>
      </c>
      <c r="B29" s="50" t="s">
        <v>101</v>
      </c>
      <c r="E29" s="55">
        <f>SUM(F29:G29)</f>
        <v>0</v>
      </c>
      <c r="F29" s="55">
        <v>0</v>
      </c>
      <c r="G29" s="55">
        <v>0</v>
      </c>
      <c r="H29" s="53" t="str">
        <f>IF(E29=F29+G29," ","ERROR")</f>
        <v xml:space="preserve"> </v>
      </c>
    </row>
    <row r="30" spans="1:8">
      <c r="A30" s="47">
        <v>17</v>
      </c>
      <c r="B30" s="50" t="s">
        <v>102</v>
      </c>
      <c r="E30" s="55">
        <f>SUM(F30:G30)</f>
        <v>0</v>
      </c>
      <c r="F30" s="55">
        <v>0</v>
      </c>
      <c r="G30" s="55">
        <v>0</v>
      </c>
      <c r="H30" s="53" t="str">
        <f>IF(E30=F30+G30," ","ERROR")</f>
        <v xml:space="preserve"> </v>
      </c>
    </row>
    <row r="31" spans="1:8">
      <c r="A31" s="47">
        <v>18</v>
      </c>
      <c r="B31" s="50" t="s">
        <v>160</v>
      </c>
      <c r="E31" s="55">
        <f>SUM(F31:G31)</f>
        <v>0</v>
      </c>
      <c r="F31" s="55">
        <v>0</v>
      </c>
      <c r="G31" s="55">
        <v>0</v>
      </c>
      <c r="H31" s="53" t="str">
        <f>IF(E31=F31+G31," ","ERROR")</f>
        <v xml:space="preserve"> </v>
      </c>
    </row>
    <row r="32" spans="1:8">
      <c r="E32" s="58"/>
      <c r="F32" s="58"/>
      <c r="G32" s="58"/>
      <c r="H32" s="53"/>
    </row>
    <row r="33" spans="1:8">
      <c r="B33" s="50" t="s">
        <v>104</v>
      </c>
      <c r="E33" s="58"/>
      <c r="F33" s="58"/>
      <c r="G33" s="58"/>
      <c r="H33" s="53"/>
    </row>
    <row r="34" spans="1:8">
      <c r="A34" s="47">
        <v>19</v>
      </c>
      <c r="B34" s="50" t="s">
        <v>153</v>
      </c>
      <c r="E34" s="55">
        <f>SUM(F34:G34)</f>
        <v>283</v>
      </c>
      <c r="F34" s="55">
        <v>283</v>
      </c>
      <c r="G34" s="55">
        <v>0</v>
      </c>
      <c r="H34" s="53" t="str">
        <f>IF(E34=F34+G34," ","ERROR")</f>
        <v xml:space="preserve"> </v>
      </c>
    </row>
    <row r="35" spans="1:8">
      <c r="A35" s="47">
        <v>20</v>
      </c>
      <c r="B35" s="50" t="s">
        <v>158</v>
      </c>
      <c r="E35" s="55"/>
      <c r="F35" s="55"/>
      <c r="G35" s="55"/>
      <c r="H35" s="53" t="str">
        <f>IF(E35=F35+G35," ","ERROR")</f>
        <v xml:space="preserve"> </v>
      </c>
    </row>
    <row r="36" spans="1:8">
      <c r="A36" s="47">
        <v>21</v>
      </c>
      <c r="B36" s="50" t="s">
        <v>156</v>
      </c>
      <c r="E36" s="55"/>
      <c r="F36" s="55"/>
      <c r="G36" s="55"/>
      <c r="H36" s="53" t="str">
        <f>IF(E36=F36+G36," ","ERROR")</f>
        <v xml:space="preserve"> </v>
      </c>
    </row>
    <row r="37" spans="1:8">
      <c r="A37" s="47">
        <v>22</v>
      </c>
      <c r="B37" s="50" t="s">
        <v>161</v>
      </c>
      <c r="E37" s="60">
        <f>E34+E35+E36</f>
        <v>283</v>
      </c>
      <c r="F37" s="60">
        <f>F34+F35+F36</f>
        <v>283</v>
      </c>
      <c r="G37" s="60">
        <f>G34+G35+G36</f>
        <v>0</v>
      </c>
      <c r="H37" s="53" t="str">
        <f>IF(E37=F37+G37," ","ERROR")</f>
        <v xml:space="preserve"> </v>
      </c>
    </row>
    <row r="38" spans="1:8">
      <c r="A38" s="47">
        <v>23</v>
      </c>
      <c r="B38" s="50" t="s">
        <v>106</v>
      </c>
      <c r="E38" s="61">
        <f>E21+E27+E29+E30+E31+E37</f>
        <v>283</v>
      </c>
      <c r="F38" s="61">
        <f>F21+F27+F29+F30+F31+F37</f>
        <v>283</v>
      </c>
      <c r="G38" s="61">
        <f>G21+G27+G29+G30+G31+G37</f>
        <v>0</v>
      </c>
      <c r="H38" s="53" t="str">
        <f>IF(E38=F38+G38," ","ERROR")</f>
        <v xml:space="preserve"> </v>
      </c>
    </row>
    <row r="39" spans="1:8">
      <c r="E39" s="58"/>
      <c r="F39" s="58"/>
      <c r="G39" s="58"/>
      <c r="H39" s="53"/>
    </row>
    <row r="40" spans="1:8">
      <c r="A40" s="47">
        <v>24</v>
      </c>
      <c r="B40" s="50" t="s">
        <v>162</v>
      </c>
      <c r="E40" s="58">
        <f>E13-E38</f>
        <v>-283</v>
      </c>
      <c r="F40" s="58">
        <f>F13-F38</f>
        <v>-283</v>
      </c>
      <c r="G40" s="58">
        <f>G13-G38</f>
        <v>0</v>
      </c>
      <c r="H40" s="53" t="str">
        <f>IF(E40=F40+G40," ","ERROR")</f>
        <v xml:space="preserve"> </v>
      </c>
    </row>
    <row r="41" spans="1:8">
      <c r="B41" s="50"/>
      <c r="E41" s="58"/>
      <c r="F41" s="58"/>
      <c r="G41" s="58"/>
      <c r="H41" s="53"/>
    </row>
    <row r="42" spans="1:8">
      <c r="B42" s="50" t="s">
        <v>163</v>
      </c>
      <c r="E42" s="58"/>
      <c r="F42" s="58"/>
      <c r="G42" s="58"/>
      <c r="H42" s="53"/>
    </row>
    <row r="43" spans="1:8">
      <c r="A43" s="47">
        <v>25</v>
      </c>
      <c r="B43" s="50" t="s">
        <v>164</v>
      </c>
      <c r="D43" s="62">
        <v>0.35</v>
      </c>
      <c r="E43" s="55">
        <f>F43+G43</f>
        <v>-99</v>
      </c>
      <c r="F43" s="55">
        <f>ROUND(F40*D43,0)</f>
        <v>-99</v>
      </c>
      <c r="G43" s="55">
        <f>ROUND(G40*D43,0)</f>
        <v>0</v>
      </c>
      <c r="H43" s="53" t="str">
        <f>IF(E43=F43+G43," ","ERROR")</f>
        <v xml:space="preserve"> </v>
      </c>
    </row>
    <row r="44" spans="1:8">
      <c r="A44" s="47">
        <v>26</v>
      </c>
      <c r="B44" s="50" t="s">
        <v>165</v>
      </c>
      <c r="E44" s="55"/>
      <c r="F44" s="55"/>
      <c r="G44" s="55"/>
      <c r="H44" s="53" t="str">
        <f>IF(E44=F44+G44," ","ERROR")</f>
        <v xml:space="preserve"> </v>
      </c>
    </row>
    <row r="45" spans="1:8">
      <c r="A45"/>
      <c r="B45"/>
      <c r="C45"/>
      <c r="D45"/>
      <c r="E45" s="913"/>
      <c r="F45" s="913"/>
      <c r="G45" s="913"/>
      <c r="H45" s="53" t="str">
        <f>IF(E45=F45+G45," ","ERROR")</f>
        <v xml:space="preserve"> </v>
      </c>
    </row>
    <row r="46" spans="1:8">
      <c r="A46" s="259"/>
      <c r="B46" s="262"/>
      <c r="C46" s="256"/>
      <c r="D46" s="256"/>
      <c r="E46" s="269"/>
      <c r="F46" s="269"/>
      <c r="G46" s="269"/>
      <c r="H46" s="53"/>
    </row>
    <row r="47" spans="1:8">
      <c r="A47" s="263">
        <v>27</v>
      </c>
      <c r="B47" s="264" t="s">
        <v>113</v>
      </c>
      <c r="C47" s="265"/>
      <c r="D47" s="265"/>
      <c r="E47" s="273">
        <f>E40-SUM(E43:E44)</f>
        <v>-184</v>
      </c>
      <c r="F47" s="273">
        <f>F40-SUM(F43:F44)</f>
        <v>-184</v>
      </c>
      <c r="G47" s="273">
        <f>G40-SUM(G43:G44)</f>
        <v>0</v>
      </c>
      <c r="H47" s="53" t="str">
        <f>IF(E47=F47+G47," ","ERROR")</f>
        <v xml:space="preserve"> </v>
      </c>
    </row>
    <row r="48" spans="1:8">
      <c r="A48" s="259"/>
      <c r="H48" s="53"/>
    </row>
    <row r="49" spans="1:8">
      <c r="A49" s="259"/>
      <c r="B49" s="50" t="s">
        <v>114</v>
      </c>
      <c r="H49" s="53"/>
    </row>
    <row r="50" spans="1:8">
      <c r="A50" s="259"/>
      <c r="B50" s="50" t="s">
        <v>115</v>
      </c>
      <c r="H50" s="53"/>
    </row>
    <row r="51" spans="1:8">
      <c r="A51" s="263">
        <v>28</v>
      </c>
      <c r="B51" s="52" t="s">
        <v>167</v>
      </c>
      <c r="C51" s="53"/>
      <c r="D51" s="53"/>
      <c r="E51" s="54"/>
      <c r="F51" s="54"/>
      <c r="G51" s="54"/>
      <c r="H51" s="53" t="str">
        <f t="shared" ref="H51:H61" si="1">IF(E51=F51+G51," ","ERROR")</f>
        <v xml:space="preserve"> </v>
      </c>
    </row>
    <row r="52" spans="1:8">
      <c r="A52" s="259">
        <v>29</v>
      </c>
      <c r="B52" s="50" t="s">
        <v>168</v>
      </c>
      <c r="E52" s="55">
        <f>F52+G52</f>
        <v>0</v>
      </c>
      <c r="F52" s="55"/>
      <c r="G52" s="55"/>
      <c r="H52" s="53" t="str">
        <f t="shared" si="1"/>
        <v xml:space="preserve"> </v>
      </c>
    </row>
    <row r="53" spans="1:8">
      <c r="A53" s="259">
        <v>30</v>
      </c>
      <c r="B53" s="50" t="s">
        <v>169</v>
      </c>
      <c r="E53" s="55"/>
      <c r="F53" s="55"/>
      <c r="G53" s="55"/>
      <c r="H53" s="53" t="str">
        <f t="shared" si="1"/>
        <v xml:space="preserve"> </v>
      </c>
    </row>
    <row r="54" spans="1:8">
      <c r="A54" s="259">
        <v>31</v>
      </c>
      <c r="B54" s="50" t="s">
        <v>170</v>
      </c>
      <c r="E54" s="55"/>
      <c r="F54" s="55"/>
      <c r="G54" s="55"/>
      <c r="H54" s="53" t="str">
        <f t="shared" si="1"/>
        <v xml:space="preserve"> </v>
      </c>
    </row>
    <row r="55" spans="1:8">
      <c r="A55" s="259">
        <v>32</v>
      </c>
      <c r="B55" s="50" t="s">
        <v>171</v>
      </c>
      <c r="E55" s="59"/>
      <c r="F55" s="59"/>
      <c r="G55" s="59"/>
      <c r="H55" s="53" t="str">
        <f t="shared" si="1"/>
        <v xml:space="preserve"> </v>
      </c>
    </row>
    <row r="56" spans="1:8">
      <c r="A56" s="259">
        <v>33</v>
      </c>
      <c r="B56" s="50" t="s">
        <v>172</v>
      </c>
      <c r="E56" s="58">
        <f>E51+E52+E53+E54+E55</f>
        <v>0</v>
      </c>
      <c r="F56" s="58">
        <f>F51+F52+F53+F54+F55</f>
        <v>0</v>
      </c>
      <c r="G56" s="58">
        <f>G51+G52+G53+G54+G55</f>
        <v>0</v>
      </c>
      <c r="H56" s="53" t="str">
        <f t="shared" si="1"/>
        <v xml:space="preserve"> </v>
      </c>
    </row>
    <row r="57" spans="1:8">
      <c r="A57" s="259">
        <v>34</v>
      </c>
      <c r="B57" s="50" t="s">
        <v>121</v>
      </c>
      <c r="E57" s="55">
        <f>F57+G57</f>
        <v>0</v>
      </c>
      <c r="F57" s="55"/>
      <c r="G57" s="55"/>
      <c r="H57" s="53" t="str">
        <f t="shared" si="1"/>
        <v xml:space="preserve"> </v>
      </c>
    </row>
    <row r="58" spans="1:8">
      <c r="A58" s="259">
        <v>35</v>
      </c>
      <c r="B58" s="50" t="s">
        <v>122</v>
      </c>
      <c r="E58" s="59"/>
      <c r="F58" s="59"/>
      <c r="G58" s="59"/>
      <c r="H58" s="53" t="str">
        <f t="shared" si="1"/>
        <v xml:space="preserve"> </v>
      </c>
    </row>
    <row r="59" spans="1:8">
      <c r="A59" s="259">
        <v>36</v>
      </c>
      <c r="B59" s="50" t="s">
        <v>173</v>
      </c>
      <c r="E59" s="58">
        <f>E57+E58</f>
        <v>0</v>
      </c>
      <c r="F59" s="58">
        <f>F57+F58</f>
        <v>0</v>
      </c>
      <c r="G59" s="58">
        <f>G57+G58</f>
        <v>0</v>
      </c>
      <c r="H59" s="53" t="str">
        <f t="shared" si="1"/>
        <v xml:space="preserve"> </v>
      </c>
    </row>
    <row r="60" spans="1:8">
      <c r="A60" s="259">
        <v>37</v>
      </c>
      <c r="B60" s="50" t="s">
        <v>124</v>
      </c>
      <c r="E60" s="55"/>
      <c r="F60" s="55"/>
      <c r="G60" s="55"/>
      <c r="H60" s="53" t="str">
        <f t="shared" si="1"/>
        <v xml:space="preserve"> </v>
      </c>
    </row>
    <row r="61" spans="1:8">
      <c r="A61" s="259">
        <v>38</v>
      </c>
      <c r="B61" s="50" t="s">
        <v>125</v>
      </c>
      <c r="E61" s="59">
        <f>F61+G61</f>
        <v>0</v>
      </c>
      <c r="F61" s="59"/>
      <c r="G61" s="59"/>
      <c r="H61" s="53" t="str">
        <f t="shared" si="1"/>
        <v xml:space="preserve"> </v>
      </c>
    </row>
    <row r="62" spans="1:8" ht="11.25" customHeight="1">
      <c r="A62" s="259"/>
      <c r="H62" s="53"/>
    </row>
    <row r="63" spans="1:8" ht="13.5" thickBot="1">
      <c r="A63" s="263">
        <v>39</v>
      </c>
      <c r="B63" s="52" t="s">
        <v>126</v>
      </c>
      <c r="C63" s="53"/>
      <c r="D63" s="53"/>
      <c r="E63" s="63">
        <f>E56-E59+E60+E61</f>
        <v>0</v>
      </c>
      <c r="F63" s="63">
        <f>F56-F59+F60+F61</f>
        <v>0</v>
      </c>
      <c r="G63" s="63">
        <f>G56-G59+G60+G61</f>
        <v>0</v>
      </c>
      <c r="H63" s="53" t="str">
        <f>IF(E63=F63+G63," ","ERROR")</f>
        <v xml:space="preserve"> </v>
      </c>
    </row>
    <row r="64" spans="1:8" ht="13.5" thickTop="1">
      <c r="A64" s="44"/>
      <c r="B64" s="69"/>
      <c r="C64" s="69"/>
      <c r="D64" s="69"/>
      <c r="E64" s="671"/>
      <c r="F64" s="672"/>
      <c r="G64" s="69"/>
      <c r="H64" s="69"/>
    </row>
    <row r="65" spans="1:7">
      <c r="A65" s="420" t="str">
        <f>Inputs!$D$6</f>
        <v>AVISTA UTILITIES</v>
      </c>
      <c r="B65" s="420"/>
      <c r="C65" s="420"/>
      <c r="D65" s="440"/>
      <c r="E65" s="441"/>
      <c r="F65" s="440"/>
      <c r="G65" s="442"/>
    </row>
    <row r="66" spans="1:7">
      <c r="A66" s="420" t="s">
        <v>225</v>
      </c>
      <c r="B66" s="420"/>
      <c r="C66" s="420"/>
      <c r="D66" s="440"/>
      <c r="E66" s="441"/>
      <c r="F66" s="440"/>
      <c r="G66" s="442"/>
    </row>
    <row r="67" spans="1:7">
      <c r="A67" s="420" t="str">
        <f>A3</f>
        <v>TWELVE MONTHS ENDED SEPTEMBER 30, 2008</v>
      </c>
      <c r="B67" s="420"/>
      <c r="C67" s="420"/>
      <c r="D67" s="440"/>
      <c r="E67" s="441"/>
      <c r="F67" s="443" t="str">
        <f>F2</f>
        <v>PRO FORMA</v>
      </c>
      <c r="G67" s="440"/>
    </row>
    <row r="68" spans="1:7">
      <c r="A68" s="420" t="s">
        <v>226</v>
      </c>
      <c r="B68" s="420"/>
      <c r="C68" s="420"/>
      <c r="D68" s="440"/>
      <c r="E68" s="441"/>
      <c r="F68" s="443" t="str">
        <f>F3</f>
        <v>INSURANCE</v>
      </c>
      <c r="G68" s="440"/>
    </row>
    <row r="69" spans="1:7">
      <c r="A69" s="424"/>
      <c r="B69" s="440"/>
      <c r="C69" s="440"/>
      <c r="D69" s="440"/>
      <c r="E69" s="444"/>
      <c r="F69" s="445" t="str">
        <f>F4</f>
        <v>ELECTRIC</v>
      </c>
      <c r="G69" s="440"/>
    </row>
    <row r="70" spans="1:7">
      <c r="A70" s="424"/>
      <c r="B70" s="440"/>
      <c r="C70" s="440"/>
      <c r="D70" s="440"/>
      <c r="E70" s="441"/>
      <c r="F70" s="443"/>
      <c r="G70" s="447"/>
    </row>
    <row r="71" spans="1:7">
      <c r="A71" s="424"/>
      <c r="B71" s="448" t="s">
        <v>134</v>
      </c>
      <c r="C71" s="449"/>
      <c r="D71" s="440"/>
      <c r="E71" s="441"/>
      <c r="F71" s="445" t="s">
        <v>128</v>
      </c>
      <c r="G71" s="440"/>
    </row>
    <row r="72" spans="1:7">
      <c r="A72" s="424"/>
      <c r="B72" s="427" t="s">
        <v>85</v>
      </c>
      <c r="C72" s="440"/>
      <c r="D72" s="440"/>
      <c r="E72" s="440"/>
      <c r="F72" s="442"/>
      <c r="G72" s="440"/>
    </row>
    <row r="73" spans="1:7">
      <c r="A73" s="424"/>
      <c r="B73" s="429" t="s">
        <v>86</v>
      </c>
      <c r="C73" s="440"/>
      <c r="D73" s="440"/>
      <c r="E73" s="440"/>
      <c r="F73" s="450">
        <f>G8</f>
        <v>0</v>
      </c>
      <c r="G73" s="440"/>
    </row>
    <row r="74" spans="1:7">
      <c r="A74" s="424"/>
      <c r="B74" s="427" t="s">
        <v>87</v>
      </c>
      <c r="C74" s="440"/>
      <c r="D74" s="440"/>
      <c r="E74" s="440"/>
      <c r="F74" s="434">
        <f>G9</f>
        <v>0</v>
      </c>
      <c r="G74" s="440"/>
    </row>
    <row r="75" spans="1:7">
      <c r="A75" s="424"/>
      <c r="B75" s="427" t="s">
        <v>150</v>
      </c>
      <c r="C75" s="440"/>
      <c r="D75" s="440"/>
      <c r="E75" s="440"/>
      <c r="F75" s="436">
        <f>G10</f>
        <v>0</v>
      </c>
      <c r="G75" s="440"/>
    </row>
    <row r="76" spans="1:7">
      <c r="A76" s="424"/>
      <c r="B76" s="427" t="s">
        <v>151</v>
      </c>
      <c r="C76" s="440"/>
      <c r="D76" s="440"/>
      <c r="E76" s="440"/>
      <c r="F76" s="434">
        <f>SUM(F73:F75)</f>
        <v>0</v>
      </c>
      <c r="G76" s="440"/>
    </row>
    <row r="77" spans="1:7">
      <c r="A77" s="424"/>
      <c r="B77" s="427" t="s">
        <v>90</v>
      </c>
      <c r="C77" s="440"/>
      <c r="D77" s="440"/>
      <c r="E77" s="440"/>
      <c r="F77" s="436">
        <f>G12</f>
        <v>0</v>
      </c>
      <c r="G77" s="440"/>
    </row>
    <row r="78" spans="1:7">
      <c r="A78" s="424"/>
      <c r="B78" s="427" t="s">
        <v>152</v>
      </c>
      <c r="C78" s="440"/>
      <c r="D78" s="440"/>
      <c r="E78" s="440"/>
      <c r="F78" s="434">
        <f>F76+F77</f>
        <v>0</v>
      </c>
      <c r="G78" s="440"/>
    </row>
    <row r="79" spans="1:7">
      <c r="A79" s="424"/>
      <c r="B79" s="421"/>
      <c r="C79" s="440"/>
      <c r="D79" s="440"/>
      <c r="E79" s="440"/>
      <c r="F79" s="434"/>
      <c r="G79" s="440"/>
    </row>
    <row r="80" spans="1:7">
      <c r="A80" s="424"/>
      <c r="B80" s="427" t="s">
        <v>92</v>
      </c>
      <c r="C80" s="440"/>
      <c r="D80" s="440"/>
      <c r="E80" s="440"/>
      <c r="F80" s="434"/>
      <c r="G80" s="440"/>
    </row>
    <row r="81" spans="1:7">
      <c r="A81" s="424"/>
      <c r="B81" s="427" t="s">
        <v>93</v>
      </c>
      <c r="C81" s="440"/>
      <c r="D81" s="440"/>
      <c r="E81" s="440"/>
      <c r="F81" s="434"/>
      <c r="G81" s="440"/>
    </row>
    <row r="82" spans="1:7">
      <c r="A82" s="424"/>
      <c r="B82" s="427" t="s">
        <v>153</v>
      </c>
      <c r="C82" s="440"/>
      <c r="D82" s="440"/>
      <c r="E82" s="440"/>
      <c r="F82" s="434">
        <f>G17</f>
        <v>0</v>
      </c>
      <c r="G82" s="440"/>
    </row>
    <row r="83" spans="1:7">
      <c r="A83" s="424"/>
      <c r="B83" s="427" t="s">
        <v>154</v>
      </c>
      <c r="C83" s="440"/>
      <c r="D83" s="440"/>
      <c r="E83" s="440"/>
      <c r="F83" s="434">
        <f>G18</f>
        <v>0</v>
      </c>
      <c r="G83" s="440"/>
    </row>
    <row r="84" spans="1:7">
      <c r="A84" s="424"/>
      <c r="B84" s="427" t="s">
        <v>155</v>
      </c>
      <c r="C84" s="440"/>
      <c r="D84" s="440"/>
      <c r="E84" s="440"/>
      <c r="F84" s="434">
        <f>G19</f>
        <v>0</v>
      </c>
      <c r="G84" s="440"/>
    </row>
    <row r="85" spans="1:7">
      <c r="A85" s="424"/>
      <c r="B85" s="427" t="s">
        <v>156</v>
      </c>
      <c r="C85" s="440"/>
      <c r="D85" s="440"/>
      <c r="E85" s="440"/>
      <c r="F85" s="436">
        <f>G20</f>
        <v>0</v>
      </c>
      <c r="G85" s="440"/>
    </row>
    <row r="86" spans="1:7">
      <c r="A86" s="424"/>
      <c r="B86" s="427" t="s">
        <v>157</v>
      </c>
      <c r="C86" s="440"/>
      <c r="D86" s="440"/>
      <c r="E86" s="440"/>
      <c r="F86" s="434">
        <f>SUM(F82:F85)</f>
        <v>0</v>
      </c>
      <c r="G86" s="440"/>
    </row>
    <row r="87" spans="1:7">
      <c r="A87" s="424"/>
      <c r="B87" s="421"/>
      <c r="C87" s="440"/>
      <c r="D87" s="440"/>
      <c r="E87" s="440"/>
      <c r="F87" s="434"/>
      <c r="G87" s="440"/>
    </row>
    <row r="88" spans="1:7">
      <c r="A88" s="424"/>
      <c r="B88" s="427" t="s">
        <v>98</v>
      </c>
      <c r="C88" s="440"/>
      <c r="D88" s="440"/>
      <c r="E88" s="440"/>
      <c r="F88" s="434"/>
      <c r="G88" s="440"/>
    </row>
    <row r="89" spans="1:7">
      <c r="A89" s="424"/>
      <c r="B89" s="427" t="s">
        <v>153</v>
      </c>
      <c r="C89" s="440"/>
      <c r="D89" s="440"/>
      <c r="E89" s="440"/>
      <c r="F89" s="434">
        <f>G24</f>
        <v>0</v>
      </c>
      <c r="G89" s="440"/>
    </row>
    <row r="90" spans="1:7">
      <c r="A90" s="424"/>
      <c r="B90" s="427" t="s">
        <v>158</v>
      </c>
      <c r="C90" s="440"/>
      <c r="D90" s="440"/>
      <c r="E90" s="440"/>
      <c r="F90" s="434">
        <f>G25</f>
        <v>0</v>
      </c>
      <c r="G90" s="440"/>
    </row>
    <row r="91" spans="1:7">
      <c r="A91" s="421"/>
      <c r="B91" s="427" t="s">
        <v>156</v>
      </c>
      <c r="C91" s="440"/>
      <c r="D91" s="440"/>
      <c r="E91" s="440"/>
      <c r="F91" s="434"/>
      <c r="G91" s="440"/>
    </row>
    <row r="92" spans="1:7">
      <c r="A92" s="421"/>
      <c r="B92" s="427" t="s">
        <v>159</v>
      </c>
      <c r="C92" s="440"/>
      <c r="D92" s="440"/>
      <c r="E92" s="440"/>
      <c r="F92" s="433">
        <f>SUM(F89:F91)</f>
        <v>0</v>
      </c>
      <c r="G92" s="440"/>
    </row>
    <row r="93" spans="1:7">
      <c r="A93" s="421"/>
      <c r="B93" s="421"/>
      <c r="C93" s="440"/>
      <c r="D93" s="440"/>
      <c r="E93" s="440"/>
      <c r="F93" s="434"/>
      <c r="G93" s="440"/>
    </row>
    <row r="94" spans="1:7">
      <c r="A94" s="421"/>
      <c r="B94" s="427" t="s">
        <v>101</v>
      </c>
      <c r="C94" s="440"/>
      <c r="D94" s="440"/>
      <c r="E94" s="440"/>
      <c r="F94" s="434">
        <f>G29</f>
        <v>0</v>
      </c>
      <c r="G94" s="440"/>
    </row>
    <row r="95" spans="1:7">
      <c r="A95" s="421"/>
      <c r="B95" s="427" t="s">
        <v>102</v>
      </c>
      <c r="C95" s="440"/>
      <c r="D95" s="440"/>
      <c r="E95" s="440"/>
      <c r="F95" s="434">
        <f>G30</f>
        <v>0</v>
      </c>
      <c r="G95" s="440"/>
    </row>
    <row r="96" spans="1:7">
      <c r="A96" s="421"/>
      <c r="B96" s="427" t="s">
        <v>160</v>
      </c>
      <c r="C96" s="440"/>
      <c r="D96" s="440"/>
      <c r="E96" s="440"/>
      <c r="F96" s="434">
        <f>G31</f>
        <v>0</v>
      </c>
      <c r="G96" s="440"/>
    </row>
    <row r="97" spans="1:7">
      <c r="A97" s="421"/>
      <c r="B97" s="421"/>
      <c r="C97" s="440"/>
      <c r="D97" s="440"/>
      <c r="E97" s="440"/>
      <c r="F97" s="434"/>
      <c r="G97" s="440"/>
    </row>
    <row r="98" spans="1:7">
      <c r="A98" s="421"/>
      <c r="B98" s="427" t="s">
        <v>104</v>
      </c>
      <c r="C98" s="440"/>
      <c r="D98" s="440"/>
      <c r="E98" s="440"/>
      <c r="F98" s="434"/>
      <c r="G98" s="440"/>
    </row>
    <row r="99" spans="1:7">
      <c r="A99" s="421"/>
      <c r="B99" s="427" t="s">
        <v>153</v>
      </c>
      <c r="C99" s="440"/>
      <c r="D99" s="440"/>
      <c r="E99" s="440"/>
      <c r="F99" s="434">
        <f>G34</f>
        <v>0</v>
      </c>
      <c r="G99" s="440"/>
    </row>
    <row r="100" spans="1:7">
      <c r="A100" s="421"/>
      <c r="B100" s="427" t="s">
        <v>158</v>
      </c>
      <c r="C100" s="440"/>
      <c r="D100" s="440"/>
      <c r="E100" s="440"/>
      <c r="F100" s="434">
        <f>G35</f>
        <v>0</v>
      </c>
      <c r="G100" s="440"/>
    </row>
    <row r="101" spans="1:7">
      <c r="A101" s="421"/>
      <c r="B101" s="427" t="s">
        <v>156</v>
      </c>
      <c r="C101" s="440"/>
      <c r="D101" s="440"/>
      <c r="E101" s="440"/>
      <c r="F101" s="436">
        <f>G36</f>
        <v>0</v>
      </c>
      <c r="G101" s="440"/>
    </row>
    <row r="102" spans="1:7">
      <c r="A102" s="421"/>
      <c r="B102" s="427" t="s">
        <v>161</v>
      </c>
      <c r="C102" s="440"/>
      <c r="D102" s="440"/>
      <c r="E102" s="440"/>
      <c r="F102" s="434">
        <f>F99+F100+F101</f>
        <v>0</v>
      </c>
      <c r="G102" s="440"/>
    </row>
    <row r="103" spans="1:7">
      <c r="A103" s="421"/>
      <c r="B103" s="440"/>
      <c r="C103" s="440"/>
      <c r="D103" s="440"/>
      <c r="E103" s="440"/>
      <c r="F103" s="434"/>
      <c r="G103" s="440"/>
    </row>
    <row r="104" spans="1:7">
      <c r="A104" s="421"/>
      <c r="B104" s="440" t="s">
        <v>106</v>
      </c>
      <c r="C104" s="440"/>
      <c r="D104" s="440"/>
      <c r="E104" s="440"/>
      <c r="F104" s="435">
        <f>F86+F92+F94+F95+F96+F102</f>
        <v>0</v>
      </c>
      <c r="G104" s="440"/>
    </row>
    <row r="105" spans="1:7">
      <c r="A105" s="421"/>
      <c r="B105" s="440"/>
      <c r="C105" s="440"/>
      <c r="D105" s="440"/>
      <c r="E105" s="440"/>
      <c r="F105" s="434"/>
      <c r="G105" s="440"/>
    </row>
    <row r="106" spans="1:7">
      <c r="A106" s="421"/>
      <c r="B106" s="440" t="s">
        <v>227</v>
      </c>
      <c r="C106" s="440"/>
      <c r="D106" s="440"/>
      <c r="E106" s="440"/>
      <c r="F106" s="436">
        <f>F78-F104</f>
        <v>0</v>
      </c>
      <c r="G106" s="440"/>
    </row>
    <row r="107" spans="1:7">
      <c r="A107" s="421"/>
      <c r="B107" s="440"/>
      <c r="C107" s="440"/>
      <c r="D107" s="440"/>
      <c r="E107" s="440"/>
      <c r="F107" s="434"/>
      <c r="G107" s="440"/>
    </row>
    <row r="108" spans="1:7">
      <c r="A108" s="421"/>
      <c r="B108" s="440" t="s">
        <v>228</v>
      </c>
      <c r="C108" s="440"/>
      <c r="D108" s="440"/>
      <c r="E108" s="441"/>
      <c r="F108" s="434"/>
      <c r="G108" s="440"/>
    </row>
    <row r="109" spans="1:7" ht="13.5" thickBot="1">
      <c r="A109" s="421"/>
      <c r="B109" s="451" t="s">
        <v>229</v>
      </c>
      <c r="C109" s="452">
        <f>Inputs!$D$4</f>
        <v>1.2215999999999999E-2</v>
      </c>
      <c r="D109" s="440"/>
      <c r="E109" s="441"/>
      <c r="F109" s="439">
        <f>ROUND(F106*C109,0)</f>
        <v>0</v>
      </c>
      <c r="G109" s="440"/>
    </row>
    <row r="110" spans="1:7" ht="13.5" thickTop="1">
      <c r="A110" s="421"/>
      <c r="B110" s="440"/>
      <c r="C110" s="440"/>
      <c r="D110" s="440"/>
      <c r="E110" s="441"/>
      <c r="F110" s="442"/>
      <c r="G110" s="440"/>
    </row>
  </sheetData>
  <phoneticPr fontId="0" type="noConversion"/>
  <pageMargins left="1" right="1" top="0.5" bottom="0.25" header="0.5" footer="0.5"/>
  <pageSetup scale="90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75"/>
  <dimension ref="A1:H110"/>
  <sheetViews>
    <sheetView workbookViewId="0">
      <selection activeCell="F2" sqref="F2"/>
    </sheetView>
  </sheetViews>
  <sheetFormatPr defaultRowHeight="12.75"/>
  <cols>
    <col min="1" max="1" width="5.5703125" style="47" customWidth="1"/>
    <col min="2" max="2" width="26.140625" style="44" customWidth="1"/>
    <col min="3" max="3" width="12.42578125" style="44" customWidth="1"/>
    <col min="4" max="4" width="6.7109375" style="44" customWidth="1"/>
    <col min="5" max="8" width="12.42578125" style="44" customWidth="1"/>
  </cols>
  <sheetData>
    <row r="1" spans="1:8">
      <c r="A1" s="42" t="str">
        <f>Inputs!$D$6</f>
        <v>AVISTA UTILITIES</v>
      </c>
      <c r="B1" s="43"/>
      <c r="C1" s="42"/>
    </row>
    <row r="2" spans="1:8">
      <c r="A2" s="42" t="s">
        <v>142</v>
      </c>
      <c r="B2" s="43"/>
      <c r="C2" s="42"/>
      <c r="E2" s="42"/>
      <c r="F2" s="456" t="s">
        <v>299</v>
      </c>
      <c r="G2" s="42"/>
    </row>
    <row r="3" spans="1:8">
      <c r="A3" s="43" t="str">
        <f>WAElec09_08!$A$4</f>
        <v>TWELVE MONTHS ENDED SEPTEMBER 30, 2008</v>
      </c>
      <c r="B3" s="43"/>
      <c r="C3" s="42"/>
      <c r="E3" s="42"/>
      <c r="F3" s="47" t="s">
        <v>672</v>
      </c>
      <c r="G3" s="42"/>
    </row>
    <row r="4" spans="1:8">
      <c r="A4" s="42" t="s">
        <v>1</v>
      </c>
      <c r="B4" s="43"/>
      <c r="C4" s="42"/>
      <c r="E4" s="45"/>
      <c r="F4" s="670" t="s">
        <v>145</v>
      </c>
      <c r="G4" s="46"/>
    </row>
    <row r="5" spans="1:8">
      <c r="A5" s="47" t="s">
        <v>14</v>
      </c>
    </row>
    <row r="6" spans="1:8">
      <c r="A6" s="47" t="s">
        <v>146</v>
      </c>
      <c r="B6" s="48" t="s">
        <v>36</v>
      </c>
      <c r="C6" s="48"/>
      <c r="D6" s="47"/>
      <c r="E6" s="48" t="s">
        <v>147</v>
      </c>
      <c r="F6" s="48" t="s">
        <v>148</v>
      </c>
      <c r="G6" s="48" t="s">
        <v>128</v>
      </c>
      <c r="H6" s="49" t="s">
        <v>149</v>
      </c>
    </row>
    <row r="7" spans="1:8">
      <c r="B7" s="50" t="s">
        <v>85</v>
      </c>
    </row>
    <row r="8" spans="1:8">
      <c r="A8" s="51">
        <v>1</v>
      </c>
      <c r="B8" s="52" t="s">
        <v>86</v>
      </c>
      <c r="C8" s="53"/>
      <c r="D8" s="53"/>
      <c r="E8" s="54">
        <f>F8+G8</f>
        <v>0</v>
      </c>
      <c r="F8" s="54">
        <v>0</v>
      </c>
      <c r="G8" s="54">
        <v>0</v>
      </c>
      <c r="H8" s="53" t="str">
        <f t="shared" ref="H8:H13" si="0">IF(E8=F8+G8," ","ERROR")</f>
        <v xml:space="preserve"> </v>
      </c>
    </row>
    <row r="9" spans="1:8">
      <c r="A9" s="47">
        <v>2</v>
      </c>
      <c r="B9" s="50" t="s">
        <v>87</v>
      </c>
      <c r="E9" s="55"/>
      <c r="F9" s="55"/>
      <c r="G9" s="55"/>
      <c r="H9" s="53" t="str">
        <f t="shared" si="0"/>
        <v xml:space="preserve"> </v>
      </c>
    </row>
    <row r="10" spans="1:8">
      <c r="A10" s="47">
        <v>3</v>
      </c>
      <c r="B10" s="50" t="s">
        <v>150</v>
      </c>
      <c r="E10" s="55"/>
      <c r="F10" s="55"/>
      <c r="G10" s="55"/>
      <c r="H10" s="53" t="str">
        <f t="shared" si="0"/>
        <v xml:space="preserve"> </v>
      </c>
    </row>
    <row r="11" spans="1:8">
      <c r="A11" s="47">
        <v>4</v>
      </c>
      <c r="B11" s="50" t="s">
        <v>151</v>
      </c>
      <c r="E11" s="56">
        <f>E8+E9+E10</f>
        <v>0</v>
      </c>
      <c r="F11" s="56">
        <f>F8+F9+F10</f>
        <v>0</v>
      </c>
      <c r="G11" s="56">
        <f>G8+G9+G10</f>
        <v>0</v>
      </c>
      <c r="H11" s="53" t="str">
        <f t="shared" si="0"/>
        <v xml:space="preserve"> </v>
      </c>
    </row>
    <row r="12" spans="1:8">
      <c r="A12" s="47">
        <v>5</v>
      </c>
      <c r="B12" s="50" t="s">
        <v>90</v>
      </c>
      <c r="E12" s="55"/>
      <c r="F12" s="55"/>
      <c r="G12" s="55"/>
      <c r="H12" s="53" t="str">
        <f t="shared" si="0"/>
        <v xml:space="preserve"> </v>
      </c>
    </row>
    <row r="13" spans="1:8">
      <c r="A13" s="47">
        <v>6</v>
      </c>
      <c r="B13" s="50" t="s">
        <v>152</v>
      </c>
      <c r="E13" s="56">
        <f>E11+E12</f>
        <v>0</v>
      </c>
      <c r="F13" s="56">
        <f>F11+F12</f>
        <v>0</v>
      </c>
      <c r="G13" s="56">
        <f>G11+G12</f>
        <v>0</v>
      </c>
      <c r="H13" s="53" t="str">
        <f t="shared" si="0"/>
        <v xml:space="preserve"> </v>
      </c>
    </row>
    <row r="14" spans="1:8">
      <c r="E14" s="58"/>
      <c r="F14" s="58"/>
      <c r="G14" s="58"/>
      <c r="H14" s="53"/>
    </row>
    <row r="15" spans="1:8">
      <c r="B15" s="50" t="s">
        <v>92</v>
      </c>
      <c r="E15" s="58"/>
      <c r="F15" s="58"/>
      <c r="G15" s="58"/>
      <c r="H15" s="53"/>
    </row>
    <row r="16" spans="1:8">
      <c r="B16" s="50" t="s">
        <v>93</v>
      </c>
      <c r="E16" s="58"/>
      <c r="F16" s="58"/>
      <c r="G16" s="58"/>
      <c r="H16" s="53"/>
    </row>
    <row r="17" spans="1:8">
      <c r="A17" s="47">
        <v>7</v>
      </c>
      <c r="B17" s="50" t="s">
        <v>153</v>
      </c>
      <c r="E17" s="55">
        <f>F17+G17</f>
        <v>656</v>
      </c>
      <c r="F17" s="55">
        <v>656</v>
      </c>
      <c r="G17" s="55">
        <v>0</v>
      </c>
      <c r="H17" s="53" t="str">
        <f>IF(E17=F17+G17," ","ERROR")</f>
        <v xml:space="preserve"> </v>
      </c>
    </row>
    <row r="18" spans="1:8">
      <c r="A18" s="47">
        <v>8</v>
      </c>
      <c r="B18" s="50" t="s">
        <v>154</v>
      </c>
      <c r="E18" s="55"/>
      <c r="F18" s="55"/>
      <c r="G18" s="55"/>
      <c r="H18" s="53" t="str">
        <f>IF(E18=F18+G18," ","ERROR")</f>
        <v xml:space="preserve"> </v>
      </c>
    </row>
    <row r="19" spans="1:8">
      <c r="A19" s="47">
        <v>9</v>
      </c>
      <c r="B19" s="50" t="s">
        <v>155</v>
      </c>
      <c r="E19" s="55">
        <f>F19+G19</f>
        <v>0</v>
      </c>
      <c r="F19" s="55">
        <v>0</v>
      </c>
      <c r="G19" s="55"/>
      <c r="H19" s="53" t="str">
        <f>IF(E19=F19+G19," ","ERROR")</f>
        <v xml:space="preserve"> </v>
      </c>
    </row>
    <row r="20" spans="1:8">
      <c r="A20" s="47">
        <v>10</v>
      </c>
      <c r="B20" s="50" t="s">
        <v>156</v>
      </c>
      <c r="E20" s="55">
        <f>F20+G20</f>
        <v>0</v>
      </c>
      <c r="F20" s="55"/>
      <c r="G20" s="55"/>
      <c r="H20" s="53" t="str">
        <f>IF(E20=F20+G20," ","ERROR")</f>
        <v xml:space="preserve"> </v>
      </c>
    </row>
    <row r="21" spans="1:8">
      <c r="A21" s="47">
        <v>11</v>
      </c>
      <c r="B21" s="50" t="s">
        <v>157</v>
      </c>
      <c r="E21" s="56">
        <f>E17+E18+E19+E20</f>
        <v>656</v>
      </c>
      <c r="F21" s="56">
        <f>F17+F18+F19+F20</f>
        <v>656</v>
      </c>
      <c r="G21" s="56">
        <f>G17+G18+G19+G20</f>
        <v>0</v>
      </c>
      <c r="H21" s="53" t="str">
        <f>IF(E21=F21+G21," ","ERROR")</f>
        <v xml:space="preserve"> </v>
      </c>
    </row>
    <row r="22" spans="1:8">
      <c r="E22" s="58"/>
      <c r="F22" s="58"/>
      <c r="G22" s="58"/>
      <c r="H22" s="53"/>
    </row>
    <row r="23" spans="1:8">
      <c r="B23" s="50" t="s">
        <v>98</v>
      </c>
      <c r="E23" s="58"/>
      <c r="F23" s="58"/>
      <c r="G23" s="58"/>
      <c r="H23" s="53"/>
    </row>
    <row r="24" spans="1:8">
      <c r="A24" s="47">
        <v>12</v>
      </c>
      <c r="B24" s="50" t="s">
        <v>153</v>
      </c>
      <c r="E24" s="55">
        <f>F24+G24</f>
        <v>0</v>
      </c>
      <c r="F24" s="55">
        <v>0</v>
      </c>
      <c r="G24" s="55">
        <v>0</v>
      </c>
      <c r="H24" s="53" t="str">
        <f>IF(E24=F24+G24," ","ERROR")</f>
        <v xml:space="preserve"> </v>
      </c>
    </row>
    <row r="25" spans="1:8">
      <c r="A25" s="47">
        <v>13</v>
      </c>
      <c r="B25" s="50" t="s">
        <v>158</v>
      </c>
      <c r="E25" s="55"/>
      <c r="F25" s="55"/>
      <c r="G25" s="55"/>
      <c r="H25" s="53" t="str">
        <f>IF(E25=F25+G25," ","ERROR")</f>
        <v xml:space="preserve"> </v>
      </c>
    </row>
    <row r="26" spans="1:8">
      <c r="A26" s="47">
        <v>14</v>
      </c>
      <c r="B26" s="50" t="s">
        <v>156</v>
      </c>
      <c r="E26" s="55">
        <f>F26+G26</f>
        <v>0</v>
      </c>
      <c r="F26" s="55">
        <v>0</v>
      </c>
      <c r="G26" s="916">
        <f>F109</f>
        <v>0</v>
      </c>
      <c r="H26" s="53" t="str">
        <f>IF(E26=F26+G26," ","ERROR")</f>
        <v xml:space="preserve"> </v>
      </c>
    </row>
    <row r="27" spans="1:8">
      <c r="A27" s="47">
        <v>15</v>
      </c>
      <c r="B27" s="50" t="s">
        <v>159</v>
      </c>
      <c r="E27" s="56">
        <f>E24+E25+E26</f>
        <v>0</v>
      </c>
      <c r="F27" s="56">
        <f>F24+F25+F26</f>
        <v>0</v>
      </c>
      <c r="G27" s="56">
        <f>G24+G25+G26</f>
        <v>0</v>
      </c>
      <c r="H27" s="53" t="str">
        <f>IF(E27=F27+G27," ","ERROR")</f>
        <v xml:space="preserve"> </v>
      </c>
    </row>
    <row r="28" spans="1:8">
      <c r="E28" s="58"/>
      <c r="F28" s="58"/>
      <c r="G28" s="58"/>
      <c r="H28" s="53"/>
    </row>
    <row r="29" spans="1:8">
      <c r="A29" s="47">
        <v>16</v>
      </c>
      <c r="B29" s="50" t="s">
        <v>101</v>
      </c>
      <c r="E29" s="55">
        <f>SUM(F29:G29)</f>
        <v>0</v>
      </c>
      <c r="F29" s="55">
        <v>0</v>
      </c>
      <c r="G29" s="55">
        <v>0</v>
      </c>
      <c r="H29" s="53" t="str">
        <f>IF(E29=F29+G29," ","ERROR")</f>
        <v xml:space="preserve"> </v>
      </c>
    </row>
    <row r="30" spans="1:8">
      <c r="A30" s="47">
        <v>17</v>
      </c>
      <c r="B30" s="50" t="s">
        <v>102</v>
      </c>
      <c r="E30" s="55">
        <f>SUM(F30:G30)</f>
        <v>0</v>
      </c>
      <c r="F30" s="55">
        <v>0</v>
      </c>
      <c r="G30" s="55">
        <v>0</v>
      </c>
      <c r="H30" s="53" t="str">
        <f>IF(E30=F30+G30," ","ERROR")</f>
        <v xml:space="preserve"> </v>
      </c>
    </row>
    <row r="31" spans="1:8">
      <c r="A31" s="47">
        <v>18</v>
      </c>
      <c r="B31" s="50" t="s">
        <v>160</v>
      </c>
      <c r="E31" s="55">
        <f>SUM(F31:G31)</f>
        <v>0</v>
      </c>
      <c r="F31" s="55">
        <v>0</v>
      </c>
      <c r="G31" s="55">
        <v>0</v>
      </c>
      <c r="H31" s="53" t="str">
        <f>IF(E31=F31+G31," ","ERROR")</f>
        <v xml:space="preserve"> </v>
      </c>
    </row>
    <row r="32" spans="1:8">
      <c r="E32" s="58"/>
      <c r="F32" s="58"/>
      <c r="G32" s="58"/>
      <c r="H32" s="53"/>
    </row>
    <row r="33" spans="1:8">
      <c r="B33" s="50" t="s">
        <v>104</v>
      </c>
      <c r="E33" s="58"/>
      <c r="F33" s="58"/>
      <c r="G33" s="58"/>
      <c r="H33" s="53"/>
    </row>
    <row r="34" spans="1:8">
      <c r="A34" s="47">
        <v>19</v>
      </c>
      <c r="B34" s="50" t="s">
        <v>153</v>
      </c>
      <c r="E34" s="55">
        <f>SUM(F34:G34)</f>
        <v>0</v>
      </c>
      <c r="F34" s="55">
        <v>0</v>
      </c>
      <c r="G34" s="55">
        <v>0</v>
      </c>
      <c r="H34" s="53" t="str">
        <f>IF(E34=F34+G34," ","ERROR")</f>
        <v xml:space="preserve"> </v>
      </c>
    </row>
    <row r="35" spans="1:8">
      <c r="A35" s="47">
        <v>20</v>
      </c>
      <c r="B35" s="50" t="s">
        <v>158</v>
      </c>
      <c r="E35" s="55"/>
      <c r="F35" s="55"/>
      <c r="G35" s="55"/>
      <c r="H35" s="53" t="str">
        <f>IF(E35=F35+G35," ","ERROR")</f>
        <v xml:space="preserve"> </v>
      </c>
    </row>
    <row r="36" spans="1:8">
      <c r="A36" s="47">
        <v>21</v>
      </c>
      <c r="B36" s="50" t="s">
        <v>156</v>
      </c>
      <c r="E36" s="55"/>
      <c r="F36" s="55"/>
      <c r="G36" s="55"/>
      <c r="H36" s="53" t="str">
        <f>IF(E36=F36+G36," ","ERROR")</f>
        <v xml:space="preserve"> </v>
      </c>
    </row>
    <row r="37" spans="1:8">
      <c r="A37" s="47">
        <v>22</v>
      </c>
      <c r="B37" s="50" t="s">
        <v>161</v>
      </c>
      <c r="E37" s="60">
        <f>E34+E35+E36</f>
        <v>0</v>
      </c>
      <c r="F37" s="60">
        <f>F34+F35+F36</f>
        <v>0</v>
      </c>
      <c r="G37" s="60">
        <f>G34+G35+G36</f>
        <v>0</v>
      </c>
      <c r="H37" s="53" t="str">
        <f>IF(E37=F37+G37," ","ERROR")</f>
        <v xml:space="preserve"> </v>
      </c>
    </row>
    <row r="38" spans="1:8">
      <c r="A38" s="47">
        <v>23</v>
      </c>
      <c r="B38" s="50" t="s">
        <v>106</v>
      </c>
      <c r="E38" s="61">
        <f>E21+E27+E29+E30+E31+E37</f>
        <v>656</v>
      </c>
      <c r="F38" s="61">
        <f>F21+F27+F29+F30+F31+F37</f>
        <v>656</v>
      </c>
      <c r="G38" s="61">
        <f>G21+G27+G29+G30+G31+G37</f>
        <v>0</v>
      </c>
      <c r="H38" s="53" t="str">
        <f>IF(E38=F38+G38," ","ERROR")</f>
        <v xml:space="preserve"> </v>
      </c>
    </row>
    <row r="39" spans="1:8">
      <c r="E39" s="58"/>
      <c r="F39" s="58"/>
      <c r="G39" s="58"/>
      <c r="H39" s="53"/>
    </row>
    <row r="40" spans="1:8">
      <c r="A40" s="47">
        <v>24</v>
      </c>
      <c r="B40" s="50" t="s">
        <v>162</v>
      </c>
      <c r="E40" s="58">
        <f>E13-E38</f>
        <v>-656</v>
      </c>
      <c r="F40" s="58">
        <f>F13-F38</f>
        <v>-656</v>
      </c>
      <c r="G40" s="58">
        <f>G13-G38</f>
        <v>0</v>
      </c>
      <c r="H40" s="53" t="str">
        <f>IF(E40=F40+G40," ","ERROR")</f>
        <v xml:space="preserve"> </v>
      </c>
    </row>
    <row r="41" spans="1:8">
      <c r="B41" s="50"/>
      <c r="E41" s="58"/>
      <c r="F41" s="58"/>
      <c r="G41" s="58"/>
      <c r="H41" s="53"/>
    </row>
    <row r="42" spans="1:8">
      <c r="B42" s="50" t="s">
        <v>163</v>
      </c>
      <c r="E42" s="58"/>
      <c r="F42" s="58"/>
      <c r="G42" s="58"/>
      <c r="H42" s="53"/>
    </row>
    <row r="43" spans="1:8">
      <c r="A43" s="47">
        <v>25</v>
      </c>
      <c r="B43" s="50" t="s">
        <v>164</v>
      </c>
      <c r="D43" s="62">
        <v>0.35</v>
      </c>
      <c r="E43" s="55">
        <f>F43+G43</f>
        <v>-230</v>
      </c>
      <c r="F43" s="55">
        <f>ROUND(F40*D43,0)</f>
        <v>-230</v>
      </c>
      <c r="G43" s="55">
        <f>ROUND(G40*D43,0)</f>
        <v>0</v>
      </c>
      <c r="H43" s="53" t="str">
        <f>IF(E43=F43+G43," ","ERROR")</f>
        <v xml:space="preserve"> </v>
      </c>
    </row>
    <row r="44" spans="1:8">
      <c r="A44" s="47">
        <v>26</v>
      </c>
      <c r="B44" s="50" t="s">
        <v>165</v>
      </c>
      <c r="E44" s="55"/>
      <c r="F44" s="55"/>
      <c r="G44" s="55"/>
      <c r="H44" s="53" t="str">
        <f>IF(E44=F44+G44," ","ERROR")</f>
        <v xml:space="preserve"> </v>
      </c>
    </row>
    <row r="45" spans="1:8">
      <c r="A45"/>
      <c r="B45"/>
      <c r="C45"/>
      <c r="D45"/>
      <c r="E45" s="913"/>
      <c r="F45" s="913"/>
      <c r="G45" s="913"/>
      <c r="H45" s="53" t="str">
        <f>IF(E45=F45+G45," ","ERROR")</f>
        <v xml:space="preserve"> </v>
      </c>
    </row>
    <row r="46" spans="1:8">
      <c r="A46" s="259"/>
      <c r="B46" s="262"/>
      <c r="C46" s="256"/>
      <c r="D46" s="256"/>
      <c r="E46" s="269"/>
      <c r="F46" s="269"/>
      <c r="G46" s="269"/>
      <c r="H46" s="53"/>
    </row>
    <row r="47" spans="1:8">
      <c r="A47" s="263">
        <v>27</v>
      </c>
      <c r="B47" s="264" t="s">
        <v>113</v>
      </c>
      <c r="C47" s="265"/>
      <c r="D47" s="265"/>
      <c r="E47" s="273">
        <f>E40-SUM(E43:E44)</f>
        <v>-426</v>
      </c>
      <c r="F47" s="273">
        <f>F40-SUM(F43:F44)</f>
        <v>-426</v>
      </c>
      <c r="G47" s="273">
        <f>G40-SUM(G43:G44)</f>
        <v>0</v>
      </c>
      <c r="H47" s="53" t="str">
        <f>IF(E47=F47+G47," ","ERROR")</f>
        <v xml:space="preserve"> </v>
      </c>
    </row>
    <row r="48" spans="1:8">
      <c r="A48" s="259"/>
      <c r="H48" s="53"/>
    </row>
    <row r="49" spans="1:8">
      <c r="A49" s="259"/>
      <c r="B49" s="50" t="s">
        <v>114</v>
      </c>
      <c r="H49" s="53"/>
    </row>
    <row r="50" spans="1:8">
      <c r="A50" s="259"/>
      <c r="B50" s="50" t="s">
        <v>115</v>
      </c>
      <c r="H50" s="53"/>
    </row>
    <row r="51" spans="1:8">
      <c r="A51" s="263">
        <v>28</v>
      </c>
      <c r="B51" s="52" t="s">
        <v>167</v>
      </c>
      <c r="C51" s="53"/>
      <c r="D51" s="53"/>
      <c r="E51" s="54"/>
      <c r="F51" s="54"/>
      <c r="G51" s="54"/>
      <c r="H51" s="53" t="str">
        <f t="shared" ref="H51:H61" si="1">IF(E51=F51+G51," ","ERROR")</f>
        <v xml:space="preserve"> </v>
      </c>
    </row>
    <row r="52" spans="1:8">
      <c r="A52" s="259">
        <v>29</v>
      </c>
      <c r="B52" s="50" t="s">
        <v>168</v>
      </c>
      <c r="E52" s="55">
        <f>F52+G52</f>
        <v>0</v>
      </c>
      <c r="F52" s="55"/>
      <c r="G52" s="55"/>
      <c r="H52" s="53" t="str">
        <f t="shared" si="1"/>
        <v xml:space="preserve"> </v>
      </c>
    </row>
    <row r="53" spans="1:8">
      <c r="A53" s="259">
        <v>30</v>
      </c>
      <c r="B53" s="50" t="s">
        <v>169</v>
      </c>
      <c r="E53" s="55"/>
      <c r="F53" s="55"/>
      <c r="G53" s="55"/>
      <c r="H53" s="53" t="str">
        <f t="shared" si="1"/>
        <v xml:space="preserve"> </v>
      </c>
    </row>
    <row r="54" spans="1:8">
      <c r="A54" s="259">
        <v>31</v>
      </c>
      <c r="B54" s="50" t="s">
        <v>170</v>
      </c>
      <c r="E54" s="55"/>
      <c r="F54" s="55"/>
      <c r="G54" s="55"/>
      <c r="H54" s="53" t="str">
        <f t="shared" si="1"/>
        <v xml:space="preserve"> </v>
      </c>
    </row>
    <row r="55" spans="1:8">
      <c r="A55" s="259">
        <v>32</v>
      </c>
      <c r="B55" s="50" t="s">
        <v>171</v>
      </c>
      <c r="E55" s="59"/>
      <c r="F55" s="59"/>
      <c r="G55" s="59"/>
      <c r="H55" s="53" t="str">
        <f t="shared" si="1"/>
        <v xml:space="preserve"> </v>
      </c>
    </row>
    <row r="56" spans="1:8">
      <c r="A56" s="259">
        <v>33</v>
      </c>
      <c r="B56" s="50" t="s">
        <v>172</v>
      </c>
      <c r="E56" s="58">
        <f>E51+E52+E53+E54+E55</f>
        <v>0</v>
      </c>
      <c r="F56" s="58">
        <f>F51+F52+F53+F54+F55</f>
        <v>0</v>
      </c>
      <c r="G56" s="58">
        <f>G51+G52+G53+G54+G55</f>
        <v>0</v>
      </c>
      <c r="H56" s="53" t="str">
        <f t="shared" si="1"/>
        <v xml:space="preserve"> </v>
      </c>
    </row>
    <row r="57" spans="1:8">
      <c r="A57" s="259">
        <v>34</v>
      </c>
      <c r="B57" s="50" t="s">
        <v>121</v>
      </c>
      <c r="E57" s="55">
        <f>F57+G57</f>
        <v>0</v>
      </c>
      <c r="F57" s="55"/>
      <c r="G57" s="55"/>
      <c r="H57" s="53" t="str">
        <f t="shared" si="1"/>
        <v xml:space="preserve"> </v>
      </c>
    </row>
    <row r="58" spans="1:8">
      <c r="A58" s="259">
        <v>35</v>
      </c>
      <c r="B58" s="50" t="s">
        <v>122</v>
      </c>
      <c r="E58" s="59"/>
      <c r="F58" s="59"/>
      <c r="G58" s="59"/>
      <c r="H58" s="53" t="str">
        <f t="shared" si="1"/>
        <v xml:space="preserve"> </v>
      </c>
    </row>
    <row r="59" spans="1:8">
      <c r="A59" s="259">
        <v>36</v>
      </c>
      <c r="B59" s="50" t="s">
        <v>173</v>
      </c>
      <c r="E59" s="58">
        <f>E57+E58</f>
        <v>0</v>
      </c>
      <c r="F59" s="58">
        <f>F57+F58</f>
        <v>0</v>
      </c>
      <c r="G59" s="58">
        <f>G57+G58</f>
        <v>0</v>
      </c>
      <c r="H59" s="53" t="str">
        <f t="shared" si="1"/>
        <v xml:space="preserve"> </v>
      </c>
    </row>
    <row r="60" spans="1:8">
      <c r="A60" s="259">
        <v>37</v>
      </c>
      <c r="B60" s="50" t="s">
        <v>124</v>
      </c>
      <c r="E60" s="55"/>
      <c r="F60" s="55"/>
      <c r="G60" s="55"/>
      <c r="H60" s="53" t="str">
        <f t="shared" si="1"/>
        <v xml:space="preserve"> </v>
      </c>
    </row>
    <row r="61" spans="1:8">
      <c r="A61" s="259">
        <v>38</v>
      </c>
      <c r="B61" s="50" t="s">
        <v>125</v>
      </c>
      <c r="E61" s="59">
        <f>F61+G61</f>
        <v>0</v>
      </c>
      <c r="F61" s="59"/>
      <c r="G61" s="59"/>
      <c r="H61" s="53" t="str">
        <f t="shared" si="1"/>
        <v xml:space="preserve"> </v>
      </c>
    </row>
    <row r="62" spans="1:8" ht="11.25" customHeight="1">
      <c r="A62" s="259"/>
      <c r="H62" s="53"/>
    </row>
    <row r="63" spans="1:8" ht="13.5" thickBot="1">
      <c r="A63" s="263">
        <v>39</v>
      </c>
      <c r="B63" s="52" t="s">
        <v>126</v>
      </c>
      <c r="C63" s="53"/>
      <c r="D63" s="53"/>
      <c r="E63" s="63">
        <f>E56-E59+E60+E61</f>
        <v>0</v>
      </c>
      <c r="F63" s="63">
        <f>F56-F59+F60+F61</f>
        <v>0</v>
      </c>
      <c r="G63" s="63">
        <f>G56-G59+G60+G61</f>
        <v>0</v>
      </c>
      <c r="H63" s="53" t="str">
        <f>IF(E63=F63+G63," ","ERROR")</f>
        <v xml:space="preserve"> </v>
      </c>
    </row>
    <row r="64" spans="1:8" ht="13.5" thickTop="1">
      <c r="A64" s="44"/>
      <c r="B64" s="69"/>
      <c r="C64" s="69"/>
      <c r="D64" s="69"/>
      <c r="E64" s="671"/>
      <c r="F64" s="672"/>
      <c r="G64" s="69"/>
      <c r="H64" s="69"/>
    </row>
    <row r="65" spans="1:7">
      <c r="A65" s="420" t="str">
        <f>Inputs!$D$6</f>
        <v>AVISTA UTILITIES</v>
      </c>
      <c r="B65" s="420"/>
      <c r="C65" s="420"/>
      <c r="D65" s="440"/>
      <c r="E65" s="441"/>
      <c r="F65" s="440"/>
      <c r="G65" s="442"/>
    </row>
    <row r="66" spans="1:7">
      <c r="A66" s="420" t="s">
        <v>225</v>
      </c>
      <c r="B66" s="420"/>
      <c r="C66" s="420"/>
      <c r="D66" s="440"/>
      <c r="E66" s="441"/>
      <c r="F66" s="440"/>
      <c r="G66" s="442"/>
    </row>
    <row r="67" spans="1:7">
      <c r="A67" s="420" t="str">
        <f>A3</f>
        <v>TWELVE MONTHS ENDED SEPTEMBER 30, 2008</v>
      </c>
      <c r="B67" s="420"/>
      <c r="C67" s="420"/>
      <c r="D67" s="440"/>
      <c r="E67" s="441"/>
      <c r="F67" s="443" t="str">
        <f>F2</f>
        <v>PRO FORMA</v>
      </c>
      <c r="G67" s="440"/>
    </row>
    <row r="68" spans="1:7">
      <c r="A68" s="420" t="s">
        <v>226</v>
      </c>
      <c r="B68" s="420"/>
      <c r="C68" s="420"/>
      <c r="D68" s="440"/>
      <c r="E68" s="441"/>
      <c r="F68" s="443" t="str">
        <f>F3</f>
        <v>CLARK FORK PM&amp;Es</v>
      </c>
      <c r="G68" s="440"/>
    </row>
    <row r="69" spans="1:7">
      <c r="A69" s="424"/>
      <c r="B69" s="440"/>
      <c r="C69" s="440"/>
      <c r="D69" s="440"/>
      <c r="E69" s="444"/>
      <c r="F69" s="445" t="str">
        <f>F4</f>
        <v>ELECTRIC</v>
      </c>
      <c r="G69" s="440"/>
    </row>
    <row r="70" spans="1:7">
      <c r="A70" s="424"/>
      <c r="B70" s="440"/>
      <c r="C70" s="440"/>
      <c r="D70" s="440"/>
      <c r="E70" s="441"/>
      <c r="F70" s="443"/>
      <c r="G70" s="447"/>
    </row>
    <row r="71" spans="1:7">
      <c r="A71" s="424"/>
      <c r="B71" s="448" t="s">
        <v>134</v>
      </c>
      <c r="C71" s="449"/>
      <c r="D71" s="440"/>
      <c r="E71" s="441"/>
      <c r="F71" s="445" t="s">
        <v>128</v>
      </c>
      <c r="G71" s="440"/>
    </row>
    <row r="72" spans="1:7">
      <c r="A72" s="424"/>
      <c r="B72" s="427" t="s">
        <v>85</v>
      </c>
      <c r="C72" s="440"/>
      <c r="D72" s="440"/>
      <c r="E72" s="440"/>
      <c r="F72" s="442"/>
      <c r="G72" s="440"/>
    </row>
    <row r="73" spans="1:7">
      <c r="A73" s="424"/>
      <c r="B73" s="429" t="s">
        <v>86</v>
      </c>
      <c r="C73" s="440"/>
      <c r="D73" s="440"/>
      <c r="E73" s="440"/>
      <c r="F73" s="450">
        <f>G8</f>
        <v>0</v>
      </c>
      <c r="G73" s="440"/>
    </row>
    <row r="74" spans="1:7">
      <c r="A74" s="424"/>
      <c r="B74" s="427" t="s">
        <v>87</v>
      </c>
      <c r="C74" s="440"/>
      <c r="D74" s="440"/>
      <c r="E74" s="440"/>
      <c r="F74" s="434">
        <f>G9</f>
        <v>0</v>
      </c>
      <c r="G74" s="440"/>
    </row>
    <row r="75" spans="1:7">
      <c r="A75" s="424"/>
      <c r="B75" s="427" t="s">
        <v>150</v>
      </c>
      <c r="C75" s="440"/>
      <c r="D75" s="440"/>
      <c r="E75" s="440"/>
      <c r="F75" s="436">
        <f>G10</f>
        <v>0</v>
      </c>
      <c r="G75" s="440"/>
    </row>
    <row r="76" spans="1:7">
      <c r="A76" s="424"/>
      <c r="B76" s="427" t="s">
        <v>151</v>
      </c>
      <c r="C76" s="440"/>
      <c r="D76" s="440"/>
      <c r="E76" s="440"/>
      <c r="F76" s="434">
        <f>SUM(F73:F75)</f>
        <v>0</v>
      </c>
      <c r="G76" s="440"/>
    </row>
    <row r="77" spans="1:7">
      <c r="A77" s="424"/>
      <c r="B77" s="427" t="s">
        <v>90</v>
      </c>
      <c r="C77" s="440"/>
      <c r="D77" s="440"/>
      <c r="E77" s="440"/>
      <c r="F77" s="436">
        <f>G12</f>
        <v>0</v>
      </c>
      <c r="G77" s="440"/>
    </row>
    <row r="78" spans="1:7">
      <c r="A78" s="424"/>
      <c r="B78" s="427" t="s">
        <v>152</v>
      </c>
      <c r="C78" s="440"/>
      <c r="D78" s="440"/>
      <c r="E78" s="440"/>
      <c r="F78" s="434">
        <f>F76+F77</f>
        <v>0</v>
      </c>
      <c r="G78" s="440"/>
    </row>
    <row r="79" spans="1:7">
      <c r="A79" s="424"/>
      <c r="B79" s="421"/>
      <c r="C79" s="440"/>
      <c r="D79" s="440"/>
      <c r="E79" s="440"/>
      <c r="F79" s="434"/>
      <c r="G79" s="440"/>
    </row>
    <row r="80" spans="1:7">
      <c r="A80" s="424"/>
      <c r="B80" s="427" t="s">
        <v>92</v>
      </c>
      <c r="C80" s="440"/>
      <c r="D80" s="440"/>
      <c r="E80" s="440"/>
      <c r="F80" s="434"/>
      <c r="G80" s="440"/>
    </row>
    <row r="81" spans="1:7">
      <c r="A81" s="424"/>
      <c r="B81" s="427" t="s">
        <v>93</v>
      </c>
      <c r="C81" s="440"/>
      <c r="D81" s="440"/>
      <c r="E81" s="440"/>
      <c r="F81" s="434"/>
      <c r="G81" s="440"/>
    </row>
    <row r="82" spans="1:7">
      <c r="A82" s="424"/>
      <c r="B82" s="427" t="s">
        <v>153</v>
      </c>
      <c r="C82" s="440"/>
      <c r="D82" s="440"/>
      <c r="E82" s="440"/>
      <c r="F82" s="434">
        <f>G17</f>
        <v>0</v>
      </c>
      <c r="G82" s="440"/>
    </row>
    <row r="83" spans="1:7">
      <c r="A83" s="424"/>
      <c r="B83" s="427" t="s">
        <v>154</v>
      </c>
      <c r="C83" s="440"/>
      <c r="D83" s="440"/>
      <c r="E83" s="440"/>
      <c r="F83" s="434">
        <f>G18</f>
        <v>0</v>
      </c>
      <c r="G83" s="440"/>
    </row>
    <row r="84" spans="1:7">
      <c r="A84" s="424"/>
      <c r="B84" s="427" t="s">
        <v>155</v>
      </c>
      <c r="C84" s="440"/>
      <c r="D84" s="440"/>
      <c r="E84" s="440"/>
      <c r="F84" s="434">
        <f>G19</f>
        <v>0</v>
      </c>
      <c r="G84" s="440"/>
    </row>
    <row r="85" spans="1:7">
      <c r="A85" s="424"/>
      <c r="B85" s="427" t="s">
        <v>156</v>
      </c>
      <c r="C85" s="440"/>
      <c r="D85" s="440"/>
      <c r="E85" s="440"/>
      <c r="F85" s="436">
        <f>G20</f>
        <v>0</v>
      </c>
      <c r="G85" s="440"/>
    </row>
    <row r="86" spans="1:7">
      <c r="A86" s="424"/>
      <c r="B86" s="427" t="s">
        <v>157</v>
      </c>
      <c r="C86" s="440"/>
      <c r="D86" s="440"/>
      <c r="E86" s="440"/>
      <c r="F86" s="434">
        <f>SUM(F82:F85)</f>
        <v>0</v>
      </c>
      <c r="G86" s="440"/>
    </row>
    <row r="87" spans="1:7">
      <c r="A87" s="424"/>
      <c r="B87" s="421"/>
      <c r="C87" s="440"/>
      <c r="D87" s="440"/>
      <c r="E87" s="440"/>
      <c r="F87" s="434"/>
      <c r="G87" s="440"/>
    </row>
    <row r="88" spans="1:7">
      <c r="A88" s="424"/>
      <c r="B88" s="427" t="s">
        <v>98</v>
      </c>
      <c r="C88" s="440"/>
      <c r="D88" s="440"/>
      <c r="E88" s="440"/>
      <c r="F88" s="434"/>
      <c r="G88" s="440"/>
    </row>
    <row r="89" spans="1:7">
      <c r="A89" s="424"/>
      <c r="B89" s="427" t="s">
        <v>153</v>
      </c>
      <c r="C89" s="440"/>
      <c r="D89" s="440"/>
      <c r="E89" s="440"/>
      <c r="F89" s="434">
        <f>G24</f>
        <v>0</v>
      </c>
      <c r="G89" s="440"/>
    </row>
    <row r="90" spans="1:7">
      <c r="A90" s="424"/>
      <c r="B90" s="427" t="s">
        <v>158</v>
      </c>
      <c r="C90" s="440"/>
      <c r="D90" s="440"/>
      <c r="E90" s="440"/>
      <c r="F90" s="434">
        <f>G25</f>
        <v>0</v>
      </c>
      <c r="G90" s="440"/>
    </row>
    <row r="91" spans="1:7">
      <c r="A91" s="421"/>
      <c r="B91" s="427" t="s">
        <v>156</v>
      </c>
      <c r="C91" s="440"/>
      <c r="D91" s="440"/>
      <c r="E91" s="440"/>
      <c r="F91" s="434"/>
      <c r="G91" s="440"/>
    </row>
    <row r="92" spans="1:7">
      <c r="A92" s="421"/>
      <c r="B92" s="427" t="s">
        <v>159</v>
      </c>
      <c r="C92" s="440"/>
      <c r="D92" s="440"/>
      <c r="E92" s="440"/>
      <c r="F92" s="433">
        <f>SUM(F89:F91)</f>
        <v>0</v>
      </c>
      <c r="G92" s="440"/>
    </row>
    <row r="93" spans="1:7">
      <c r="A93" s="421"/>
      <c r="B93" s="421"/>
      <c r="C93" s="440"/>
      <c r="D93" s="440"/>
      <c r="E93" s="440"/>
      <c r="F93" s="434"/>
      <c r="G93" s="440"/>
    </row>
    <row r="94" spans="1:7">
      <c r="A94" s="421"/>
      <c r="B94" s="427" t="s">
        <v>101</v>
      </c>
      <c r="C94" s="440"/>
      <c r="D94" s="440"/>
      <c r="E94" s="440"/>
      <c r="F94" s="434">
        <f>G29</f>
        <v>0</v>
      </c>
      <c r="G94" s="440"/>
    </row>
    <row r="95" spans="1:7">
      <c r="A95" s="421"/>
      <c r="B95" s="427" t="s">
        <v>102</v>
      </c>
      <c r="C95" s="440"/>
      <c r="D95" s="440"/>
      <c r="E95" s="440"/>
      <c r="F95" s="434">
        <f>G30</f>
        <v>0</v>
      </c>
      <c r="G95" s="440"/>
    </row>
    <row r="96" spans="1:7">
      <c r="A96" s="421"/>
      <c r="B96" s="427" t="s">
        <v>160</v>
      </c>
      <c r="C96" s="440"/>
      <c r="D96" s="440"/>
      <c r="E96" s="440"/>
      <c r="F96" s="434">
        <f>G31</f>
        <v>0</v>
      </c>
      <c r="G96" s="440"/>
    </row>
    <row r="97" spans="1:7">
      <c r="A97" s="421"/>
      <c r="B97" s="421"/>
      <c r="C97" s="440"/>
      <c r="D97" s="440"/>
      <c r="E97" s="440"/>
      <c r="F97" s="434"/>
      <c r="G97" s="440"/>
    </row>
    <row r="98" spans="1:7">
      <c r="A98" s="421"/>
      <c r="B98" s="427" t="s">
        <v>104</v>
      </c>
      <c r="C98" s="440"/>
      <c r="D98" s="440"/>
      <c r="E98" s="440"/>
      <c r="F98" s="434"/>
      <c r="G98" s="440"/>
    </row>
    <row r="99" spans="1:7">
      <c r="A99" s="421"/>
      <c r="B99" s="427" t="s">
        <v>153</v>
      </c>
      <c r="C99" s="440"/>
      <c r="D99" s="440"/>
      <c r="E99" s="440"/>
      <c r="F99" s="434">
        <f>G34</f>
        <v>0</v>
      </c>
      <c r="G99" s="440"/>
    </row>
    <row r="100" spans="1:7">
      <c r="A100" s="421"/>
      <c r="B100" s="427" t="s">
        <v>158</v>
      </c>
      <c r="C100" s="440"/>
      <c r="D100" s="440"/>
      <c r="E100" s="440"/>
      <c r="F100" s="434">
        <f>G35</f>
        <v>0</v>
      </c>
      <c r="G100" s="440"/>
    </row>
    <row r="101" spans="1:7">
      <c r="A101" s="421"/>
      <c r="B101" s="427" t="s">
        <v>156</v>
      </c>
      <c r="C101" s="440"/>
      <c r="D101" s="440"/>
      <c r="E101" s="440"/>
      <c r="F101" s="436">
        <f>G36</f>
        <v>0</v>
      </c>
      <c r="G101" s="440"/>
    </row>
    <row r="102" spans="1:7">
      <c r="A102" s="421"/>
      <c r="B102" s="427" t="s">
        <v>161</v>
      </c>
      <c r="C102" s="440"/>
      <c r="D102" s="440"/>
      <c r="E102" s="440"/>
      <c r="F102" s="434">
        <f>F99+F100+F101</f>
        <v>0</v>
      </c>
      <c r="G102" s="440"/>
    </row>
    <row r="103" spans="1:7">
      <c r="A103" s="421"/>
      <c r="B103" s="440"/>
      <c r="C103" s="440"/>
      <c r="D103" s="440"/>
      <c r="E103" s="440"/>
      <c r="F103" s="434"/>
      <c r="G103" s="440"/>
    </row>
    <row r="104" spans="1:7">
      <c r="A104" s="421"/>
      <c r="B104" s="440" t="s">
        <v>106</v>
      </c>
      <c r="C104" s="440"/>
      <c r="D104" s="440"/>
      <c r="E104" s="440"/>
      <c r="F104" s="435">
        <f>F86+F92+F94+F95+F96+F102</f>
        <v>0</v>
      </c>
      <c r="G104" s="440"/>
    </row>
    <row r="105" spans="1:7">
      <c r="A105" s="421"/>
      <c r="B105" s="440"/>
      <c r="C105" s="440"/>
      <c r="D105" s="440"/>
      <c r="E105" s="440"/>
      <c r="F105" s="434"/>
      <c r="G105" s="440"/>
    </row>
    <row r="106" spans="1:7">
      <c r="A106" s="421"/>
      <c r="B106" s="440" t="s">
        <v>227</v>
      </c>
      <c r="C106" s="440"/>
      <c r="D106" s="440"/>
      <c r="E106" s="440"/>
      <c r="F106" s="436">
        <f>F78-F104</f>
        <v>0</v>
      </c>
      <c r="G106" s="440"/>
    </row>
    <row r="107" spans="1:7">
      <c r="A107" s="421"/>
      <c r="B107" s="440"/>
      <c r="C107" s="440"/>
      <c r="D107" s="440"/>
      <c r="E107" s="440"/>
      <c r="F107" s="434"/>
      <c r="G107" s="440"/>
    </row>
    <row r="108" spans="1:7">
      <c r="A108" s="421"/>
      <c r="B108" s="440" t="s">
        <v>228</v>
      </c>
      <c r="C108" s="440"/>
      <c r="D108" s="440"/>
      <c r="E108" s="441"/>
      <c r="F108" s="434"/>
      <c r="G108" s="440"/>
    </row>
    <row r="109" spans="1:7" ht="13.5" thickBot="1">
      <c r="A109" s="421"/>
      <c r="B109" s="451" t="s">
        <v>229</v>
      </c>
      <c r="C109" s="452">
        <f>Inputs!$D$4</f>
        <v>1.2215999999999999E-2</v>
      </c>
      <c r="D109" s="440"/>
      <c r="E109" s="441"/>
      <c r="F109" s="439">
        <f>ROUND(F106*C109,0)</f>
        <v>0</v>
      </c>
      <c r="G109" s="440"/>
    </row>
    <row r="110" spans="1:7" ht="13.5" thickTop="1">
      <c r="A110" s="421"/>
      <c r="B110" s="440"/>
      <c r="C110" s="440"/>
      <c r="D110" s="440"/>
      <c r="E110" s="441"/>
      <c r="F110" s="442"/>
      <c r="G110" s="440"/>
    </row>
  </sheetData>
  <phoneticPr fontId="0" type="noConversion"/>
  <pageMargins left="1" right="1" top="0.5" bottom="0.25" header="0.5" footer="0.5"/>
  <pageSetup scale="90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77"/>
  <dimension ref="A1:H110"/>
  <sheetViews>
    <sheetView workbookViewId="0">
      <selection activeCell="C23" sqref="C23"/>
    </sheetView>
  </sheetViews>
  <sheetFormatPr defaultRowHeight="12.75"/>
  <cols>
    <col min="1" max="1" width="5.5703125" style="47" customWidth="1"/>
    <col min="2" max="2" width="26.140625" style="44" customWidth="1"/>
    <col min="3" max="3" width="12.42578125" style="44" customWidth="1"/>
    <col min="4" max="4" width="6.7109375" style="44" customWidth="1"/>
    <col min="5" max="8" width="12.42578125" style="44" customWidth="1"/>
  </cols>
  <sheetData>
    <row r="1" spans="1:8">
      <c r="A1" s="42" t="str">
        <f>Inputs!$D$6</f>
        <v>AVISTA UTILITIES</v>
      </c>
      <c r="B1" s="43"/>
      <c r="C1" s="42"/>
    </row>
    <row r="2" spans="1:8">
      <c r="A2" s="42" t="s">
        <v>142</v>
      </c>
      <c r="B2" s="43"/>
      <c r="C2" s="42"/>
      <c r="E2" s="42"/>
      <c r="F2" s="456" t="s">
        <v>299</v>
      </c>
      <c r="G2" s="42"/>
    </row>
    <row r="3" spans="1:8">
      <c r="A3" s="43" t="str">
        <f>WAElec09_08!$A$4</f>
        <v>TWELVE MONTHS ENDED SEPTEMBER 30, 2008</v>
      </c>
      <c r="B3" s="43"/>
      <c r="C3" s="42"/>
      <c r="E3" s="42"/>
      <c r="F3" s="47"/>
      <c r="G3" s="42"/>
    </row>
    <row r="4" spans="1:8">
      <c r="A4" s="42" t="s">
        <v>1</v>
      </c>
      <c r="B4" s="43"/>
      <c r="C4" s="42"/>
      <c r="E4" s="45"/>
      <c r="F4" s="670" t="s">
        <v>145</v>
      </c>
      <c r="G4" s="46"/>
    </row>
    <row r="5" spans="1:8">
      <c r="A5" s="47" t="s">
        <v>14</v>
      </c>
    </row>
    <row r="6" spans="1:8">
      <c r="A6" s="47" t="s">
        <v>146</v>
      </c>
      <c r="B6" s="48" t="s">
        <v>36</v>
      </c>
      <c r="C6" s="48"/>
      <c r="D6" s="47"/>
      <c r="E6" s="48" t="s">
        <v>147</v>
      </c>
      <c r="F6" s="48" t="s">
        <v>148</v>
      </c>
      <c r="G6" s="48" t="s">
        <v>128</v>
      </c>
      <c r="H6" s="49" t="s">
        <v>149</v>
      </c>
    </row>
    <row r="7" spans="1:8">
      <c r="B7" s="50" t="s">
        <v>85</v>
      </c>
    </row>
    <row r="8" spans="1:8">
      <c r="A8" s="51">
        <v>1</v>
      </c>
      <c r="B8" s="52" t="s">
        <v>86</v>
      </c>
      <c r="C8" s="53"/>
      <c r="D8" s="53"/>
      <c r="E8" s="54">
        <f>F8+G8</f>
        <v>0</v>
      </c>
      <c r="F8" s="54">
        <v>0</v>
      </c>
      <c r="G8" s="54">
        <v>0</v>
      </c>
      <c r="H8" s="53" t="str">
        <f t="shared" ref="H8:H13" si="0">IF(E8=F8+G8," ","ERROR")</f>
        <v xml:space="preserve"> </v>
      </c>
    </row>
    <row r="9" spans="1:8">
      <c r="A9" s="47">
        <v>2</v>
      </c>
      <c r="B9" s="50" t="s">
        <v>87</v>
      </c>
      <c r="E9" s="55"/>
      <c r="F9" s="55"/>
      <c r="G9" s="55"/>
      <c r="H9" s="53" t="str">
        <f t="shared" si="0"/>
        <v xml:space="preserve"> </v>
      </c>
    </row>
    <row r="10" spans="1:8">
      <c r="A10" s="47">
        <v>3</v>
      </c>
      <c r="B10" s="50" t="s">
        <v>150</v>
      </c>
      <c r="E10" s="55"/>
      <c r="F10" s="55"/>
      <c r="G10" s="55"/>
      <c r="H10" s="53" t="str">
        <f t="shared" si="0"/>
        <v xml:space="preserve"> </v>
      </c>
    </row>
    <row r="11" spans="1:8">
      <c r="A11" s="47">
        <v>4</v>
      </c>
      <c r="B11" s="50" t="s">
        <v>151</v>
      </c>
      <c r="E11" s="56">
        <f>E8+E9+E10</f>
        <v>0</v>
      </c>
      <c r="F11" s="56">
        <f>F8+F9+F10</f>
        <v>0</v>
      </c>
      <c r="G11" s="56">
        <f>G8+G9+G10</f>
        <v>0</v>
      </c>
      <c r="H11" s="53" t="str">
        <f t="shared" si="0"/>
        <v xml:space="preserve"> </v>
      </c>
    </row>
    <row r="12" spans="1:8">
      <c r="A12" s="47">
        <v>5</v>
      </c>
      <c r="B12" s="50" t="s">
        <v>90</v>
      </c>
      <c r="E12" s="55"/>
      <c r="F12" s="55"/>
      <c r="G12" s="55"/>
      <c r="H12" s="53" t="str">
        <f t="shared" si="0"/>
        <v xml:space="preserve"> </v>
      </c>
    </row>
    <row r="13" spans="1:8">
      <c r="A13" s="47">
        <v>6</v>
      </c>
      <c r="B13" s="50" t="s">
        <v>152</v>
      </c>
      <c r="E13" s="56">
        <f>E11+E12</f>
        <v>0</v>
      </c>
      <c r="F13" s="56">
        <f>F11+F12</f>
        <v>0</v>
      </c>
      <c r="G13" s="56">
        <f>G11+G12</f>
        <v>0</v>
      </c>
      <c r="H13" s="53" t="str">
        <f t="shared" si="0"/>
        <v xml:space="preserve"> </v>
      </c>
    </row>
    <row r="14" spans="1:8">
      <c r="E14" s="58"/>
      <c r="F14" s="58"/>
      <c r="G14" s="58"/>
      <c r="H14" s="53"/>
    </row>
    <row r="15" spans="1:8">
      <c r="B15" s="50" t="s">
        <v>92</v>
      </c>
      <c r="E15" s="58"/>
      <c r="F15" s="58"/>
      <c r="G15" s="58"/>
      <c r="H15" s="53"/>
    </row>
    <row r="16" spans="1:8">
      <c r="B16" s="50" t="s">
        <v>93</v>
      </c>
      <c r="E16" s="58"/>
      <c r="F16" s="58"/>
      <c r="G16" s="58"/>
      <c r="H16" s="53"/>
    </row>
    <row r="17" spans="1:8">
      <c r="A17" s="47">
        <v>7</v>
      </c>
      <c r="B17" s="50" t="s">
        <v>153</v>
      </c>
      <c r="E17" s="55">
        <f>F17+G17</f>
        <v>0</v>
      </c>
      <c r="F17" s="55">
        <v>0</v>
      </c>
      <c r="G17" s="55">
        <v>0</v>
      </c>
      <c r="H17" s="53" t="str">
        <f>IF(E17=F17+G17," ","ERROR")</f>
        <v xml:space="preserve"> </v>
      </c>
    </row>
    <row r="18" spans="1:8">
      <c r="A18" s="47">
        <v>8</v>
      </c>
      <c r="B18" s="50" t="s">
        <v>154</v>
      </c>
      <c r="E18" s="55"/>
      <c r="F18" s="55"/>
      <c r="G18" s="55"/>
      <c r="H18" s="53" t="str">
        <f>IF(E18=F18+G18," ","ERROR")</f>
        <v xml:space="preserve"> </v>
      </c>
    </row>
    <row r="19" spans="1:8">
      <c r="A19" s="47">
        <v>9</v>
      </c>
      <c r="B19" s="50" t="s">
        <v>155</v>
      </c>
      <c r="E19" s="55">
        <f>F19+G19</f>
        <v>0</v>
      </c>
      <c r="F19" s="55">
        <v>0</v>
      </c>
      <c r="G19" s="55"/>
      <c r="H19" s="53" t="str">
        <f>IF(E19=F19+G19," ","ERROR")</f>
        <v xml:space="preserve"> </v>
      </c>
    </row>
    <row r="20" spans="1:8">
      <c r="A20" s="47">
        <v>10</v>
      </c>
      <c r="B20" s="50" t="s">
        <v>156</v>
      </c>
      <c r="E20" s="55">
        <f>F20+G20</f>
        <v>0</v>
      </c>
      <c r="F20" s="55"/>
      <c r="G20" s="55"/>
      <c r="H20" s="53" t="str">
        <f>IF(E20=F20+G20," ","ERROR")</f>
        <v xml:space="preserve"> </v>
      </c>
    </row>
    <row r="21" spans="1:8">
      <c r="A21" s="47">
        <v>11</v>
      </c>
      <c r="B21" s="50" t="s">
        <v>157</v>
      </c>
      <c r="E21" s="56">
        <f>E17+E18+E19+E20</f>
        <v>0</v>
      </c>
      <c r="F21" s="56">
        <f>F17+F18+F19+F20</f>
        <v>0</v>
      </c>
      <c r="G21" s="56">
        <f>G17+G18+G19+G20</f>
        <v>0</v>
      </c>
      <c r="H21" s="53" t="str">
        <f>IF(E21=F21+G21," ","ERROR")</f>
        <v xml:space="preserve"> </v>
      </c>
    </row>
    <row r="22" spans="1:8">
      <c r="E22" s="58"/>
      <c r="F22" s="58"/>
      <c r="G22" s="58"/>
      <c r="H22" s="53"/>
    </row>
    <row r="23" spans="1:8">
      <c r="B23" s="50" t="s">
        <v>98</v>
      </c>
      <c r="E23" s="58"/>
      <c r="F23" s="58"/>
      <c r="G23" s="58"/>
      <c r="H23" s="53"/>
    </row>
    <row r="24" spans="1:8">
      <c r="A24" s="47">
        <v>12</v>
      </c>
      <c r="B24" s="50" t="s">
        <v>153</v>
      </c>
      <c r="E24" s="55">
        <f>F24+G24</f>
        <v>0</v>
      </c>
      <c r="F24" s="55">
        <v>0</v>
      </c>
      <c r="G24" s="55">
        <v>0</v>
      </c>
      <c r="H24" s="53" t="str">
        <f>IF(E24=F24+G24," ","ERROR")</f>
        <v xml:space="preserve"> </v>
      </c>
    </row>
    <row r="25" spans="1:8">
      <c r="A25" s="47">
        <v>13</v>
      </c>
      <c r="B25" s="50" t="s">
        <v>158</v>
      </c>
      <c r="E25" s="55"/>
      <c r="F25" s="55"/>
      <c r="G25" s="55"/>
      <c r="H25" s="53" t="str">
        <f>IF(E25=F25+G25," ","ERROR")</f>
        <v xml:space="preserve"> </v>
      </c>
    </row>
    <row r="26" spans="1:8">
      <c r="A26" s="47">
        <v>14</v>
      </c>
      <c r="B26" s="50" t="s">
        <v>156</v>
      </c>
      <c r="E26" s="55">
        <f>F26+G26</f>
        <v>0</v>
      </c>
      <c r="F26" s="55">
        <v>0</v>
      </c>
      <c r="G26" s="916">
        <f>F109</f>
        <v>0</v>
      </c>
      <c r="H26" s="53" t="str">
        <f>IF(E26=F26+G26," ","ERROR")</f>
        <v xml:space="preserve"> </v>
      </c>
    </row>
    <row r="27" spans="1:8">
      <c r="A27" s="47">
        <v>15</v>
      </c>
      <c r="B27" s="50" t="s">
        <v>159</v>
      </c>
      <c r="E27" s="56">
        <f>E24+E25+E26</f>
        <v>0</v>
      </c>
      <c r="F27" s="56">
        <f>F24+F25+F26</f>
        <v>0</v>
      </c>
      <c r="G27" s="56">
        <f>G24+G25+G26</f>
        <v>0</v>
      </c>
      <c r="H27" s="53" t="str">
        <f>IF(E27=F27+G27," ","ERROR")</f>
        <v xml:space="preserve"> </v>
      </c>
    </row>
    <row r="28" spans="1:8">
      <c r="E28" s="58"/>
      <c r="F28" s="58"/>
      <c r="G28" s="58"/>
      <c r="H28" s="53"/>
    </row>
    <row r="29" spans="1:8">
      <c r="A29" s="47">
        <v>16</v>
      </c>
      <c r="B29" s="50" t="s">
        <v>101</v>
      </c>
      <c r="E29" s="55">
        <f>SUM(F29:G29)</f>
        <v>0</v>
      </c>
      <c r="F29" s="55">
        <v>0</v>
      </c>
      <c r="G29" s="55">
        <v>0</v>
      </c>
      <c r="H29" s="53" t="str">
        <f>IF(E29=F29+G29," ","ERROR")</f>
        <v xml:space="preserve"> </v>
      </c>
    </row>
    <row r="30" spans="1:8">
      <c r="A30" s="47">
        <v>17</v>
      </c>
      <c r="B30" s="50" t="s">
        <v>102</v>
      </c>
      <c r="E30" s="55">
        <f>SUM(F30:G30)</f>
        <v>0</v>
      </c>
      <c r="F30" s="55">
        <v>0</v>
      </c>
      <c r="G30" s="55">
        <v>0</v>
      </c>
      <c r="H30" s="53" t="str">
        <f>IF(E30=F30+G30," ","ERROR")</f>
        <v xml:space="preserve"> </v>
      </c>
    </row>
    <row r="31" spans="1:8">
      <c r="A31" s="47">
        <v>18</v>
      </c>
      <c r="B31" s="50" t="s">
        <v>160</v>
      </c>
      <c r="E31" s="55">
        <f>SUM(F31:G31)</f>
        <v>0</v>
      </c>
      <c r="F31" s="55">
        <v>0</v>
      </c>
      <c r="G31" s="55">
        <v>0</v>
      </c>
      <c r="H31" s="53" t="str">
        <f>IF(E31=F31+G31," ","ERROR")</f>
        <v xml:space="preserve"> </v>
      </c>
    </row>
    <row r="32" spans="1:8">
      <c r="E32" s="58"/>
      <c r="F32" s="58"/>
      <c r="G32" s="58"/>
      <c r="H32" s="53"/>
    </row>
    <row r="33" spans="1:8">
      <c r="B33" s="50" t="s">
        <v>104</v>
      </c>
      <c r="E33" s="58"/>
      <c r="F33" s="58"/>
      <c r="G33" s="58"/>
      <c r="H33" s="53"/>
    </row>
    <row r="34" spans="1:8">
      <c r="A34" s="47">
        <v>19</v>
      </c>
      <c r="B34" s="50" t="s">
        <v>153</v>
      </c>
      <c r="E34" s="55">
        <f>SUM(F34:G34)</f>
        <v>0</v>
      </c>
      <c r="F34" s="55">
        <v>0</v>
      </c>
      <c r="G34" s="55">
        <v>0</v>
      </c>
      <c r="H34" s="53" t="str">
        <f>IF(E34=F34+G34," ","ERROR")</f>
        <v xml:space="preserve"> </v>
      </c>
    </row>
    <row r="35" spans="1:8">
      <c r="A35" s="47">
        <v>20</v>
      </c>
      <c r="B35" s="50" t="s">
        <v>158</v>
      </c>
      <c r="E35" s="55"/>
      <c r="F35" s="55"/>
      <c r="G35" s="55"/>
      <c r="H35" s="53" t="str">
        <f>IF(E35=F35+G35," ","ERROR")</f>
        <v xml:space="preserve"> </v>
      </c>
    </row>
    <row r="36" spans="1:8">
      <c r="A36" s="47">
        <v>21</v>
      </c>
      <c r="B36" s="50" t="s">
        <v>156</v>
      </c>
      <c r="E36" s="55"/>
      <c r="F36" s="55"/>
      <c r="G36" s="55"/>
      <c r="H36" s="53" t="str">
        <f>IF(E36=F36+G36," ","ERROR")</f>
        <v xml:space="preserve"> </v>
      </c>
    </row>
    <row r="37" spans="1:8">
      <c r="A37" s="47">
        <v>22</v>
      </c>
      <c r="B37" s="50" t="s">
        <v>161</v>
      </c>
      <c r="E37" s="60">
        <f>E34+E35+E36</f>
        <v>0</v>
      </c>
      <c r="F37" s="60">
        <f>F34+F35+F36</f>
        <v>0</v>
      </c>
      <c r="G37" s="60">
        <f>G34+G35+G36</f>
        <v>0</v>
      </c>
      <c r="H37" s="53" t="str">
        <f>IF(E37=F37+G37," ","ERROR")</f>
        <v xml:space="preserve"> </v>
      </c>
    </row>
    <row r="38" spans="1:8">
      <c r="A38" s="47">
        <v>23</v>
      </c>
      <c r="B38" s="50" t="s">
        <v>106</v>
      </c>
      <c r="E38" s="61">
        <f>E21+E27+E29+E30+E31+E37</f>
        <v>0</v>
      </c>
      <c r="F38" s="61">
        <f>F21+F27+F29+F30+F31+F37</f>
        <v>0</v>
      </c>
      <c r="G38" s="61">
        <f>G21+G27+G29+G30+G31+G37</f>
        <v>0</v>
      </c>
      <c r="H38" s="53" t="str">
        <f>IF(E38=F38+G38," ","ERROR")</f>
        <v xml:space="preserve"> </v>
      </c>
    </row>
    <row r="39" spans="1:8">
      <c r="E39" s="58"/>
      <c r="F39" s="58"/>
      <c r="G39" s="58"/>
      <c r="H39" s="53"/>
    </row>
    <row r="40" spans="1:8">
      <c r="A40" s="47">
        <v>24</v>
      </c>
      <c r="B40" s="50" t="s">
        <v>162</v>
      </c>
      <c r="E40" s="58">
        <f>E13-E38</f>
        <v>0</v>
      </c>
      <c r="F40" s="58">
        <f>F13-F38</f>
        <v>0</v>
      </c>
      <c r="G40" s="58">
        <f>G13-G38</f>
        <v>0</v>
      </c>
      <c r="H40" s="53" t="str">
        <f>IF(E40=F40+G40," ","ERROR")</f>
        <v xml:space="preserve"> </v>
      </c>
    </row>
    <row r="41" spans="1:8">
      <c r="B41" s="50"/>
      <c r="E41" s="58"/>
      <c r="F41" s="58"/>
      <c r="G41" s="58"/>
      <c r="H41" s="53"/>
    </row>
    <row r="42" spans="1:8">
      <c r="B42" s="50" t="s">
        <v>163</v>
      </c>
      <c r="E42" s="58"/>
      <c r="F42" s="58"/>
      <c r="G42" s="58"/>
      <c r="H42" s="53"/>
    </row>
    <row r="43" spans="1:8">
      <c r="A43" s="47">
        <v>25</v>
      </c>
      <c r="B43" s="50" t="s">
        <v>164</v>
      </c>
      <c r="D43" s="62">
        <v>0.35</v>
      </c>
      <c r="E43" s="55">
        <f>F43+G43</f>
        <v>0</v>
      </c>
      <c r="F43" s="55">
        <f>ROUND(F40*D43,0)</f>
        <v>0</v>
      </c>
      <c r="G43" s="55">
        <f>ROUND(G40*D43,0)</f>
        <v>0</v>
      </c>
      <c r="H43" s="53" t="str">
        <f>IF(E43=F43+G43," ","ERROR")</f>
        <v xml:space="preserve"> </v>
      </c>
    </row>
    <row r="44" spans="1:8">
      <c r="A44" s="47">
        <v>26</v>
      </c>
      <c r="B44" s="50" t="s">
        <v>165</v>
      </c>
      <c r="E44" s="55"/>
      <c r="F44" s="55"/>
      <c r="G44" s="55"/>
      <c r="H44" s="53" t="str">
        <f>IF(E44=F44+G44," ","ERROR")</f>
        <v xml:space="preserve"> </v>
      </c>
    </row>
    <row r="45" spans="1:8">
      <c r="A45"/>
      <c r="B45"/>
      <c r="C45"/>
      <c r="D45"/>
      <c r="E45" s="913"/>
      <c r="F45" s="913"/>
      <c r="G45" s="913"/>
      <c r="H45" s="53" t="str">
        <f>IF(E45=F45+G45," ","ERROR")</f>
        <v xml:space="preserve"> </v>
      </c>
    </row>
    <row r="46" spans="1:8">
      <c r="A46" s="259"/>
      <c r="B46" s="262"/>
      <c r="C46" s="256"/>
      <c r="D46" s="256"/>
      <c r="E46" s="269"/>
      <c r="F46" s="269"/>
      <c r="G46" s="269"/>
      <c r="H46" s="53"/>
    </row>
    <row r="47" spans="1:8">
      <c r="A47" s="263">
        <v>27</v>
      </c>
      <c r="B47" s="264" t="s">
        <v>113</v>
      </c>
      <c r="C47" s="265"/>
      <c r="D47" s="265"/>
      <c r="E47" s="273">
        <f>E40-SUM(E43:E44)</f>
        <v>0</v>
      </c>
      <c r="F47" s="273">
        <f>F40-SUM(F43:F44)</f>
        <v>0</v>
      </c>
      <c r="G47" s="273">
        <f>G40-SUM(G43:G44)</f>
        <v>0</v>
      </c>
      <c r="H47" s="53" t="str">
        <f>IF(E47=F47+G47," ","ERROR")</f>
        <v xml:space="preserve"> </v>
      </c>
    </row>
    <row r="48" spans="1:8">
      <c r="A48" s="259"/>
      <c r="H48" s="53"/>
    </row>
    <row r="49" spans="1:8">
      <c r="A49" s="259"/>
      <c r="B49" s="50" t="s">
        <v>114</v>
      </c>
      <c r="H49" s="53"/>
    </row>
    <row r="50" spans="1:8">
      <c r="A50" s="259"/>
      <c r="B50" s="50" t="s">
        <v>115</v>
      </c>
      <c r="H50" s="53"/>
    </row>
    <row r="51" spans="1:8">
      <c r="A51" s="263">
        <v>28</v>
      </c>
      <c r="B51" s="52" t="s">
        <v>167</v>
      </c>
      <c r="C51" s="53"/>
      <c r="D51" s="53"/>
      <c r="E51" s="54"/>
      <c r="F51" s="54"/>
      <c r="G51" s="54"/>
      <c r="H51" s="53" t="str">
        <f t="shared" ref="H51:H61" si="1">IF(E51=F51+G51," ","ERROR")</f>
        <v xml:space="preserve"> </v>
      </c>
    </row>
    <row r="52" spans="1:8">
      <c r="A52" s="259">
        <v>29</v>
      </c>
      <c r="B52" s="50" t="s">
        <v>168</v>
      </c>
      <c r="E52" s="55">
        <f>F52+G52</f>
        <v>0</v>
      </c>
      <c r="F52" s="55"/>
      <c r="G52" s="55"/>
      <c r="H52" s="53" t="str">
        <f t="shared" si="1"/>
        <v xml:space="preserve"> </v>
      </c>
    </row>
    <row r="53" spans="1:8">
      <c r="A53" s="259">
        <v>30</v>
      </c>
      <c r="B53" s="50" t="s">
        <v>169</v>
      </c>
      <c r="E53" s="55"/>
      <c r="F53" s="55"/>
      <c r="G53" s="55"/>
      <c r="H53" s="53" t="str">
        <f t="shared" si="1"/>
        <v xml:space="preserve"> </v>
      </c>
    </row>
    <row r="54" spans="1:8">
      <c r="A54" s="259">
        <v>31</v>
      </c>
      <c r="B54" s="50" t="s">
        <v>170</v>
      </c>
      <c r="E54" s="55"/>
      <c r="F54" s="55"/>
      <c r="G54" s="55"/>
      <c r="H54" s="53" t="str">
        <f t="shared" si="1"/>
        <v xml:space="preserve"> </v>
      </c>
    </row>
    <row r="55" spans="1:8">
      <c r="A55" s="259">
        <v>32</v>
      </c>
      <c r="B55" s="50" t="s">
        <v>171</v>
      </c>
      <c r="E55" s="59"/>
      <c r="F55" s="59"/>
      <c r="G55" s="59"/>
      <c r="H55" s="53" t="str">
        <f t="shared" si="1"/>
        <v xml:space="preserve"> </v>
      </c>
    </row>
    <row r="56" spans="1:8">
      <c r="A56" s="259">
        <v>33</v>
      </c>
      <c r="B56" s="50" t="s">
        <v>172</v>
      </c>
      <c r="E56" s="58">
        <f>E51+E52+E53+E54+E55</f>
        <v>0</v>
      </c>
      <c r="F56" s="58">
        <f>F51+F52+F53+F54+F55</f>
        <v>0</v>
      </c>
      <c r="G56" s="58">
        <f>G51+G52+G53+G54+G55</f>
        <v>0</v>
      </c>
      <c r="H56" s="53" t="str">
        <f t="shared" si="1"/>
        <v xml:space="preserve"> </v>
      </c>
    </row>
    <row r="57" spans="1:8">
      <c r="A57" s="259">
        <v>34</v>
      </c>
      <c r="B57" s="50" t="s">
        <v>121</v>
      </c>
      <c r="E57" s="55">
        <f>F57+G57</f>
        <v>0</v>
      </c>
      <c r="F57" s="55"/>
      <c r="G57" s="55"/>
      <c r="H57" s="53" t="str">
        <f t="shared" si="1"/>
        <v xml:space="preserve"> </v>
      </c>
    </row>
    <row r="58" spans="1:8">
      <c r="A58" s="259">
        <v>35</v>
      </c>
      <c r="B58" s="50" t="s">
        <v>122</v>
      </c>
      <c r="E58" s="59"/>
      <c r="F58" s="59"/>
      <c r="G58" s="59"/>
      <c r="H58" s="53" t="str">
        <f t="shared" si="1"/>
        <v xml:space="preserve"> </v>
      </c>
    </row>
    <row r="59" spans="1:8">
      <c r="A59" s="259">
        <v>36</v>
      </c>
      <c r="B59" s="50" t="s">
        <v>173</v>
      </c>
      <c r="E59" s="58">
        <f>E57+E58</f>
        <v>0</v>
      </c>
      <c r="F59" s="58">
        <f>F57+F58</f>
        <v>0</v>
      </c>
      <c r="G59" s="58">
        <f>G57+G58</f>
        <v>0</v>
      </c>
      <c r="H59" s="53" t="str">
        <f t="shared" si="1"/>
        <v xml:space="preserve"> </v>
      </c>
    </row>
    <row r="60" spans="1:8">
      <c r="A60" s="259">
        <v>37</v>
      </c>
      <c r="B60" s="50" t="s">
        <v>124</v>
      </c>
      <c r="E60" s="55"/>
      <c r="F60" s="55"/>
      <c r="G60" s="55"/>
      <c r="H60" s="53" t="str">
        <f t="shared" si="1"/>
        <v xml:space="preserve"> </v>
      </c>
    </row>
    <row r="61" spans="1:8">
      <c r="A61" s="259">
        <v>38</v>
      </c>
      <c r="B61" s="50" t="s">
        <v>125</v>
      </c>
      <c r="E61" s="59">
        <f>F61+G61</f>
        <v>0</v>
      </c>
      <c r="F61" s="59"/>
      <c r="G61" s="59"/>
      <c r="H61" s="53" t="str">
        <f t="shared" si="1"/>
        <v xml:space="preserve"> </v>
      </c>
    </row>
    <row r="62" spans="1:8" ht="11.25" customHeight="1">
      <c r="A62" s="259"/>
      <c r="H62" s="53"/>
    </row>
    <row r="63" spans="1:8" ht="13.5" thickBot="1">
      <c r="A63" s="263">
        <v>39</v>
      </c>
      <c r="B63" s="52" t="s">
        <v>126</v>
      </c>
      <c r="C63" s="53"/>
      <c r="D63" s="53"/>
      <c r="E63" s="63">
        <f>E56-E59+E60+E61</f>
        <v>0</v>
      </c>
      <c r="F63" s="63">
        <f>F56-F59+F60+F61</f>
        <v>0</v>
      </c>
      <c r="G63" s="63">
        <f>G56-G59+G60+G61</f>
        <v>0</v>
      </c>
      <c r="H63" s="53" t="str">
        <f>IF(E63=F63+G63," ","ERROR")</f>
        <v xml:space="preserve"> </v>
      </c>
    </row>
    <row r="64" spans="1:8" ht="13.5" thickTop="1">
      <c r="A64" s="44"/>
      <c r="B64" s="69"/>
      <c r="C64" s="69"/>
      <c r="D64" s="69"/>
      <c r="E64" s="671"/>
      <c r="F64" s="672"/>
      <c r="G64" s="69"/>
      <c r="H64" s="69"/>
    </row>
    <row r="65" spans="1:7">
      <c r="A65" s="420" t="str">
        <f>Inputs!$D$6</f>
        <v>AVISTA UTILITIES</v>
      </c>
      <c r="B65" s="420"/>
      <c r="C65" s="420"/>
      <c r="D65" s="440"/>
      <c r="E65" s="441"/>
      <c r="F65" s="440"/>
      <c r="G65" s="442"/>
    </row>
    <row r="66" spans="1:7">
      <c r="A66" s="420" t="s">
        <v>225</v>
      </c>
      <c r="B66" s="420"/>
      <c r="C66" s="420"/>
      <c r="D66" s="440"/>
      <c r="E66" s="441"/>
      <c r="F66" s="440"/>
      <c r="G66" s="442"/>
    </row>
    <row r="67" spans="1:7">
      <c r="A67" s="420" t="str">
        <f>A3</f>
        <v>TWELVE MONTHS ENDED SEPTEMBER 30, 2008</v>
      </c>
      <c r="B67" s="420"/>
      <c r="C67" s="420"/>
      <c r="D67" s="440"/>
      <c r="E67" s="441"/>
      <c r="F67" s="443" t="str">
        <f>F2</f>
        <v>PRO FORMA</v>
      </c>
      <c r="G67" s="440"/>
    </row>
    <row r="68" spans="1:7">
      <c r="A68" s="420" t="s">
        <v>226</v>
      </c>
      <c r="B68" s="420"/>
      <c r="C68" s="420"/>
      <c r="D68" s="440"/>
      <c r="E68" s="441"/>
      <c r="F68" s="443">
        <f>F3</f>
        <v>0</v>
      </c>
      <c r="G68" s="440"/>
    </row>
    <row r="69" spans="1:7">
      <c r="A69" s="424"/>
      <c r="B69" s="440"/>
      <c r="C69" s="440"/>
      <c r="D69" s="440"/>
      <c r="E69" s="444"/>
      <c r="F69" s="445" t="str">
        <f>F4</f>
        <v>ELECTRIC</v>
      </c>
      <c r="G69" s="440"/>
    </row>
    <row r="70" spans="1:7">
      <c r="A70" s="424"/>
      <c r="B70" s="440"/>
      <c r="C70" s="440"/>
      <c r="D70" s="440"/>
      <c r="E70" s="441"/>
      <c r="F70" s="443"/>
      <c r="G70" s="447"/>
    </row>
    <row r="71" spans="1:7">
      <c r="A71" s="424"/>
      <c r="B71" s="448" t="s">
        <v>134</v>
      </c>
      <c r="C71" s="449"/>
      <c r="D71" s="440"/>
      <c r="E71" s="441"/>
      <c r="F71" s="445" t="s">
        <v>128</v>
      </c>
      <c r="G71" s="440"/>
    </row>
    <row r="72" spans="1:7">
      <c r="A72" s="424"/>
      <c r="B72" s="427" t="s">
        <v>85</v>
      </c>
      <c r="C72" s="440"/>
      <c r="D72" s="440"/>
      <c r="E72" s="440"/>
      <c r="F72" s="442"/>
      <c r="G72" s="440"/>
    </row>
    <row r="73" spans="1:7">
      <c r="A73" s="424"/>
      <c r="B73" s="429" t="s">
        <v>86</v>
      </c>
      <c r="C73" s="440"/>
      <c r="D73" s="440"/>
      <c r="E73" s="440"/>
      <c r="F73" s="450">
        <f>G8</f>
        <v>0</v>
      </c>
      <c r="G73" s="440"/>
    </row>
    <row r="74" spans="1:7">
      <c r="A74" s="424"/>
      <c r="B74" s="427" t="s">
        <v>87</v>
      </c>
      <c r="C74" s="440"/>
      <c r="D74" s="440"/>
      <c r="E74" s="440"/>
      <c r="F74" s="434">
        <f>G9</f>
        <v>0</v>
      </c>
      <c r="G74" s="440"/>
    </row>
    <row r="75" spans="1:7">
      <c r="A75" s="424"/>
      <c r="B75" s="427" t="s">
        <v>150</v>
      </c>
      <c r="C75" s="440"/>
      <c r="D75" s="440"/>
      <c r="E75" s="440"/>
      <c r="F75" s="436">
        <f>G10</f>
        <v>0</v>
      </c>
      <c r="G75" s="440"/>
    </row>
    <row r="76" spans="1:7">
      <c r="A76" s="424"/>
      <c r="B76" s="427" t="s">
        <v>151</v>
      </c>
      <c r="C76" s="440"/>
      <c r="D76" s="440"/>
      <c r="E76" s="440"/>
      <c r="F76" s="434">
        <f>SUM(F73:F75)</f>
        <v>0</v>
      </c>
      <c r="G76" s="440"/>
    </row>
    <row r="77" spans="1:7">
      <c r="A77" s="424"/>
      <c r="B77" s="427" t="s">
        <v>90</v>
      </c>
      <c r="C77" s="440"/>
      <c r="D77" s="440"/>
      <c r="E77" s="440"/>
      <c r="F77" s="436">
        <f>G12</f>
        <v>0</v>
      </c>
      <c r="G77" s="440"/>
    </row>
    <row r="78" spans="1:7">
      <c r="A78" s="424"/>
      <c r="B78" s="427" t="s">
        <v>152</v>
      </c>
      <c r="C78" s="440"/>
      <c r="D78" s="440"/>
      <c r="E78" s="440"/>
      <c r="F78" s="434">
        <f>F76+F77</f>
        <v>0</v>
      </c>
      <c r="G78" s="440"/>
    </row>
    <row r="79" spans="1:7">
      <c r="A79" s="424"/>
      <c r="B79" s="421"/>
      <c r="C79" s="440"/>
      <c r="D79" s="440"/>
      <c r="E79" s="440"/>
      <c r="F79" s="434"/>
      <c r="G79" s="440"/>
    </row>
    <row r="80" spans="1:7">
      <c r="A80" s="424"/>
      <c r="B80" s="427" t="s">
        <v>92</v>
      </c>
      <c r="C80" s="440"/>
      <c r="D80" s="440"/>
      <c r="E80" s="440"/>
      <c r="F80" s="434"/>
      <c r="G80" s="440"/>
    </row>
    <row r="81" spans="1:7">
      <c r="A81" s="424"/>
      <c r="B81" s="427" t="s">
        <v>93</v>
      </c>
      <c r="C81" s="440"/>
      <c r="D81" s="440"/>
      <c r="E81" s="440"/>
      <c r="F81" s="434"/>
      <c r="G81" s="440"/>
    </row>
    <row r="82" spans="1:7">
      <c r="A82" s="424"/>
      <c r="B82" s="427" t="s">
        <v>153</v>
      </c>
      <c r="C82" s="440"/>
      <c r="D82" s="440"/>
      <c r="E82" s="440"/>
      <c r="F82" s="434">
        <f>G17</f>
        <v>0</v>
      </c>
      <c r="G82" s="440"/>
    </row>
    <row r="83" spans="1:7">
      <c r="A83" s="424"/>
      <c r="B83" s="427" t="s">
        <v>154</v>
      </c>
      <c r="C83" s="440"/>
      <c r="D83" s="440"/>
      <c r="E83" s="440"/>
      <c r="F83" s="434">
        <f>G18</f>
        <v>0</v>
      </c>
      <c r="G83" s="440"/>
    </row>
    <row r="84" spans="1:7">
      <c r="A84" s="424"/>
      <c r="B84" s="427" t="s">
        <v>155</v>
      </c>
      <c r="C84" s="440"/>
      <c r="D84" s="440"/>
      <c r="E84" s="440"/>
      <c r="F84" s="434">
        <f>G19</f>
        <v>0</v>
      </c>
      <c r="G84" s="440"/>
    </row>
    <row r="85" spans="1:7">
      <c r="A85" s="424"/>
      <c r="B85" s="427" t="s">
        <v>156</v>
      </c>
      <c r="C85" s="440"/>
      <c r="D85" s="440"/>
      <c r="E85" s="440"/>
      <c r="F85" s="436">
        <f>G20</f>
        <v>0</v>
      </c>
      <c r="G85" s="440"/>
    </row>
    <row r="86" spans="1:7">
      <c r="A86" s="424"/>
      <c r="B86" s="427" t="s">
        <v>157</v>
      </c>
      <c r="C86" s="440"/>
      <c r="D86" s="440"/>
      <c r="E86" s="440"/>
      <c r="F86" s="434">
        <f>SUM(F82:F85)</f>
        <v>0</v>
      </c>
      <c r="G86" s="440"/>
    </row>
    <row r="87" spans="1:7">
      <c r="A87" s="424"/>
      <c r="B87" s="421"/>
      <c r="C87" s="440"/>
      <c r="D87" s="440"/>
      <c r="E87" s="440"/>
      <c r="F87" s="434"/>
      <c r="G87" s="440"/>
    </row>
    <row r="88" spans="1:7">
      <c r="A88" s="424"/>
      <c r="B88" s="427" t="s">
        <v>98</v>
      </c>
      <c r="C88" s="440"/>
      <c r="D88" s="440"/>
      <c r="E88" s="440"/>
      <c r="F88" s="434"/>
      <c r="G88" s="440"/>
    </row>
    <row r="89" spans="1:7">
      <c r="A89" s="424"/>
      <c r="B89" s="427" t="s">
        <v>153</v>
      </c>
      <c r="C89" s="440"/>
      <c r="D89" s="440"/>
      <c r="E89" s="440"/>
      <c r="F89" s="434">
        <f>G24</f>
        <v>0</v>
      </c>
      <c r="G89" s="440"/>
    </row>
    <row r="90" spans="1:7">
      <c r="A90" s="424"/>
      <c r="B90" s="427" t="s">
        <v>158</v>
      </c>
      <c r="C90" s="440"/>
      <c r="D90" s="440"/>
      <c r="E90" s="440"/>
      <c r="F90" s="434">
        <f>G25</f>
        <v>0</v>
      </c>
      <c r="G90" s="440"/>
    </row>
    <row r="91" spans="1:7">
      <c r="A91" s="421"/>
      <c r="B91" s="427" t="s">
        <v>156</v>
      </c>
      <c r="C91" s="440"/>
      <c r="D91" s="440"/>
      <c r="E91" s="440"/>
      <c r="F91" s="434"/>
      <c r="G91" s="440"/>
    </row>
    <row r="92" spans="1:7">
      <c r="A92" s="421"/>
      <c r="B92" s="427" t="s">
        <v>159</v>
      </c>
      <c r="C92" s="440"/>
      <c r="D92" s="440"/>
      <c r="E92" s="440"/>
      <c r="F92" s="433">
        <f>SUM(F89:F91)</f>
        <v>0</v>
      </c>
      <c r="G92" s="440"/>
    </row>
    <row r="93" spans="1:7">
      <c r="A93" s="421"/>
      <c r="B93" s="421"/>
      <c r="C93" s="440"/>
      <c r="D93" s="440"/>
      <c r="E93" s="440"/>
      <c r="F93" s="434"/>
      <c r="G93" s="440"/>
    </row>
    <row r="94" spans="1:7">
      <c r="A94" s="421"/>
      <c r="B94" s="427" t="s">
        <v>101</v>
      </c>
      <c r="C94" s="440"/>
      <c r="D94" s="440"/>
      <c r="E94" s="440"/>
      <c r="F94" s="434">
        <f>G29</f>
        <v>0</v>
      </c>
      <c r="G94" s="440"/>
    </row>
    <row r="95" spans="1:7">
      <c r="A95" s="421"/>
      <c r="B95" s="427" t="s">
        <v>102</v>
      </c>
      <c r="C95" s="440"/>
      <c r="D95" s="440"/>
      <c r="E95" s="440"/>
      <c r="F95" s="434">
        <f>G30</f>
        <v>0</v>
      </c>
      <c r="G95" s="440"/>
    </row>
    <row r="96" spans="1:7">
      <c r="A96" s="421"/>
      <c r="B96" s="427" t="s">
        <v>160</v>
      </c>
      <c r="C96" s="440"/>
      <c r="D96" s="440"/>
      <c r="E96" s="440"/>
      <c r="F96" s="434">
        <f>G31</f>
        <v>0</v>
      </c>
      <c r="G96" s="440"/>
    </row>
    <row r="97" spans="1:7">
      <c r="A97" s="421"/>
      <c r="B97" s="421"/>
      <c r="C97" s="440"/>
      <c r="D97" s="440"/>
      <c r="E97" s="440"/>
      <c r="F97" s="434"/>
      <c r="G97" s="440"/>
    </row>
    <row r="98" spans="1:7">
      <c r="A98" s="421"/>
      <c r="B98" s="427" t="s">
        <v>104</v>
      </c>
      <c r="C98" s="440"/>
      <c r="D98" s="440"/>
      <c r="E98" s="440"/>
      <c r="F98" s="434"/>
      <c r="G98" s="440"/>
    </row>
    <row r="99" spans="1:7">
      <c r="A99" s="421"/>
      <c r="B99" s="427" t="s">
        <v>153</v>
      </c>
      <c r="C99" s="440"/>
      <c r="D99" s="440"/>
      <c r="E99" s="440"/>
      <c r="F99" s="434">
        <f>G34</f>
        <v>0</v>
      </c>
      <c r="G99" s="440"/>
    </row>
    <row r="100" spans="1:7">
      <c r="A100" s="421"/>
      <c r="B100" s="427" t="s">
        <v>158</v>
      </c>
      <c r="C100" s="440"/>
      <c r="D100" s="440"/>
      <c r="E100" s="440"/>
      <c r="F100" s="434">
        <f>G35</f>
        <v>0</v>
      </c>
      <c r="G100" s="440"/>
    </row>
    <row r="101" spans="1:7">
      <c r="A101" s="421"/>
      <c r="B101" s="427" t="s">
        <v>156</v>
      </c>
      <c r="C101" s="440"/>
      <c r="D101" s="440"/>
      <c r="E101" s="440"/>
      <c r="F101" s="436">
        <f>G36</f>
        <v>0</v>
      </c>
      <c r="G101" s="440"/>
    </row>
    <row r="102" spans="1:7">
      <c r="A102" s="421"/>
      <c r="B102" s="427" t="s">
        <v>161</v>
      </c>
      <c r="C102" s="440"/>
      <c r="D102" s="440"/>
      <c r="E102" s="440"/>
      <c r="F102" s="434">
        <f>F99+F100+F101</f>
        <v>0</v>
      </c>
      <c r="G102" s="440"/>
    </row>
    <row r="103" spans="1:7">
      <c r="A103" s="421"/>
      <c r="B103" s="440"/>
      <c r="C103" s="440"/>
      <c r="D103" s="440"/>
      <c r="E103" s="440"/>
      <c r="F103" s="434"/>
      <c r="G103" s="440"/>
    </row>
    <row r="104" spans="1:7">
      <c r="A104" s="421"/>
      <c r="B104" s="440" t="s">
        <v>106</v>
      </c>
      <c r="C104" s="440"/>
      <c r="D104" s="440"/>
      <c r="E104" s="440"/>
      <c r="F104" s="435">
        <f>F86+F92+F94+F95+F96+F102</f>
        <v>0</v>
      </c>
      <c r="G104" s="440"/>
    </row>
    <row r="105" spans="1:7">
      <c r="A105" s="421"/>
      <c r="B105" s="440"/>
      <c r="C105" s="440"/>
      <c r="D105" s="440"/>
      <c r="E105" s="440"/>
      <c r="F105" s="434"/>
      <c r="G105" s="440"/>
    </row>
    <row r="106" spans="1:7">
      <c r="A106" s="421"/>
      <c r="B106" s="440" t="s">
        <v>227</v>
      </c>
      <c r="C106" s="440"/>
      <c r="D106" s="440"/>
      <c r="E106" s="440"/>
      <c r="F106" s="436">
        <f>F78-F104</f>
        <v>0</v>
      </c>
      <c r="G106" s="440"/>
    </row>
    <row r="107" spans="1:7">
      <c r="A107" s="421"/>
      <c r="B107" s="440"/>
      <c r="C107" s="440"/>
      <c r="D107" s="440"/>
      <c r="E107" s="440"/>
      <c r="F107" s="434"/>
      <c r="G107" s="440"/>
    </row>
    <row r="108" spans="1:7">
      <c r="A108" s="421"/>
      <c r="B108" s="440" t="s">
        <v>228</v>
      </c>
      <c r="C108" s="440"/>
      <c r="D108" s="440"/>
      <c r="E108" s="441"/>
      <c r="F108" s="434"/>
      <c r="G108" s="440"/>
    </row>
    <row r="109" spans="1:7" ht="13.5" thickBot="1">
      <c r="A109" s="421"/>
      <c r="B109" s="451" t="s">
        <v>229</v>
      </c>
      <c r="C109" s="452">
        <f>Inputs!$D$4</f>
        <v>1.2215999999999999E-2</v>
      </c>
      <c r="D109" s="440"/>
      <c r="E109" s="441"/>
      <c r="F109" s="439">
        <f>ROUND(F106*C109,0)</f>
        <v>0</v>
      </c>
      <c r="G109" s="440"/>
    </row>
    <row r="110" spans="1:7" ht="13.5" thickTop="1">
      <c r="A110" s="421"/>
      <c r="B110" s="440"/>
      <c r="C110" s="440"/>
      <c r="D110" s="440"/>
      <c r="E110" s="441"/>
      <c r="F110" s="442"/>
      <c r="G110" s="440"/>
    </row>
  </sheetData>
  <phoneticPr fontId="0" type="noConversion"/>
  <pageMargins left="1" right="1" top="0.5" bottom="0.25" header="0.5" footer="0.5"/>
  <pageSetup scale="90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52"/>
  <dimension ref="A7:B27"/>
  <sheetViews>
    <sheetView topLeftCell="A7" workbookViewId="0">
      <selection activeCell="F15" sqref="F15"/>
    </sheetView>
  </sheetViews>
  <sheetFormatPr defaultRowHeight="12.75"/>
  <cols>
    <col min="1" max="1" width="9.140625" style="669"/>
    <col min="2" max="2" width="9.140625" style="677"/>
    <col min="3" max="16384" width="9.140625" style="669"/>
  </cols>
  <sheetData>
    <row r="7" spans="2:2" ht="22.5">
      <c r="B7" s="878" t="s">
        <v>411</v>
      </c>
    </row>
    <row r="13" spans="2:2" ht="18.75">
      <c r="B13" s="879" t="s">
        <v>412</v>
      </c>
    </row>
    <row r="14" spans="2:2" ht="18.75">
      <c r="B14" s="879"/>
    </row>
    <row r="15" spans="2:2" ht="18.75">
      <c r="B15" s="879" t="s">
        <v>543</v>
      </c>
    </row>
    <row r="16" spans="2:2" ht="18.75">
      <c r="B16" s="879"/>
    </row>
    <row r="17" spans="1:2" ht="18.75">
      <c r="B17" s="879"/>
    </row>
    <row r="18" spans="1:2" ht="18.75">
      <c r="B18" s="879"/>
    </row>
    <row r="19" spans="1:2" ht="18.75">
      <c r="B19" s="879"/>
    </row>
    <row r="20" spans="1:2" ht="18.75">
      <c r="B20" s="879"/>
    </row>
    <row r="21" spans="1:2" ht="18.75">
      <c r="B21" s="879"/>
    </row>
    <row r="22" spans="1:2" ht="18.75">
      <c r="B22" s="879" t="s">
        <v>659</v>
      </c>
    </row>
    <row r="23" spans="1:2" ht="18.75">
      <c r="B23" s="879"/>
    </row>
    <row r="24" spans="1:2" ht="18.75">
      <c r="B24" s="879"/>
    </row>
    <row r="25" spans="1:2" ht="18.75">
      <c r="B25" s="879"/>
    </row>
    <row r="26" spans="1:2" ht="18.75">
      <c r="B26" s="879"/>
    </row>
    <row r="27" spans="1:2" ht="18.75">
      <c r="A27" s="1035" t="s">
        <v>544</v>
      </c>
    </row>
  </sheetData>
  <phoneticPr fontId="0" type="noConversion"/>
  <printOptions horizontalCentered="1"/>
  <pageMargins left="0.75" right="0.75" top="1" bottom="1" header="0.5" footer="0.5"/>
  <pageSetup scale="125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"/>
  <sheetViews>
    <sheetView workbookViewId="0">
      <selection activeCell="D28" sqref="D28"/>
    </sheetView>
  </sheetViews>
  <sheetFormatPr defaultRowHeight="12.75"/>
  <sheetData/>
  <phoneticPr fontId="87" type="noConversion"/>
  <pageMargins left="0.75" right="0.75" top="1" bottom="1" header="0.5" footer="0.5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25"/>
  <dimension ref="A1:H64"/>
  <sheetViews>
    <sheetView workbookViewId="0">
      <selection activeCell="I33" sqref="I33"/>
    </sheetView>
  </sheetViews>
  <sheetFormatPr defaultColWidth="12.42578125" defaultRowHeight="12"/>
  <cols>
    <col min="1" max="1" width="5.5703125" style="424" customWidth="1"/>
    <col min="2" max="2" width="26.140625" style="421" customWidth="1"/>
    <col min="3" max="3" width="12.42578125" style="421" customWidth="1"/>
    <col min="4" max="4" width="6.7109375" style="421" customWidth="1"/>
    <col min="5" max="16384" width="12.42578125" style="421"/>
  </cols>
  <sheetData>
    <row r="1" spans="1:8">
      <c r="A1" s="419" t="str">
        <f>Inputs!$D$6</f>
        <v>AVISTA UTILITIES</v>
      </c>
      <c r="B1" s="420"/>
      <c r="C1" s="419"/>
      <c r="F1" s="81"/>
    </row>
    <row r="2" spans="1:8">
      <c r="A2" s="419" t="s">
        <v>142</v>
      </c>
      <c r="B2" s="420"/>
      <c r="C2" s="419"/>
      <c r="E2" s="419" t="s">
        <v>241</v>
      </c>
      <c r="F2" s="419"/>
      <c r="G2" s="419"/>
    </row>
    <row r="3" spans="1:8">
      <c r="A3" s="420" t="str">
        <f>WAElec09_08!$A$4</f>
        <v>TWELVE MONTHS ENDED SEPTEMBER 30, 2008</v>
      </c>
      <c r="B3" s="420"/>
      <c r="C3" s="419"/>
      <c r="E3" s="419" t="s">
        <v>418</v>
      </c>
      <c r="F3" s="419"/>
      <c r="G3" s="419"/>
    </row>
    <row r="4" spans="1:8">
      <c r="A4" s="419" t="s">
        <v>1</v>
      </c>
      <c r="B4" s="420"/>
      <c r="C4" s="419"/>
      <c r="E4" s="422" t="s">
        <v>145</v>
      </c>
      <c r="F4" s="422"/>
      <c r="G4" s="423"/>
    </row>
    <row r="5" spans="1:8">
      <c r="A5" s="424" t="s">
        <v>14</v>
      </c>
    </row>
    <row r="6" spans="1:8" s="424" customFormat="1">
      <c r="A6" s="424" t="s">
        <v>146</v>
      </c>
      <c r="B6" s="425" t="s">
        <v>36</v>
      </c>
      <c r="C6" s="425"/>
      <c r="E6" s="425" t="s">
        <v>147</v>
      </c>
      <c r="F6" s="425" t="s">
        <v>148</v>
      </c>
      <c r="G6" s="425" t="s">
        <v>128</v>
      </c>
      <c r="H6" s="426" t="s">
        <v>149</v>
      </c>
    </row>
    <row r="7" spans="1:8">
      <c r="B7" s="427" t="s">
        <v>85</v>
      </c>
    </row>
    <row r="8" spans="1:8" s="430" customFormat="1">
      <c r="A8" s="428">
        <v>1</v>
      </c>
      <c r="B8" s="429" t="s">
        <v>86</v>
      </c>
      <c r="E8" s="431">
        <f>F8+G8</f>
        <v>0</v>
      </c>
      <c r="F8" s="431"/>
      <c r="G8" s="431"/>
      <c r="H8" s="430" t="str">
        <f t="shared" ref="H8:H13" si="0">IF(E8=F8+G8," ","ERROR")</f>
        <v xml:space="preserve"> </v>
      </c>
    </row>
    <row r="9" spans="1:8">
      <c r="A9" s="424">
        <v>2</v>
      </c>
      <c r="B9" s="427" t="s">
        <v>87</v>
      </c>
      <c r="E9" s="432"/>
      <c r="F9" s="432"/>
      <c r="G9" s="432"/>
      <c r="H9" s="430" t="str">
        <f t="shared" si="0"/>
        <v xml:space="preserve"> </v>
      </c>
    </row>
    <row r="10" spans="1:8">
      <c r="A10" s="424">
        <v>3</v>
      </c>
      <c r="B10" s="427" t="s">
        <v>150</v>
      </c>
      <c r="E10" s="432">
        <f>SUM(F10:G10)</f>
        <v>-100275</v>
      </c>
      <c r="F10" s="432">
        <v>-100275</v>
      </c>
      <c r="G10" s="432"/>
      <c r="H10" s="430" t="str">
        <f t="shared" si="0"/>
        <v xml:space="preserve"> </v>
      </c>
    </row>
    <row r="11" spans="1:8">
      <c r="A11" s="424">
        <v>4</v>
      </c>
      <c r="B11" s="427" t="s">
        <v>151</v>
      </c>
      <c r="E11" s="433">
        <f>E8+E9+E10</f>
        <v>-100275</v>
      </c>
      <c r="F11" s="433">
        <f>F8+F9+F10</f>
        <v>-100275</v>
      </c>
      <c r="G11" s="433">
        <f>G8+G9+G10</f>
        <v>0</v>
      </c>
      <c r="H11" s="430" t="str">
        <f t="shared" si="0"/>
        <v xml:space="preserve"> </v>
      </c>
    </row>
    <row r="12" spans="1:8">
      <c r="A12" s="424">
        <v>5</v>
      </c>
      <c r="B12" s="427" t="s">
        <v>90</v>
      </c>
      <c r="E12" s="432">
        <f>SUM(F12:G12)</f>
        <v>-29202</v>
      </c>
      <c r="F12" s="432">
        <v>-29202</v>
      </c>
      <c r="G12" s="432"/>
      <c r="H12" s="430" t="str">
        <f t="shared" si="0"/>
        <v xml:space="preserve"> </v>
      </c>
    </row>
    <row r="13" spans="1:8">
      <c r="A13" s="424">
        <v>6</v>
      </c>
      <c r="B13" s="427" t="s">
        <v>152</v>
      </c>
      <c r="E13" s="433">
        <f>E11+E12</f>
        <v>-129477</v>
      </c>
      <c r="F13" s="433">
        <f>F11+F12</f>
        <v>-129477</v>
      </c>
      <c r="G13" s="433">
        <f>G11+G12</f>
        <v>0</v>
      </c>
      <c r="H13" s="430" t="str">
        <f t="shared" si="0"/>
        <v xml:space="preserve"> </v>
      </c>
    </row>
    <row r="14" spans="1:8">
      <c r="E14" s="434"/>
      <c r="F14" s="434"/>
      <c r="G14" s="434"/>
      <c r="H14" s="430"/>
    </row>
    <row r="15" spans="1:8">
      <c r="B15" s="427" t="s">
        <v>92</v>
      </c>
      <c r="E15" s="434"/>
      <c r="F15" s="434"/>
      <c r="G15" s="434"/>
      <c r="H15" s="430"/>
    </row>
    <row r="16" spans="1:8">
      <c r="B16" s="427" t="s">
        <v>93</v>
      </c>
      <c r="E16" s="434"/>
      <c r="F16" s="434"/>
      <c r="G16" s="434"/>
      <c r="H16" s="430"/>
    </row>
    <row r="17" spans="1:8">
      <c r="A17" s="424">
        <v>7</v>
      </c>
      <c r="B17" s="427" t="s">
        <v>153</v>
      </c>
      <c r="E17" s="432">
        <f>SUM(F17:G17)</f>
        <v>-17182</v>
      </c>
      <c r="F17" s="432">
        <f>-1328+95+8696-24645</f>
        <v>-17182</v>
      </c>
      <c r="G17" s="432"/>
      <c r="H17" s="430" t="str">
        <f>IF(E17=F17+G17," ","ERROR")</f>
        <v xml:space="preserve"> </v>
      </c>
    </row>
    <row r="18" spans="1:8">
      <c r="A18" s="424">
        <v>8</v>
      </c>
      <c r="B18" s="427" t="s">
        <v>154</v>
      </c>
      <c r="E18" s="432">
        <f>SUM(F18:G18)</f>
        <v>-98483</v>
      </c>
      <c r="F18" s="432">
        <v>-98483</v>
      </c>
      <c r="G18" s="432"/>
      <c r="H18" s="430" t="str">
        <f>IF(E18=F18+G18," ","ERROR")</f>
        <v xml:space="preserve"> </v>
      </c>
    </row>
    <row r="19" spans="1:8">
      <c r="A19" s="424">
        <v>9</v>
      </c>
      <c r="B19" s="427" t="s">
        <v>155</v>
      </c>
      <c r="E19" s="432"/>
      <c r="F19" s="432"/>
      <c r="G19" s="432"/>
      <c r="H19" s="430" t="str">
        <f>IF(E19=F19+G19," ","ERROR")</f>
        <v xml:space="preserve"> </v>
      </c>
    </row>
    <row r="20" spans="1:8">
      <c r="A20" s="424">
        <v>10</v>
      </c>
      <c r="B20" s="427" t="s">
        <v>156</v>
      </c>
      <c r="E20" s="432"/>
      <c r="F20" s="432"/>
      <c r="G20" s="432"/>
      <c r="H20" s="430" t="str">
        <f>IF(E20=F20+G20," ","ERROR")</f>
        <v xml:space="preserve"> </v>
      </c>
    </row>
    <row r="21" spans="1:8">
      <c r="A21" s="424">
        <v>11</v>
      </c>
      <c r="B21" s="427" t="s">
        <v>157</v>
      </c>
      <c r="E21" s="433">
        <f>E17+E18+E19+E20</f>
        <v>-115665</v>
      </c>
      <c r="F21" s="433">
        <f>F17+F18+F19+F20</f>
        <v>-115665</v>
      </c>
      <c r="G21" s="433">
        <f>G17+G18+G19+G20</f>
        <v>0</v>
      </c>
      <c r="H21" s="430" t="str">
        <f>IF(E21=F21+G21," ","ERROR")</f>
        <v xml:space="preserve"> </v>
      </c>
    </row>
    <row r="22" spans="1:8">
      <c r="E22" s="434"/>
      <c r="F22" s="434"/>
      <c r="G22" s="434"/>
      <c r="H22" s="430"/>
    </row>
    <row r="23" spans="1:8">
      <c r="B23" s="427" t="s">
        <v>98</v>
      </c>
      <c r="E23" s="434"/>
      <c r="F23" s="434"/>
      <c r="G23" s="434"/>
      <c r="H23" s="430"/>
    </row>
    <row r="24" spans="1:8">
      <c r="A24" s="424">
        <v>12</v>
      </c>
      <c r="B24" s="427" t="s">
        <v>153</v>
      </c>
      <c r="E24" s="432"/>
      <c r="F24" s="432"/>
      <c r="G24" s="432"/>
      <c r="H24" s="430" t="str">
        <f>IF(E24=F24+G24," ","ERROR")</f>
        <v xml:space="preserve"> </v>
      </c>
    </row>
    <row r="25" spans="1:8">
      <c r="A25" s="424">
        <v>13</v>
      </c>
      <c r="B25" s="427" t="s">
        <v>158</v>
      </c>
      <c r="E25" s="432"/>
      <c r="F25" s="432"/>
      <c r="G25" s="432"/>
      <c r="H25" s="430" t="str">
        <f>IF(E25=F25+G25," ","ERROR")</f>
        <v xml:space="preserve"> </v>
      </c>
    </row>
    <row r="26" spans="1:8">
      <c r="A26" s="424">
        <v>14</v>
      </c>
      <c r="B26" s="427" t="s">
        <v>156</v>
      </c>
      <c r="E26" s="432">
        <f>F26+G26</f>
        <v>0</v>
      </c>
      <c r="F26" s="432"/>
      <c r="G26" s="842"/>
      <c r="H26" s="430" t="str">
        <f>IF(E26=F26+G26," ","ERROR")</f>
        <v xml:space="preserve"> </v>
      </c>
    </row>
    <row r="27" spans="1:8">
      <c r="A27" s="424">
        <v>15</v>
      </c>
      <c r="B27" s="427" t="s">
        <v>159</v>
      </c>
      <c r="E27" s="433">
        <f>E24+E25+E26</f>
        <v>0</v>
      </c>
      <c r="F27" s="433">
        <f>F24+F25+F26</f>
        <v>0</v>
      </c>
      <c r="G27" s="433">
        <f>G24+G25+G26</f>
        <v>0</v>
      </c>
      <c r="H27" s="430" t="str">
        <f>IF(E27=F27+G27," ","ERROR")</f>
        <v xml:space="preserve"> </v>
      </c>
    </row>
    <row r="28" spans="1:8">
      <c r="E28" s="434"/>
      <c r="F28" s="434"/>
      <c r="G28" s="434"/>
      <c r="H28" s="430"/>
    </row>
    <row r="29" spans="1:8">
      <c r="A29" s="424">
        <v>16</v>
      </c>
      <c r="B29" s="427" t="s">
        <v>101</v>
      </c>
      <c r="E29" s="432"/>
      <c r="F29" s="432"/>
      <c r="G29" s="432"/>
      <c r="H29" s="430" t="str">
        <f>IF(E29=F29+G29," ","ERROR")</f>
        <v xml:space="preserve"> </v>
      </c>
    </row>
    <row r="30" spans="1:8">
      <c r="A30" s="424">
        <v>17</v>
      </c>
      <c r="B30" s="427" t="s">
        <v>102</v>
      </c>
      <c r="E30" s="432"/>
      <c r="F30" s="432"/>
      <c r="G30" s="432"/>
      <c r="H30" s="430" t="str">
        <f>IF(E30=F30+G30," ","ERROR")</f>
        <v xml:space="preserve"> </v>
      </c>
    </row>
    <row r="31" spans="1:8">
      <c r="A31" s="424">
        <v>18</v>
      </c>
      <c r="B31" s="427" t="s">
        <v>160</v>
      </c>
      <c r="E31" s="432"/>
      <c r="F31" s="432"/>
      <c r="G31" s="432"/>
      <c r="H31" s="430" t="str">
        <f>IF(E31=F31+G31," ","ERROR")</f>
        <v xml:space="preserve"> </v>
      </c>
    </row>
    <row r="32" spans="1:8">
      <c r="E32" s="434"/>
      <c r="F32" s="434"/>
      <c r="G32" s="434"/>
      <c r="H32" s="430"/>
    </row>
    <row r="33" spans="1:8">
      <c r="B33" s="427" t="s">
        <v>104</v>
      </c>
      <c r="E33" s="434"/>
      <c r="F33" s="434"/>
      <c r="G33" s="434"/>
      <c r="H33" s="841"/>
    </row>
    <row r="34" spans="1:8">
      <c r="A34" s="424">
        <v>19</v>
      </c>
      <c r="B34" s="427" t="s">
        <v>153</v>
      </c>
      <c r="E34" s="432">
        <f>F34+G34</f>
        <v>0</v>
      </c>
      <c r="F34" s="432">
        <v>0</v>
      </c>
      <c r="G34" s="432"/>
      <c r="H34" s="430" t="str">
        <f>IF(E34=F34+G34," ","ERROR")</f>
        <v xml:space="preserve"> </v>
      </c>
    </row>
    <row r="35" spans="1:8">
      <c r="A35" s="424">
        <v>20</v>
      </c>
      <c r="B35" s="427" t="s">
        <v>158</v>
      </c>
      <c r="E35" s="432"/>
      <c r="F35" s="432"/>
      <c r="G35" s="432"/>
      <c r="H35" s="430" t="str">
        <f>IF(E35=F35+G35," ","ERROR")</f>
        <v xml:space="preserve"> </v>
      </c>
    </row>
    <row r="36" spans="1:8">
      <c r="A36" s="424">
        <v>21</v>
      </c>
      <c r="B36" s="427" t="s">
        <v>156</v>
      </c>
      <c r="E36" s="432"/>
      <c r="F36" s="432"/>
      <c r="G36" s="432"/>
      <c r="H36" s="430" t="str">
        <f>IF(E36=F36+G36," ","ERROR")</f>
        <v xml:space="preserve"> </v>
      </c>
    </row>
    <row r="37" spans="1:8">
      <c r="A37" s="424">
        <v>22</v>
      </c>
      <c r="B37" s="427" t="s">
        <v>161</v>
      </c>
      <c r="E37" s="435">
        <f>E34+E35+E36</f>
        <v>0</v>
      </c>
      <c r="F37" s="435">
        <f>F34+F35+F36</f>
        <v>0</v>
      </c>
      <c r="G37" s="435">
        <f>G34+G35+G36</f>
        <v>0</v>
      </c>
      <c r="H37" s="430" t="str">
        <f>IF(E37=F37+G37," ","ERROR")</f>
        <v xml:space="preserve"> </v>
      </c>
    </row>
    <row r="38" spans="1:8">
      <c r="A38" s="424">
        <v>23</v>
      </c>
      <c r="B38" s="427" t="s">
        <v>106</v>
      </c>
      <c r="E38" s="436">
        <f>E21+E27+E29+E30+E31+E37</f>
        <v>-115665</v>
      </c>
      <c r="F38" s="436">
        <f>F21+F27+F29+F30+F31+F37</f>
        <v>-115665</v>
      </c>
      <c r="G38" s="436">
        <f>G21+G27+G29+G30+G31+G37</f>
        <v>0</v>
      </c>
      <c r="H38" s="430" t="str">
        <f>IF(E38=F38+G38," ","ERROR")</f>
        <v xml:space="preserve"> </v>
      </c>
    </row>
    <row r="39" spans="1:8">
      <c r="E39" s="434"/>
      <c r="F39" s="434"/>
      <c r="G39" s="434"/>
      <c r="H39" s="430"/>
    </row>
    <row r="40" spans="1:8">
      <c r="A40" s="424">
        <v>24</v>
      </c>
      <c r="B40" s="427" t="s">
        <v>162</v>
      </c>
      <c r="E40" s="434">
        <f>E13-E38</f>
        <v>-13812</v>
      </c>
      <c r="F40" s="434">
        <f>F13-F38</f>
        <v>-13812</v>
      </c>
      <c r="G40" s="434"/>
      <c r="H40" s="430" t="str">
        <f>IF(E40=F40+G40," ","ERROR")</f>
        <v xml:space="preserve"> </v>
      </c>
    </row>
    <row r="41" spans="1:8">
      <c r="B41" s="427"/>
      <c r="E41" s="434"/>
      <c r="F41" s="434"/>
      <c r="G41" s="434"/>
      <c r="H41" s="430"/>
    </row>
    <row r="42" spans="1:8">
      <c r="B42" s="427" t="s">
        <v>163</v>
      </c>
      <c r="E42" s="434"/>
      <c r="F42" s="434"/>
      <c r="G42" s="434"/>
      <c r="H42" s="430"/>
    </row>
    <row r="43" spans="1:8">
      <c r="A43" s="424">
        <v>25</v>
      </c>
      <c r="B43" s="427" t="s">
        <v>164</v>
      </c>
      <c r="D43" s="437">
        <v>0.35</v>
      </c>
      <c r="E43" s="432">
        <f>F43+G43</f>
        <v>-4834</v>
      </c>
      <c r="F43" s="432">
        <f>ROUND(F40*$D$43,0)</f>
        <v>-4834</v>
      </c>
      <c r="G43" s="432"/>
      <c r="H43" s="430" t="str">
        <f>IF(E43=F43+G43," ","ERROR")</f>
        <v xml:space="preserve"> </v>
      </c>
    </row>
    <row r="44" spans="1:8">
      <c r="A44" s="424">
        <v>26</v>
      </c>
      <c r="B44" s="427" t="s">
        <v>165</v>
      </c>
      <c r="E44" s="432"/>
      <c r="F44" s="432"/>
      <c r="G44" s="432"/>
      <c r="H44" s="430" t="str">
        <f>IF(E44=F44+G44," ","ERROR")</f>
        <v xml:space="preserve"> </v>
      </c>
    </row>
    <row r="45" spans="1:8" ht="12.75">
      <c r="A45"/>
      <c r="B45"/>
      <c r="C45"/>
      <c r="D45"/>
      <c r="E45" s="913"/>
      <c r="F45" s="913"/>
      <c r="G45" s="913"/>
      <c r="H45" s="430" t="str">
        <f>IF(E45=F45+G45," ","ERROR")</f>
        <v xml:space="preserve"> </v>
      </c>
    </row>
    <row r="46" spans="1:8">
      <c r="A46" s="259"/>
      <c r="B46" s="262"/>
      <c r="C46" s="256"/>
      <c r="D46" s="256"/>
      <c r="E46" s="269"/>
      <c r="F46" s="269"/>
      <c r="G46" s="269"/>
      <c r="H46" s="430"/>
    </row>
    <row r="47" spans="1:8" s="430" customFormat="1">
      <c r="A47" s="263">
        <v>27</v>
      </c>
      <c r="B47" s="264" t="s">
        <v>113</v>
      </c>
      <c r="C47" s="265"/>
      <c r="D47" s="265"/>
      <c r="E47" s="273">
        <f>E40-SUM(E43:E44)</f>
        <v>-8978</v>
      </c>
      <c r="F47" s="273">
        <f>F40-SUM(F43:F44)</f>
        <v>-8978</v>
      </c>
      <c r="G47" s="273">
        <f>G40-SUM(G43:G44)</f>
        <v>0</v>
      </c>
      <c r="H47" s="430" t="str">
        <f>IF(E47=F47+G47," ","ERROR")</f>
        <v xml:space="preserve"> </v>
      </c>
    </row>
    <row r="48" spans="1:8">
      <c r="A48" s="259"/>
      <c r="H48" s="430"/>
    </row>
    <row r="49" spans="1:8">
      <c r="A49" s="259"/>
      <c r="B49" s="427" t="s">
        <v>114</v>
      </c>
      <c r="H49" s="430"/>
    </row>
    <row r="50" spans="1:8">
      <c r="A50" s="259"/>
      <c r="B50" s="427" t="s">
        <v>115</v>
      </c>
      <c r="H50" s="430"/>
    </row>
    <row r="51" spans="1:8" s="430" customFormat="1">
      <c r="A51" s="263">
        <v>28</v>
      </c>
      <c r="B51" s="429" t="s">
        <v>167</v>
      </c>
      <c r="E51" s="431"/>
      <c r="F51" s="431"/>
      <c r="G51" s="431"/>
      <c r="H51" s="430" t="str">
        <f t="shared" ref="H51:H61" si="1">IF(E51=F51+G51," ","ERROR")</f>
        <v xml:space="preserve"> </v>
      </c>
    </row>
    <row r="52" spans="1:8">
      <c r="A52" s="259">
        <v>29</v>
      </c>
      <c r="B52" s="427" t="s">
        <v>168</v>
      </c>
      <c r="E52" s="432"/>
      <c r="F52" s="432"/>
      <c r="G52" s="432"/>
      <c r="H52" s="430" t="str">
        <f t="shared" si="1"/>
        <v xml:space="preserve"> </v>
      </c>
    </row>
    <row r="53" spans="1:8">
      <c r="A53" s="259">
        <v>30</v>
      </c>
      <c r="B53" s="427" t="s">
        <v>169</v>
      </c>
      <c r="E53" s="432"/>
      <c r="F53" s="432"/>
      <c r="G53" s="432"/>
      <c r="H53" s="430" t="str">
        <f t="shared" si="1"/>
        <v xml:space="preserve"> </v>
      </c>
    </row>
    <row r="54" spans="1:8">
      <c r="A54" s="259">
        <v>31</v>
      </c>
      <c r="B54" s="427" t="s">
        <v>170</v>
      </c>
      <c r="E54" s="432"/>
      <c r="F54" s="432"/>
      <c r="G54" s="432"/>
      <c r="H54" s="430" t="str">
        <f t="shared" si="1"/>
        <v xml:space="preserve"> </v>
      </c>
    </row>
    <row r="55" spans="1:8">
      <c r="A55" s="259">
        <v>32</v>
      </c>
      <c r="B55" s="427" t="s">
        <v>171</v>
      </c>
      <c r="E55" s="438"/>
      <c r="F55" s="438"/>
      <c r="G55" s="438"/>
      <c r="H55" s="430" t="str">
        <f t="shared" si="1"/>
        <v xml:space="preserve"> </v>
      </c>
    </row>
    <row r="56" spans="1:8">
      <c r="A56" s="259">
        <v>33</v>
      </c>
      <c r="B56" s="427" t="s">
        <v>172</v>
      </c>
      <c r="E56" s="434">
        <f>E51+E52+E53+E54+E55</f>
        <v>0</v>
      </c>
      <c r="F56" s="434">
        <f>F51+F52+F53+F54+F55</f>
        <v>0</v>
      </c>
      <c r="G56" s="434">
        <f>G51+G52+G53+G54+G55</f>
        <v>0</v>
      </c>
      <c r="H56" s="430" t="str">
        <f t="shared" si="1"/>
        <v xml:space="preserve"> </v>
      </c>
    </row>
    <row r="57" spans="1:8">
      <c r="A57" s="259">
        <v>34</v>
      </c>
      <c r="B57" s="427" t="s">
        <v>121</v>
      </c>
      <c r="E57" s="432"/>
      <c r="F57" s="432"/>
      <c r="G57" s="432"/>
      <c r="H57" s="430" t="str">
        <f t="shared" si="1"/>
        <v xml:space="preserve"> </v>
      </c>
    </row>
    <row r="58" spans="1:8">
      <c r="A58" s="259">
        <v>35</v>
      </c>
      <c r="B58" s="427" t="s">
        <v>122</v>
      </c>
      <c r="E58" s="438"/>
      <c r="F58" s="438"/>
      <c r="G58" s="438"/>
      <c r="H58" s="430" t="str">
        <f t="shared" si="1"/>
        <v xml:space="preserve"> </v>
      </c>
    </row>
    <row r="59" spans="1:8">
      <c r="A59" s="259">
        <v>36</v>
      </c>
      <c r="B59" s="427" t="s">
        <v>173</v>
      </c>
      <c r="E59" s="434">
        <f>E57+E58</f>
        <v>0</v>
      </c>
      <c r="F59" s="434">
        <f>F57+F58</f>
        <v>0</v>
      </c>
      <c r="G59" s="434">
        <f>G57+G58</f>
        <v>0</v>
      </c>
      <c r="H59" s="430" t="str">
        <f t="shared" si="1"/>
        <v xml:space="preserve"> </v>
      </c>
    </row>
    <row r="60" spans="1:8">
      <c r="A60" s="259">
        <v>37</v>
      </c>
      <c r="B60" s="427" t="s">
        <v>124</v>
      </c>
      <c r="E60" s="432"/>
      <c r="F60" s="432"/>
      <c r="G60" s="432"/>
      <c r="H60" s="430" t="str">
        <f t="shared" si="1"/>
        <v xml:space="preserve"> </v>
      </c>
    </row>
    <row r="61" spans="1:8">
      <c r="A61" s="259">
        <v>38</v>
      </c>
      <c r="B61" s="427" t="s">
        <v>125</v>
      </c>
      <c r="E61" s="438"/>
      <c r="F61" s="438"/>
      <c r="G61" s="438"/>
      <c r="H61" s="430" t="str">
        <f t="shared" si="1"/>
        <v xml:space="preserve"> </v>
      </c>
    </row>
    <row r="62" spans="1:8" ht="9" customHeight="1">
      <c r="A62" s="259"/>
      <c r="H62" s="430"/>
    </row>
    <row r="63" spans="1:8" s="430" customFormat="1" ht="12.75" thickBot="1">
      <c r="A63" s="263">
        <v>39</v>
      </c>
      <c r="B63" s="429" t="s">
        <v>126</v>
      </c>
      <c r="E63" s="439">
        <f>E56-E59+E60+E61</f>
        <v>0</v>
      </c>
      <c r="F63" s="439">
        <f>F56-F59+F60+F61</f>
        <v>0</v>
      </c>
      <c r="G63" s="439">
        <f>G56-G59+G60+G61</f>
        <v>0</v>
      </c>
      <c r="H63" s="430" t="str">
        <f>IF(E63=F63+G63," ","ERROR")</f>
        <v xml:space="preserve"> </v>
      </c>
    </row>
    <row r="64" spans="1:8" ht="12.75" thickTop="1"/>
  </sheetData>
  <customSheetViews>
    <customSheetView guid="{A15D1962-B049-11D2-8670-0000832CEEE8}" showRuler="0" topLeftCell="A52">
      <selection activeCell="A67" sqref="A67"/>
      <rowBreaks count="1" manualBreakCount="1">
        <brk id="65" max="65535" man="1"/>
      </rowBreaks>
      <colBreaks count="1" manualBreakCount="1">
        <brk id="7" max="1048575" man="1"/>
      </colBreaks>
      <pageMargins left="1" right="1" top="0.5" bottom="0.5" header="0.5" footer="0.5"/>
      <printOptions horizontalCentered="1"/>
      <pageSetup scale="80" fitToHeight="2" orientation="portrait" horizontalDpi="300" verticalDpi="300" r:id="rId1"/>
      <headerFooter alignWithMargins="0"/>
    </customSheetView>
    <customSheetView guid="{6E1B8C45-B07F-11D2-B0DC-0000832CDFF0}" showPageBreaks="1" showRuler="0" topLeftCell="A52">
      <selection activeCell="A67" sqref="A67"/>
      <rowBreaks count="1" manualBreakCount="1">
        <brk id="65" max="65535" man="1"/>
      </rowBreaks>
      <colBreaks count="3" manualBreakCount="3">
        <brk id="7" max="1048575" man="1"/>
        <brk id="15" max="1048575" man="1"/>
        <brk id="23" max="1048575" man="1"/>
      </colBreaks>
      <pageMargins left="1" right="1" top="0.5" bottom="0.5" header="0.5" footer="0.5"/>
      <printOptions horizontalCentered="1"/>
      <pageSetup scale="80" fitToHeight="2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1" top="0.5" bottom="0.5" header="0.5" footer="0.5"/>
  <pageSetup scale="90" fitToHeight="2" orientation="portrait" horizontalDpi="300" verticalDpi="300" r:id="rId3"/>
  <headerFooter alignWithMargins="0"/>
  <colBreaks count="3" manualBreakCount="3">
    <brk id="7" max="1048575" man="1"/>
    <brk id="15" max="1048575" man="1"/>
    <brk id="23" max="104857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37"/>
  <dimension ref="A1:AT110"/>
  <sheetViews>
    <sheetView topLeftCell="Q1" zoomScaleNormal="100" workbookViewId="0">
      <selection activeCell="Y8" sqref="Y8"/>
    </sheetView>
  </sheetViews>
  <sheetFormatPr defaultColWidth="11.42578125" defaultRowHeight="11.25"/>
  <cols>
    <col min="1" max="1" width="23.28515625" style="793" customWidth="1"/>
    <col min="2" max="2" width="7.28515625" style="794" customWidth="1"/>
    <col min="3" max="3" width="2.85546875" style="793" customWidth="1"/>
    <col min="4" max="6" width="11.42578125" style="793" customWidth="1"/>
    <col min="7" max="7" width="10.7109375" style="793" customWidth="1"/>
    <col min="8" max="8" width="1.7109375" style="793" customWidth="1"/>
    <col min="9" max="9" width="21.85546875" style="793" customWidth="1"/>
    <col min="10" max="10" width="7.28515625" style="794" customWidth="1"/>
    <col min="11" max="11" width="2.85546875" style="793" customWidth="1"/>
    <col min="12" max="14" width="11.42578125" style="793" customWidth="1"/>
    <col min="15" max="15" width="10.7109375" style="793" customWidth="1"/>
    <col min="16" max="16" width="1.7109375" style="793" customWidth="1"/>
    <col min="17" max="17" width="21.140625" style="793" customWidth="1"/>
    <col min="18" max="18" width="7.28515625" style="794" customWidth="1"/>
    <col min="19" max="19" width="2.85546875" style="793" customWidth="1"/>
    <col min="20" max="22" width="11.42578125" style="793" customWidth="1"/>
    <col min="23" max="23" width="10.7109375" style="793" customWidth="1"/>
    <col min="24" max="24" width="15.7109375" style="899" customWidth="1"/>
    <col min="25" max="28" width="11.42578125" style="899" customWidth="1"/>
    <col min="29" max="29" width="8.140625" style="997" customWidth="1"/>
    <col min="30" max="30" width="15.7109375" style="899" customWidth="1"/>
    <col min="31" max="34" width="11.42578125" style="899" customWidth="1"/>
    <col min="35" max="35" width="11.42578125" style="997" customWidth="1"/>
    <col min="36" max="36" width="1.7109375" style="793" customWidth="1"/>
    <col min="37" max="37" width="11.42578125" style="793" customWidth="1"/>
    <col min="38" max="38" width="1.7109375" style="793" customWidth="1"/>
    <col min="39" max="39" width="15.7109375" style="793" customWidth="1"/>
    <col min="40" max="44" width="11.42578125" style="793" customWidth="1"/>
    <col min="45" max="45" width="1.7109375" style="793" customWidth="1"/>
    <col min="46" max="16384" width="11.42578125" style="793"/>
  </cols>
  <sheetData>
    <row r="1" spans="1:46" s="788" customFormat="1">
      <c r="A1" s="787" t="s">
        <v>261</v>
      </c>
      <c r="B1" s="787"/>
      <c r="C1" s="787"/>
      <c r="D1" s="787"/>
      <c r="E1" s="787"/>
      <c r="F1" s="787"/>
      <c r="I1" s="787" t="s">
        <v>261</v>
      </c>
      <c r="J1" s="787"/>
      <c r="K1" s="787"/>
      <c r="L1" s="787"/>
      <c r="M1" s="787"/>
      <c r="N1" s="787"/>
      <c r="Q1" s="787" t="s">
        <v>261</v>
      </c>
      <c r="R1" s="787"/>
      <c r="S1" s="787"/>
      <c r="T1" s="787"/>
      <c r="U1" s="787"/>
      <c r="V1" s="787"/>
      <c r="X1" s="907" t="s">
        <v>261</v>
      </c>
      <c r="Y1" s="907"/>
      <c r="Z1" s="907"/>
      <c r="AA1" s="907"/>
      <c r="AB1" s="907"/>
      <c r="AC1" s="995"/>
      <c r="AD1" s="897" t="s">
        <v>261</v>
      </c>
      <c r="AE1" s="897"/>
      <c r="AF1" s="897"/>
      <c r="AG1" s="897"/>
      <c r="AH1" s="897"/>
      <c r="AI1" s="999"/>
      <c r="AM1" s="789"/>
      <c r="AN1" s="789"/>
      <c r="AO1" s="789"/>
      <c r="AP1" s="789"/>
      <c r="AQ1" s="789"/>
      <c r="AR1" s="789"/>
      <c r="AS1" s="790"/>
      <c r="AT1" s="790"/>
    </row>
    <row r="2" spans="1:46" s="788" customFormat="1">
      <c r="A2" s="787" t="s">
        <v>478</v>
      </c>
      <c r="B2" s="787"/>
      <c r="C2" s="787"/>
      <c r="D2" s="787"/>
      <c r="E2" s="787"/>
      <c r="F2" s="787"/>
      <c r="I2" s="787" t="s">
        <v>515</v>
      </c>
      <c r="J2" s="787"/>
      <c r="K2" s="787"/>
      <c r="L2" s="787"/>
      <c r="M2" s="787"/>
      <c r="N2" s="787"/>
      <c r="Q2" s="787" t="s">
        <v>516</v>
      </c>
      <c r="R2" s="787"/>
      <c r="S2" s="787"/>
      <c r="T2" s="787"/>
      <c r="U2" s="787"/>
      <c r="V2" s="787"/>
      <c r="X2" s="907" t="s">
        <v>517</v>
      </c>
      <c r="Y2" s="907"/>
      <c r="Z2" s="907"/>
      <c r="AA2" s="907"/>
      <c r="AB2" s="907"/>
      <c r="AC2" s="995"/>
      <c r="AD2" s="897" t="s">
        <v>518</v>
      </c>
      <c r="AE2" s="897"/>
      <c r="AF2" s="897"/>
      <c r="AG2" s="897"/>
      <c r="AH2" s="897"/>
      <c r="AI2" s="999"/>
      <c r="AM2" s="789"/>
      <c r="AN2" s="789"/>
      <c r="AO2" s="789"/>
      <c r="AP2" s="789"/>
      <c r="AQ2" s="789"/>
      <c r="AR2" s="789"/>
      <c r="AS2" s="790"/>
      <c r="AT2" s="790"/>
    </row>
    <row r="3" spans="1:46" s="788" customFormat="1">
      <c r="A3" s="791" t="s">
        <v>337</v>
      </c>
      <c r="B3" s="787"/>
      <c r="C3" s="787"/>
      <c r="D3" s="787"/>
      <c r="E3" s="787"/>
      <c r="F3" s="787"/>
      <c r="I3" s="791" t="s">
        <v>337</v>
      </c>
      <c r="J3" s="787"/>
      <c r="K3" s="787"/>
      <c r="L3" s="787"/>
      <c r="M3" s="787"/>
      <c r="N3" s="787"/>
      <c r="Q3" s="791" t="s">
        <v>337</v>
      </c>
      <c r="R3" s="787"/>
      <c r="S3" s="787"/>
      <c r="T3" s="787"/>
      <c r="U3" s="787"/>
      <c r="V3" s="787"/>
      <c r="X3" s="908" t="s">
        <v>337</v>
      </c>
      <c r="Y3" s="907"/>
      <c r="Z3" s="907"/>
      <c r="AA3" s="907"/>
      <c r="AB3" s="907"/>
      <c r="AC3" s="995"/>
      <c r="AD3" s="898" t="s">
        <v>337</v>
      </c>
      <c r="AE3" s="897"/>
      <c r="AF3" s="897"/>
      <c r="AG3" s="897"/>
      <c r="AH3" s="897"/>
      <c r="AI3" s="999"/>
      <c r="AM3" s="792"/>
      <c r="AN3" s="789"/>
      <c r="AO3" s="789"/>
      <c r="AP3" s="789"/>
      <c r="AQ3" s="789"/>
      <c r="AR3" s="789"/>
      <c r="AS3" s="790"/>
      <c r="AT3" s="790"/>
    </row>
    <row r="4" spans="1:46">
      <c r="I4" s="947"/>
      <c r="X4" s="793"/>
      <c r="Y4" s="793"/>
      <c r="Z4" s="793"/>
      <c r="AA4" s="793"/>
      <c r="AB4" s="793"/>
      <c r="AC4" s="795"/>
      <c r="AM4" s="795"/>
      <c r="AN4" s="795"/>
      <c r="AO4" s="795"/>
      <c r="AP4" s="795"/>
      <c r="AQ4" s="795"/>
      <c r="AR4" s="795"/>
      <c r="AS4" s="795"/>
      <c r="AT4" s="795"/>
    </row>
    <row r="5" spans="1:46">
      <c r="B5" s="794" t="s">
        <v>338</v>
      </c>
      <c r="D5" s="796" t="s">
        <v>147</v>
      </c>
      <c r="E5" s="796" t="s">
        <v>148</v>
      </c>
      <c r="F5" s="796" t="s">
        <v>128</v>
      </c>
      <c r="J5" s="794" t="s">
        <v>338</v>
      </c>
      <c r="L5" s="796" t="s">
        <v>147</v>
      </c>
      <c r="M5" s="796" t="s">
        <v>148</v>
      </c>
      <c r="N5" s="796" t="s">
        <v>128</v>
      </c>
      <c r="R5" s="794" t="s">
        <v>338</v>
      </c>
      <c r="T5" s="796" t="s">
        <v>147</v>
      </c>
      <c r="U5" s="796" t="s">
        <v>148</v>
      </c>
      <c r="V5" s="796" t="s">
        <v>128</v>
      </c>
      <c r="X5" s="793"/>
      <c r="Y5" s="796" t="s">
        <v>147</v>
      </c>
      <c r="Z5" s="796" t="s">
        <v>148</v>
      </c>
      <c r="AA5" s="796" t="s">
        <v>128</v>
      </c>
      <c r="AB5" s="796" t="s">
        <v>339</v>
      </c>
      <c r="AC5" s="996"/>
      <c r="AE5" s="900" t="s">
        <v>147</v>
      </c>
      <c r="AF5" s="900" t="s">
        <v>148</v>
      </c>
      <c r="AG5" s="900" t="s">
        <v>128</v>
      </c>
      <c r="AH5" s="900" t="s">
        <v>339</v>
      </c>
      <c r="AI5" s="998"/>
      <c r="AM5" s="795"/>
      <c r="AN5" s="797"/>
      <c r="AO5" s="797"/>
      <c r="AP5" s="797"/>
      <c r="AQ5" s="797"/>
      <c r="AR5" s="797"/>
      <c r="AS5" s="795"/>
      <c r="AT5" s="795"/>
    </row>
    <row r="6" spans="1:46">
      <c r="A6" s="798" t="s">
        <v>145</v>
      </c>
      <c r="B6" s="799"/>
      <c r="C6" s="800"/>
      <c r="D6" s="801"/>
      <c r="E6" s="801"/>
      <c r="F6" s="801"/>
      <c r="I6" s="798" t="s">
        <v>145</v>
      </c>
      <c r="J6" s="799"/>
      <c r="K6" s="800"/>
      <c r="L6" s="801"/>
      <c r="M6" s="801"/>
      <c r="N6" s="801"/>
      <c r="Q6" s="798" t="s">
        <v>145</v>
      </c>
      <c r="R6" s="799"/>
      <c r="S6" s="800"/>
      <c r="T6" s="801"/>
      <c r="U6" s="801"/>
      <c r="V6" s="801"/>
      <c r="X6" s="793"/>
      <c r="Y6" s="800"/>
      <c r="Z6" s="800"/>
      <c r="AA6" s="800"/>
      <c r="AB6" s="800"/>
      <c r="AC6" s="795"/>
      <c r="AE6" s="901"/>
      <c r="AF6" s="901"/>
      <c r="AG6" s="901"/>
      <c r="AH6" s="901"/>
      <c r="AM6" s="795"/>
      <c r="AN6" s="795"/>
      <c r="AO6" s="795"/>
      <c r="AP6" s="795"/>
      <c r="AQ6" s="795"/>
      <c r="AR6" s="795"/>
      <c r="AS6" s="795"/>
      <c r="AT6" s="795"/>
    </row>
    <row r="7" spans="1:46">
      <c r="X7" s="793"/>
      <c r="Y7" s="793"/>
      <c r="Z7" s="793"/>
      <c r="AA7" s="793"/>
      <c r="AB7" s="793"/>
      <c r="AC7" s="795"/>
      <c r="AK7" s="802" t="s">
        <v>341</v>
      </c>
      <c r="AL7" s="800"/>
      <c r="AM7" s="800"/>
      <c r="AN7" s="803"/>
      <c r="AO7" s="795"/>
      <c r="AP7" s="795"/>
      <c r="AQ7" s="795"/>
      <c r="AR7" s="795"/>
      <c r="AS7" s="795"/>
      <c r="AT7" s="795"/>
    </row>
    <row r="8" spans="1:46">
      <c r="A8" s="793" t="s">
        <v>116</v>
      </c>
      <c r="B8" s="794">
        <v>1</v>
      </c>
      <c r="D8" s="804">
        <v>725</v>
      </c>
      <c r="E8" s="805">
        <f>D8*VLOOKUP(B8,B28:F31,4)</f>
        <v>473.93249999999995</v>
      </c>
      <c r="F8" s="805">
        <f>D8*VLOOKUP(B8,B28:F31,5)</f>
        <v>251.0675</v>
      </c>
      <c r="G8" s="805"/>
      <c r="I8" s="793" t="s">
        <v>116</v>
      </c>
      <c r="J8" s="794">
        <v>1</v>
      </c>
      <c r="L8" s="804">
        <v>0</v>
      </c>
      <c r="M8" s="805">
        <f>L8*VLOOKUP(J8,J28:N31,4)</f>
        <v>0</v>
      </c>
      <c r="N8" s="805">
        <f>L8*VLOOKUP(J8,J28:N31,5)</f>
        <v>0</v>
      </c>
      <c r="O8" s="805"/>
      <c r="Q8" s="793" t="s">
        <v>116</v>
      </c>
      <c r="R8" s="794">
        <v>1</v>
      </c>
      <c r="T8" s="804">
        <v>-387.64</v>
      </c>
      <c r="U8" s="805">
        <f>T8*VLOOKUP(R8,R28:V31,4)</f>
        <v>-255.18341199999998</v>
      </c>
      <c r="V8" s="805">
        <f>T8*VLOOKUP(R8,R28:V31,5)</f>
        <v>-132.45658800000001</v>
      </c>
      <c r="W8" s="805"/>
      <c r="X8" s="793" t="s">
        <v>342</v>
      </c>
      <c r="Y8" s="805">
        <f>Z8+AA8</f>
        <v>63273656.728496328</v>
      </c>
      <c r="Z8" s="805">
        <f>((U25+E25)/2+M25)/2</f>
        <v>38434272.276927195</v>
      </c>
      <c r="AA8" s="805">
        <f>((V25+F25)/2+N25)/2</f>
        <v>24839384.451569133</v>
      </c>
      <c r="AB8" s="805"/>
      <c r="AC8" s="807"/>
      <c r="AD8" s="899" t="s">
        <v>342</v>
      </c>
      <c r="AE8" s="902">
        <f>AF8+AG8</f>
        <v>80981641.088901803</v>
      </c>
      <c r="AF8" s="902">
        <f>U25</f>
        <v>49918956.372527495</v>
      </c>
      <c r="AG8" s="902">
        <f>V25</f>
        <v>31062684.716374304</v>
      </c>
      <c r="AH8" s="902"/>
      <c r="AI8" s="1000"/>
      <c r="AK8" s="806" t="s">
        <v>343</v>
      </c>
      <c r="AL8" s="807"/>
      <c r="AM8" s="795"/>
      <c r="AN8" s="808"/>
      <c r="AO8" s="807"/>
      <c r="AP8" s="807"/>
      <c r="AQ8" s="807"/>
      <c r="AR8" s="807"/>
      <c r="AS8" s="795"/>
      <c r="AT8" s="807"/>
    </row>
    <row r="9" spans="1:46">
      <c r="A9" s="793" t="s">
        <v>479</v>
      </c>
      <c r="B9" s="794">
        <v>1</v>
      </c>
      <c r="D9" s="804">
        <v>31534698</v>
      </c>
      <c r="E9" s="805">
        <f>D9*VLOOKUP(B9,B28:F31,4)</f>
        <v>20614232.082599998</v>
      </c>
      <c r="F9" s="805">
        <f>D9*VLOOKUP(B9,B28:F31,5)</f>
        <v>10920465.917400001</v>
      </c>
      <c r="G9" s="805"/>
      <c r="I9" s="793" t="s">
        <v>479</v>
      </c>
      <c r="J9" s="794">
        <v>1</v>
      </c>
      <c r="L9" s="804">
        <v>47301934.590000004</v>
      </c>
      <c r="M9" s="805">
        <f>L9*VLOOKUP(J9,J28:N31,4)</f>
        <v>30921274.641483001</v>
      </c>
      <c r="N9" s="805">
        <f>L9*VLOOKUP(J9,J28:N31,5)</f>
        <v>16380659.948517</v>
      </c>
      <c r="O9" s="805"/>
      <c r="Q9" s="793" t="s">
        <v>479</v>
      </c>
      <c r="R9" s="794">
        <v>1</v>
      </c>
      <c r="T9" s="804">
        <v>65434092.939999998</v>
      </c>
      <c r="U9" s="805">
        <f>T9*VLOOKUP(R9,R28:V31,4)</f>
        <v>43075263.382401995</v>
      </c>
      <c r="V9" s="805">
        <f>T9*VLOOKUP(R9,R28:V31,5)</f>
        <v>22358829.557597999</v>
      </c>
      <c r="W9" s="805"/>
      <c r="X9" s="793"/>
      <c r="Y9" s="793"/>
      <c r="Z9" s="793"/>
      <c r="AA9" s="793"/>
      <c r="AB9" s="793"/>
      <c r="AC9" s="795"/>
      <c r="AK9" s="809" t="s">
        <v>344</v>
      </c>
      <c r="AL9" s="810"/>
      <c r="AM9" s="810"/>
      <c r="AN9" s="811"/>
      <c r="AO9" s="795"/>
      <c r="AP9" s="795"/>
      <c r="AQ9" s="795"/>
      <c r="AR9" s="795"/>
      <c r="AS9" s="795"/>
      <c r="AT9" s="795"/>
    </row>
    <row r="10" spans="1:46">
      <c r="D10" s="804"/>
      <c r="E10" s="805"/>
      <c r="F10" s="805"/>
      <c r="G10" s="805"/>
      <c r="L10" s="804"/>
      <c r="M10" s="805"/>
      <c r="N10" s="805"/>
      <c r="O10" s="805"/>
      <c r="T10" s="804"/>
      <c r="U10" s="805"/>
      <c r="V10" s="805"/>
      <c r="W10" s="805"/>
      <c r="X10" s="793" t="s">
        <v>345</v>
      </c>
      <c r="Y10" s="805">
        <f>Z10+AA10</f>
        <v>4070675.847244422</v>
      </c>
      <c r="Z10" s="805">
        <f>((U54+E54)/2+M54)/2</f>
        <v>2228476.6011848957</v>
      </c>
      <c r="AA10" s="805">
        <f>((V54+F54)/2+N54)/2</f>
        <v>1842199.2460595262</v>
      </c>
      <c r="AB10" s="805"/>
      <c r="AC10" s="807"/>
      <c r="AD10" s="899" t="s">
        <v>345</v>
      </c>
      <c r="AE10" s="902">
        <f>AF10+AG10</f>
        <v>3165196.5308068967</v>
      </c>
      <c r="AF10" s="902">
        <f>U54</f>
        <v>1441049.267148186</v>
      </c>
      <c r="AG10" s="902">
        <f>V54</f>
        <v>1724147.2636587108</v>
      </c>
      <c r="AH10" s="902"/>
      <c r="AI10" s="1000"/>
      <c r="AK10" s="805"/>
      <c r="AL10" s="805"/>
      <c r="AM10" s="812"/>
      <c r="AN10" s="807"/>
      <c r="AO10" s="807"/>
      <c r="AP10" s="807"/>
      <c r="AQ10" s="807"/>
      <c r="AR10" s="807"/>
      <c r="AS10" s="795"/>
      <c r="AT10" s="807"/>
    </row>
    <row r="11" spans="1:46">
      <c r="D11" s="805"/>
      <c r="E11" s="805"/>
      <c r="F11" s="805"/>
      <c r="L11" s="805"/>
      <c r="M11" s="805"/>
      <c r="N11" s="805"/>
      <c r="T11" s="805"/>
      <c r="U11" s="805"/>
      <c r="V11" s="805"/>
      <c r="X11" s="793"/>
      <c r="Y11" s="793"/>
      <c r="Z11" s="793"/>
      <c r="AA11" s="793"/>
      <c r="AB11" s="793"/>
      <c r="AC11" s="795"/>
      <c r="AM11" s="795"/>
      <c r="AN11" s="795"/>
      <c r="AO11" s="795"/>
      <c r="AP11" s="795"/>
      <c r="AQ11" s="795"/>
      <c r="AR11" s="795"/>
      <c r="AS11" s="795"/>
      <c r="AT11" s="795"/>
    </row>
    <row r="12" spans="1:46">
      <c r="A12" s="793" t="s">
        <v>346</v>
      </c>
      <c r="B12" s="794">
        <v>99</v>
      </c>
      <c r="D12" s="805">
        <f>E12+F12</f>
        <v>10466843.300000001</v>
      </c>
      <c r="E12" s="804">
        <v>4698232</v>
      </c>
      <c r="F12" s="804">
        <v>5768611.2999999998</v>
      </c>
      <c r="G12" s="805"/>
      <c r="I12" s="793" t="s">
        <v>346</v>
      </c>
      <c r="J12" s="794">
        <v>99</v>
      </c>
      <c r="L12" s="805">
        <f>M12+N12</f>
        <v>10451650.1</v>
      </c>
      <c r="M12" s="804">
        <v>3531059.51</v>
      </c>
      <c r="N12" s="804">
        <v>6920590.5899999999</v>
      </c>
      <c r="O12" s="805"/>
      <c r="Q12" s="793" t="s">
        <v>346</v>
      </c>
      <c r="R12" s="794">
        <v>99</v>
      </c>
      <c r="T12" s="805">
        <f>U12+V12</f>
        <v>11569057.92</v>
      </c>
      <c r="U12" s="804">
        <v>4239178.5999999996</v>
      </c>
      <c r="V12" s="804">
        <v>7329879.3200000003</v>
      </c>
      <c r="W12" s="805"/>
      <c r="X12" s="793" t="s">
        <v>347</v>
      </c>
      <c r="Y12" s="805">
        <f>AB12+AC12</f>
        <v>4526181.5242592506</v>
      </c>
      <c r="Z12" s="793"/>
      <c r="AA12" s="793"/>
      <c r="AB12" s="805">
        <f>((U81+E81)/2+M81)/2</f>
        <v>4526181.5242592506</v>
      </c>
      <c r="AC12" s="807"/>
      <c r="AD12" s="899" t="s">
        <v>347</v>
      </c>
      <c r="AE12" s="902">
        <f>AH12+AI12</f>
        <v>5030961.6502913004</v>
      </c>
      <c r="AH12" s="902">
        <f>U81</f>
        <v>5030961.6502913004</v>
      </c>
      <c r="AI12" s="1000"/>
      <c r="AK12" s="805"/>
      <c r="AL12" s="805"/>
      <c r="AM12" s="795"/>
      <c r="AN12" s="807"/>
      <c r="AO12" s="795"/>
      <c r="AP12" s="795"/>
      <c r="AQ12" s="807"/>
      <c r="AR12" s="807"/>
      <c r="AS12" s="795"/>
      <c r="AT12" s="807"/>
    </row>
    <row r="13" spans="1:46">
      <c r="A13" s="793" t="s">
        <v>348</v>
      </c>
      <c r="B13" s="794">
        <v>10</v>
      </c>
      <c r="D13" s="804">
        <v>0</v>
      </c>
      <c r="E13" s="805">
        <f>D13*VLOOKUP(B13,B28:F31,4)</f>
        <v>0</v>
      </c>
      <c r="F13" s="805">
        <f>D13*VLOOKUP(B13,B28:F31,5)</f>
        <v>0</v>
      </c>
      <c r="G13" s="805"/>
      <c r="I13" s="793" t="s">
        <v>348</v>
      </c>
      <c r="J13" s="794">
        <v>10</v>
      </c>
      <c r="L13" s="804">
        <v>0</v>
      </c>
      <c r="M13" s="805">
        <f>L13*VLOOKUP(J13,J28:N31,4)</f>
        <v>0</v>
      </c>
      <c r="N13" s="805">
        <f>L13*VLOOKUP(J13,J28:N31,5)</f>
        <v>0</v>
      </c>
      <c r="O13" s="805"/>
      <c r="Q13" s="793" t="s">
        <v>348</v>
      </c>
      <c r="R13" s="794">
        <v>10</v>
      </c>
      <c r="T13" s="804">
        <v>0</v>
      </c>
      <c r="U13" s="805">
        <f>T13*VLOOKUP(R13,R28:V31,4)</f>
        <v>0</v>
      </c>
      <c r="V13" s="805">
        <f>T13*VLOOKUP(R13,R28:V31,5)</f>
        <v>0</v>
      </c>
      <c r="W13" s="805"/>
      <c r="X13" s="793"/>
      <c r="Y13" s="800"/>
      <c r="Z13" s="793"/>
      <c r="AA13" s="793"/>
      <c r="AB13" s="793"/>
      <c r="AC13" s="795"/>
      <c r="AE13" s="901"/>
      <c r="AM13" s="795"/>
      <c r="AN13" s="795"/>
      <c r="AO13" s="795"/>
      <c r="AP13" s="795"/>
      <c r="AQ13" s="795"/>
      <c r="AR13" s="795"/>
      <c r="AS13" s="795"/>
      <c r="AT13" s="795"/>
    </row>
    <row r="14" spans="1:46" ht="12" thickBot="1">
      <c r="D14" s="805"/>
      <c r="E14" s="805"/>
      <c r="F14" s="805"/>
      <c r="L14" s="805"/>
      <c r="M14" s="805"/>
      <c r="N14" s="805"/>
      <c r="T14" s="805"/>
      <c r="U14" s="805"/>
      <c r="V14" s="805"/>
      <c r="X14" s="793"/>
      <c r="Y14" s="805">
        <f>SUM(Y8:Y12)</f>
        <v>71870514.100000009</v>
      </c>
      <c r="Z14" s="793"/>
      <c r="AA14" s="793"/>
      <c r="AB14" s="793"/>
      <c r="AC14" s="795"/>
      <c r="AE14" s="902">
        <f>SUM(AE8:AE12)</f>
        <v>89177799.269999996</v>
      </c>
      <c r="AK14" s="793">
        <f>((D105+T105)/2+L105)/2</f>
        <v>71870514.099999994</v>
      </c>
      <c r="AM14" s="793" t="s">
        <v>349</v>
      </c>
    </row>
    <row r="15" spans="1:46" ht="12" thickTop="1">
      <c r="A15" s="793" t="s">
        <v>350</v>
      </c>
      <c r="B15" s="794">
        <v>99</v>
      </c>
      <c r="D15" s="805">
        <f>E15+F15</f>
        <v>189786.00433565764</v>
      </c>
      <c r="E15" s="805">
        <f>D101*E33</f>
        <v>144718.76588901677</v>
      </c>
      <c r="F15" s="805">
        <f>D102*F33</f>
        <v>45067.238446640862</v>
      </c>
      <c r="G15" s="805"/>
      <c r="I15" s="793" t="s">
        <v>350</v>
      </c>
      <c r="J15" s="794">
        <v>99</v>
      </c>
      <c r="L15" s="805">
        <f>M15+N15</f>
        <v>125479.06493947579</v>
      </c>
      <c r="M15" s="805">
        <f>L101*M33</f>
        <v>101752.21543043896</v>
      </c>
      <c r="N15" s="805">
        <f>L102*N33</f>
        <v>23726.849509036838</v>
      </c>
      <c r="O15" s="805"/>
      <c r="Q15" s="793" t="s">
        <v>350</v>
      </c>
      <c r="R15" s="794">
        <v>99</v>
      </c>
      <c r="T15" s="805">
        <f>U15+V15</f>
        <v>174580.2943165031</v>
      </c>
      <c r="U15" s="805">
        <f>T101*U33</f>
        <v>41827.309941112377</v>
      </c>
      <c r="V15" s="805">
        <f>T102*V33</f>
        <v>132752.98437539072</v>
      </c>
      <c r="W15" s="805"/>
      <c r="X15" s="793"/>
      <c r="Y15" s="909"/>
      <c r="Z15" s="793"/>
      <c r="AA15" s="793"/>
      <c r="AB15" s="793"/>
      <c r="AC15" s="795"/>
      <c r="AE15" s="903"/>
      <c r="AK15" s="793" t="s">
        <v>351</v>
      </c>
    </row>
    <row r="16" spans="1:46">
      <c r="A16" s="793" t="s">
        <v>352</v>
      </c>
      <c r="B16" s="794">
        <v>4</v>
      </c>
      <c r="D16" s="804">
        <v>0</v>
      </c>
      <c r="E16" s="805">
        <f>D16*VLOOKUP(B16,B28:F31,4)</f>
        <v>0</v>
      </c>
      <c r="F16" s="805">
        <f>D16*VLOOKUP(B16,B28:F31,5)</f>
        <v>0</v>
      </c>
      <c r="G16" s="805"/>
      <c r="I16" s="793" t="s">
        <v>352</v>
      </c>
      <c r="J16" s="794">
        <v>4</v>
      </c>
      <c r="L16" s="804">
        <v>0</v>
      </c>
      <c r="M16" s="805">
        <f>L16*VLOOKUP(J16,J28:N31,4)</f>
        <v>0</v>
      </c>
      <c r="N16" s="805">
        <f>L16*VLOOKUP(J16,J28:N31,5)</f>
        <v>0</v>
      </c>
      <c r="O16" s="805"/>
      <c r="Q16" s="793" t="s">
        <v>352</v>
      </c>
      <c r="R16" s="794">
        <v>4</v>
      </c>
      <c r="T16" s="804">
        <v>0</v>
      </c>
      <c r="U16" s="805">
        <f>T16*VLOOKUP(R16,R28:V31,4)</f>
        <v>0</v>
      </c>
      <c r="V16" s="805">
        <f>T16*VLOOKUP(R16,R28:V31,5)</f>
        <v>0</v>
      </c>
      <c r="W16" s="805"/>
      <c r="AK16" s="793" t="s">
        <v>473</v>
      </c>
    </row>
    <row r="17" spans="1:37">
      <c r="D17" s="805"/>
      <c r="E17" s="805"/>
      <c r="F17" s="805"/>
      <c r="L17" s="805"/>
      <c r="M17" s="805"/>
      <c r="N17" s="805"/>
      <c r="T17" s="805"/>
      <c r="U17" s="805"/>
      <c r="V17" s="805"/>
      <c r="AK17" s="793" t="s">
        <v>474</v>
      </c>
    </row>
    <row r="18" spans="1:37">
      <c r="A18" s="793" t="s">
        <v>353</v>
      </c>
      <c r="B18" s="794">
        <v>4</v>
      </c>
      <c r="D18" s="805">
        <f>E94</f>
        <v>3691977.6972772996</v>
      </c>
      <c r="E18" s="805">
        <f>D18*VLOOKUP(B18,B28:F31,4)</f>
        <v>2407538.6563945273</v>
      </c>
      <c r="F18" s="805">
        <f>D18*VLOOKUP(B18,B28:F31,5)</f>
        <v>1284439.0408827725</v>
      </c>
      <c r="I18" s="793" t="s">
        <v>353</v>
      </c>
      <c r="J18" s="794">
        <v>4</v>
      </c>
      <c r="L18" s="805">
        <f>M94</f>
        <v>5397894.6267957995</v>
      </c>
      <c r="M18" s="805">
        <f>L18*VLOOKUP(J18,J28:N31,4)</f>
        <v>3519967.0861335411</v>
      </c>
      <c r="N18" s="805">
        <f>L18*VLOOKUP(J18,J28:N31,5)</f>
        <v>1877927.5406622586</v>
      </c>
      <c r="Q18" s="793" t="s">
        <v>353</v>
      </c>
      <c r="R18" s="794">
        <v>4</v>
      </c>
      <c r="T18" s="805">
        <f>U94</f>
        <v>4770143.8745853007</v>
      </c>
      <c r="U18" s="805">
        <f>T18*VLOOKUP(R18,R28:V31,4)</f>
        <v>3158312.2593629276</v>
      </c>
      <c r="V18" s="805">
        <f>T18*VLOOKUP(R18,R28:V31,5)</f>
        <v>1611831.615222373</v>
      </c>
      <c r="Y18" s="899">
        <f>((T105+D105)/2+L105)/2</f>
        <v>71870514.099999994</v>
      </c>
      <c r="AK18" s="793" t="s">
        <v>354</v>
      </c>
    </row>
    <row r="19" spans="1:37">
      <c r="D19" s="805"/>
      <c r="E19" s="805"/>
      <c r="F19" s="805"/>
      <c r="L19" s="805"/>
      <c r="M19" s="805"/>
      <c r="N19" s="805"/>
      <c r="T19" s="805"/>
      <c r="U19" s="805"/>
      <c r="V19" s="805"/>
    </row>
    <row r="20" spans="1:37">
      <c r="A20" s="793" t="s">
        <v>355</v>
      </c>
      <c r="D20" s="813">
        <f>SUM(D8:D18)</f>
        <v>45884030.001612954</v>
      </c>
      <c r="E20" s="813">
        <f>SUM(E8:E18)</f>
        <v>27865195.43738354</v>
      </c>
      <c r="F20" s="813">
        <f>SUM(F8:F18)</f>
        <v>18018834.564229418</v>
      </c>
      <c r="G20" s="805"/>
      <c r="I20" s="793" t="s">
        <v>355</v>
      </c>
      <c r="L20" s="813">
        <f>SUM(L8:L18)</f>
        <v>63276958.38173528</v>
      </c>
      <c r="M20" s="813">
        <f>SUM(M8:M18)</f>
        <v>38074053.453046978</v>
      </c>
      <c r="N20" s="813">
        <f>SUM(N8:N18)</f>
        <v>25202904.928688295</v>
      </c>
      <c r="O20" s="805"/>
      <c r="Q20" s="793" t="s">
        <v>355</v>
      </c>
      <c r="T20" s="813">
        <f>SUM(T8:T18)</f>
        <v>81947487.3889018</v>
      </c>
      <c r="U20" s="813">
        <f>SUM(U8:U18)</f>
        <v>50514326.368294038</v>
      </c>
      <c r="V20" s="813">
        <f>SUM(V8:V18)</f>
        <v>31433161.020607762</v>
      </c>
      <c r="W20" s="805"/>
    </row>
    <row r="21" spans="1:37">
      <c r="A21" s="793" t="s">
        <v>356</v>
      </c>
      <c r="D21" s="814">
        <f>D20/D20</f>
        <v>1</v>
      </c>
      <c r="E21" s="814">
        <f>E20/D20</f>
        <v>0.60729616462207003</v>
      </c>
      <c r="F21" s="814">
        <f>F20/D20</f>
        <v>0.39270383537793008</v>
      </c>
      <c r="I21" s="793" t="s">
        <v>356</v>
      </c>
      <c r="L21" s="814">
        <f>L20/L20</f>
        <v>1</v>
      </c>
      <c r="M21" s="814">
        <f>M20/L20</f>
        <v>0.6017048610863216</v>
      </c>
      <c r="N21" s="814">
        <f>N20/L20</f>
        <v>0.39829513891367835</v>
      </c>
      <c r="Q21" s="793" t="s">
        <v>356</v>
      </c>
      <c r="T21" s="814">
        <f>T20/T20</f>
        <v>1</v>
      </c>
      <c r="U21" s="814">
        <f>U20/T20</f>
        <v>0.61642312629508667</v>
      </c>
      <c r="V21" s="814">
        <f>V20/T20</f>
        <v>0.38357687370491333</v>
      </c>
    </row>
    <row r="22" spans="1:37">
      <c r="D22" s="814"/>
      <c r="L22" s="814"/>
      <c r="T22" s="814"/>
    </row>
    <row r="23" spans="1:37">
      <c r="A23" s="793" t="s">
        <v>357</v>
      </c>
      <c r="D23" s="804">
        <f>-184032+32024+972614-756047</f>
        <v>64559</v>
      </c>
      <c r="E23" s="805">
        <f>D23*E21</f>
        <v>39206.433091836217</v>
      </c>
      <c r="F23" s="805">
        <f>D23*F21</f>
        <v>25352.566908163786</v>
      </c>
      <c r="G23" s="805"/>
      <c r="I23" s="793" t="s">
        <v>357</v>
      </c>
      <c r="L23" s="804">
        <f>-69041.68+67384.58+509735.07-702837.94</f>
        <v>-194759.96999999991</v>
      </c>
      <c r="M23" s="805">
        <f>L23*M21</f>
        <v>-117188.02069402611</v>
      </c>
      <c r="N23" s="805">
        <f>L23*N21</f>
        <v>-77571.949305973787</v>
      </c>
      <c r="O23" s="805"/>
      <c r="Q23" s="793" t="s">
        <v>357</v>
      </c>
      <c r="T23" s="804">
        <f>-44179.44-167349.32-662077.67-92239.87</f>
        <v>-965846.3</v>
      </c>
      <c r="U23" s="805">
        <f>T23*U21</f>
        <v>-595369.99576654215</v>
      </c>
      <c r="V23" s="805">
        <f>T23*V21</f>
        <v>-370476.30423345783</v>
      </c>
      <c r="W23" s="805"/>
    </row>
    <row r="25" spans="1:37">
      <c r="A25" s="793" t="s">
        <v>342</v>
      </c>
      <c r="D25" s="815">
        <f>D20+D23</f>
        <v>45948589.001612954</v>
      </c>
      <c r="E25" s="815">
        <f>E20+E23</f>
        <v>27904401.870475378</v>
      </c>
      <c r="F25" s="815">
        <f>F20+F23</f>
        <v>18044187.13113758</v>
      </c>
      <c r="G25" s="805"/>
      <c r="I25" s="793" t="s">
        <v>342</v>
      </c>
      <c r="L25" s="815">
        <f>L20+L23</f>
        <v>63082198.411735281</v>
      </c>
      <c r="M25" s="815">
        <f>M20+M23</f>
        <v>37956865.432352953</v>
      </c>
      <c r="N25" s="815">
        <f>N20+N23</f>
        <v>25125332.979382321</v>
      </c>
      <c r="O25" s="805"/>
      <c r="Q25" s="793" t="s">
        <v>342</v>
      </c>
      <c r="T25" s="815">
        <f>T20+T23</f>
        <v>80981641.088901803</v>
      </c>
      <c r="U25" s="815">
        <f>U20+U23</f>
        <v>49918956.372527495</v>
      </c>
      <c r="V25" s="815">
        <f>V20+V23</f>
        <v>31062684.716374304</v>
      </c>
      <c r="W25" s="805"/>
    </row>
    <row r="26" spans="1:37">
      <c r="D26" s="805"/>
      <c r="L26" s="805"/>
      <c r="T26" s="805"/>
    </row>
    <row r="27" spans="1:37">
      <c r="A27" s="816" t="s">
        <v>358</v>
      </c>
      <c r="I27" s="816" t="s">
        <v>358</v>
      </c>
      <c r="Q27" s="816" t="s">
        <v>358</v>
      </c>
    </row>
    <row r="28" spans="1:37">
      <c r="A28" s="793" t="s">
        <v>359</v>
      </c>
      <c r="B28" s="794">
        <v>1</v>
      </c>
      <c r="D28" s="814">
        <f>E28+F28</f>
        <v>1</v>
      </c>
      <c r="E28" s="817">
        <v>0.65369999999999995</v>
      </c>
      <c r="F28" s="817">
        <v>0.3463</v>
      </c>
      <c r="I28" s="793" t="s">
        <v>359</v>
      </c>
      <c r="J28" s="794">
        <v>1</v>
      </c>
      <c r="L28" s="814">
        <f>M28+N28</f>
        <v>1</v>
      </c>
      <c r="M28" s="817">
        <v>0.65369999999999995</v>
      </c>
      <c r="N28" s="817">
        <v>0.3463</v>
      </c>
      <c r="Q28" s="793" t="s">
        <v>359</v>
      </c>
      <c r="R28" s="794">
        <v>1</v>
      </c>
      <c r="T28" s="814">
        <f>U28+V28</f>
        <v>1</v>
      </c>
      <c r="U28" s="817">
        <v>0.6583</v>
      </c>
      <c r="V28" s="817">
        <v>0.3417</v>
      </c>
    </row>
    <row r="29" spans="1:37">
      <c r="A29" s="793" t="s">
        <v>360</v>
      </c>
      <c r="B29" s="794">
        <v>4</v>
      </c>
      <c r="D29" s="814">
        <f>E29+F29</f>
        <v>1</v>
      </c>
      <c r="E29" s="817">
        <v>0.65210000000000001</v>
      </c>
      <c r="F29" s="817">
        <v>0.34789999999999999</v>
      </c>
      <c r="I29" s="793" t="s">
        <v>360</v>
      </c>
      <c r="J29" s="794">
        <v>4</v>
      </c>
      <c r="L29" s="814">
        <f>M29+N29</f>
        <v>1</v>
      </c>
      <c r="M29" s="817">
        <v>0.65210000000000001</v>
      </c>
      <c r="N29" s="817">
        <v>0.34789999999999999</v>
      </c>
      <c r="Q29" s="793" t="s">
        <v>360</v>
      </c>
      <c r="R29" s="794">
        <v>4</v>
      </c>
      <c r="T29" s="814">
        <f>U29+V29</f>
        <v>1</v>
      </c>
      <c r="U29" s="817">
        <v>0.66210000000000002</v>
      </c>
      <c r="V29" s="817">
        <v>0.33789999999999998</v>
      </c>
    </row>
    <row r="30" spans="1:37">
      <c r="A30" s="793" t="s">
        <v>361</v>
      </c>
      <c r="B30" s="794">
        <v>10</v>
      </c>
      <c r="D30" s="814">
        <f>E30+F30</f>
        <v>1</v>
      </c>
      <c r="E30" s="817">
        <v>0.62219999999999998</v>
      </c>
      <c r="F30" s="817">
        <v>0.37780000000000002</v>
      </c>
      <c r="I30" s="793" t="s">
        <v>361</v>
      </c>
      <c r="J30" s="794">
        <v>10</v>
      </c>
      <c r="L30" s="814">
        <f>M30+N30</f>
        <v>1</v>
      </c>
      <c r="M30" s="817">
        <v>0.62190000000000001</v>
      </c>
      <c r="N30" s="817">
        <v>0.37809999999999999</v>
      </c>
      <c r="Q30" s="793" t="s">
        <v>361</v>
      </c>
      <c r="R30" s="794">
        <v>10</v>
      </c>
      <c r="T30" s="814">
        <f>U30+V30</f>
        <v>1</v>
      </c>
      <c r="U30" s="817">
        <v>0.62175000000000002</v>
      </c>
      <c r="V30" s="817">
        <v>0.37824999999999998</v>
      </c>
    </row>
    <row r="31" spans="1:37">
      <c r="A31" s="793" t="s">
        <v>362</v>
      </c>
      <c r="B31" s="794">
        <v>99</v>
      </c>
      <c r="D31" s="814">
        <f>E31+F31</f>
        <v>0</v>
      </c>
      <c r="E31" s="817">
        <v>0</v>
      </c>
      <c r="F31" s="817">
        <v>0</v>
      </c>
      <c r="I31" s="793" t="s">
        <v>362</v>
      </c>
      <c r="J31" s="794">
        <v>99</v>
      </c>
      <c r="L31" s="814">
        <f>M31+N31</f>
        <v>0</v>
      </c>
      <c r="M31" s="817">
        <v>0</v>
      </c>
      <c r="N31" s="817">
        <v>0</v>
      </c>
      <c r="Q31" s="793" t="s">
        <v>362</v>
      </c>
      <c r="R31" s="794">
        <v>99</v>
      </c>
      <c r="T31" s="814">
        <f>U31+V31</f>
        <v>0</v>
      </c>
      <c r="U31" s="817">
        <f>M31</f>
        <v>0</v>
      </c>
      <c r="V31" s="817">
        <f>N31</f>
        <v>0</v>
      </c>
    </row>
    <row r="32" spans="1:37">
      <c r="E32" s="957">
        <f>E99*E29</f>
        <v>0.51723267800000006</v>
      </c>
      <c r="F32" s="957">
        <f>E99*F29</f>
        <v>0.27594732199999999</v>
      </c>
      <c r="M32" s="957">
        <f>M99*M29</f>
        <v>0.52297115800000005</v>
      </c>
      <c r="N32" s="957">
        <f>M99*N29</f>
        <v>0.27900884199999998</v>
      </c>
      <c r="U32" s="957">
        <f>U99*U29</f>
        <v>0.53099095800000007</v>
      </c>
      <c r="V32" s="957">
        <f>U99*V29</f>
        <v>0.27098904200000001</v>
      </c>
    </row>
    <row r="33" spans="1:35">
      <c r="E33" s="958">
        <f>E32/(E32+E61)</f>
        <v>0.78435379627340296</v>
      </c>
      <c r="F33" s="958">
        <f>F32/(F32+F61)</f>
        <v>0.8102703784005908</v>
      </c>
      <c r="I33" s="793" t="s">
        <v>483</v>
      </c>
      <c r="M33" s="958">
        <f>M32/(M32+M61)</f>
        <v>0.79343153915223708</v>
      </c>
      <c r="N33" s="958">
        <f>N32/(N32+N61)</f>
        <v>0.81850958725276601</v>
      </c>
      <c r="U33" s="958">
        <f>U32/(U32+U61)</f>
        <v>0.79521369469838732</v>
      </c>
      <c r="V33" s="958">
        <f>V32/(V32+V61)</f>
        <v>0.8155777962347921</v>
      </c>
    </row>
    <row r="34" spans="1:35" s="796" customFormat="1">
      <c r="B34" s="796" t="s">
        <v>338</v>
      </c>
      <c r="D34" s="796" t="s">
        <v>147</v>
      </c>
      <c r="E34" s="796" t="s">
        <v>148</v>
      </c>
      <c r="F34" s="796" t="s">
        <v>128</v>
      </c>
      <c r="J34" s="796" t="s">
        <v>338</v>
      </c>
      <c r="L34" s="796" t="s">
        <v>147</v>
      </c>
      <c r="M34" s="796" t="s">
        <v>148</v>
      </c>
      <c r="N34" s="796" t="s">
        <v>128</v>
      </c>
      <c r="R34" s="796" t="s">
        <v>338</v>
      </c>
      <c r="T34" s="796" t="s">
        <v>147</v>
      </c>
      <c r="U34" s="796" t="s">
        <v>148</v>
      </c>
      <c r="V34" s="796" t="s">
        <v>128</v>
      </c>
      <c r="X34" s="900"/>
      <c r="Y34" s="900"/>
      <c r="Z34" s="900"/>
      <c r="AA34" s="900"/>
      <c r="AB34" s="900"/>
      <c r="AC34" s="998"/>
      <c r="AD34" s="900"/>
      <c r="AE34" s="900"/>
      <c r="AF34" s="900"/>
      <c r="AG34" s="900"/>
      <c r="AH34" s="900"/>
      <c r="AI34" s="998"/>
    </row>
    <row r="35" spans="1:35">
      <c r="A35" s="798" t="s">
        <v>363</v>
      </c>
      <c r="B35" s="799"/>
      <c r="C35" s="800"/>
      <c r="D35" s="800"/>
      <c r="E35" s="800"/>
      <c r="F35" s="800"/>
      <c r="I35" s="798" t="s">
        <v>363</v>
      </c>
      <c r="J35" s="799"/>
      <c r="K35" s="800"/>
      <c r="L35" s="800"/>
      <c r="M35" s="800"/>
      <c r="N35" s="800"/>
      <c r="Q35" s="798" t="s">
        <v>363</v>
      </c>
      <c r="R35" s="799"/>
      <c r="S35" s="800"/>
      <c r="T35" s="800"/>
      <c r="U35" s="800"/>
      <c r="V35" s="800"/>
    </row>
    <row r="36" spans="1:35">
      <c r="B36" s="797"/>
      <c r="C36" s="795"/>
      <c r="D36" s="795"/>
      <c r="E36" s="795"/>
      <c r="F36" s="795"/>
      <c r="J36" s="797"/>
      <c r="K36" s="795"/>
      <c r="L36" s="795"/>
      <c r="M36" s="795"/>
      <c r="N36" s="795"/>
      <c r="R36" s="797"/>
      <c r="S36" s="795"/>
      <c r="T36" s="795"/>
      <c r="U36" s="795"/>
      <c r="V36" s="795"/>
    </row>
    <row r="37" spans="1:35">
      <c r="A37" s="793" t="s">
        <v>116</v>
      </c>
      <c r="B37" s="797">
        <v>4</v>
      </c>
      <c r="C37" s="795"/>
      <c r="D37" s="818">
        <v>0</v>
      </c>
      <c r="E37" s="805">
        <f>D37*VLOOKUP(B37,B57:F61,4)</f>
        <v>0</v>
      </c>
      <c r="F37" s="805">
        <f>D37*VLOOKUP(B37,B57:F61,5)</f>
        <v>0</v>
      </c>
      <c r="I37" s="793" t="s">
        <v>116</v>
      </c>
      <c r="J37" s="797">
        <v>4</v>
      </c>
      <c r="K37" s="795"/>
      <c r="L37" s="818">
        <v>0</v>
      </c>
      <c r="M37" s="805">
        <f>L37*VLOOKUP(J37,J57:N61,4)</f>
        <v>0</v>
      </c>
      <c r="N37" s="805">
        <f>L37*VLOOKUP(J37,J57:N61,5)</f>
        <v>0</v>
      </c>
      <c r="Q37" s="793" t="s">
        <v>116</v>
      </c>
      <c r="R37" s="797">
        <v>4</v>
      </c>
      <c r="S37" s="795"/>
      <c r="T37" s="818">
        <v>0</v>
      </c>
      <c r="U37" s="805">
        <f>T37*VLOOKUP(R37,R57:V61,4)</f>
        <v>0</v>
      </c>
      <c r="V37" s="805">
        <f>T37*VLOOKUP(R37,R57:V61,5)</f>
        <v>0</v>
      </c>
    </row>
    <row r="39" spans="1:35">
      <c r="A39" s="793" t="s">
        <v>364</v>
      </c>
      <c r="B39" s="794" t="s">
        <v>365</v>
      </c>
      <c r="D39" s="804">
        <v>0</v>
      </c>
      <c r="E39" s="805">
        <f>D39*VLOOKUP(B39,B57:F61,4)</f>
        <v>0</v>
      </c>
      <c r="F39" s="805">
        <f>D39*VLOOKUP(B39,B57:F61,5)</f>
        <v>0</v>
      </c>
      <c r="I39" s="793" t="s">
        <v>364</v>
      </c>
      <c r="J39" s="794" t="s">
        <v>365</v>
      </c>
      <c r="L39" s="804">
        <v>0</v>
      </c>
      <c r="M39" s="805">
        <f>L39*VLOOKUP(J39,J57:N61,4)</f>
        <v>0</v>
      </c>
      <c r="N39" s="805">
        <f>L39*VLOOKUP(J39,J57:N61,5)</f>
        <v>0</v>
      </c>
      <c r="Q39" s="793" t="s">
        <v>364</v>
      </c>
      <c r="R39" s="794" t="s">
        <v>365</v>
      </c>
      <c r="T39" s="804">
        <v>0</v>
      </c>
      <c r="U39" s="805">
        <f>T39*VLOOKUP(R39,R57:V61,4)</f>
        <v>0</v>
      </c>
      <c r="V39" s="805">
        <f>T39*VLOOKUP(R39,R57:V61,5)</f>
        <v>0</v>
      </c>
    </row>
    <row r="40" spans="1:35">
      <c r="D40" s="805"/>
      <c r="E40" s="805"/>
      <c r="F40" s="805"/>
      <c r="L40" s="805"/>
      <c r="M40" s="805"/>
      <c r="N40" s="805"/>
      <c r="T40" s="805"/>
      <c r="U40" s="805"/>
      <c r="V40" s="805"/>
    </row>
    <row r="41" spans="1:35">
      <c r="A41" s="793" t="s">
        <v>346</v>
      </c>
      <c r="B41" s="794">
        <v>99</v>
      </c>
      <c r="D41" s="805">
        <f>E41+F41</f>
        <v>3589861.69</v>
      </c>
      <c r="E41" s="804">
        <v>1698005</v>
      </c>
      <c r="F41" s="804">
        <v>1891856.69</v>
      </c>
      <c r="G41" s="805"/>
      <c r="I41" s="793" t="s">
        <v>346</v>
      </c>
      <c r="J41" s="794">
        <v>99</v>
      </c>
      <c r="L41" s="805">
        <f>M41+N41</f>
        <v>3507087.2</v>
      </c>
      <c r="M41" s="804">
        <v>1908824.51</v>
      </c>
      <c r="N41" s="804">
        <v>1598262.69</v>
      </c>
      <c r="O41" s="805"/>
      <c r="Q41" s="793" t="s">
        <v>346</v>
      </c>
      <c r="R41" s="794">
        <v>99</v>
      </c>
      <c r="T41" s="805">
        <f>U41+V41</f>
        <v>1868904.56</v>
      </c>
      <c r="U41" s="804">
        <v>533971.94999999995</v>
      </c>
      <c r="V41" s="804">
        <v>1334932.6100000001</v>
      </c>
      <c r="W41" s="805"/>
    </row>
    <row r="42" spans="1:35">
      <c r="A42" s="793" t="s">
        <v>348</v>
      </c>
      <c r="B42" s="794">
        <v>6</v>
      </c>
      <c r="D42" s="804">
        <v>36151</v>
      </c>
      <c r="E42" s="805">
        <f>D42*VLOOKUP(B42,B57:F61,4)</f>
        <v>25786.146789999999</v>
      </c>
      <c r="F42" s="805">
        <f>D42*VLOOKUP(B42,B57:F61,5)</f>
        <v>10364.853210000001</v>
      </c>
      <c r="I42" s="793" t="s">
        <v>348</v>
      </c>
      <c r="J42" s="794">
        <v>6</v>
      </c>
      <c r="L42" s="804">
        <v>66368.31</v>
      </c>
      <c r="M42" s="805">
        <f>L42*VLOOKUP(J42,J57:N61,4)</f>
        <v>47031.239198399999</v>
      </c>
      <c r="N42" s="805">
        <f>L42*VLOOKUP(J42,J57:N61,5)</f>
        <v>19337.070801599999</v>
      </c>
      <c r="Q42" s="793" t="s">
        <v>348</v>
      </c>
      <c r="R42" s="794">
        <v>6</v>
      </c>
      <c r="T42" s="804">
        <v>134238.43</v>
      </c>
      <c r="U42" s="805">
        <f>T42*VLOOKUP(R42,R57:V61,4)</f>
        <v>95681.1257511</v>
      </c>
      <c r="V42" s="805">
        <f>T42*VLOOKUP(R42,R57:V61,5)</f>
        <v>38557.304248899993</v>
      </c>
    </row>
    <row r="43" spans="1:35">
      <c r="D43" s="805"/>
      <c r="E43" s="805"/>
      <c r="F43" s="805"/>
      <c r="L43" s="805"/>
      <c r="M43" s="805"/>
      <c r="N43" s="805"/>
      <c r="T43" s="805"/>
      <c r="U43" s="805"/>
      <c r="V43" s="805"/>
    </row>
    <row r="44" spans="1:35">
      <c r="A44" s="793" t="s">
        <v>350</v>
      </c>
      <c r="B44" s="794">
        <v>99</v>
      </c>
      <c r="D44" s="805">
        <f>E44+F44</f>
        <v>50340.995664342401</v>
      </c>
      <c r="E44" s="805">
        <f>D101*E62</f>
        <v>39788.234110983263</v>
      </c>
      <c r="F44" s="805">
        <f>D102*F62</f>
        <v>10552.761553359138</v>
      </c>
      <c r="G44" s="805"/>
      <c r="I44" s="793" t="s">
        <v>350</v>
      </c>
      <c r="J44" s="794">
        <v>99</v>
      </c>
      <c r="L44" s="805">
        <f>M44+N44</f>
        <v>31752.025060524204</v>
      </c>
      <c r="M44" s="805">
        <f>L101*M62</f>
        <v>26491.004569561042</v>
      </c>
      <c r="N44" s="805">
        <f>L102*N62</f>
        <v>5261.020490963162</v>
      </c>
      <c r="O44" s="805"/>
      <c r="Q44" s="793" t="s">
        <v>350</v>
      </c>
      <c r="R44" s="794">
        <v>99</v>
      </c>
      <c r="T44" s="805">
        <f>U44+V44</f>
        <v>40790.23568349691</v>
      </c>
      <c r="U44" s="805">
        <f>T101*U62</f>
        <v>10771.520058887623</v>
      </c>
      <c r="V44" s="805">
        <f>T102*V62</f>
        <v>30018.715624609285</v>
      </c>
      <c r="W44" s="805"/>
    </row>
    <row r="45" spans="1:35">
      <c r="A45" s="793" t="s">
        <v>352</v>
      </c>
      <c r="B45" s="794">
        <v>4</v>
      </c>
      <c r="D45" s="804">
        <v>0</v>
      </c>
      <c r="E45" s="805">
        <f>D45*VLOOKUP(B45,B57:F61,4)</f>
        <v>0</v>
      </c>
      <c r="F45" s="805">
        <f>D45*VLOOKUP(B45,B57:F61,5)</f>
        <v>0</v>
      </c>
      <c r="I45" s="793" t="s">
        <v>352</v>
      </c>
      <c r="J45" s="794">
        <v>4</v>
      </c>
      <c r="L45" s="804">
        <v>0</v>
      </c>
      <c r="M45" s="805">
        <f>L45*VLOOKUP(J45,J57:N61,4)</f>
        <v>0</v>
      </c>
      <c r="N45" s="805">
        <f>L45*VLOOKUP(J45,J57:N61,5)</f>
        <v>0</v>
      </c>
      <c r="Q45" s="793" t="s">
        <v>352</v>
      </c>
      <c r="R45" s="794">
        <v>4</v>
      </c>
      <c r="T45" s="804">
        <v>0</v>
      </c>
      <c r="U45" s="805">
        <f>T45*VLOOKUP(R45,R57:V61,4)</f>
        <v>0</v>
      </c>
      <c r="V45" s="805">
        <f>T45*VLOOKUP(R45,R57:V61,5)</f>
        <v>0</v>
      </c>
    </row>
    <row r="46" spans="1:35">
      <c r="D46" s="805"/>
      <c r="E46" s="805"/>
      <c r="F46" s="805"/>
      <c r="L46" s="805"/>
      <c r="M46" s="805"/>
      <c r="N46" s="805"/>
      <c r="T46" s="805"/>
      <c r="U46" s="805"/>
      <c r="V46" s="805"/>
    </row>
    <row r="47" spans="1:35">
      <c r="A47" s="793" t="s">
        <v>366</v>
      </c>
      <c r="B47" s="794">
        <v>4</v>
      </c>
      <c r="D47" s="805">
        <f>F94</f>
        <v>1223071.1194585999</v>
      </c>
      <c r="E47" s="805">
        <f>D47*VLOOKUP(B47,B57:F61,4)</f>
        <v>840959.24031734408</v>
      </c>
      <c r="F47" s="805">
        <f>D47*VLOOKUP(B47,B57:F61,5)</f>
        <v>382111.87914125575</v>
      </c>
      <c r="G47" s="805"/>
      <c r="I47" s="793" t="s">
        <v>366</v>
      </c>
      <c r="J47" s="794">
        <v>4</v>
      </c>
      <c r="L47" s="805">
        <f>N94</f>
        <v>1348972.7364633998</v>
      </c>
      <c r="M47" s="805">
        <f>L47*VLOOKUP(J47,J57:N61,4)</f>
        <v>927526.67413750442</v>
      </c>
      <c r="N47" s="805">
        <f>L47*VLOOKUP(J47,J57:N61,5)</f>
        <v>421446.06232589536</v>
      </c>
      <c r="O47" s="805"/>
      <c r="Q47" s="793" t="s">
        <v>366</v>
      </c>
      <c r="R47" s="794">
        <v>4</v>
      </c>
      <c r="T47" s="805">
        <f>V94</f>
        <v>1233203.8251234</v>
      </c>
      <c r="U47" s="805">
        <f>T47*VLOOKUP(R47,R57:V61,4)</f>
        <v>851588.90143896383</v>
      </c>
      <c r="V47" s="805">
        <f>T47*VLOOKUP(R47,R57:V61,5)</f>
        <v>381614.92368443613</v>
      </c>
      <c r="W47" s="805"/>
    </row>
    <row r="48" spans="1:35">
      <c r="D48" s="805"/>
      <c r="E48" s="805"/>
      <c r="F48" s="805"/>
      <c r="L48" s="805"/>
      <c r="M48" s="805"/>
      <c r="N48" s="805"/>
      <c r="T48" s="805"/>
      <c r="U48" s="805"/>
      <c r="V48" s="805"/>
    </row>
    <row r="49" spans="1:35">
      <c r="A49" s="793" t="s">
        <v>367</v>
      </c>
      <c r="D49" s="805">
        <f>SUM(D37:D47)</f>
        <v>4899424.8051229417</v>
      </c>
      <c r="E49" s="805">
        <f>SUM(E37:E47)</f>
        <v>2604538.6212183274</v>
      </c>
      <c r="F49" s="805">
        <f>SUM(F37:F47)</f>
        <v>2294886.1839046152</v>
      </c>
      <c r="G49" s="805"/>
      <c r="I49" s="793" t="s">
        <v>367</v>
      </c>
      <c r="L49" s="805">
        <f>SUM(L37:L47)</f>
        <v>4954180.2715239245</v>
      </c>
      <c r="M49" s="805">
        <f>SUM(M37:M47)</f>
        <v>2909873.4279054655</v>
      </c>
      <c r="N49" s="805">
        <f>SUM(N37:N47)</f>
        <v>2044306.8436184584</v>
      </c>
      <c r="O49" s="805"/>
      <c r="Q49" s="793" t="s">
        <v>367</v>
      </c>
      <c r="T49" s="805">
        <f>SUM(T37:T47)</f>
        <v>3277137.0508068968</v>
      </c>
      <c r="U49" s="805">
        <f>SUM(U37:U47)</f>
        <v>1492013.4972489513</v>
      </c>
      <c r="V49" s="805">
        <f>SUM(V37:V47)</f>
        <v>1785123.5535579454</v>
      </c>
      <c r="W49" s="805"/>
    </row>
    <row r="50" spans="1:35">
      <c r="A50" s="793" t="s">
        <v>356</v>
      </c>
      <c r="D50" s="814">
        <f>D49/D$49</f>
        <v>1</v>
      </c>
      <c r="E50" s="814">
        <f>E49/D$49</f>
        <v>0.53160089700631119</v>
      </c>
      <c r="F50" s="814">
        <f>F49/D$49</f>
        <v>0.46839910299368898</v>
      </c>
      <c r="I50" s="793" t="s">
        <v>356</v>
      </c>
      <c r="L50" s="814">
        <f>L49/L$49</f>
        <v>1</v>
      </c>
      <c r="M50" s="814">
        <f>M49/L$49</f>
        <v>0.58735719501994976</v>
      </c>
      <c r="N50" s="814">
        <f>N49/L$49</f>
        <v>0.41264280498005007</v>
      </c>
      <c r="Q50" s="793" t="s">
        <v>356</v>
      </c>
      <c r="T50" s="814">
        <f>T49/T$49</f>
        <v>1</v>
      </c>
      <c r="U50" s="814">
        <f>U49/T$49</f>
        <v>0.45527955472035803</v>
      </c>
      <c r="V50" s="814">
        <f>V49/T$49</f>
        <v>0.54472044527964192</v>
      </c>
    </row>
    <row r="52" spans="1:35">
      <c r="A52" s="793" t="s">
        <v>368</v>
      </c>
      <c r="D52" s="804">
        <v>-741959.11</v>
      </c>
      <c r="E52" s="805">
        <f>D52*E50</f>
        <v>-394426.12841800431</v>
      </c>
      <c r="F52" s="805">
        <f>D52*F50</f>
        <v>-347532.98158199579</v>
      </c>
      <c r="G52" s="805"/>
      <c r="I52" s="793" t="s">
        <v>368</v>
      </c>
      <c r="L52" s="804">
        <v>-474159.69</v>
      </c>
      <c r="M52" s="805">
        <f>L52*M50</f>
        <v>-278501.10550992895</v>
      </c>
      <c r="N52" s="805">
        <f>L52*N50</f>
        <v>-195658.58449007099</v>
      </c>
      <c r="O52" s="805"/>
      <c r="Q52" s="793" t="s">
        <v>368</v>
      </c>
      <c r="T52" s="804">
        <v>-111940.52</v>
      </c>
      <c r="U52" s="805">
        <f>T52*U50</f>
        <v>-50964.230100765337</v>
      </c>
      <c r="V52" s="805">
        <f>T52*V50</f>
        <v>-60976.289899234667</v>
      </c>
      <c r="W52" s="805"/>
    </row>
    <row r="54" spans="1:35">
      <c r="A54" s="793" t="s">
        <v>345</v>
      </c>
      <c r="D54" s="815">
        <f>D49+D52</f>
        <v>4157465.6951229419</v>
      </c>
      <c r="E54" s="815">
        <f>E49+E52</f>
        <v>2210112.4928003233</v>
      </c>
      <c r="F54" s="815">
        <f>F49+F52</f>
        <v>1947353.2023226195</v>
      </c>
      <c r="G54" s="805"/>
      <c r="I54" s="793" t="s">
        <v>345</v>
      </c>
      <c r="L54" s="815">
        <f>L49+L52</f>
        <v>4480020.5815239241</v>
      </c>
      <c r="M54" s="815">
        <f>M49+M52</f>
        <v>2631372.3223955366</v>
      </c>
      <c r="N54" s="815">
        <f>N49+N52</f>
        <v>1848648.2591283873</v>
      </c>
      <c r="O54" s="805"/>
      <c r="Q54" s="793" t="s">
        <v>345</v>
      </c>
      <c r="T54" s="815">
        <f>T49+T52</f>
        <v>3165196.5308068967</v>
      </c>
      <c r="U54" s="815">
        <f>U49+U52</f>
        <v>1441049.267148186</v>
      </c>
      <c r="V54" s="815">
        <f>V49+V52</f>
        <v>1724147.2636587108</v>
      </c>
      <c r="W54" s="805"/>
    </row>
    <row r="55" spans="1:35">
      <c r="D55" s="805"/>
      <c r="L55" s="805"/>
      <c r="T55" s="805"/>
    </row>
    <row r="56" spans="1:35">
      <c r="A56" s="816" t="s">
        <v>369</v>
      </c>
      <c r="I56" s="816" t="s">
        <v>369</v>
      </c>
      <c r="Q56" s="816" t="s">
        <v>369</v>
      </c>
    </row>
    <row r="57" spans="1:35">
      <c r="A57" s="793" t="s">
        <v>370</v>
      </c>
      <c r="B57" s="794" t="s">
        <v>365</v>
      </c>
      <c r="D57" s="814">
        <f>E57+F57</f>
        <v>1</v>
      </c>
      <c r="E57" s="817">
        <v>0.73060000000000003</v>
      </c>
      <c r="F57" s="817">
        <v>0.26939999999999997</v>
      </c>
      <c r="I57" s="793" t="s">
        <v>370</v>
      </c>
      <c r="J57" s="794" t="s">
        <v>365</v>
      </c>
      <c r="L57" s="814">
        <f>M57+N57</f>
        <v>1</v>
      </c>
      <c r="M57" s="817">
        <v>0.73350000000000004</v>
      </c>
      <c r="N57" s="817">
        <v>0.26650000000000001</v>
      </c>
      <c r="Q57" s="793" t="s">
        <v>370</v>
      </c>
      <c r="R57" s="794" t="s">
        <v>365</v>
      </c>
      <c r="T57" s="814">
        <f>U57+V57</f>
        <v>1</v>
      </c>
      <c r="U57" s="817">
        <v>0.73350000000000004</v>
      </c>
      <c r="V57" s="817">
        <v>0.26650000000000001</v>
      </c>
    </row>
    <row r="58" spans="1:35">
      <c r="A58" s="793" t="s">
        <v>360</v>
      </c>
      <c r="B58" s="794">
        <v>4</v>
      </c>
      <c r="D58" s="814">
        <f>E58+F58</f>
        <v>1</v>
      </c>
      <c r="E58" s="817">
        <v>0.68757999999999997</v>
      </c>
      <c r="F58" s="817">
        <v>0.31241999999999998</v>
      </c>
      <c r="I58" s="793" t="s">
        <v>360</v>
      </c>
      <c r="J58" s="794">
        <v>4</v>
      </c>
      <c r="L58" s="814">
        <f>M58+N58</f>
        <v>1</v>
      </c>
      <c r="M58" s="817">
        <v>0.68757999999999997</v>
      </c>
      <c r="N58" s="817">
        <v>0.31241999999999998</v>
      </c>
      <c r="Q58" s="793" t="s">
        <v>360</v>
      </c>
      <c r="R58" s="794">
        <v>4</v>
      </c>
      <c r="T58" s="814">
        <f>U58+V58</f>
        <v>1</v>
      </c>
      <c r="U58" s="817">
        <v>0.69055</v>
      </c>
      <c r="V58" s="817">
        <v>0.30945</v>
      </c>
    </row>
    <row r="59" spans="1:35">
      <c r="A59" s="793" t="s">
        <v>371</v>
      </c>
      <c r="B59" s="794">
        <v>6</v>
      </c>
      <c r="D59" s="814">
        <f>E59+F59</f>
        <v>1</v>
      </c>
      <c r="E59" s="817">
        <v>0.71328999999999998</v>
      </c>
      <c r="F59" s="817">
        <v>0.28671000000000002</v>
      </c>
      <c r="I59" s="793" t="s">
        <v>371</v>
      </c>
      <c r="J59" s="794">
        <v>6</v>
      </c>
      <c r="L59" s="814">
        <f>M59+N59</f>
        <v>1</v>
      </c>
      <c r="M59" s="817">
        <v>0.70864000000000005</v>
      </c>
      <c r="N59" s="817">
        <v>0.29136000000000001</v>
      </c>
      <c r="Q59" s="793" t="s">
        <v>371</v>
      </c>
      <c r="R59" s="794">
        <v>6</v>
      </c>
      <c r="T59" s="814">
        <f>U59+V59</f>
        <v>1</v>
      </c>
      <c r="U59" s="817">
        <v>0.71277000000000001</v>
      </c>
      <c r="V59" s="817">
        <v>0.28722999999999999</v>
      </c>
    </row>
    <row r="60" spans="1:35">
      <c r="A60" s="793" t="s">
        <v>362</v>
      </c>
      <c r="B60" s="794">
        <v>99</v>
      </c>
      <c r="D60" s="814">
        <f>E60+F60</f>
        <v>0</v>
      </c>
      <c r="E60" s="817">
        <v>0</v>
      </c>
      <c r="F60" s="817">
        <v>0</v>
      </c>
      <c r="I60" s="793" t="s">
        <v>362</v>
      </c>
      <c r="J60" s="794">
        <v>99</v>
      </c>
      <c r="L60" s="814">
        <f>M60+N60</f>
        <v>0</v>
      </c>
      <c r="M60" s="817">
        <v>0</v>
      </c>
      <c r="N60" s="817">
        <v>0</v>
      </c>
      <c r="Q60" s="793" t="s">
        <v>362</v>
      </c>
      <c r="R60" s="794">
        <v>99</v>
      </c>
      <c r="T60" s="814">
        <f>U60+V60</f>
        <v>0</v>
      </c>
      <c r="U60" s="817">
        <f>M60</f>
        <v>0</v>
      </c>
      <c r="V60" s="817">
        <f>N60</f>
        <v>0</v>
      </c>
    </row>
    <row r="61" spans="1:35">
      <c r="E61" s="959">
        <f>(F99*E58)</f>
        <v>0.1422052956</v>
      </c>
      <c r="F61" s="959">
        <f>(F99*F58)</f>
        <v>6.46147044E-2</v>
      </c>
      <c r="M61" s="959">
        <f>(N99*M58)</f>
        <v>0.13615459159999999</v>
      </c>
      <c r="N61" s="959">
        <f>(N99*N58)</f>
        <v>6.1865408399999995E-2</v>
      </c>
      <c r="U61" s="959">
        <f>(V99*U58)</f>
        <v>0.13674271099999999</v>
      </c>
      <c r="V61" s="959">
        <f>(V99*V58)</f>
        <v>6.1277288999999999E-2</v>
      </c>
    </row>
    <row r="62" spans="1:35">
      <c r="A62" s="793" t="s">
        <v>483</v>
      </c>
      <c r="E62" s="954">
        <f>E61/(E32+E61)</f>
        <v>0.21564620372659715</v>
      </c>
      <c r="F62" s="954">
        <f>F61/(F32+F61)</f>
        <v>0.18972962159940918</v>
      </c>
      <c r="I62" s="793" t="s">
        <v>483</v>
      </c>
      <c r="M62" s="954">
        <f>M61/(M32+M61)</f>
        <v>0.2065684608477629</v>
      </c>
      <c r="N62" s="954">
        <f>N61/(N32+N61)</f>
        <v>0.18149041274723401</v>
      </c>
      <c r="Q62" s="793" t="s">
        <v>483</v>
      </c>
      <c r="U62" s="954">
        <f>U61/(U32+U61)</f>
        <v>0.20478630530161265</v>
      </c>
      <c r="V62" s="954">
        <f>V61/(V32+V61)</f>
        <v>0.18442220376520785</v>
      </c>
    </row>
    <row r="63" spans="1:35" s="796" customFormat="1">
      <c r="B63" s="796" t="s">
        <v>338</v>
      </c>
      <c r="D63" s="796" t="s">
        <v>147</v>
      </c>
      <c r="E63" s="796" t="s">
        <v>339</v>
      </c>
      <c r="F63" s="796" t="s">
        <v>340</v>
      </c>
      <c r="J63" s="796" t="s">
        <v>338</v>
      </c>
      <c r="L63" s="796" t="s">
        <v>147</v>
      </c>
      <c r="M63" s="796" t="s">
        <v>339</v>
      </c>
      <c r="N63" s="796" t="s">
        <v>340</v>
      </c>
      <c r="R63" s="796" t="s">
        <v>338</v>
      </c>
      <c r="T63" s="796" t="s">
        <v>147</v>
      </c>
      <c r="U63" s="796" t="s">
        <v>339</v>
      </c>
      <c r="V63" s="796" t="s">
        <v>340</v>
      </c>
      <c r="X63" s="900"/>
      <c r="Y63" s="900"/>
      <c r="Z63" s="900"/>
      <c r="AA63" s="900"/>
      <c r="AB63" s="900"/>
      <c r="AC63" s="998"/>
      <c r="AD63" s="900"/>
      <c r="AE63" s="900"/>
      <c r="AF63" s="900"/>
      <c r="AG63" s="900"/>
      <c r="AH63" s="900"/>
      <c r="AI63" s="998"/>
    </row>
    <row r="64" spans="1:35">
      <c r="A64" s="798" t="s">
        <v>372</v>
      </c>
      <c r="B64" s="799"/>
      <c r="C64" s="800"/>
      <c r="D64" s="800"/>
      <c r="E64" s="800"/>
      <c r="F64" s="800"/>
      <c r="I64" s="798" t="s">
        <v>372</v>
      </c>
      <c r="J64" s="799"/>
      <c r="K64" s="800"/>
      <c r="L64" s="800"/>
      <c r="M64" s="800"/>
      <c r="N64" s="800"/>
      <c r="Q64" s="798" t="s">
        <v>372</v>
      </c>
      <c r="R64" s="799"/>
      <c r="S64" s="800"/>
      <c r="T64" s="800"/>
      <c r="U64" s="800"/>
      <c r="V64" s="800"/>
    </row>
    <row r="66" spans="1:23">
      <c r="A66" s="793" t="s">
        <v>116</v>
      </c>
      <c r="B66" s="794">
        <v>4</v>
      </c>
      <c r="D66" s="804">
        <v>0</v>
      </c>
      <c r="E66" s="805">
        <f>D66*VLOOKUP(B66,B84:F85,4)</f>
        <v>0</v>
      </c>
      <c r="F66" s="805">
        <f>D66*VLOOKUP(B66,B84:F85,5)</f>
        <v>0</v>
      </c>
      <c r="I66" s="793" t="s">
        <v>116</v>
      </c>
      <c r="J66" s="794">
        <v>4</v>
      </c>
      <c r="L66" s="804">
        <v>0</v>
      </c>
      <c r="M66" s="805">
        <f>L66*VLOOKUP(J66,J84:N85,4)</f>
        <v>0</v>
      </c>
      <c r="N66" s="805">
        <f>L66*VLOOKUP(J66,J84:N85,5)</f>
        <v>0</v>
      </c>
      <c r="Q66" s="793" t="s">
        <v>116</v>
      </c>
      <c r="R66" s="794">
        <v>4</v>
      </c>
      <c r="T66" s="804">
        <v>0</v>
      </c>
      <c r="U66" s="805">
        <f>T66*VLOOKUP(R66,R84:V85,4)</f>
        <v>0</v>
      </c>
      <c r="V66" s="805">
        <f>T66*VLOOKUP(R66,R84:V85,5)</f>
        <v>0</v>
      </c>
    </row>
    <row r="67" spans="1:23">
      <c r="A67" s="793" t="s">
        <v>117</v>
      </c>
      <c r="B67" s="794">
        <v>99</v>
      </c>
      <c r="D67" s="805">
        <f>E67+F67</f>
        <v>0</v>
      </c>
      <c r="E67" s="804">
        <v>0</v>
      </c>
      <c r="F67" s="804">
        <v>0</v>
      </c>
      <c r="G67" s="805"/>
      <c r="I67" s="793" t="s">
        <v>117</v>
      </c>
      <c r="J67" s="794">
        <v>99</v>
      </c>
      <c r="L67" s="805">
        <f>M67+N67</f>
        <v>0</v>
      </c>
      <c r="M67" s="804">
        <v>0</v>
      </c>
      <c r="N67" s="804">
        <v>0</v>
      </c>
      <c r="O67" s="805"/>
      <c r="Q67" s="793" t="s">
        <v>117</v>
      </c>
      <c r="R67" s="794">
        <v>99</v>
      </c>
      <c r="T67" s="805">
        <f>U67+V67</f>
        <v>0</v>
      </c>
      <c r="U67" s="804">
        <v>0</v>
      </c>
      <c r="V67" s="804">
        <v>0</v>
      </c>
      <c r="W67" s="805"/>
    </row>
    <row r="68" spans="1:23">
      <c r="A68" s="793" t="s">
        <v>118</v>
      </c>
      <c r="B68" s="794">
        <v>99</v>
      </c>
      <c r="D68" s="805">
        <f>E68+F68</f>
        <v>0</v>
      </c>
      <c r="E68" s="804">
        <v>0</v>
      </c>
      <c r="F68" s="804">
        <v>0</v>
      </c>
      <c r="I68" s="793" t="s">
        <v>118</v>
      </c>
      <c r="J68" s="794">
        <v>99</v>
      </c>
      <c r="L68" s="805">
        <f>M68+N68</f>
        <v>0</v>
      </c>
      <c r="M68" s="804">
        <v>0</v>
      </c>
      <c r="N68" s="804">
        <v>0</v>
      </c>
      <c r="Q68" s="793" t="s">
        <v>118</v>
      </c>
      <c r="R68" s="794">
        <v>99</v>
      </c>
      <c r="T68" s="805">
        <f>U68+V68</f>
        <v>0</v>
      </c>
      <c r="U68" s="804">
        <v>0</v>
      </c>
      <c r="V68" s="804">
        <v>0</v>
      </c>
    </row>
    <row r="69" spans="1:23">
      <c r="A69" s="793" t="s">
        <v>98</v>
      </c>
      <c r="B69" s="794">
        <v>99</v>
      </c>
      <c r="D69" s="805">
        <f>E69+F69</f>
        <v>5343895</v>
      </c>
      <c r="E69" s="804">
        <f>133996+12+5209887</f>
        <v>5343895</v>
      </c>
      <c r="F69" s="804">
        <v>0</v>
      </c>
      <c r="G69" s="805"/>
      <c r="I69" s="793" t="s">
        <v>98</v>
      </c>
      <c r="J69" s="794">
        <v>99</v>
      </c>
      <c r="L69" s="805">
        <f>M69+N69</f>
        <v>3247834.4800000004</v>
      </c>
      <c r="M69" s="804">
        <f>3611.74+3244222.74</f>
        <v>3247834.4800000004</v>
      </c>
      <c r="N69" s="804">
        <v>0</v>
      </c>
      <c r="O69" s="805"/>
      <c r="Q69" s="793" t="s">
        <v>98</v>
      </c>
      <c r="R69" s="794">
        <v>99</v>
      </c>
      <c r="T69" s="805">
        <f>U69+V69</f>
        <v>4839659.03</v>
      </c>
      <c r="U69" s="804">
        <v>4839659.03</v>
      </c>
      <c r="V69" s="804">
        <v>0</v>
      </c>
      <c r="W69" s="805"/>
    </row>
    <row r="70" spans="1:23">
      <c r="D70" s="805"/>
      <c r="E70" s="805"/>
      <c r="F70" s="805"/>
      <c r="L70" s="805"/>
      <c r="M70" s="805"/>
      <c r="N70" s="805"/>
      <c r="T70" s="805"/>
      <c r="U70" s="805"/>
      <c r="V70" s="805"/>
    </row>
    <row r="71" spans="1:23">
      <c r="A71" s="793" t="s">
        <v>350</v>
      </c>
      <c r="B71" s="794">
        <v>99</v>
      </c>
      <c r="D71" s="805">
        <f>E71+F71</f>
        <v>60350</v>
      </c>
      <c r="E71" s="804">
        <v>60350</v>
      </c>
      <c r="F71" s="804">
        <v>0</v>
      </c>
      <c r="G71" s="805"/>
      <c r="I71" s="793" t="s">
        <v>350</v>
      </c>
      <c r="J71" s="794">
        <v>99</v>
      </c>
      <c r="L71" s="805">
        <f>M71+N71</f>
        <v>0</v>
      </c>
      <c r="M71" s="804">
        <v>0</v>
      </c>
      <c r="N71" s="804">
        <v>0</v>
      </c>
      <c r="O71" s="805"/>
      <c r="Q71" s="793" t="s">
        <v>350</v>
      </c>
      <c r="R71" s="794">
        <v>99</v>
      </c>
      <c r="T71" s="805">
        <f>U71+V71</f>
        <v>0</v>
      </c>
      <c r="U71" s="804">
        <v>0</v>
      </c>
      <c r="V71" s="804">
        <v>0</v>
      </c>
      <c r="W71" s="805"/>
    </row>
    <row r="72" spans="1:23">
      <c r="A72" s="793" t="s">
        <v>352</v>
      </c>
      <c r="B72" s="794">
        <v>4</v>
      </c>
      <c r="D72" s="804">
        <v>0</v>
      </c>
      <c r="E72" s="805">
        <f>D72*VLOOKUP(B72,B84:F85,4)</f>
        <v>0</v>
      </c>
      <c r="F72" s="805">
        <f>D72*VLOOKUP(B72,B84:F85,5)</f>
        <v>0</v>
      </c>
      <c r="I72" s="793" t="s">
        <v>352</v>
      </c>
      <c r="J72" s="794">
        <v>4</v>
      </c>
      <c r="L72" s="804">
        <v>0</v>
      </c>
      <c r="M72" s="805">
        <f>L72*VLOOKUP(J72,J84:N85,4)</f>
        <v>0</v>
      </c>
      <c r="N72" s="805">
        <f>L72*VLOOKUP(J72,J84:N85,5)</f>
        <v>0</v>
      </c>
      <c r="Q72" s="793" t="s">
        <v>352</v>
      </c>
      <c r="R72" s="794">
        <v>4</v>
      </c>
      <c r="T72" s="804">
        <v>0</v>
      </c>
      <c r="U72" s="805">
        <f>T72*VLOOKUP(R72,R84:V85,4)</f>
        <v>0</v>
      </c>
      <c r="V72" s="805">
        <f>T72*VLOOKUP(R72,R84:V85,5)</f>
        <v>0</v>
      </c>
    </row>
    <row r="73" spans="1:23">
      <c r="D73" s="805"/>
      <c r="E73" s="805"/>
      <c r="F73" s="805"/>
      <c r="L73" s="805"/>
      <c r="M73" s="805"/>
      <c r="N73" s="805"/>
      <c r="T73" s="805"/>
      <c r="U73" s="805"/>
      <c r="V73" s="805"/>
    </row>
    <row r="74" spans="1:23">
      <c r="A74" s="793" t="s">
        <v>366</v>
      </c>
      <c r="B74" s="794">
        <v>4</v>
      </c>
      <c r="D74" s="805">
        <f>G94</f>
        <v>505164.45326409995</v>
      </c>
      <c r="E74" s="805">
        <f>D74*VLOOKUP(B74,B84:F85,4)</f>
        <v>505164.45326409995</v>
      </c>
      <c r="F74" s="805">
        <f>D74*VLOOKUP(B74,B84:F85,5)</f>
        <v>0</v>
      </c>
      <c r="I74" s="793" t="s">
        <v>366</v>
      </c>
      <c r="J74" s="794">
        <v>4</v>
      </c>
      <c r="L74" s="805">
        <f>O94</f>
        <v>580709.06674080004</v>
      </c>
      <c r="M74" s="805">
        <f>L74*VLOOKUP(J74,J84:N85,4)</f>
        <v>580709.06674080004</v>
      </c>
      <c r="N74" s="805">
        <f>L74*VLOOKUP(J74,J84:N85,5)</f>
        <v>0</v>
      </c>
      <c r="Q74" s="793" t="s">
        <v>366</v>
      </c>
      <c r="R74" s="794">
        <v>4</v>
      </c>
      <c r="T74" s="805">
        <f>W94</f>
        <v>505847.84029130003</v>
      </c>
      <c r="U74" s="805">
        <f>T74*VLOOKUP(R74,R84:V85,4)</f>
        <v>505847.84029130003</v>
      </c>
      <c r="V74" s="805">
        <f>T74*VLOOKUP(R74,R84:V85,5)</f>
        <v>0</v>
      </c>
    </row>
    <row r="75" spans="1:23">
      <c r="D75" s="805"/>
      <c r="E75" s="805"/>
      <c r="F75" s="805"/>
      <c r="L75" s="805"/>
      <c r="M75" s="805"/>
      <c r="N75" s="805"/>
      <c r="T75" s="805"/>
      <c r="U75" s="805"/>
      <c r="V75" s="805"/>
    </row>
    <row r="76" spans="1:23">
      <c r="A76" s="793" t="s">
        <v>373</v>
      </c>
      <c r="D76" s="805">
        <f>SUM(D66:D74)</f>
        <v>5909409.4532640995</v>
      </c>
      <c r="E76" s="805">
        <f>SUM(E66:E74)</f>
        <v>5909409.4532640995</v>
      </c>
      <c r="F76" s="805">
        <f>SUM(F66:F74)</f>
        <v>0</v>
      </c>
      <c r="G76" s="805"/>
      <c r="I76" s="793" t="s">
        <v>373</v>
      </c>
      <c r="L76" s="805">
        <f>SUM(L66:L74)</f>
        <v>3828543.5467408006</v>
      </c>
      <c r="M76" s="805">
        <f>SUM(M66:M74)</f>
        <v>3828543.5467408006</v>
      </c>
      <c r="N76" s="805">
        <f>SUM(N66:N74)</f>
        <v>0</v>
      </c>
      <c r="O76" s="805"/>
      <c r="Q76" s="793" t="s">
        <v>373</v>
      </c>
      <c r="T76" s="805">
        <f>SUM(T66:T74)</f>
        <v>5345506.8702913001</v>
      </c>
      <c r="U76" s="805">
        <f>SUM(U66:U74)</f>
        <v>5345506.8702913001</v>
      </c>
      <c r="V76" s="805">
        <f>SUM(V66:V74)</f>
        <v>0</v>
      </c>
      <c r="W76" s="805"/>
    </row>
    <row r="77" spans="1:23">
      <c r="A77" s="793" t="s">
        <v>356</v>
      </c>
      <c r="D77" s="814">
        <f>D76/D$76</f>
        <v>1</v>
      </c>
      <c r="E77" s="814">
        <f>E76/D$76</f>
        <v>1</v>
      </c>
      <c r="F77" s="814">
        <f>F76/D$76</f>
        <v>0</v>
      </c>
      <c r="I77" s="793" t="s">
        <v>356</v>
      </c>
      <c r="L77" s="814">
        <f>L76/L$76</f>
        <v>1</v>
      </c>
      <c r="M77" s="814">
        <f>M76/L$76</f>
        <v>1</v>
      </c>
      <c r="N77" s="814">
        <f>N76/L$76</f>
        <v>0</v>
      </c>
      <c r="Q77" s="793" t="s">
        <v>356</v>
      </c>
      <c r="T77" s="814">
        <f>T76/T$76</f>
        <v>1</v>
      </c>
      <c r="U77" s="814">
        <f>U76/T$76</f>
        <v>1</v>
      </c>
      <c r="V77" s="814">
        <f>V76/T$76</f>
        <v>0</v>
      </c>
    </row>
    <row r="79" spans="1:23">
      <c r="A79" s="793" t="s">
        <v>374</v>
      </c>
      <c r="D79" s="804">
        <v>-128403.5</v>
      </c>
      <c r="E79" s="805">
        <f>D79*E77</f>
        <v>-128403.5</v>
      </c>
      <c r="F79" s="805">
        <f>D79*F77</f>
        <v>0</v>
      </c>
      <c r="G79" s="805"/>
      <c r="I79" s="793" t="s">
        <v>374</v>
      </c>
      <c r="L79" s="804">
        <v>-182164.3</v>
      </c>
      <c r="M79" s="805">
        <f>L79*M77</f>
        <v>-182164.3</v>
      </c>
      <c r="N79" s="805">
        <f>L79*N77</f>
        <v>0</v>
      </c>
      <c r="O79" s="805"/>
      <c r="Q79" s="793" t="s">
        <v>374</v>
      </c>
      <c r="T79" s="804">
        <v>-314545.21999999997</v>
      </c>
      <c r="U79" s="805">
        <f>T79*U77</f>
        <v>-314545.21999999997</v>
      </c>
      <c r="V79" s="805">
        <f>T79*V77</f>
        <v>0</v>
      </c>
      <c r="W79" s="805"/>
    </row>
    <row r="81" spans="1:23">
      <c r="A81" s="793" t="s">
        <v>347</v>
      </c>
      <c r="D81" s="815">
        <f>D76+D79</f>
        <v>5781005.9532640995</v>
      </c>
      <c r="E81" s="815">
        <f>E76+E79</f>
        <v>5781005.9532640995</v>
      </c>
      <c r="F81" s="815">
        <f>F76+F79</f>
        <v>0</v>
      </c>
      <c r="G81" s="805"/>
      <c r="I81" s="793" t="s">
        <v>347</v>
      </c>
      <c r="L81" s="815">
        <f>L76+L79</f>
        <v>3646379.2467408008</v>
      </c>
      <c r="M81" s="815">
        <f>M76+M79</f>
        <v>3646379.2467408008</v>
      </c>
      <c r="N81" s="815">
        <f>N76+N79</f>
        <v>0</v>
      </c>
      <c r="O81" s="805"/>
      <c r="Q81" s="793" t="s">
        <v>347</v>
      </c>
      <c r="T81" s="815">
        <f>T76+T79</f>
        <v>5030961.6502913004</v>
      </c>
      <c r="U81" s="815">
        <f>U76+U79</f>
        <v>5030961.6502913004</v>
      </c>
      <c r="V81" s="815">
        <f>V76+V79</f>
        <v>0</v>
      </c>
      <c r="W81" s="805"/>
    </row>
    <row r="83" spans="1:23">
      <c r="A83" s="816" t="s">
        <v>375</v>
      </c>
      <c r="I83" s="816" t="s">
        <v>375</v>
      </c>
      <c r="Q83" s="816" t="s">
        <v>375</v>
      </c>
    </row>
    <row r="84" spans="1:23">
      <c r="A84" s="793" t="s">
        <v>360</v>
      </c>
      <c r="B84" s="794">
        <v>4</v>
      </c>
      <c r="D84" s="814">
        <f>E84+F84</f>
        <v>1</v>
      </c>
      <c r="E84" s="817">
        <v>1</v>
      </c>
      <c r="F84" s="817">
        <v>0</v>
      </c>
      <c r="I84" s="793" t="s">
        <v>360</v>
      </c>
      <c r="J84" s="794">
        <v>4</v>
      </c>
      <c r="L84" s="814">
        <f>M84+N84</f>
        <v>1</v>
      </c>
      <c r="M84" s="819">
        <v>1</v>
      </c>
      <c r="N84" s="819">
        <v>0</v>
      </c>
      <c r="Q84" s="793" t="s">
        <v>360</v>
      </c>
      <c r="R84" s="794">
        <v>4</v>
      </c>
      <c r="T84" s="814">
        <f>U84+V84</f>
        <v>1</v>
      </c>
      <c r="U84" s="817">
        <v>1</v>
      </c>
      <c r="V84" s="817">
        <v>0</v>
      </c>
    </row>
    <row r="85" spans="1:23">
      <c r="A85" s="793" t="s">
        <v>362</v>
      </c>
      <c r="B85" s="794">
        <v>99</v>
      </c>
      <c r="D85" s="814">
        <f>E85+F85</f>
        <v>0</v>
      </c>
      <c r="E85" s="814">
        <v>0</v>
      </c>
      <c r="F85" s="814">
        <v>0</v>
      </c>
      <c r="I85" s="793" t="s">
        <v>362</v>
      </c>
      <c r="J85" s="794">
        <v>99</v>
      </c>
      <c r="L85" s="814">
        <f>M85+N85</f>
        <v>0</v>
      </c>
      <c r="M85" s="814">
        <v>0</v>
      </c>
      <c r="N85" s="814">
        <v>0</v>
      </c>
      <c r="Q85" s="793" t="s">
        <v>362</v>
      </c>
      <c r="R85" s="794">
        <v>99</v>
      </c>
      <c r="T85" s="814">
        <f>U85+V85</f>
        <v>0</v>
      </c>
      <c r="U85" s="814">
        <v>0</v>
      </c>
      <c r="V85" s="814">
        <v>0</v>
      </c>
    </row>
    <row r="88" spans="1:23">
      <c r="B88" s="794" t="s">
        <v>338</v>
      </c>
      <c r="C88" s="794"/>
      <c r="D88" s="794" t="s">
        <v>376</v>
      </c>
      <c r="E88" s="794" t="s">
        <v>377</v>
      </c>
      <c r="F88" s="794" t="s">
        <v>378</v>
      </c>
      <c r="G88" s="794" t="s">
        <v>372</v>
      </c>
      <c r="J88" s="794" t="s">
        <v>338</v>
      </c>
      <c r="K88" s="794"/>
      <c r="L88" s="794" t="s">
        <v>376</v>
      </c>
      <c r="M88" s="794" t="s">
        <v>377</v>
      </c>
      <c r="N88" s="794" t="s">
        <v>378</v>
      </c>
      <c r="O88" s="794" t="s">
        <v>372</v>
      </c>
      <c r="R88" s="794" t="s">
        <v>338</v>
      </c>
      <c r="S88" s="794"/>
      <c r="T88" s="794" t="s">
        <v>376</v>
      </c>
      <c r="U88" s="794" t="s">
        <v>377</v>
      </c>
      <c r="V88" s="794" t="s">
        <v>378</v>
      </c>
      <c r="W88" s="794" t="s">
        <v>372</v>
      </c>
    </row>
    <row r="89" spans="1:23">
      <c r="A89" s="793" t="s">
        <v>379</v>
      </c>
      <c r="B89" s="799"/>
      <c r="C89" s="800"/>
      <c r="D89" s="800"/>
      <c r="E89" s="800"/>
      <c r="F89" s="800"/>
      <c r="G89" s="800"/>
      <c r="I89" s="793" t="s">
        <v>379</v>
      </c>
      <c r="J89" s="799"/>
      <c r="K89" s="800"/>
      <c r="L89" s="800"/>
      <c r="M89" s="800"/>
      <c r="N89" s="800"/>
      <c r="O89" s="800"/>
      <c r="Q89" s="793" t="s">
        <v>379</v>
      </c>
      <c r="R89" s="799"/>
      <c r="S89" s="800"/>
      <c r="T89" s="800"/>
      <c r="U89" s="800"/>
      <c r="V89" s="800"/>
      <c r="W89" s="800"/>
    </row>
    <row r="91" spans="1:23">
      <c r="A91" s="793" t="s">
        <v>480</v>
      </c>
      <c r="B91" s="794">
        <v>7</v>
      </c>
      <c r="D91" s="804">
        <v>5129512.2699999996</v>
      </c>
      <c r="E91" s="805">
        <f>D91*VLOOKUP(B91,B97:G99,4)</f>
        <v>3713715.5883572996</v>
      </c>
      <c r="F91" s="805">
        <f>D91*VLOOKUP(B91,B97:G99,5)</f>
        <v>1001178.2048585999</v>
      </c>
      <c r="G91" s="805">
        <f>D91*VLOOKUP(B91,B97:G99,6)</f>
        <v>414618.47678409994</v>
      </c>
      <c r="I91" s="793" t="s">
        <v>480</v>
      </c>
      <c r="J91" s="794">
        <v>7</v>
      </c>
      <c r="L91" s="804">
        <v>7190553.0800000001</v>
      </c>
      <c r="M91" s="805">
        <f>L91*VLOOKUP(J91,J97:O99,4)</f>
        <v>5288004.6405627998</v>
      </c>
      <c r="N91" s="805">
        <f>L91*VLOOKUP(J91,J97:O99,5)</f>
        <v>1321839.3726963999</v>
      </c>
      <c r="O91" s="805">
        <f>L91*VLOOKUP(J91,J97:O99,6)</f>
        <v>580709.06674080004</v>
      </c>
      <c r="Q91" s="793" t="s">
        <v>480</v>
      </c>
      <c r="R91" s="794">
        <v>7</v>
      </c>
      <c r="T91" s="804">
        <v>6040471.7300000004</v>
      </c>
      <c r="U91" s="805">
        <f>T91*VLOOKUP(R91,R97:W99,4)</f>
        <v>4442223.3149593007</v>
      </c>
      <c r="V91" s="805">
        <f>T91*VLOOKUP(R91,R97:W99,5)</f>
        <v>1110419.9181259</v>
      </c>
      <c r="W91" s="805">
        <f>T91*VLOOKUP(R91,R97:W99,6)</f>
        <v>487828.49691480002</v>
      </c>
    </row>
    <row r="92" spans="1:23">
      <c r="A92" s="793" t="s">
        <v>481</v>
      </c>
      <c r="B92" s="794">
        <v>8</v>
      </c>
      <c r="D92" s="804">
        <v>318107</v>
      </c>
      <c r="E92" s="805">
        <f>D92*VLOOKUP(B92,B97:G99,4)</f>
        <v>0</v>
      </c>
      <c r="F92" s="805">
        <f>D92*VLOOKUP(B92,B97:G99,5)</f>
        <v>227561.02351999999</v>
      </c>
      <c r="G92" s="805">
        <f>D92*VLOOKUP(B92,B97:G99,6)</f>
        <v>90545.976479999998</v>
      </c>
      <c r="I92" s="793" t="s">
        <v>481</v>
      </c>
      <c r="J92" s="794">
        <v>8</v>
      </c>
      <c r="L92" s="804">
        <v>0</v>
      </c>
      <c r="M92" s="805">
        <f>L92*VLOOKUP(J92,J97:O99,4)</f>
        <v>0</v>
      </c>
      <c r="N92" s="805">
        <f>L92*VLOOKUP(J92,J97:O99,5)</f>
        <v>0</v>
      </c>
      <c r="O92" s="805">
        <f>L92*VLOOKUP(J92,J97:O99,6)</f>
        <v>0</v>
      </c>
      <c r="Q92" s="793" t="s">
        <v>481</v>
      </c>
      <c r="R92" s="794">
        <v>8</v>
      </c>
      <c r="T92" s="804">
        <v>59835.11</v>
      </c>
      <c r="U92" s="805">
        <f>T92*VLOOKUP(R92,R97:W99,4)</f>
        <v>0</v>
      </c>
      <c r="V92" s="805">
        <f>T92*VLOOKUP(R92,R97:W99,5)</f>
        <v>41815.7666235</v>
      </c>
      <c r="W92" s="805">
        <f>T92*VLOOKUP(R92,R97:W99,6)</f>
        <v>18019.343376499997</v>
      </c>
    </row>
    <row r="93" spans="1:23">
      <c r="A93" s="793" t="s">
        <v>482</v>
      </c>
      <c r="B93" s="794">
        <v>9</v>
      </c>
      <c r="D93" s="804">
        <v>-27406</v>
      </c>
      <c r="E93" s="805">
        <f>D93*VLOOKUP(B93,B97:G99,4)</f>
        <v>-21737.891080000001</v>
      </c>
      <c r="F93" s="805">
        <f>D93*VLOOKUP(B93,B97:G99,5)</f>
        <v>-5668.1089199999997</v>
      </c>
      <c r="G93" s="805">
        <f>D93*VLOOKUP(B93,B97:G99,6)</f>
        <v>0</v>
      </c>
      <c r="I93" s="793" t="s">
        <v>482</v>
      </c>
      <c r="J93" s="794">
        <v>9</v>
      </c>
      <c r="L93" s="804">
        <v>137023.35</v>
      </c>
      <c r="M93" s="805">
        <f>L93*VLOOKUP(J93,J97:O99,4)</f>
        <v>109889.986233</v>
      </c>
      <c r="N93" s="805">
        <f>L93*VLOOKUP(J93,J97:O99,5)</f>
        <v>27133.363767000003</v>
      </c>
      <c r="O93" s="805">
        <f>L93*VLOOKUP(J93,J97:O99,6)</f>
        <v>0</v>
      </c>
      <c r="Q93" s="793" t="s">
        <v>482</v>
      </c>
      <c r="R93" s="794">
        <v>9</v>
      </c>
      <c r="T93" s="804">
        <v>408888.7</v>
      </c>
      <c r="U93" s="805">
        <f>T93*VLOOKUP(R93,R97:W99,4)</f>
        <v>327920.559626</v>
      </c>
      <c r="V93" s="805">
        <f>T93*VLOOKUP(R93,R97:W99,5)</f>
        <v>80968.14037400001</v>
      </c>
      <c r="W93" s="805">
        <f>T93*VLOOKUP(R93,R97:W99,6)</f>
        <v>0</v>
      </c>
    </row>
    <row r="94" spans="1:23">
      <c r="A94" s="793" t="s">
        <v>380</v>
      </c>
      <c r="D94" s="820">
        <f>SUM(D91:D93)</f>
        <v>5420213.2699999996</v>
      </c>
      <c r="E94" s="820">
        <f>SUM(E91:E93)</f>
        <v>3691977.6972772996</v>
      </c>
      <c r="F94" s="820">
        <f>SUM(F91:F93)</f>
        <v>1223071.1194585999</v>
      </c>
      <c r="G94" s="820">
        <f>SUM(G91:G93)</f>
        <v>505164.45326409995</v>
      </c>
      <c r="I94" s="793" t="s">
        <v>380</v>
      </c>
      <c r="L94" s="820">
        <f>SUM(L91:L93)</f>
        <v>7327576.4299999997</v>
      </c>
      <c r="M94" s="820">
        <f>SUM(M91:M93)</f>
        <v>5397894.6267957995</v>
      </c>
      <c r="N94" s="820">
        <f>SUM(N91:N93)</f>
        <v>1348972.7364633998</v>
      </c>
      <c r="O94" s="820">
        <f>SUM(O91:O93)</f>
        <v>580709.06674080004</v>
      </c>
      <c r="Q94" s="793" t="s">
        <v>380</v>
      </c>
      <c r="T94" s="820">
        <f>SUM(T91:T93)</f>
        <v>6509195.540000001</v>
      </c>
      <c r="U94" s="820">
        <f>SUM(U91:U93)</f>
        <v>4770143.8745853007</v>
      </c>
      <c r="V94" s="820">
        <f>SUM(V91:V93)</f>
        <v>1233203.8251234</v>
      </c>
      <c r="W94" s="820">
        <f>SUM(W91:W93)</f>
        <v>505847.84029130003</v>
      </c>
    </row>
    <row r="96" spans="1:23">
      <c r="A96" s="794" t="s">
        <v>381</v>
      </c>
      <c r="I96" s="794" t="s">
        <v>381</v>
      </c>
      <c r="Q96" s="794" t="s">
        <v>381</v>
      </c>
    </row>
    <row r="97" spans="1:23">
      <c r="A97" s="793" t="s">
        <v>382</v>
      </c>
      <c r="B97" s="794">
        <v>7</v>
      </c>
      <c r="D97" s="814">
        <f>E97+F97+G97</f>
        <v>1</v>
      </c>
      <c r="E97" s="819">
        <v>0.72399000000000002</v>
      </c>
      <c r="F97" s="819">
        <v>0.19517999999999999</v>
      </c>
      <c r="G97" s="819">
        <v>8.0829999999999999E-2</v>
      </c>
      <c r="I97" s="793" t="s">
        <v>382</v>
      </c>
      <c r="J97" s="794">
        <v>7</v>
      </c>
      <c r="L97" s="814">
        <f>M97+N97+O97</f>
        <v>1</v>
      </c>
      <c r="M97" s="819">
        <v>0.73541000000000001</v>
      </c>
      <c r="N97" s="819">
        <v>0.18382999999999999</v>
      </c>
      <c r="O97" s="819">
        <v>8.0759999999999998E-2</v>
      </c>
      <c r="Q97" s="793" t="s">
        <v>382</v>
      </c>
      <c r="R97" s="794">
        <v>7</v>
      </c>
      <c r="T97" s="814">
        <f>U97+V97+W97</f>
        <v>1</v>
      </c>
      <c r="U97" s="819">
        <v>0.73541000000000001</v>
      </c>
      <c r="V97" s="819">
        <v>0.18382999999999999</v>
      </c>
      <c r="W97" s="819">
        <v>8.0759999999999998E-2</v>
      </c>
    </row>
    <row r="98" spans="1:23">
      <c r="A98" s="793" t="s">
        <v>383</v>
      </c>
      <c r="B98" s="794">
        <v>8</v>
      </c>
      <c r="D98" s="814">
        <f>E98+F98+G98</f>
        <v>1</v>
      </c>
      <c r="E98" s="819">
        <v>0</v>
      </c>
      <c r="F98" s="819">
        <v>0.71536</v>
      </c>
      <c r="G98" s="819">
        <v>0.28464</v>
      </c>
      <c r="I98" s="793" t="s">
        <v>383</v>
      </c>
      <c r="J98" s="794">
        <v>8</v>
      </c>
      <c r="L98" s="814">
        <f>M98+N98+O98</f>
        <v>1</v>
      </c>
      <c r="M98" s="819">
        <v>0</v>
      </c>
      <c r="N98" s="819">
        <v>0.69884999999999997</v>
      </c>
      <c r="O98" s="819">
        <v>0.30114999999999997</v>
      </c>
      <c r="Q98" s="793" t="s">
        <v>383</v>
      </c>
      <c r="R98" s="794">
        <v>8</v>
      </c>
      <c r="T98" s="814">
        <f>U98+V98+W98</f>
        <v>1</v>
      </c>
      <c r="U98" s="819">
        <v>0</v>
      </c>
      <c r="V98" s="819">
        <v>0.69884999999999997</v>
      </c>
      <c r="W98" s="819">
        <v>0.30114999999999997</v>
      </c>
    </row>
    <row r="99" spans="1:23">
      <c r="A99" s="793" t="s">
        <v>384</v>
      </c>
      <c r="B99" s="794">
        <v>9</v>
      </c>
      <c r="D99" s="814">
        <f>E99+F99+G99</f>
        <v>1</v>
      </c>
      <c r="E99" s="819">
        <v>0.79318</v>
      </c>
      <c r="F99" s="819">
        <v>0.20682</v>
      </c>
      <c r="G99" s="819">
        <v>0</v>
      </c>
      <c r="I99" s="793" t="s">
        <v>384</v>
      </c>
      <c r="J99" s="794">
        <v>9</v>
      </c>
      <c r="L99" s="814">
        <f>M99+N99+O99</f>
        <v>1</v>
      </c>
      <c r="M99" s="819">
        <v>0.80198000000000003</v>
      </c>
      <c r="N99" s="819">
        <v>0.19802</v>
      </c>
      <c r="O99" s="819">
        <v>0</v>
      </c>
      <c r="Q99" s="793" t="s">
        <v>384</v>
      </c>
      <c r="R99" s="794">
        <v>9</v>
      </c>
      <c r="T99" s="814">
        <f>U99+V99+W99</f>
        <v>1</v>
      </c>
      <c r="U99" s="819">
        <v>0.80198000000000003</v>
      </c>
      <c r="V99" s="819">
        <v>0.19802</v>
      </c>
      <c r="W99" s="819">
        <v>0</v>
      </c>
    </row>
    <row r="101" spans="1:23">
      <c r="A101" s="793" t="s">
        <v>484</v>
      </c>
      <c r="D101" s="955">
        <v>184507</v>
      </c>
      <c r="I101" s="793" t="s">
        <v>484</v>
      </c>
      <c r="L101" s="955">
        <v>128243.22</v>
      </c>
      <c r="Q101" s="793" t="s">
        <v>484</v>
      </c>
      <c r="T101" s="955">
        <v>52598.83</v>
      </c>
    </row>
    <row r="102" spans="1:23">
      <c r="A102" s="793" t="s">
        <v>485</v>
      </c>
      <c r="B102" s="793"/>
      <c r="D102" s="956">
        <v>55620</v>
      </c>
      <c r="E102" s="794"/>
      <c r="F102" s="794"/>
      <c r="I102" s="793" t="s">
        <v>485</v>
      </c>
      <c r="J102" s="793"/>
      <c r="L102" s="956">
        <v>28987.87</v>
      </c>
      <c r="M102" s="794"/>
      <c r="N102" s="794"/>
      <c r="Q102" s="793" t="s">
        <v>485</v>
      </c>
      <c r="R102" s="793"/>
      <c r="T102" s="956">
        <v>162771.70000000001</v>
      </c>
      <c r="U102" s="794"/>
      <c r="V102" s="794"/>
    </row>
    <row r="103" spans="1:23">
      <c r="B103" s="793"/>
      <c r="D103" s="805"/>
      <c r="E103" s="805"/>
      <c r="F103" s="805"/>
      <c r="J103" s="793"/>
      <c r="L103" s="805"/>
      <c r="M103" s="805"/>
      <c r="N103" s="805"/>
      <c r="R103" s="793"/>
      <c r="T103" s="805"/>
      <c r="U103" s="805"/>
      <c r="V103" s="805"/>
    </row>
    <row r="104" spans="1:23">
      <c r="B104" s="793"/>
      <c r="D104" s="805"/>
      <c r="E104" s="805"/>
      <c r="F104" s="805"/>
      <c r="J104" s="793"/>
      <c r="L104" s="805"/>
      <c r="M104" s="805"/>
      <c r="N104" s="805"/>
      <c r="R104" s="793"/>
      <c r="T104" s="805"/>
      <c r="U104" s="805"/>
      <c r="V104" s="805"/>
    </row>
    <row r="105" spans="1:23">
      <c r="B105" s="793"/>
      <c r="D105" s="805">
        <f>D25+D54+D81</f>
        <v>55887060.649999999</v>
      </c>
      <c r="E105" s="805"/>
      <c r="F105" s="805"/>
      <c r="J105" s="793"/>
      <c r="L105" s="805">
        <f>L25+L54+L81</f>
        <v>71208598.24000001</v>
      </c>
      <c r="M105" s="805"/>
      <c r="N105" s="805"/>
      <c r="R105" s="793"/>
      <c r="T105" s="805">
        <f>T25+T54+T81</f>
        <v>89177799.269999996</v>
      </c>
      <c r="U105" s="805"/>
      <c r="V105" s="805"/>
    </row>
    <row r="106" spans="1:23">
      <c r="B106" s="793"/>
      <c r="D106" s="960">
        <f>56692862+-805804</f>
        <v>55887058</v>
      </c>
      <c r="E106" s="807"/>
      <c r="F106" s="807"/>
      <c r="J106" s="793"/>
      <c r="L106" s="960">
        <v>71208598.239999995</v>
      </c>
      <c r="M106" s="807"/>
      <c r="N106" s="807"/>
      <c r="R106" s="793"/>
      <c r="T106" s="960">
        <v>89177799.269999996</v>
      </c>
      <c r="U106" s="807"/>
      <c r="V106" s="807"/>
    </row>
    <row r="107" spans="1:23">
      <c r="B107" s="793"/>
      <c r="D107" s="805">
        <f>D106-D105</f>
        <v>-2.6499999985098839</v>
      </c>
      <c r="J107" s="793"/>
      <c r="L107" s="805">
        <f>L106-L105</f>
        <v>0</v>
      </c>
      <c r="R107" s="793"/>
      <c r="T107" s="805">
        <f>T106-T105</f>
        <v>0</v>
      </c>
    </row>
    <row r="108" spans="1:23">
      <c r="A108" s="796"/>
      <c r="B108" s="793"/>
      <c r="D108" s="814"/>
      <c r="E108" s="814"/>
      <c r="F108" s="814"/>
      <c r="I108" s="796"/>
      <c r="J108" s="793"/>
      <c r="L108" s="814"/>
      <c r="M108" s="814"/>
      <c r="N108" s="814"/>
      <c r="Q108" s="796"/>
      <c r="R108" s="793"/>
      <c r="T108" s="814"/>
      <c r="U108" s="814"/>
      <c r="V108" s="814"/>
    </row>
    <row r="109" spans="1:23">
      <c r="B109" s="793"/>
      <c r="D109" s="814"/>
      <c r="E109" s="814"/>
      <c r="F109" s="814"/>
      <c r="J109" s="793"/>
      <c r="L109" s="814"/>
      <c r="M109" s="814"/>
      <c r="N109" s="814"/>
      <c r="R109" s="793"/>
      <c r="T109" s="814"/>
      <c r="U109" s="814"/>
      <c r="V109" s="814"/>
    </row>
    <row r="110" spans="1:23">
      <c r="B110" s="793"/>
      <c r="D110" s="814"/>
      <c r="E110" s="814"/>
      <c r="F110" s="814"/>
      <c r="J110" s="793"/>
      <c r="L110" s="814"/>
      <c r="M110" s="814"/>
      <c r="N110" s="814"/>
      <c r="R110" s="793"/>
      <c r="T110" s="814"/>
      <c r="U110" s="814"/>
      <c r="V110" s="814"/>
    </row>
  </sheetData>
  <phoneticPr fontId="0" type="noConversion"/>
  <printOptions horizontalCentered="1"/>
  <pageMargins left="0.75" right="0.75" top="0.5" bottom="0.5" header="0.5" footer="0.5"/>
  <pageSetup orientation="portrait" horizontalDpi="4294967292" r:id="rId1"/>
  <headerFooter alignWithMargins="0">
    <oddFooter>&amp;L&amp;"Times New Roman,Regular"&amp;8&amp;F &amp;A&amp;C&amp;"Times New Roman,Regular"&amp;8Page &amp;P&amp;R&amp;"Times New Roman,Regular"&amp;8jmp - Rates &amp;D</oddFooter>
  </headerFooter>
  <rowBreaks count="1" manualBreakCount="1">
    <brk id="62" max="65535" man="1"/>
  </rowBreaks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30"/>
  <dimension ref="A1:H64"/>
  <sheetViews>
    <sheetView topLeftCell="A31" workbookViewId="0">
      <selection activeCell="F63" sqref="F63"/>
    </sheetView>
  </sheetViews>
  <sheetFormatPr defaultColWidth="12.42578125" defaultRowHeight="12"/>
  <cols>
    <col min="1" max="1" width="5.5703125" style="82" customWidth="1"/>
    <col min="2" max="2" width="26.140625" style="81" customWidth="1"/>
    <col min="3" max="3" width="9.85546875" style="81" customWidth="1"/>
    <col min="4" max="4" width="6.7109375" style="81" customWidth="1"/>
    <col min="5" max="16384" width="12.42578125" style="81"/>
  </cols>
  <sheetData>
    <row r="1" spans="1:8">
      <c r="A1" s="79" t="str">
        <f>Inputs!$D$6</f>
        <v>AVISTA UTILITIES</v>
      </c>
      <c r="B1" s="80"/>
      <c r="C1" s="79"/>
    </row>
    <row r="2" spans="1:8">
      <c r="A2" s="79" t="s">
        <v>142</v>
      </c>
      <c r="B2" s="80"/>
      <c r="C2" s="79"/>
      <c r="E2" s="79"/>
      <c r="F2" s="82" t="s">
        <v>420</v>
      </c>
      <c r="G2" s="79"/>
    </row>
    <row r="3" spans="1:8">
      <c r="A3" s="80" t="str">
        <f>WAElec09_08!$A$4</f>
        <v>TWELVE MONTHS ENDED SEPTEMBER 30, 2008</v>
      </c>
      <c r="B3" s="80"/>
      <c r="C3" s="79"/>
      <c r="E3" s="79"/>
      <c r="F3" s="82" t="s">
        <v>240</v>
      </c>
      <c r="G3" s="79"/>
    </row>
    <row r="4" spans="1:8">
      <c r="A4" s="79" t="s">
        <v>1</v>
      </c>
      <c r="B4" s="80"/>
      <c r="C4" s="79"/>
      <c r="E4" s="83"/>
      <c r="F4" s="84" t="s">
        <v>145</v>
      </c>
      <c r="G4" s="85"/>
    </row>
    <row r="5" spans="1:8">
      <c r="A5" s="82" t="s">
        <v>14</v>
      </c>
    </row>
    <row r="6" spans="1:8" s="82" customFormat="1">
      <c r="A6" s="82" t="s">
        <v>146</v>
      </c>
      <c r="B6" s="86" t="s">
        <v>36</v>
      </c>
      <c r="C6" s="86"/>
      <c r="E6" s="86" t="s">
        <v>147</v>
      </c>
      <c r="F6" s="86" t="s">
        <v>148</v>
      </c>
      <c r="G6" s="86" t="s">
        <v>128</v>
      </c>
      <c r="H6" s="88" t="s">
        <v>149</v>
      </c>
    </row>
    <row r="7" spans="1:8">
      <c r="B7" s="89" t="s">
        <v>85</v>
      </c>
    </row>
    <row r="8" spans="1:8" s="92" customFormat="1">
      <c r="A8" s="90">
        <v>1</v>
      </c>
      <c r="B8" s="91" t="s">
        <v>86</v>
      </c>
      <c r="E8" s="93">
        <f>F8+G8</f>
        <v>0</v>
      </c>
      <c r="F8" s="93">
        <v>0</v>
      </c>
      <c r="G8" s="93">
        <v>0</v>
      </c>
      <c r="H8" s="92" t="str">
        <f t="shared" ref="H8:H13" si="0">IF(E8=F8+G8," ","ERROR")</f>
        <v xml:space="preserve"> </v>
      </c>
    </row>
    <row r="9" spans="1:8">
      <c r="A9" s="82">
        <v>2</v>
      </c>
      <c r="B9" s="89" t="s">
        <v>87</v>
      </c>
      <c r="E9" s="94"/>
      <c r="F9" s="94"/>
      <c r="G9" s="94"/>
      <c r="H9" s="92" t="str">
        <f t="shared" si="0"/>
        <v xml:space="preserve"> </v>
      </c>
    </row>
    <row r="10" spans="1:8">
      <c r="A10" s="82">
        <v>3</v>
      </c>
      <c r="B10" s="89" t="s">
        <v>150</v>
      </c>
      <c r="E10" s="94"/>
      <c r="F10" s="94"/>
      <c r="G10" s="94"/>
      <c r="H10" s="92" t="str">
        <f t="shared" si="0"/>
        <v xml:space="preserve"> </v>
      </c>
    </row>
    <row r="11" spans="1:8">
      <c r="A11" s="82">
        <v>4</v>
      </c>
      <c r="B11" s="89" t="s">
        <v>151</v>
      </c>
      <c r="E11" s="95">
        <f>E8+E9+E10</f>
        <v>0</v>
      </c>
      <c r="F11" s="95">
        <f>F8+F9+F10</f>
        <v>0</v>
      </c>
      <c r="G11" s="95">
        <f>G8+G9+G10</f>
        <v>0</v>
      </c>
      <c r="H11" s="92" t="str">
        <f t="shared" si="0"/>
        <v xml:space="preserve"> </v>
      </c>
    </row>
    <row r="12" spans="1:8">
      <c r="A12" s="82">
        <v>5</v>
      </c>
      <c r="B12" s="89" t="s">
        <v>90</v>
      </c>
      <c r="E12" s="94"/>
      <c r="F12" s="94"/>
      <c r="G12" s="94"/>
      <c r="H12" s="92" t="str">
        <f t="shared" si="0"/>
        <v xml:space="preserve"> </v>
      </c>
    </row>
    <row r="13" spans="1:8">
      <c r="A13" s="82">
        <v>6</v>
      </c>
      <c r="B13" s="89" t="s">
        <v>152</v>
      </c>
      <c r="E13" s="95">
        <f>E11+E12</f>
        <v>0</v>
      </c>
      <c r="F13" s="95">
        <f>F11+F12</f>
        <v>0</v>
      </c>
      <c r="G13" s="95">
        <f>G11+G12</f>
        <v>0</v>
      </c>
      <c r="H13" s="92" t="str">
        <f t="shared" si="0"/>
        <v xml:space="preserve"> </v>
      </c>
    </row>
    <row r="14" spans="1:8">
      <c r="E14" s="96"/>
      <c r="F14" s="96"/>
      <c r="G14" s="96"/>
      <c r="H14" s="92"/>
    </row>
    <row r="15" spans="1:8">
      <c r="B15" s="89" t="s">
        <v>92</v>
      </c>
      <c r="E15" s="96"/>
      <c r="F15" s="96"/>
      <c r="G15" s="96"/>
      <c r="H15" s="92"/>
    </row>
    <row r="16" spans="1:8">
      <c r="B16" s="89" t="s">
        <v>93</v>
      </c>
      <c r="E16" s="96"/>
      <c r="F16" s="96"/>
      <c r="G16" s="96"/>
      <c r="H16" s="92"/>
    </row>
    <row r="17" spans="1:8">
      <c r="A17" s="82">
        <v>7</v>
      </c>
      <c r="B17" s="89" t="s">
        <v>153</v>
      </c>
      <c r="E17" s="94"/>
      <c r="F17" s="94"/>
      <c r="G17" s="94"/>
      <c r="H17" s="92" t="str">
        <f>IF(E17=F17+G17," ","ERROR")</f>
        <v xml:space="preserve"> </v>
      </c>
    </row>
    <row r="18" spans="1:8">
      <c r="A18" s="82">
        <v>8</v>
      </c>
      <c r="B18" s="89" t="s">
        <v>154</v>
      </c>
      <c r="E18" s="94"/>
      <c r="F18" s="94"/>
      <c r="G18" s="94"/>
      <c r="H18" s="92" t="str">
        <f>IF(E18=F18+G18," ","ERROR")</f>
        <v xml:space="preserve"> </v>
      </c>
    </row>
    <row r="19" spans="1:8">
      <c r="A19" s="82">
        <v>9</v>
      </c>
      <c r="B19" s="89" t="s">
        <v>155</v>
      </c>
      <c r="E19" s="94"/>
      <c r="F19" s="94"/>
      <c r="G19" s="94"/>
      <c r="H19" s="92" t="str">
        <f>IF(E19=F19+G19," ","ERROR")</f>
        <v xml:space="preserve"> </v>
      </c>
    </row>
    <row r="20" spans="1:8">
      <c r="A20" s="82">
        <v>10</v>
      </c>
      <c r="B20" s="89" t="s">
        <v>156</v>
      </c>
      <c r="E20" s="94"/>
      <c r="F20" s="94"/>
      <c r="G20" s="94"/>
      <c r="H20" s="92" t="str">
        <f>IF(E20=F20+G20," ","ERROR")</f>
        <v xml:space="preserve"> </v>
      </c>
    </row>
    <row r="21" spans="1:8">
      <c r="A21" s="82">
        <v>11</v>
      </c>
      <c r="B21" s="89" t="s">
        <v>157</v>
      </c>
      <c r="E21" s="95">
        <f>E17+E18+E19+E20</f>
        <v>0</v>
      </c>
      <c r="F21" s="95">
        <f>F17+F18+F19+F20</f>
        <v>0</v>
      </c>
      <c r="G21" s="95">
        <f>G17+G18+G19+G20</f>
        <v>0</v>
      </c>
      <c r="H21" s="92" t="str">
        <f>IF(E21=F21+G21," ","ERROR")</f>
        <v xml:space="preserve"> </v>
      </c>
    </row>
    <row r="22" spans="1:8">
      <c r="E22" s="96"/>
      <c r="F22" s="96"/>
      <c r="G22" s="96"/>
      <c r="H22" s="92"/>
    </row>
    <row r="23" spans="1:8">
      <c r="B23" s="89" t="s">
        <v>98</v>
      </c>
      <c r="E23" s="96"/>
      <c r="F23" s="96"/>
      <c r="G23" s="96"/>
      <c r="H23" s="92"/>
    </row>
    <row r="24" spans="1:8">
      <c r="A24" s="82">
        <v>12</v>
      </c>
      <c r="B24" s="89" t="s">
        <v>153</v>
      </c>
      <c r="E24" s="94"/>
      <c r="F24" s="94"/>
      <c r="G24" s="94"/>
      <c r="H24" s="92" t="str">
        <f>IF(E24=F24+G24," ","ERROR")</f>
        <v xml:space="preserve"> </v>
      </c>
    </row>
    <row r="25" spans="1:8">
      <c r="A25" s="82">
        <v>13</v>
      </c>
      <c r="B25" s="89" t="s">
        <v>158</v>
      </c>
      <c r="E25" s="94"/>
      <c r="F25" s="94"/>
      <c r="G25" s="94"/>
      <c r="H25" s="92" t="str">
        <f>IF(E25=F25+G25," ","ERROR")</f>
        <v xml:space="preserve"> </v>
      </c>
    </row>
    <row r="26" spans="1:8">
      <c r="A26" s="82">
        <v>14</v>
      </c>
      <c r="B26" s="89" t="s">
        <v>156</v>
      </c>
      <c r="E26" s="94">
        <f>F26+G26</f>
        <v>0</v>
      </c>
      <c r="F26" s="94">
        <v>0</v>
      </c>
      <c r="G26" s="162">
        <v>0</v>
      </c>
      <c r="H26" s="92" t="str">
        <f>IF(E26=F26+G26," ","ERROR")</f>
        <v xml:space="preserve"> </v>
      </c>
    </row>
    <row r="27" spans="1:8">
      <c r="A27" s="82">
        <v>15</v>
      </c>
      <c r="B27" s="89" t="s">
        <v>159</v>
      </c>
      <c r="E27" s="95">
        <f>E24+E25+E26</f>
        <v>0</v>
      </c>
      <c r="F27" s="95">
        <f>F24+F25+F26</f>
        <v>0</v>
      </c>
      <c r="G27" s="95">
        <f>G24+G25+G26</f>
        <v>0</v>
      </c>
      <c r="H27" s="92" t="str">
        <f>IF(E27=F27+G27," ","ERROR")</f>
        <v xml:space="preserve"> </v>
      </c>
    </row>
    <row r="28" spans="1:8">
      <c r="E28" s="96"/>
      <c r="F28" s="96"/>
      <c r="G28" s="96"/>
      <c r="H28" s="92"/>
    </row>
    <row r="29" spans="1:8">
      <c r="A29" s="82">
        <v>16</v>
      </c>
      <c r="B29" s="89" t="s">
        <v>101</v>
      </c>
      <c r="E29" s="94">
        <f>F29+G29</f>
        <v>0</v>
      </c>
      <c r="F29" s="94">
        <v>0</v>
      </c>
      <c r="G29" s="94"/>
      <c r="H29" s="92" t="str">
        <f>IF(E29=F29+G29," ","ERROR")</f>
        <v xml:space="preserve"> </v>
      </c>
    </row>
    <row r="30" spans="1:8">
      <c r="A30" s="82">
        <v>17</v>
      </c>
      <c r="B30" s="89" t="s">
        <v>102</v>
      </c>
      <c r="E30" s="94"/>
      <c r="F30" s="94"/>
      <c r="G30" s="94"/>
      <c r="H30" s="92" t="str">
        <f>IF(E30=F30+G30," ","ERROR")</f>
        <v xml:space="preserve"> </v>
      </c>
    </row>
    <row r="31" spans="1:8">
      <c r="A31" s="82">
        <v>18</v>
      </c>
      <c r="B31" s="89" t="s">
        <v>160</v>
      </c>
      <c r="E31" s="94"/>
      <c r="F31" s="94"/>
      <c r="G31" s="94"/>
      <c r="H31" s="92" t="str">
        <f>IF(E31=F31+G31," ","ERROR")</f>
        <v xml:space="preserve"> </v>
      </c>
    </row>
    <row r="32" spans="1:8">
      <c r="E32" s="96"/>
      <c r="F32" s="96"/>
      <c r="G32" s="96"/>
      <c r="H32" s="92"/>
    </row>
    <row r="33" spans="1:8">
      <c r="B33" s="89" t="s">
        <v>104</v>
      </c>
      <c r="E33" s="96"/>
      <c r="F33" s="96"/>
      <c r="G33" s="96"/>
      <c r="H33" s="92"/>
    </row>
    <row r="34" spans="1:8">
      <c r="A34" s="82">
        <v>19</v>
      </c>
      <c r="B34" s="89" t="s">
        <v>153</v>
      </c>
      <c r="E34" s="94">
        <f>F34+G34</f>
        <v>0</v>
      </c>
      <c r="F34" s="94">
        <v>0</v>
      </c>
      <c r="G34" s="94">
        <v>0</v>
      </c>
      <c r="H34" s="92" t="str">
        <f>IF(E34=F34+G34," ","ERROR")</f>
        <v xml:space="preserve"> </v>
      </c>
    </row>
    <row r="35" spans="1:8">
      <c r="A35" s="82">
        <v>20</v>
      </c>
      <c r="B35" s="89" t="s">
        <v>158</v>
      </c>
      <c r="E35" s="94"/>
      <c r="F35" s="94"/>
      <c r="G35" s="94"/>
      <c r="H35" s="92" t="str">
        <f>IF(E35=F35+G35," ","ERROR")</f>
        <v xml:space="preserve"> </v>
      </c>
    </row>
    <row r="36" spans="1:8">
      <c r="A36" s="82">
        <v>21</v>
      </c>
      <c r="B36" s="89" t="s">
        <v>156</v>
      </c>
      <c r="E36" s="94"/>
      <c r="F36" s="94"/>
      <c r="G36" s="94"/>
      <c r="H36" s="92" t="str">
        <f>IF(E36=F36+G36," ","ERROR")</f>
        <v xml:space="preserve"> </v>
      </c>
    </row>
    <row r="37" spans="1:8">
      <c r="A37" s="82">
        <v>22</v>
      </c>
      <c r="B37" s="89" t="s">
        <v>161</v>
      </c>
      <c r="E37" s="97">
        <f>E34+E35+E36</f>
        <v>0</v>
      </c>
      <c r="F37" s="97">
        <f>F34+F35+F36</f>
        <v>0</v>
      </c>
      <c r="G37" s="97">
        <f>G34+G35+G36</f>
        <v>0</v>
      </c>
      <c r="H37" s="92" t="str">
        <f>IF(E37=F37+G37," ","ERROR")</f>
        <v xml:space="preserve"> </v>
      </c>
    </row>
    <row r="38" spans="1:8">
      <c r="A38" s="82">
        <v>23</v>
      </c>
      <c r="B38" s="89" t="s">
        <v>106</v>
      </c>
      <c r="E38" s="98">
        <f>E21+E27+E29+E30+E31+E37</f>
        <v>0</v>
      </c>
      <c r="F38" s="98">
        <f>F21+F27+F29+F30+F31+F37</f>
        <v>0</v>
      </c>
      <c r="G38" s="98">
        <f>G21+G27+G29+G30+G31+G37</f>
        <v>0</v>
      </c>
      <c r="H38" s="92" t="str">
        <f>IF(E38=F38+G38," ","ERROR")</f>
        <v xml:space="preserve"> </v>
      </c>
    </row>
    <row r="39" spans="1:8">
      <c r="E39" s="96"/>
      <c r="F39" s="96"/>
      <c r="G39" s="96"/>
      <c r="H39" s="92"/>
    </row>
    <row r="40" spans="1:8">
      <c r="A40" s="82">
        <v>24</v>
      </c>
      <c r="B40" s="89" t="s">
        <v>162</v>
      </c>
      <c r="E40" s="96">
        <f>E13-E38</f>
        <v>0</v>
      </c>
      <c r="F40" s="96">
        <f>F13-F38</f>
        <v>0</v>
      </c>
      <c r="G40" s="96">
        <f>G13-G38</f>
        <v>0</v>
      </c>
      <c r="H40" s="92" t="str">
        <f>IF(E40=F40+G40," ","ERROR")</f>
        <v xml:space="preserve"> </v>
      </c>
    </row>
    <row r="41" spans="1:8">
      <c r="B41" s="89"/>
      <c r="E41" s="96"/>
      <c r="F41" s="96"/>
      <c r="G41" s="96"/>
      <c r="H41" s="92"/>
    </row>
    <row r="42" spans="1:8">
      <c r="B42" s="89" t="s">
        <v>163</v>
      </c>
      <c r="E42" s="96"/>
      <c r="F42" s="96"/>
      <c r="G42" s="96"/>
      <c r="H42" s="92"/>
    </row>
    <row r="43" spans="1:8">
      <c r="A43" s="82">
        <v>25</v>
      </c>
      <c r="B43" s="89" t="s">
        <v>164</v>
      </c>
      <c r="D43" s="99">
        <v>0.35</v>
      </c>
      <c r="E43" s="94">
        <f>F43+G43</f>
        <v>0</v>
      </c>
      <c r="F43" s="94">
        <f>ROUND(F40*D43,0)</f>
        <v>0</v>
      </c>
      <c r="G43" s="94">
        <f>ROUND(G40*D43,0)</f>
        <v>0</v>
      </c>
      <c r="H43" s="92" t="str">
        <f>IF(E43=F43+G43," ","ERROR")</f>
        <v xml:space="preserve"> </v>
      </c>
    </row>
    <row r="44" spans="1:8">
      <c r="A44" s="82">
        <v>26</v>
      </c>
      <c r="B44" s="89" t="s">
        <v>165</v>
      </c>
      <c r="E44" s="94"/>
      <c r="F44" s="94"/>
      <c r="G44" s="94"/>
      <c r="H44" s="92" t="str">
        <f>IF(E44=F44+G44," ","ERROR")</f>
        <v xml:space="preserve"> </v>
      </c>
    </row>
    <row r="45" spans="1:8" ht="12.75">
      <c r="A45"/>
      <c r="B45"/>
      <c r="C45"/>
      <c r="D45"/>
      <c r="E45" s="913"/>
      <c r="F45" s="913"/>
      <c r="G45" s="913"/>
      <c r="H45" s="92" t="str">
        <f>IF(E45=F45+G45," ","ERROR")</f>
        <v xml:space="preserve"> </v>
      </c>
    </row>
    <row r="46" spans="1:8">
      <c r="A46" s="259"/>
      <c r="B46" s="262"/>
      <c r="C46" s="256"/>
      <c r="D46" s="256"/>
      <c r="E46" s="269"/>
      <c r="F46" s="269"/>
      <c r="G46" s="269"/>
      <c r="H46" s="92"/>
    </row>
    <row r="47" spans="1:8" s="92" customFormat="1">
      <c r="A47" s="263">
        <v>27</v>
      </c>
      <c r="B47" s="264" t="s">
        <v>113</v>
      </c>
      <c r="C47" s="265"/>
      <c r="D47" s="265"/>
      <c r="E47" s="273">
        <f>E40-SUM(E43:E44)</f>
        <v>0</v>
      </c>
      <c r="F47" s="273">
        <f>F40-SUM(F43:F44)</f>
        <v>0</v>
      </c>
      <c r="G47" s="273">
        <f>G40-SUM(G43:G44)</f>
        <v>0</v>
      </c>
      <c r="H47" s="92" t="str">
        <f>IF(E47=F47+G47," ","ERROR")</f>
        <v xml:space="preserve"> </v>
      </c>
    </row>
    <row r="48" spans="1:8">
      <c r="A48" s="259"/>
      <c r="H48" s="92"/>
    </row>
    <row r="49" spans="1:8">
      <c r="A49" s="259"/>
      <c r="B49" s="89" t="s">
        <v>114</v>
      </c>
      <c r="H49" s="92"/>
    </row>
    <row r="50" spans="1:8">
      <c r="A50" s="259"/>
      <c r="B50" s="89" t="s">
        <v>115</v>
      </c>
      <c r="H50" s="92"/>
    </row>
    <row r="51" spans="1:8" s="92" customFormat="1">
      <c r="A51" s="263">
        <v>28</v>
      </c>
      <c r="B51" s="91" t="s">
        <v>167</v>
      </c>
      <c r="E51" s="93"/>
      <c r="F51" s="93"/>
      <c r="G51" s="93"/>
      <c r="H51" s="92" t="str">
        <f t="shared" ref="H51:H61" si="1">IF(E51=F51+G51," ","ERROR")</f>
        <v xml:space="preserve"> </v>
      </c>
    </row>
    <row r="52" spans="1:8">
      <c r="A52" s="259">
        <v>29</v>
      </c>
      <c r="B52" s="89" t="s">
        <v>168</v>
      </c>
      <c r="E52" s="94">
        <f>SUM(F52:G52)</f>
        <v>0</v>
      </c>
      <c r="F52" s="94"/>
      <c r="G52" s="94"/>
      <c r="H52" s="92" t="str">
        <f t="shared" si="1"/>
        <v xml:space="preserve"> </v>
      </c>
    </row>
    <row r="53" spans="1:8">
      <c r="A53" s="259">
        <v>30</v>
      </c>
      <c r="B53" s="89" t="s">
        <v>169</v>
      </c>
      <c r="E53" s="94"/>
      <c r="F53" s="94"/>
      <c r="G53" s="94"/>
      <c r="H53" s="92" t="str">
        <f t="shared" si="1"/>
        <v xml:space="preserve"> </v>
      </c>
    </row>
    <row r="54" spans="1:8">
      <c r="A54" s="259">
        <v>31</v>
      </c>
      <c r="B54" s="89" t="s">
        <v>170</v>
      </c>
      <c r="E54" s="94"/>
      <c r="F54" s="94"/>
      <c r="G54" s="94"/>
      <c r="H54" s="92" t="str">
        <f t="shared" si="1"/>
        <v xml:space="preserve"> </v>
      </c>
    </row>
    <row r="55" spans="1:8">
      <c r="A55" s="259">
        <v>32</v>
      </c>
      <c r="B55" s="89" t="s">
        <v>171</v>
      </c>
      <c r="E55" s="100"/>
      <c r="F55" s="100"/>
      <c r="G55" s="100"/>
      <c r="H55" s="92" t="str">
        <f t="shared" si="1"/>
        <v xml:space="preserve"> </v>
      </c>
    </row>
    <row r="56" spans="1:8">
      <c r="A56" s="259">
        <v>33</v>
      </c>
      <c r="B56" s="89" t="s">
        <v>172</v>
      </c>
      <c r="E56" s="96">
        <f>E51+E52+E53+E54+E55</f>
        <v>0</v>
      </c>
      <c r="F56" s="96">
        <f>F51+F52+F53+F54+F55</f>
        <v>0</v>
      </c>
      <c r="G56" s="96">
        <f>G51+G52+G53+G54+G55</f>
        <v>0</v>
      </c>
      <c r="H56" s="92" t="str">
        <f t="shared" si="1"/>
        <v xml:space="preserve"> </v>
      </c>
    </row>
    <row r="57" spans="1:8">
      <c r="A57" s="259">
        <v>34</v>
      </c>
      <c r="B57" s="89" t="s">
        <v>121</v>
      </c>
      <c r="E57" s="94"/>
      <c r="F57" s="94"/>
      <c r="G57" s="94"/>
      <c r="H57" s="92" t="str">
        <f t="shared" si="1"/>
        <v xml:space="preserve"> </v>
      </c>
    </row>
    <row r="58" spans="1:8">
      <c r="A58" s="259">
        <v>35</v>
      </c>
      <c r="B58" s="89" t="s">
        <v>122</v>
      </c>
      <c r="E58" s="100"/>
      <c r="F58" s="100"/>
      <c r="G58" s="100"/>
      <c r="H58" s="92" t="str">
        <f t="shared" si="1"/>
        <v xml:space="preserve"> </v>
      </c>
    </row>
    <row r="59" spans="1:8">
      <c r="A59" s="259">
        <v>36</v>
      </c>
      <c r="B59" s="89" t="s">
        <v>173</v>
      </c>
      <c r="E59" s="96">
        <f>E57+E58</f>
        <v>0</v>
      </c>
      <c r="F59" s="96">
        <f>F57+F58</f>
        <v>0</v>
      </c>
      <c r="G59" s="96">
        <f>G57+G58</f>
        <v>0</v>
      </c>
      <c r="H59" s="92" t="str">
        <f t="shared" si="1"/>
        <v xml:space="preserve"> </v>
      </c>
    </row>
    <row r="60" spans="1:8">
      <c r="A60" s="259">
        <v>37</v>
      </c>
      <c r="B60" s="89" t="s">
        <v>124</v>
      </c>
      <c r="E60" s="94"/>
      <c r="F60" s="94"/>
      <c r="G60" s="94"/>
      <c r="H60" s="92" t="str">
        <f t="shared" si="1"/>
        <v xml:space="preserve"> </v>
      </c>
    </row>
    <row r="61" spans="1:8">
      <c r="A61" s="259">
        <v>38</v>
      </c>
      <c r="B61" s="89" t="s">
        <v>125</v>
      </c>
      <c r="E61" s="100"/>
      <c r="F61" s="100"/>
      <c r="G61" s="100"/>
      <c r="H61" s="92" t="str">
        <f t="shared" si="1"/>
        <v xml:space="preserve"> </v>
      </c>
    </row>
    <row r="62" spans="1:8" ht="9" customHeight="1">
      <c r="A62" s="259"/>
      <c r="H62" s="92"/>
    </row>
    <row r="63" spans="1:8" s="92" customFormat="1" ht="12.75" thickBot="1">
      <c r="A63" s="263">
        <v>39</v>
      </c>
      <c r="B63" s="91" t="s">
        <v>126</v>
      </c>
      <c r="E63" s="101">
        <f>E56-E59+E60+E61</f>
        <v>0</v>
      </c>
      <c r="F63" s="101">
        <f>F56-F59+F60+F61</f>
        <v>0</v>
      </c>
      <c r="G63" s="101">
        <f>G56-G59+G60+G61</f>
        <v>0</v>
      </c>
      <c r="H63" s="92" t="str">
        <f>IF(E63=F63+G63," ","ERROR")</f>
        <v xml:space="preserve"> </v>
      </c>
    </row>
    <row r="64" spans="1:8" ht="12.75" thickTop="1"/>
  </sheetData>
  <phoneticPr fontId="0" type="noConversion"/>
  <printOptions horizontalCentered="1"/>
  <pageMargins left="1" right="0.75" top="0.5" bottom="0.5" header="0.5" footer="0.5"/>
  <pageSetup scale="90" orientation="portrait" horizontalDpi="300" verticalDpi="300" r:id="rId1"/>
  <headerFooter alignWithMargins="0"/>
  <rowBreaks count="1" manualBreakCount="1">
    <brk id="65" max="65535" man="1"/>
  </rowBreaks>
  <colBreaks count="1" manualBreakCount="1">
    <brk id="7" max="1048575" man="1"/>
  </colBreaks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3"/>
  <dimension ref="A1:AU74"/>
  <sheetViews>
    <sheetView showGridLines="0" zoomScale="75" workbookViewId="0">
      <pane xSplit="4" ySplit="9" topLeftCell="E10" activePane="bottomRight" state="frozenSplit"/>
      <selection pane="topRight" activeCell="E1" sqref="E1"/>
      <selection pane="bottomLeft" activeCell="A10" sqref="A10"/>
      <selection pane="bottomRight" activeCell="N23" sqref="N23"/>
    </sheetView>
  </sheetViews>
  <sheetFormatPr defaultColWidth="10.7109375" defaultRowHeight="12"/>
  <cols>
    <col min="1" max="1" width="4.7109375" style="3" customWidth="1"/>
    <col min="2" max="3" width="1.7109375" style="2" customWidth="1"/>
    <col min="4" max="4" width="33.7109375" style="2" customWidth="1"/>
    <col min="5" max="5" width="11.7109375" style="4" customWidth="1"/>
    <col min="6" max="6" width="11.7109375" style="5" customWidth="1"/>
    <col min="7" max="10" width="11.7109375" style="4" customWidth="1"/>
    <col min="11" max="17" width="11.7109375" style="5" customWidth="1"/>
    <col min="18" max="21" width="11.7109375" style="4" customWidth="1"/>
    <col min="22" max="31" width="11.7109375" style="5" customWidth="1"/>
    <col min="32" max="32" width="11.7109375" style="4" customWidth="1"/>
    <col min="33" max="44" width="11.7109375" style="5" customWidth="1"/>
    <col min="45" max="46" width="11.7109375" style="4" customWidth="1"/>
    <col min="47" max="16384" width="10.7109375" style="2"/>
  </cols>
  <sheetData>
    <row r="1" spans="1:46">
      <c r="A1" s="1" t="str">
        <f>Inputs!$D$6</f>
        <v>AVISTA UTILITIES</v>
      </c>
      <c r="D1" s="3"/>
    </row>
    <row r="2" spans="1:46">
      <c r="A2" s="1" t="s">
        <v>0</v>
      </c>
      <c r="D2" s="3"/>
    </row>
    <row r="3" spans="1:46">
      <c r="A3" s="1" t="s">
        <v>140</v>
      </c>
      <c r="D3" s="3"/>
    </row>
    <row r="4" spans="1:46">
      <c r="A4" s="1" t="str">
        <f>WAElec09_08!$A$4</f>
        <v>TWELVE MONTHS ENDED SEPTEMBER 30, 2008</v>
      </c>
      <c r="D4" s="3"/>
      <c r="AS4" s="6"/>
    </row>
    <row r="5" spans="1:46">
      <c r="A5" s="1" t="s">
        <v>1</v>
      </c>
      <c r="D5" s="3"/>
      <c r="AS5" s="6"/>
    </row>
    <row r="6" spans="1:46" s="8" customFormat="1">
      <c r="A6" s="7"/>
      <c r="D6" s="7"/>
      <c r="E6" s="9" t="s">
        <v>141</v>
      </c>
      <c r="F6" s="10" t="s">
        <v>141</v>
      </c>
      <c r="G6" s="9" t="s">
        <v>141</v>
      </c>
      <c r="H6" s="9" t="s">
        <v>141</v>
      </c>
      <c r="I6" s="9" t="s">
        <v>141</v>
      </c>
      <c r="J6" s="9" t="s">
        <v>141</v>
      </c>
      <c r="K6" s="9" t="s">
        <v>141</v>
      </c>
      <c r="L6" s="9" t="s">
        <v>141</v>
      </c>
      <c r="M6" s="9" t="s">
        <v>141</v>
      </c>
      <c r="N6" s="9" t="s">
        <v>141</v>
      </c>
      <c r="O6" s="9" t="s">
        <v>141</v>
      </c>
      <c r="P6" s="9" t="s">
        <v>141</v>
      </c>
      <c r="Q6" s="9" t="s">
        <v>141</v>
      </c>
      <c r="R6" s="9" t="s">
        <v>141</v>
      </c>
      <c r="S6" s="9" t="s">
        <v>141</v>
      </c>
      <c r="T6" s="9" t="s">
        <v>141</v>
      </c>
      <c r="U6" s="9" t="s">
        <v>141</v>
      </c>
      <c r="V6" s="9" t="s">
        <v>141</v>
      </c>
      <c r="W6" s="9" t="s">
        <v>141</v>
      </c>
      <c r="X6" s="9" t="s">
        <v>141</v>
      </c>
      <c r="Y6" s="9" t="s">
        <v>141</v>
      </c>
      <c r="Z6" s="9" t="s">
        <v>141</v>
      </c>
      <c r="AA6" s="9" t="s">
        <v>141</v>
      </c>
      <c r="AB6" s="9" t="s">
        <v>141</v>
      </c>
      <c r="AC6" s="9" t="s">
        <v>141</v>
      </c>
      <c r="AD6" s="9" t="s">
        <v>141</v>
      </c>
      <c r="AE6" s="9" t="s">
        <v>141</v>
      </c>
      <c r="AF6" s="11" t="s">
        <v>141</v>
      </c>
      <c r="AG6" s="9" t="s">
        <v>141</v>
      </c>
      <c r="AH6" s="9" t="s">
        <v>141</v>
      </c>
      <c r="AI6" s="9" t="s">
        <v>141</v>
      </c>
      <c r="AJ6" s="9" t="s">
        <v>141</v>
      </c>
      <c r="AK6" s="9" t="s">
        <v>141</v>
      </c>
      <c r="AL6" s="9" t="s">
        <v>141</v>
      </c>
      <c r="AM6" s="9" t="s">
        <v>141</v>
      </c>
      <c r="AN6" s="9" t="s">
        <v>141</v>
      </c>
      <c r="AO6" s="9" t="s">
        <v>141</v>
      </c>
      <c r="AP6" s="9" t="s">
        <v>141</v>
      </c>
      <c r="AQ6" s="9" t="s">
        <v>141</v>
      </c>
      <c r="AR6" s="9" t="s">
        <v>141</v>
      </c>
      <c r="AS6" s="11"/>
      <c r="AT6" s="11" t="s">
        <v>141</v>
      </c>
    </row>
    <row r="7" spans="1:46" s="8" customFormat="1" ht="12" customHeight="1">
      <c r="A7" s="12"/>
      <c r="B7" s="13"/>
      <c r="C7" s="14"/>
      <c r="D7" s="15"/>
      <c r="E7" s="16" t="str">
        <f>IF(WAElec09_08!E7=IDElec12_07!E7,WAElec09_08!E7,"mixed ")</f>
        <v>Per</v>
      </c>
      <c r="F7" s="16" t="str">
        <f>IF(WAElec09_08!F7=IDElec12_07!F7,WAElec09_08!F7,"mixed ")</f>
        <v xml:space="preserve">Deferred </v>
      </c>
      <c r="G7" s="16" t="str">
        <f>IF(WAElec09_08!G7=IDElec12_07!G7,WAElec09_08!G7,"mixed ")</f>
        <v>Deferred Gain</v>
      </c>
      <c r="H7" s="16" t="str">
        <f>IF(WAElec09_08!H7=IDElec12_07!H7,WAElec09_08!H7,"mixed ")</f>
        <v>Colstrip 3</v>
      </c>
      <c r="I7" s="16" t="str">
        <f>IF(WAElec09_08!I7=IDElec12_07!I7,WAElec09_08!I7,"mixed ")</f>
        <v>Colstrip</v>
      </c>
      <c r="J7" s="16" t="str">
        <f>IF(WAElec09_08!J7=IDElec12_07!J7,WAElec09_08!J7,"mixed ")</f>
        <v xml:space="preserve">mixed </v>
      </c>
      <c r="K7" s="16">
        <f>IF(WAElec09_08!K7=IDElec12_07!K7,WAElec09_08!K7,"mixed ")</f>
        <v>0</v>
      </c>
      <c r="L7" s="16" t="str">
        <f>IF(WAElec09_08!L7=IDElec12_07!L7,WAElec09_08!L7,"mixed ")</f>
        <v xml:space="preserve">mixed </v>
      </c>
      <c r="M7" s="16" t="str">
        <f>IF(WAElec09_08!M7=IDElec12_07!M7,WAElec09_08!M7,"mixed ")</f>
        <v xml:space="preserve">mixed </v>
      </c>
      <c r="N7" s="16" t="e">
        <f>IF(WAElec09_08!#REF!=IDElec12_07!#REF!,WAElec09_08!#REF!,"mixed ")</f>
        <v>#REF!</v>
      </c>
      <c r="O7" s="16">
        <f>IF(WAElec09_08!N7=IDElec12_07!N7,WAElec09_08!N7,"mixed ")</f>
        <v>0</v>
      </c>
      <c r="P7" s="16" t="e">
        <f>IF(WAElec09_08!#REF!=IDElec12_07!#REF!,WAElec09_08!#REF!,"mixed ")</f>
        <v>#REF!</v>
      </c>
      <c r="Q7" s="16" t="str">
        <f>IF(WAElec09_08!O7=IDElec12_07!P7,WAElec09_08!O7,"mixed ")</f>
        <v>Eliminate</v>
      </c>
      <c r="R7" s="16">
        <f>IF(WAElec09_08!P7=IDElec12_07!Q7,WAElec09_08!P7,"mixed ")</f>
        <v>0</v>
      </c>
      <c r="S7" s="16">
        <f>IF(WAElec09_08!Q7=IDElec12_07!R7,WAElec09_08!Q7,"mixed ")</f>
        <v>0</v>
      </c>
      <c r="T7" s="16">
        <f>IF(WAElec09_08!R7=IDElec12_07!S7,WAElec09_08!R7,"mixed ")</f>
        <v>0</v>
      </c>
      <c r="U7" s="16" t="str">
        <f>IF(WAElec09_08!S7=IDElec12_07!T7,WAElec09_08!S7,"mixed ")</f>
        <v>Injuries</v>
      </c>
      <c r="V7" s="16">
        <f>IF(WAElec09_08!T7=IDElec12_07!U7,WAElec09_08!T7,"mixed ")</f>
        <v>0</v>
      </c>
      <c r="W7" s="16" t="str">
        <f>IF(WAElec09_08!AC7=IDElec12_07!AA7,WAElec09_08!AC7,"mixed ")</f>
        <v>Restate</v>
      </c>
      <c r="X7" s="16" t="str">
        <f>IF(WAElec09_08!U7=IDElec12_07!V7,WAElec09_08!U7,"mixed ")</f>
        <v xml:space="preserve">mixed </v>
      </c>
      <c r="Y7" s="16" t="str">
        <f>IF(WAElec09_08!AD7=IDElec12_07!W7,WAElec09_08!AD7,"mixed ")</f>
        <v xml:space="preserve">mixed </v>
      </c>
      <c r="Z7" s="16" t="e">
        <f>IF(WAElec09_08!AE7=IDElec12_07!#REF!,WAElec09_08!AE7,"mixed ")</f>
        <v>#REF!</v>
      </c>
      <c r="AA7" s="16" t="e">
        <f>IF(WAElec09_08!#REF!=IDElec12_07!#REF!,WAElec09_08!#REF!,"mixed ")</f>
        <v>#REF!</v>
      </c>
      <c r="AB7" s="16" t="e">
        <f>IF(WAElec09_08!#REF!=IDElec12_07!#REF!,WAElec09_08!#REF!,"mixed ")</f>
        <v>#REF!</v>
      </c>
      <c r="AC7" s="16" t="e">
        <f>IF(WAElec09_08!#REF!=IDElec12_07!Y7,WAElec09_08!#REF!,"mixed ")</f>
        <v>#REF!</v>
      </c>
      <c r="AD7" s="16" t="e">
        <f>IF(WAElec09_08!#REF!=IDElec12_07!#REF!,WAElec09_08!#REF!,"mixed ")</f>
        <v>#REF!</v>
      </c>
      <c r="AE7" s="16" t="e">
        <f>IF(WAElec09_08!#REF!=IDElec12_07!AB7,WAElec09_08!#REF!,"mixed ")</f>
        <v>#REF!</v>
      </c>
      <c r="AF7" s="16">
        <f>IF(WAElec09_08!AG7=IDElec12_07!AG7,WAElec09_08!AG7,"mixed ")</f>
        <v>0</v>
      </c>
      <c r="AG7" s="16" t="e">
        <f>IF(WAElec09_08!#REF!=IDElec12_07!#REF!,WAElec09_08!#REF!,"mixed ")</f>
        <v>#REF!</v>
      </c>
      <c r="AH7" s="16" t="e">
        <f>IF(WAElec09_08!AH7=IDElec12_07!#REF!,WAElec09_08!AH7,"mixed ")</f>
        <v>#REF!</v>
      </c>
      <c r="AI7" s="16" t="e">
        <f>IF(WAElec09_08!#REF!=IDElec12_07!#REF!,WAElec09_08!#REF!,"mixed ")</f>
        <v>#REF!</v>
      </c>
      <c r="AJ7" s="16" t="e">
        <f>IF(WAElec09_08!AA7=IDElec12_07!#REF!,WAElec09_08!AA7,"mixed ")</f>
        <v>#REF!</v>
      </c>
      <c r="AK7" s="16" t="e">
        <f>IF(WAElec09_08!AJ7=IDElec12_07!#REF!,WAElec09_08!AJ7,"mixed ")</f>
        <v>#REF!</v>
      </c>
      <c r="AL7" s="16" t="e">
        <f>IF(WAElec09_08!AK7=IDElec12_07!#REF!,WAElec09_08!AK7,"mixed ")</f>
        <v>#REF!</v>
      </c>
      <c r="AM7" s="16" t="e">
        <f>IF(WAElec09_08!#REF!=IDElec12_07!#REF!,WAElec09_08!#REF!,"mixed ")</f>
        <v>#REF!</v>
      </c>
      <c r="AN7" s="16" t="e">
        <f>IF(WAElec09_08!#REF!=IDElec12_07!#REF!,WAElec09_08!#REF!,"mixed ")</f>
        <v>#REF!</v>
      </c>
      <c r="AO7" s="16" t="str">
        <f>IF(WAElec09_08!AM7=IDElec12_07!AL7,WAElec09_08!AM7,"mixed ")</f>
        <v xml:space="preserve">Pro Forma </v>
      </c>
      <c r="AP7" s="16" t="str">
        <f>IF(WAElec09_08!AN7=IDElec12_07!AM7,WAElec09_08!AN7,"mixed ")</f>
        <v xml:space="preserve">Pro Forma </v>
      </c>
      <c r="AQ7" s="16" t="str">
        <f>IF(WAElec09_08!BC7=IDElec12_07!AO7,WAElec09_08!BC7,"mixed ")</f>
        <v xml:space="preserve">mixed </v>
      </c>
      <c r="AR7" s="16" t="str">
        <f>IF(WAElec09_08!BD7=IDElec12_07!AP7,WAElec09_08!BD7,"mixed ")</f>
        <v xml:space="preserve">mixed </v>
      </c>
      <c r="AS7" s="16"/>
      <c r="AT7" s="16" t="e">
        <f>IF(WAElec09_08!BG7=IDElec12_07!#REF!,WAElec09_08!BG7,"mixed ")</f>
        <v>#REF!</v>
      </c>
    </row>
    <row r="8" spans="1:46" s="8" customFormat="1">
      <c r="A8" s="17" t="s">
        <v>14</v>
      </c>
      <c r="B8" s="18"/>
      <c r="C8" s="19"/>
      <c r="D8" s="20"/>
      <c r="E8" s="21" t="str">
        <f>IF(WAElec09_08!E8=IDElec12_07!E8,WAElec09_08!E8,"mixed ")</f>
        <v xml:space="preserve">Results </v>
      </c>
      <c r="F8" s="21" t="str">
        <f>IF(WAElec09_08!F8=IDElec12_07!F8,WAElec09_08!F8,"mixed ")</f>
        <v>FIT</v>
      </c>
      <c r="G8" s="21" t="str">
        <f>IF(WAElec09_08!G8=IDElec12_07!G8,WAElec09_08!G8,"mixed ")</f>
        <v>on Office</v>
      </c>
      <c r="H8" s="21" t="str">
        <f>IF(WAElec09_08!H8=IDElec12_07!H8,WAElec09_08!H8,"mixed ")</f>
        <v>AFUDC</v>
      </c>
      <c r="I8" s="21" t="str">
        <f>IF(WAElec09_08!I8=IDElec12_07!I8,WAElec09_08!I8,"mixed ")</f>
        <v>Common</v>
      </c>
      <c r="J8" s="21" t="str">
        <f>IF(WAElec09_08!J8=IDElec12_07!J8,WAElec09_08!J8,"mixed ")</f>
        <v xml:space="preserve">mixed </v>
      </c>
      <c r="K8" s="21" t="str">
        <f>IF(WAElec09_08!K8=IDElec12_07!K8,WAElec09_08!K8,"mixed ")</f>
        <v>Customer</v>
      </c>
      <c r="L8" s="21" t="str">
        <f>IF(WAElec09_08!L8=IDElec12_07!L8,WAElec09_08!L8,"mixed ")</f>
        <v xml:space="preserve">mixed </v>
      </c>
      <c r="M8" s="21" t="str">
        <f>IF(WAElec09_08!M8=IDElec12_07!M8,WAElec09_08!M8,"mixed ")</f>
        <v xml:space="preserve">mixed </v>
      </c>
      <c r="N8" s="21" t="e">
        <f>IF(WAElec09_08!#REF!=IDElec12_07!#REF!,WAElec09_08!#REF!,"mixed ")</f>
        <v>#REF!</v>
      </c>
      <c r="O8" s="21" t="str">
        <f>IF(WAElec09_08!N8=IDElec12_07!N8,WAElec09_08!N8,"mixed ")</f>
        <v>Subtotal</v>
      </c>
      <c r="P8" s="21" t="e">
        <f>IF(WAElec09_08!#REF!=IDElec12_07!#REF!,WAElec09_08!#REF!,"mixed ")</f>
        <v>#REF!</v>
      </c>
      <c r="Q8" s="21" t="str">
        <f>IF(WAElec09_08!O8=IDElec12_07!P8,WAElec09_08!O8,"mixed ")</f>
        <v>B &amp; O</v>
      </c>
      <c r="R8" s="21" t="str">
        <f>IF(WAElec09_08!P8=IDElec12_07!Q8,WAElec09_08!P8,"mixed ")</f>
        <v>Property</v>
      </c>
      <c r="S8" s="21" t="str">
        <f>IF(WAElec09_08!Q8=IDElec12_07!R8,WAElec09_08!Q8,"mixed ")</f>
        <v>Uncollect.</v>
      </c>
      <c r="T8" s="21" t="str">
        <f>IF(WAElec09_08!R8=IDElec12_07!S8,WAElec09_08!R8,"mixed ")</f>
        <v>Regulatory</v>
      </c>
      <c r="U8" s="21" t="str">
        <f>IF(WAElec09_08!S8=IDElec12_07!T8,WAElec09_08!S8,"mixed ")</f>
        <v xml:space="preserve">and </v>
      </c>
      <c r="V8" s="21">
        <f>IF(WAElec09_08!T8=IDElec12_07!U8,WAElec09_08!T8,"mixed ")</f>
        <v>0</v>
      </c>
      <c r="W8" s="21" t="str">
        <f>IF(WAElec09_08!AC8=IDElec12_07!AA8,WAElec09_08!AC8,"mixed ")</f>
        <v>Debt</v>
      </c>
      <c r="X8" s="21" t="str">
        <f>IF(WAElec09_08!U8=IDElec12_07!V8,WAElec09_08!U8,"mixed ")</f>
        <v xml:space="preserve">mixed </v>
      </c>
      <c r="Y8" s="21" t="str">
        <f>IF(WAElec09_08!AD8=IDElec12_07!W8,WAElec09_08!AD8,"mixed ")</f>
        <v xml:space="preserve">mixed </v>
      </c>
      <c r="Z8" s="21" t="e">
        <f>IF(WAElec09_08!AE8=IDElec12_07!#REF!,WAElec09_08!AE8,"mixed ")</f>
        <v>#REF!</v>
      </c>
      <c r="AA8" s="21" t="e">
        <f>IF(WAElec09_08!#REF!=IDElec12_07!#REF!,WAElec09_08!#REF!,"mixed ")</f>
        <v>#REF!</v>
      </c>
      <c r="AB8" s="21" t="e">
        <f>IF(WAElec09_08!#REF!=IDElec12_07!#REF!,WAElec09_08!#REF!,"mixed ")</f>
        <v>#REF!</v>
      </c>
      <c r="AC8" s="21" t="e">
        <f>IF(WAElec09_08!#REF!=IDElec12_07!Y8,WAElec09_08!#REF!,"mixed ")</f>
        <v>#REF!</v>
      </c>
      <c r="AD8" s="21" t="e">
        <f>IF(WAElec09_08!#REF!=IDElec12_07!#REF!,WAElec09_08!#REF!,"mixed ")</f>
        <v>#REF!</v>
      </c>
      <c r="AE8" s="21" t="e">
        <f>IF(WAElec09_08!#REF!=IDElec12_07!AB8,WAElec09_08!#REF!,"mixed ")</f>
        <v>#REF!</v>
      </c>
      <c r="AF8" s="21" t="str">
        <f>IF(WAElec09_08!AG8=IDElec12_07!AG8,WAElec09_08!AG8,"mixed ")</f>
        <v>Restated</v>
      </c>
      <c r="AG8" s="21" t="e">
        <f>IF(WAElec09_08!#REF!=IDElec12_07!#REF!,WAElec09_08!#REF!,"mixed ")</f>
        <v>#REF!</v>
      </c>
      <c r="AH8" s="21" t="e">
        <f>IF(WAElec09_08!AH8=IDElec12_07!#REF!,WAElec09_08!AH8,"mixed ")</f>
        <v>#REF!</v>
      </c>
      <c r="AI8" s="21" t="e">
        <f>IF(WAElec09_08!#REF!=IDElec12_07!#REF!,WAElec09_08!#REF!,"mixed ")</f>
        <v>#REF!</v>
      </c>
      <c r="AJ8" s="21" t="e">
        <f>IF(WAElec09_08!AA8=IDElec12_07!#REF!,WAElec09_08!AA8,"mixed ")</f>
        <v>#REF!</v>
      </c>
      <c r="AK8" s="21" t="e">
        <f>IF(WAElec09_08!AJ8=IDElec12_07!#REF!,WAElec09_08!AJ8,"mixed ")</f>
        <v>#REF!</v>
      </c>
      <c r="AL8" s="21" t="e">
        <f>IF(WAElec09_08!AK8=IDElec12_07!#REF!,WAElec09_08!AK8,"mixed ")</f>
        <v>#REF!</v>
      </c>
      <c r="AM8" s="21" t="e">
        <f>IF(WAElec09_08!#REF!=IDElec12_07!#REF!,WAElec09_08!#REF!,"mixed ")</f>
        <v>#REF!</v>
      </c>
      <c r="AN8" s="21" t="e">
        <f>IF(WAElec09_08!#REF!=IDElec12_07!#REF!,WAElec09_08!#REF!,"mixed ")</f>
        <v>#REF!</v>
      </c>
      <c r="AO8" s="21" t="str">
        <f>IF(WAElec09_08!AM8=IDElec12_07!AL8,WAElec09_08!AM8,"mixed ")</f>
        <v xml:space="preserve">mixed </v>
      </c>
      <c r="AP8" s="21" t="str">
        <f>IF(WAElec09_08!AN8=IDElec12_07!AM8,WAElec09_08!AN8,"mixed ")</f>
        <v>Capital Add</v>
      </c>
      <c r="AQ8" s="21" t="str">
        <f>IF(WAElec09_08!BC8=IDElec12_07!AO8,WAElec09_08!BC8,"mixed ")</f>
        <v xml:space="preserve">mixed </v>
      </c>
      <c r="AR8" s="21" t="str">
        <f>IF(WAElec09_08!BD8=IDElec12_07!AP8,WAElec09_08!BD8,"mixed ")</f>
        <v xml:space="preserve">mixed </v>
      </c>
      <c r="AS8" s="21"/>
      <c r="AT8" s="21" t="e">
        <f>IF(WAElec09_08!BG8=IDElec12_07!#REF!,WAElec09_08!BG8,"mixed ")</f>
        <v>#REF!</v>
      </c>
    </row>
    <row r="9" spans="1:46" s="8" customFormat="1">
      <c r="A9" s="22" t="s">
        <v>35</v>
      </c>
      <c r="B9" s="23"/>
      <c r="C9" s="24"/>
      <c r="D9" s="25" t="s">
        <v>36</v>
      </c>
      <c r="E9" s="26" t="str">
        <f>IF(WAElec09_08!E9=IDElec12_07!E9,WAElec09_08!E9,"mixed ")</f>
        <v>Report</v>
      </c>
      <c r="F9" s="26" t="str">
        <f>IF(WAElec09_08!F9=IDElec12_07!F9,WAElec09_08!F9,"mixed ")</f>
        <v>Rate Base</v>
      </c>
      <c r="G9" s="26" t="str">
        <f>IF(WAElec09_08!G9=IDElec12_07!G9,WAElec09_08!G9,"mixed ")</f>
        <v>Building</v>
      </c>
      <c r="H9" s="26" t="str">
        <f>IF(WAElec09_08!H9=IDElec12_07!H9,WAElec09_08!H9,"mixed ")</f>
        <v>Elimination</v>
      </c>
      <c r="I9" s="26" t="str">
        <f>IF(WAElec09_08!I9=IDElec12_07!I9,WAElec09_08!I9,"mixed ")</f>
        <v>AFUDC</v>
      </c>
      <c r="J9" s="26" t="str">
        <f>IF(WAElec09_08!J9=IDElec12_07!J9,WAElec09_08!J9,"mixed ")</f>
        <v>Disallow.</v>
      </c>
      <c r="K9" s="26" t="str">
        <f>IF(WAElec09_08!K9=IDElec12_07!K9,WAElec09_08!K9,"mixed ")</f>
        <v>Advances</v>
      </c>
      <c r="L9" s="26" t="str">
        <f>IF(WAElec09_08!L9=IDElec12_07!L9,WAElec09_08!L9,"mixed ")</f>
        <v xml:space="preserve">mixed </v>
      </c>
      <c r="M9" s="26" t="str">
        <f>IF(WAElec09_08!M9=IDElec12_07!M9,WAElec09_08!M9,"mixed ")</f>
        <v xml:space="preserve">mixed </v>
      </c>
      <c r="N9" s="26" t="e">
        <f>IF(WAElec09_08!#REF!=IDElec12_07!#REF!,WAElec09_08!#REF!,"mixed ")</f>
        <v>#REF!</v>
      </c>
      <c r="O9" s="26" t="str">
        <f>IF(WAElec09_08!N9=IDElec12_07!N9,WAElec09_08!N9,"mixed ")</f>
        <v>Actual</v>
      </c>
      <c r="P9" s="26" t="e">
        <f>IF(WAElec09_08!#REF!=IDElec12_07!#REF!,WAElec09_08!#REF!,"mixed ")</f>
        <v>#REF!</v>
      </c>
      <c r="Q9" s="26" t="str">
        <f>IF(WAElec09_08!O9=IDElec12_07!P9,WAElec09_08!O9,"mixed ")</f>
        <v>Taxes</v>
      </c>
      <c r="R9" s="26" t="str">
        <f>IF(WAElec09_08!P9=IDElec12_07!Q9,WAElec09_08!P9,"mixed ")</f>
        <v>Tax</v>
      </c>
      <c r="S9" s="26" t="str">
        <f>IF(WAElec09_08!Q9=IDElec12_07!R9,WAElec09_08!Q9,"mixed ")</f>
        <v>Expense</v>
      </c>
      <c r="T9" s="26" t="str">
        <f>IF(WAElec09_08!R9=IDElec12_07!S9,WAElec09_08!R9,"mixed ")</f>
        <v>Expense</v>
      </c>
      <c r="U9" s="26" t="str">
        <f>IF(WAElec09_08!S9=IDElec12_07!T9,WAElec09_08!S9,"mixed ")</f>
        <v>Damages</v>
      </c>
      <c r="V9" s="26" t="str">
        <f>IF(WAElec09_08!T9=IDElec12_07!U9,WAElec09_08!T9,"mixed ")</f>
        <v xml:space="preserve">FIT </v>
      </c>
      <c r="W9" s="26" t="str">
        <f>IF(WAElec09_08!AC9=IDElec12_07!AA9,WAElec09_08!AC9,"mixed ")</f>
        <v>Interest</v>
      </c>
      <c r="X9" s="26" t="str">
        <f>IF(WAElec09_08!U9=IDElec12_07!V9,WAElec09_08!U9,"mixed ")</f>
        <v xml:space="preserve">mixed </v>
      </c>
      <c r="Y9" s="26" t="str">
        <f>IF(WAElec09_08!AD9=IDElec12_07!W9,WAElec09_08!AD9,"mixed ")</f>
        <v xml:space="preserve">mixed </v>
      </c>
      <c r="Z9" s="26" t="e">
        <f>IF(WAElec09_08!AE9=IDElec12_07!#REF!,WAElec09_08!AE9,"mixed ")</f>
        <v>#REF!</v>
      </c>
      <c r="AA9" s="26" t="e">
        <f>IF(WAElec09_08!#REF!=IDElec12_07!#REF!,WAElec09_08!#REF!,"mixed ")</f>
        <v>#REF!</v>
      </c>
      <c r="AB9" s="26" t="e">
        <f>IF(WAElec09_08!#REF!=IDElec12_07!#REF!,WAElec09_08!#REF!,"mixed ")</f>
        <v>#REF!</v>
      </c>
      <c r="AC9" s="26" t="e">
        <f>IF(WAElec09_08!#REF!=IDElec12_07!Y9,WAElec09_08!#REF!,"mixed ")</f>
        <v>#REF!</v>
      </c>
      <c r="AD9" s="26" t="e">
        <f>IF(WAElec09_08!#REF!=IDElec12_07!#REF!,WAElec09_08!#REF!,"mixed ")</f>
        <v>#REF!</v>
      </c>
      <c r="AE9" s="26" t="e">
        <f>IF(WAElec09_08!#REF!=IDElec12_07!AB9,WAElec09_08!#REF!,"mixed ")</f>
        <v>#REF!</v>
      </c>
      <c r="AF9" s="26" t="str">
        <f>IF(WAElec09_08!AG9=IDElec12_07!AG9,WAElec09_08!AG9,"mixed ")</f>
        <v>TOTAL</v>
      </c>
      <c r="AG9" s="26" t="e">
        <f>IF(WAElec09_08!#REF!=IDElec12_07!#REF!,WAElec09_08!#REF!,"mixed ")</f>
        <v>#REF!</v>
      </c>
      <c r="AH9" s="26" t="e">
        <f>IF(WAElec09_08!AH9=IDElec12_07!#REF!,WAElec09_08!AH9,"mixed ")</f>
        <v>#REF!</v>
      </c>
      <c r="AI9" s="26" t="e">
        <f>IF(WAElec09_08!#REF!=IDElec12_07!#REF!,WAElec09_08!#REF!,"mixed ")</f>
        <v>#REF!</v>
      </c>
      <c r="AJ9" s="26" t="e">
        <f>IF(WAElec09_08!AA9=IDElec12_07!#REF!,WAElec09_08!AA9,"mixed ")</f>
        <v>#REF!</v>
      </c>
      <c r="AK9" s="26" t="e">
        <f>IF(WAElec09_08!AJ9=IDElec12_07!#REF!,WAElec09_08!AJ9,"mixed ")</f>
        <v>#REF!</v>
      </c>
      <c r="AL9" s="26" t="e">
        <f>IF(WAElec09_08!AK9=IDElec12_07!#REF!,WAElec09_08!AK9,"mixed ")</f>
        <v>#REF!</v>
      </c>
      <c r="AM9" s="26" t="e">
        <f>IF(WAElec09_08!#REF!=IDElec12_07!#REF!,WAElec09_08!#REF!,"mixed ")</f>
        <v>#REF!</v>
      </c>
      <c r="AN9" s="26" t="e">
        <f>IF(WAElec09_08!#REF!=IDElec12_07!#REF!,WAElec09_08!#REF!,"mixed ")</f>
        <v>#REF!</v>
      </c>
      <c r="AO9" s="26" t="str">
        <f>IF(WAElec09_08!AM9=IDElec12_07!AL9,WAElec09_08!AM9,"mixed ")</f>
        <v xml:space="preserve">mixed </v>
      </c>
      <c r="AP9" s="26" t="str">
        <f>IF(WAElec09_08!AN9=IDElec12_07!AM9,WAElec09_08!AN9,"mixed ")</f>
        <v xml:space="preserve">mixed </v>
      </c>
      <c r="AQ9" s="26" t="str">
        <f>IF(WAElec09_08!BC9=IDElec12_07!AO9,WAElec09_08!BC9,"mixed ")</f>
        <v xml:space="preserve">mixed </v>
      </c>
      <c r="AR9" s="26" t="str">
        <f>IF(WAElec09_08!BD9=IDElec12_07!AP9,WAElec09_08!BD9,"mixed ")</f>
        <v xml:space="preserve">mixed </v>
      </c>
      <c r="AS9" s="26"/>
      <c r="AT9" s="26" t="e">
        <f>IF(WAElec09_08!BG9=IDElec12_07!#REF!,WAElec09_08!BG9,"mixed ")</f>
        <v>#REF!</v>
      </c>
    </row>
    <row r="10" spans="1:46" s="28" customFormat="1">
      <c r="A10" s="27"/>
      <c r="D10" s="28" t="s">
        <v>57</v>
      </c>
      <c r="E10" s="29" t="s">
        <v>58</v>
      </c>
      <c r="F10" s="30" t="s">
        <v>59</v>
      </c>
      <c r="G10" s="31" t="s">
        <v>60</v>
      </c>
      <c r="H10" s="31" t="s">
        <v>61</v>
      </c>
      <c r="I10" s="31" t="s">
        <v>62</v>
      </c>
      <c r="J10" s="31" t="s">
        <v>63</v>
      </c>
      <c r="K10" s="30" t="s">
        <v>64</v>
      </c>
      <c r="L10" s="30" t="s">
        <v>65</v>
      </c>
      <c r="M10" s="30" t="s">
        <v>66</v>
      </c>
      <c r="N10" s="30" t="s">
        <v>67</v>
      </c>
      <c r="O10" s="30"/>
      <c r="P10" s="30" t="s">
        <v>69</v>
      </c>
      <c r="Q10" s="30" t="s">
        <v>310</v>
      </c>
      <c r="R10" s="30" t="s">
        <v>311</v>
      </c>
      <c r="S10" s="30" t="s">
        <v>70</v>
      </c>
      <c r="T10" s="30" t="s">
        <v>71</v>
      </c>
      <c r="U10" s="30" t="s">
        <v>72</v>
      </c>
      <c r="V10" s="30" t="s">
        <v>73</v>
      </c>
      <c r="W10" s="30" t="s">
        <v>74</v>
      </c>
      <c r="X10" s="30" t="s">
        <v>75</v>
      </c>
      <c r="Y10" s="30" t="s">
        <v>76</v>
      </c>
      <c r="Z10" s="30" t="s">
        <v>312</v>
      </c>
      <c r="AA10" s="30" t="s">
        <v>77</v>
      </c>
      <c r="AB10" s="30" t="s">
        <v>78</v>
      </c>
      <c r="AC10" s="30" t="s">
        <v>79</v>
      </c>
      <c r="AD10" s="30" t="s">
        <v>80</v>
      </c>
      <c r="AE10" s="30" t="s">
        <v>269</v>
      </c>
      <c r="AF10" s="30" t="s">
        <v>69</v>
      </c>
      <c r="AG10" s="250" t="s">
        <v>81</v>
      </c>
      <c r="AH10" s="738" t="s">
        <v>82</v>
      </c>
      <c r="AI10" s="250" t="s">
        <v>83</v>
      </c>
      <c r="AJ10" s="250" t="s">
        <v>84</v>
      </c>
      <c r="AK10" s="250" t="s">
        <v>296</v>
      </c>
      <c r="AL10" s="250" t="s">
        <v>300</v>
      </c>
      <c r="AM10" s="250" t="s">
        <v>301</v>
      </c>
      <c r="AN10" s="250" t="s">
        <v>302</v>
      </c>
      <c r="AO10" s="250" t="s">
        <v>303</v>
      </c>
      <c r="AP10" s="30"/>
      <c r="AQ10" s="30"/>
      <c r="AR10" s="30" t="s">
        <v>269</v>
      </c>
      <c r="AS10" s="30"/>
      <c r="AT10" s="30" t="s">
        <v>69</v>
      </c>
    </row>
    <row r="11" spans="1:46">
      <c r="R11" s="5"/>
      <c r="S11" s="5"/>
      <c r="T11" s="5"/>
      <c r="U11" s="5"/>
      <c r="AF11" s="5"/>
      <c r="AS11" s="5"/>
      <c r="AT11" s="5"/>
    </row>
    <row r="12" spans="1:46">
      <c r="B12" s="2" t="s">
        <v>85</v>
      </c>
      <c r="R12" s="5"/>
      <c r="S12" s="5"/>
      <c r="T12" s="5"/>
      <c r="U12" s="5"/>
      <c r="AF12" s="5"/>
      <c r="AS12" s="5"/>
      <c r="AT12" s="5"/>
    </row>
    <row r="13" spans="1:46" s="33" customFormat="1">
      <c r="A13" s="32">
        <v>1</v>
      </c>
      <c r="B13" s="33" t="s">
        <v>86</v>
      </c>
      <c r="E13" s="76">
        <f>IF(WAElec09_08!E13+IDElec12_07!E13=0,,WAElec09_08!E13+IDElec12_07!E13)</f>
        <v>618817</v>
      </c>
      <c r="F13" s="76">
        <f>IF(WAElec09_08!F13+IDElec12_07!F13=0,,WAElec09_08!F13+IDElec12_07!F13)</f>
        <v>0</v>
      </c>
      <c r="G13" s="76">
        <f>IF(WAElec09_08!G13+IDElec12_07!G13=0,,WAElec09_08!G13+IDElec12_07!G13)</f>
        <v>0</v>
      </c>
      <c r="H13" s="76">
        <f>IF(WAElec09_08!H13+IDElec12_07!H13=0,,WAElec09_08!H13+IDElec12_07!H13)</f>
        <v>0</v>
      </c>
      <c r="I13" s="76">
        <f>IF(WAElec09_08!I13+IDElec12_07!I13=0,,WAElec09_08!I13+IDElec12_07!I13)</f>
        <v>0</v>
      </c>
      <c r="J13" s="76">
        <f>IF(WAElec09_08!J13+IDElec12_07!J13=0,,WAElec09_08!J13+IDElec12_07!J13)</f>
        <v>0</v>
      </c>
      <c r="K13" s="76">
        <f>IF(WAElec09_08!K13+IDElec12_07!K13=0,,WAElec09_08!K13+IDElec12_07!K13)</f>
        <v>0</v>
      </c>
      <c r="L13" s="76">
        <f>IF(WAElec09_08!L13+IDElec12_07!L13=0,,WAElec09_08!L13+IDElec12_07!L13)</f>
        <v>0</v>
      </c>
      <c r="M13" s="76">
        <f>IF(WAElec09_08!M13+IDElec12_07!M13=0,,WAElec09_08!M13+IDElec12_07!M13)</f>
        <v>0</v>
      </c>
      <c r="N13" s="76" t="e">
        <f>IF(WAElec09_08!#REF!+IDElec12_07!#REF!=0,,WAElec09_08!#REF!+IDElec12_07!#REF!)</f>
        <v>#REF!</v>
      </c>
      <c r="O13" s="76">
        <f>IF(WAElec09_08!N13+IDElec12_07!N13=0,,WAElec09_08!N13+IDElec12_07!N13)</f>
        <v>618817</v>
      </c>
      <c r="P13" s="76" t="e">
        <f>IF(WAElec09_08!#REF!+IDElec12_07!#REF!=0,,WAElec09_08!#REF!+IDElec12_07!#REF!)</f>
        <v>#REF!</v>
      </c>
      <c r="Q13" s="76">
        <f>IF(WAElec09_08!O13+IDElec12_07!P13=0,,WAElec09_08!O13+IDElec12_07!P13)</f>
        <v>-13744</v>
      </c>
      <c r="R13" s="76">
        <f>IF(WAElec09_08!P13+IDElec12_07!Q13=0,,WAElec09_08!P13+IDElec12_07!Q13)</f>
        <v>0</v>
      </c>
      <c r="S13" s="76">
        <f>IF(WAElec09_08!Q13+IDElec12_07!R13=0,,WAElec09_08!Q13+IDElec12_07!R13)</f>
        <v>0</v>
      </c>
      <c r="T13" s="76">
        <f>IF(WAElec09_08!R13+IDElec12_07!S13=0,,WAElec09_08!R13+IDElec12_07!S13)</f>
        <v>0</v>
      </c>
      <c r="U13" s="76">
        <f>IF(WAElec09_08!S13+IDElec12_07!T13=0,,WAElec09_08!S13+IDElec12_07!T13)</f>
        <v>0</v>
      </c>
      <c r="V13" s="76">
        <f>IF(WAElec09_08!T13+IDElec12_07!U13=0,,WAElec09_08!T13+IDElec12_07!U13)</f>
        <v>0</v>
      </c>
      <c r="W13" s="76">
        <f>IF(WAElec09_08!AC13+IDElec12_07!AA13=0,,WAElec09_08!AC13+IDElec12_07!AA13)</f>
        <v>0</v>
      </c>
      <c r="X13" s="76">
        <f>IF(WAElec09_08!U13+IDElec12_07!V13=0,,WAElec09_08!U13+IDElec12_07!V13)</f>
        <v>-32702</v>
      </c>
      <c r="Y13" s="76">
        <f>IF(WAElec09_08!AD13+IDElec12_07!W13=0,,WAElec09_08!AD13+IDElec12_07!W13)</f>
        <v>0</v>
      </c>
      <c r="Z13" s="76" t="e">
        <f>IF(WAElec09_08!AE13+IDElec12_07!#REF!=0,,WAElec09_08!AE13+IDElec12_07!#REF!)</f>
        <v>#REF!</v>
      </c>
      <c r="AA13" s="76" t="e">
        <f>IF(WAElec09_08!#REF!+IDElec12_07!#REF!=0,,WAElec09_08!#REF!+IDElec12_07!#REF!)</f>
        <v>#REF!</v>
      </c>
      <c r="AB13" s="76" t="e">
        <f>IF(WAElec09_08!#REF!+IDElec12_07!#REF!=0,,WAElec09_08!#REF!+IDElec12_07!#REF!)</f>
        <v>#REF!</v>
      </c>
      <c r="AC13" s="76" t="e">
        <f>IF(WAElec09_08!#REF!+IDElec12_07!Y13=0,,WAElec09_08!#REF!+IDElec12_07!Y13)</f>
        <v>#REF!</v>
      </c>
      <c r="AD13" s="76" t="e">
        <f>IF(WAElec09_08!#REF!+IDElec12_07!#REF!=0,,WAElec09_08!#REF!+IDElec12_07!#REF!)</f>
        <v>#REF!</v>
      </c>
      <c r="AE13" s="76" t="e">
        <f>IF(WAElec09_08!#REF!+IDElec12_07!AB13=0,,WAElec09_08!#REF!+IDElec12_07!AB13)</f>
        <v>#REF!</v>
      </c>
      <c r="AF13" s="76">
        <f>IF(WAElec09_08!AG13+IDElec12_07!AG13=0,,WAElec09_08!AG13+IDElec12_07!AG13)</f>
        <v>601121</v>
      </c>
      <c r="AG13" s="76" t="e">
        <f>IF(WAElec09_08!#REF!+IDElec12_07!#REF!=0,,WAElec09_08!#REF!+IDElec12_07!#REF!)</f>
        <v>#REF!</v>
      </c>
      <c r="AH13" s="76" t="e">
        <f>IF(WAElec09_08!AH13+IDElec12_07!#REF!=0,,WAElec09_08!AH13+IDElec12_07!#REF!)</f>
        <v>#REF!</v>
      </c>
      <c r="AI13" s="76" t="e">
        <f>IF(WAElec09_08!#REF!+IDElec12_07!#REF!=0,,WAElec09_08!#REF!+IDElec12_07!#REF!)</f>
        <v>#REF!</v>
      </c>
      <c r="AJ13" s="76" t="e">
        <f>IF(WAElec09_08!AA13+IDElec12_07!#REF!=0,,WAElec09_08!AA13+IDElec12_07!#REF!)</f>
        <v>#REF!</v>
      </c>
      <c r="AK13" s="76" t="e">
        <f>IF(WAElec09_08!AJ13+IDElec12_07!#REF!=0,,WAElec09_08!AJ13+IDElec12_07!#REF!)</f>
        <v>#REF!</v>
      </c>
      <c r="AL13" s="76" t="e">
        <f>IF(WAElec09_08!AK13+IDElec12_07!#REF!=0,,WAElec09_08!AK13+IDElec12_07!#REF!)</f>
        <v>#REF!</v>
      </c>
      <c r="AM13" s="76" t="e">
        <f>IF(WAElec09_08!#REF!+IDElec12_07!#REF!=0,,WAElec09_08!#REF!+IDElec12_07!#REF!)</f>
        <v>#REF!</v>
      </c>
      <c r="AN13" s="76" t="e">
        <f>IF(WAElec09_08!#REF!+IDElec12_07!#REF!=0,,WAElec09_08!#REF!+IDElec12_07!#REF!)</f>
        <v>#REF!</v>
      </c>
      <c r="AO13" s="76">
        <f>IF(WAElec09_08!AM13+IDElec12_07!AL13=0,,WAElec09_08!AM13+IDElec12_07!AL13)</f>
        <v>0</v>
      </c>
      <c r="AP13" s="76">
        <f>IF(WAElec09_08!AN13+IDElec12_07!AM13=0,,WAElec09_08!AN13+IDElec12_07!AM13)</f>
        <v>0</v>
      </c>
      <c r="AQ13" s="76">
        <f>IF(WAElec09_08!BC13+IDElec12_07!AO13=0,,WAElec09_08!BC13+IDElec12_07!AO13)</f>
        <v>0</v>
      </c>
      <c r="AR13" s="76">
        <f>IF(WAElec09_08!BD13+IDElec12_07!AP13=0,,WAElec09_08!BD13+IDElec12_07!AP13)</f>
        <v>390153</v>
      </c>
      <c r="AS13" s="76"/>
      <c r="AT13" s="76">
        <f>IF(WAElec09_08!BG13+RevReq_Exh_WA!I30=0,,WAElec09_08!BG13+RevReq_Exh_WA!I30)</f>
        <v>0</v>
      </c>
    </row>
    <row r="14" spans="1:46" s="34" customFormat="1">
      <c r="A14" s="32">
        <v>2</v>
      </c>
      <c r="B14" s="34" t="s">
        <v>87</v>
      </c>
      <c r="E14" s="74">
        <f>IF(WAElec09_08!E14+IDElec12_07!E14=0,,WAElec09_08!E14+IDElec12_07!E14)</f>
        <v>945</v>
      </c>
      <c r="F14" s="74">
        <f>IF(WAElec09_08!F14+IDElec12_07!F14=0,,WAElec09_08!F14+IDElec12_07!F14)</f>
        <v>0</v>
      </c>
      <c r="G14" s="74">
        <f>IF(WAElec09_08!G14+IDElec12_07!G14=0,,WAElec09_08!G14+IDElec12_07!G14)</f>
        <v>0</v>
      </c>
      <c r="H14" s="74">
        <f>IF(WAElec09_08!H14+IDElec12_07!H14=0,,WAElec09_08!H14+IDElec12_07!H14)</f>
        <v>0</v>
      </c>
      <c r="I14" s="74">
        <f>IF(WAElec09_08!I14+IDElec12_07!I14=0,,WAElec09_08!I14+IDElec12_07!I14)</f>
        <v>0</v>
      </c>
      <c r="J14" s="74">
        <f>IF(WAElec09_08!J14+IDElec12_07!J14=0,,WAElec09_08!J14+IDElec12_07!J14)</f>
        <v>0</v>
      </c>
      <c r="K14" s="74">
        <f>IF(WAElec09_08!K14+IDElec12_07!K14=0,,WAElec09_08!K14+IDElec12_07!K14)</f>
        <v>0</v>
      </c>
      <c r="L14" s="74">
        <f>IF(WAElec09_08!L14+IDElec12_07!L14=0,,WAElec09_08!L14+IDElec12_07!L14)</f>
        <v>0</v>
      </c>
      <c r="M14" s="74">
        <f>IF(WAElec09_08!M14+IDElec12_07!M14=0,,WAElec09_08!M14+IDElec12_07!M14)</f>
        <v>0</v>
      </c>
      <c r="N14" s="74" t="e">
        <f>IF(WAElec09_08!#REF!+IDElec12_07!#REF!=0,,WAElec09_08!#REF!+IDElec12_07!#REF!)</f>
        <v>#REF!</v>
      </c>
      <c r="O14" s="74">
        <f>IF(WAElec09_08!N14+IDElec12_07!N14=0,,WAElec09_08!N14+IDElec12_07!N14)</f>
        <v>945</v>
      </c>
      <c r="P14" s="74" t="e">
        <f>IF(WAElec09_08!#REF!+IDElec12_07!#REF!=0,,WAElec09_08!#REF!+IDElec12_07!#REF!)</f>
        <v>#REF!</v>
      </c>
      <c r="Q14" s="74">
        <f>IF(WAElec09_08!O14+IDElec12_07!P14=0,,WAElec09_08!O14+IDElec12_07!P14)</f>
        <v>0</v>
      </c>
      <c r="R14" s="74">
        <f>IF(WAElec09_08!P14+IDElec12_07!Q14=0,,WAElec09_08!P14+IDElec12_07!Q14)</f>
        <v>0</v>
      </c>
      <c r="S14" s="74">
        <f>IF(WAElec09_08!Q14+IDElec12_07!R14=0,,WAElec09_08!Q14+IDElec12_07!R14)</f>
        <v>0</v>
      </c>
      <c r="T14" s="74">
        <f>IF(WAElec09_08!R14+IDElec12_07!S14=0,,WAElec09_08!R14+IDElec12_07!S14)</f>
        <v>0</v>
      </c>
      <c r="U14" s="74">
        <f>IF(WAElec09_08!S14+IDElec12_07!T14=0,,WAElec09_08!S14+IDElec12_07!T14)</f>
        <v>0</v>
      </c>
      <c r="V14" s="74">
        <f>IF(WAElec09_08!T14+IDElec12_07!U14=0,,WAElec09_08!T14+IDElec12_07!U14)</f>
        <v>0</v>
      </c>
      <c r="W14" s="74">
        <f>IF(WAElec09_08!AC14+IDElec12_07!AA14=0,,WAElec09_08!AC14+IDElec12_07!AA14)</f>
        <v>0</v>
      </c>
      <c r="X14" s="74">
        <f>IF(WAElec09_08!U14+IDElec12_07!V14=0,,WAElec09_08!U14+IDElec12_07!V14)</f>
        <v>0</v>
      </c>
      <c r="Y14" s="74">
        <f>IF(WAElec09_08!AD14+IDElec12_07!W14=0,,WAElec09_08!AD14+IDElec12_07!W14)</f>
        <v>0</v>
      </c>
      <c r="Z14" s="74" t="e">
        <f>IF(WAElec09_08!AE14+IDElec12_07!#REF!=0,,WAElec09_08!AE14+IDElec12_07!#REF!)</f>
        <v>#REF!</v>
      </c>
      <c r="AA14" s="74" t="e">
        <f>IF(WAElec09_08!#REF!+IDElec12_07!#REF!=0,,WAElec09_08!#REF!+IDElec12_07!#REF!)</f>
        <v>#REF!</v>
      </c>
      <c r="AB14" s="74" t="e">
        <f>IF(WAElec09_08!#REF!+IDElec12_07!#REF!=0,,WAElec09_08!#REF!+IDElec12_07!#REF!)</f>
        <v>#REF!</v>
      </c>
      <c r="AC14" s="74" t="e">
        <f>IF(WAElec09_08!#REF!+IDElec12_07!Y14=0,,WAElec09_08!#REF!+IDElec12_07!Y14)</f>
        <v>#REF!</v>
      </c>
      <c r="AD14" s="74" t="e">
        <f>IF(WAElec09_08!#REF!+IDElec12_07!#REF!=0,,WAElec09_08!#REF!+IDElec12_07!#REF!)</f>
        <v>#REF!</v>
      </c>
      <c r="AE14" s="74" t="e">
        <f>IF(WAElec09_08!#REF!+IDElec12_07!AB14=0,,WAElec09_08!#REF!+IDElec12_07!AB14)</f>
        <v>#REF!</v>
      </c>
      <c r="AF14" s="74">
        <f>IF(WAElec09_08!AG14+IDElec12_07!AG14=0,,WAElec09_08!AG14+IDElec12_07!AG14)</f>
        <v>945</v>
      </c>
      <c r="AG14" s="74" t="e">
        <f>IF(WAElec09_08!#REF!+IDElec12_07!#REF!=0,,WAElec09_08!#REF!+IDElec12_07!#REF!)</f>
        <v>#REF!</v>
      </c>
      <c r="AH14" s="74" t="e">
        <f>IF(WAElec09_08!AH14+IDElec12_07!#REF!=0,,WAElec09_08!AH14+IDElec12_07!#REF!)</f>
        <v>#REF!</v>
      </c>
      <c r="AI14" s="74" t="e">
        <f>IF(WAElec09_08!#REF!+IDElec12_07!#REF!=0,,WAElec09_08!#REF!+IDElec12_07!#REF!)</f>
        <v>#REF!</v>
      </c>
      <c r="AJ14" s="74" t="e">
        <f>IF(WAElec09_08!AA14+IDElec12_07!#REF!=0,,WAElec09_08!AA14+IDElec12_07!#REF!)</f>
        <v>#REF!</v>
      </c>
      <c r="AK14" s="74" t="e">
        <f>IF(WAElec09_08!AJ14+IDElec12_07!#REF!=0,,WAElec09_08!AJ14+IDElec12_07!#REF!)</f>
        <v>#REF!</v>
      </c>
      <c r="AL14" s="74" t="e">
        <f>IF(WAElec09_08!AK14+IDElec12_07!#REF!=0,,WAElec09_08!AK14+IDElec12_07!#REF!)</f>
        <v>#REF!</v>
      </c>
      <c r="AM14" s="74" t="e">
        <f>IF(WAElec09_08!#REF!+IDElec12_07!#REF!=0,,WAElec09_08!#REF!+IDElec12_07!#REF!)</f>
        <v>#REF!</v>
      </c>
      <c r="AN14" s="74" t="e">
        <f>IF(WAElec09_08!#REF!+IDElec12_07!#REF!=0,,WAElec09_08!#REF!+IDElec12_07!#REF!)</f>
        <v>#REF!</v>
      </c>
      <c r="AO14" s="74">
        <f>IF(WAElec09_08!AM14+IDElec12_07!AL14=0,,WAElec09_08!AM14+IDElec12_07!AL14)</f>
        <v>0</v>
      </c>
      <c r="AP14" s="74">
        <f>IF(WAElec09_08!AN14+IDElec12_07!AM14=0,,WAElec09_08!AN14+IDElec12_07!AM14)</f>
        <v>0</v>
      </c>
      <c r="AQ14" s="74">
        <f>IF(WAElec09_08!BC14+IDElec12_07!AO14=0,,WAElec09_08!BC14+IDElec12_07!AO14)</f>
        <v>0</v>
      </c>
      <c r="AR14" s="74">
        <f>IF(WAElec09_08!BD14+IDElec12_07!AP14=0,,WAElec09_08!BD14+IDElec12_07!AP14)</f>
        <v>800</v>
      </c>
      <c r="AS14" s="74"/>
      <c r="AT14" s="74">
        <f>IF(RevReq_Exh_WA!I8+RevReq_Exh_WA!I31=0,,RevReq_Exh_WA!I8+RevReq_Exh_WA!I31)</f>
        <v>0</v>
      </c>
    </row>
    <row r="15" spans="1:46" s="34" customFormat="1">
      <c r="A15" s="32">
        <v>3</v>
      </c>
      <c r="B15" s="34" t="s">
        <v>88</v>
      </c>
      <c r="E15" s="75">
        <f>IF(WAElec09_08!E15+IDElec12_07!E15=0,,WAElec09_08!E15+IDElec12_07!E15)</f>
        <v>195819</v>
      </c>
      <c r="F15" s="75">
        <f>IF(WAElec09_08!F15+IDElec12_07!F15=0,,WAElec09_08!F15+IDElec12_07!F15)</f>
        <v>0</v>
      </c>
      <c r="G15" s="75">
        <f>IF(WAElec09_08!G15+IDElec12_07!G15=0,,WAElec09_08!G15+IDElec12_07!G15)</f>
        <v>0</v>
      </c>
      <c r="H15" s="75">
        <f>IF(WAElec09_08!H15+IDElec12_07!H15=0,,WAElec09_08!H15+IDElec12_07!H15)</f>
        <v>0</v>
      </c>
      <c r="I15" s="75">
        <f>IF(WAElec09_08!I15+IDElec12_07!I15=0,,WAElec09_08!I15+IDElec12_07!I15)</f>
        <v>0</v>
      </c>
      <c r="J15" s="75">
        <f>IF(WAElec09_08!J15+IDElec12_07!J15=0,,WAElec09_08!J15+IDElec12_07!J15)</f>
        <v>0</v>
      </c>
      <c r="K15" s="75">
        <f>IF(WAElec09_08!K15+IDElec12_07!K15=0,,WAElec09_08!K15+IDElec12_07!K15)</f>
        <v>0</v>
      </c>
      <c r="L15" s="75">
        <f>IF(WAElec09_08!L15+IDElec12_07!L15=0,,WAElec09_08!L15+IDElec12_07!L15)</f>
        <v>0</v>
      </c>
      <c r="M15" s="75">
        <f>IF(WAElec09_08!M15+IDElec12_07!M15=0,,WAElec09_08!M15+IDElec12_07!M15)</f>
        <v>0</v>
      </c>
      <c r="N15" s="75" t="e">
        <f>IF(WAElec09_08!#REF!+IDElec12_07!#REF!=0,,WAElec09_08!#REF!+IDElec12_07!#REF!)</f>
        <v>#REF!</v>
      </c>
      <c r="O15" s="75">
        <f>IF(WAElec09_08!N15+IDElec12_07!N15=0,,WAElec09_08!N15+IDElec12_07!N15)</f>
        <v>195819</v>
      </c>
      <c r="P15" s="75" t="e">
        <f>IF(WAElec09_08!#REF!+IDElec12_07!#REF!=0,,WAElec09_08!#REF!+IDElec12_07!#REF!)</f>
        <v>#REF!</v>
      </c>
      <c r="Q15" s="75">
        <f>IF(WAElec09_08!O15+IDElec12_07!P15=0,,WAElec09_08!O15+IDElec12_07!P15)</f>
        <v>0</v>
      </c>
      <c r="R15" s="75">
        <f>IF(WAElec09_08!P15+IDElec12_07!Q15=0,,WAElec09_08!P15+IDElec12_07!Q15)</f>
        <v>0</v>
      </c>
      <c r="S15" s="75">
        <f>IF(WAElec09_08!Q15+IDElec12_07!R15=0,,WAElec09_08!Q15+IDElec12_07!R15)</f>
        <v>0</v>
      </c>
      <c r="T15" s="75">
        <f>IF(WAElec09_08!R15+IDElec12_07!S15=0,,WAElec09_08!R15+IDElec12_07!S15)</f>
        <v>0</v>
      </c>
      <c r="U15" s="75">
        <f>IF(WAElec09_08!S15+IDElec12_07!T15=0,,WAElec09_08!S15+IDElec12_07!T15)</f>
        <v>0</v>
      </c>
      <c r="V15" s="75">
        <f>IF(WAElec09_08!T15+IDElec12_07!U15=0,,WAElec09_08!T15+IDElec12_07!U15)</f>
        <v>0</v>
      </c>
      <c r="W15" s="75">
        <f>IF(WAElec09_08!AC15+IDElec12_07!AA15=0,,WAElec09_08!AC15+IDElec12_07!AA15)</f>
        <v>0</v>
      </c>
      <c r="X15" s="75">
        <f>IF(WAElec09_08!U15+IDElec12_07!V15=0,,WAElec09_08!U15+IDElec12_07!V15)</f>
        <v>0</v>
      </c>
      <c r="Y15" s="75">
        <f>IF(WAElec09_08!AD15+IDElec12_07!W15=0,,WAElec09_08!AD15+IDElec12_07!W15)</f>
        <v>0</v>
      </c>
      <c r="Z15" s="75" t="e">
        <f>IF(WAElec09_08!AE15+IDElec12_07!#REF!=0,,WAElec09_08!AE15+IDElec12_07!#REF!)</f>
        <v>#REF!</v>
      </c>
      <c r="AA15" s="75" t="e">
        <f>IF(WAElec09_08!#REF!+IDElec12_07!#REF!=0,,WAElec09_08!#REF!+IDElec12_07!#REF!)</f>
        <v>#REF!</v>
      </c>
      <c r="AB15" s="75" t="e">
        <f>IF(WAElec09_08!#REF!+IDElec12_07!#REF!=0,,WAElec09_08!#REF!+IDElec12_07!#REF!)</f>
        <v>#REF!</v>
      </c>
      <c r="AC15" s="75" t="e">
        <f>IF(WAElec09_08!#REF!+IDElec12_07!Y15=0,,WAElec09_08!#REF!+IDElec12_07!Y15)</f>
        <v>#REF!</v>
      </c>
      <c r="AD15" s="75" t="e">
        <f>IF(WAElec09_08!#REF!+IDElec12_07!#REF!=0,,WAElec09_08!#REF!+IDElec12_07!#REF!)</f>
        <v>#REF!</v>
      </c>
      <c r="AE15" s="75" t="e">
        <f>IF(WAElec09_08!#REF!+IDElec12_07!AB15=0,,WAElec09_08!#REF!+IDElec12_07!AB15)</f>
        <v>#REF!</v>
      </c>
      <c r="AF15" s="75">
        <f>IF(WAElec09_08!AG15+IDElec12_07!AG15=0,,WAElec09_08!AG15+IDElec12_07!AG15)</f>
        <v>195819</v>
      </c>
      <c r="AG15" s="75" t="e">
        <f>IF(WAElec09_08!#REF!+IDElec12_07!#REF!=0,,WAElec09_08!#REF!+IDElec12_07!#REF!)</f>
        <v>#REF!</v>
      </c>
      <c r="AH15" s="75" t="e">
        <f>IF(WAElec09_08!AH15+IDElec12_07!#REF!=0,,WAElec09_08!AH15+IDElec12_07!#REF!)</f>
        <v>#REF!</v>
      </c>
      <c r="AI15" s="75" t="e">
        <f>IF(WAElec09_08!#REF!+IDElec12_07!#REF!=0,,WAElec09_08!#REF!+IDElec12_07!#REF!)</f>
        <v>#REF!</v>
      </c>
      <c r="AJ15" s="75" t="e">
        <f>IF(WAElec09_08!AA15+IDElec12_07!#REF!=0,,WAElec09_08!AA15+IDElec12_07!#REF!)</f>
        <v>#REF!</v>
      </c>
      <c r="AK15" s="75" t="e">
        <f>IF(WAElec09_08!AJ15+IDElec12_07!#REF!=0,,WAElec09_08!AJ15+IDElec12_07!#REF!)</f>
        <v>#REF!</v>
      </c>
      <c r="AL15" s="75" t="e">
        <f>IF(WAElec09_08!AK15+IDElec12_07!#REF!=0,,WAElec09_08!AK15+IDElec12_07!#REF!)</f>
        <v>#REF!</v>
      </c>
      <c r="AM15" s="75" t="e">
        <f>IF(WAElec09_08!#REF!+IDElec12_07!#REF!=0,,WAElec09_08!#REF!+IDElec12_07!#REF!)</f>
        <v>#REF!</v>
      </c>
      <c r="AN15" s="75" t="e">
        <f>IF(WAElec09_08!#REF!+IDElec12_07!#REF!=0,,WAElec09_08!#REF!+IDElec12_07!#REF!)</f>
        <v>#REF!</v>
      </c>
      <c r="AO15" s="75">
        <f>IF(WAElec09_08!AM15+IDElec12_07!AL15=0,,WAElec09_08!AM15+IDElec12_07!AL15)</f>
        <v>0</v>
      </c>
      <c r="AP15" s="75">
        <f>IF(WAElec09_08!AN15+IDElec12_07!AM15=0,,WAElec09_08!AN15+IDElec12_07!AM15)</f>
        <v>0</v>
      </c>
      <c r="AQ15" s="75">
        <f>IF(WAElec09_08!BC15+IDElec12_07!AO15=0,,WAElec09_08!BC15+IDElec12_07!AO15)</f>
        <v>0</v>
      </c>
      <c r="AR15" s="75">
        <f>IF(WAElec09_08!BD15+IDElec12_07!AP15=0,,WAElec09_08!BD15+IDElec12_07!AP15)</f>
        <v>74043</v>
      </c>
      <c r="AS15" s="75"/>
      <c r="AT15" s="75">
        <f>IF(RevReq_Exh_WA!I9+RevReq_Exh_WA!I32=0,,RevReq_Exh_WA!I9+RevReq_Exh_WA!I32)</f>
        <v>0</v>
      </c>
    </row>
    <row r="16" spans="1:46" s="34" customFormat="1">
      <c r="A16" s="32">
        <v>4</v>
      </c>
      <c r="C16" s="34" t="s">
        <v>89</v>
      </c>
      <c r="E16" s="74">
        <f>IF(WAElec09_08!E16+IDElec12_07!E16=0,,WAElec09_08!E16+IDElec12_07!E16)</f>
        <v>815581</v>
      </c>
      <c r="F16" s="74">
        <f>IF(WAElec09_08!F16+IDElec12_07!F16=0,,WAElec09_08!F16+IDElec12_07!F16)</f>
        <v>0</v>
      </c>
      <c r="G16" s="74">
        <f>IF(WAElec09_08!G16+IDElec12_07!G16=0,,WAElec09_08!G16+IDElec12_07!G16)</f>
        <v>0</v>
      </c>
      <c r="H16" s="74">
        <f>IF(WAElec09_08!H16+IDElec12_07!H16=0,,WAElec09_08!H16+IDElec12_07!H16)</f>
        <v>0</v>
      </c>
      <c r="I16" s="74">
        <f>IF(WAElec09_08!I16+IDElec12_07!I16=0,,WAElec09_08!I16+IDElec12_07!I16)</f>
        <v>0</v>
      </c>
      <c r="J16" s="74">
        <f>IF(WAElec09_08!J16+IDElec12_07!J16=0,,WAElec09_08!J16+IDElec12_07!J16)</f>
        <v>0</v>
      </c>
      <c r="K16" s="74">
        <f>IF(WAElec09_08!K16+IDElec12_07!K16=0,,WAElec09_08!K16+IDElec12_07!K16)</f>
        <v>0</v>
      </c>
      <c r="L16" s="74">
        <f>IF(WAElec09_08!L16+IDElec12_07!L16=0,,WAElec09_08!L16+IDElec12_07!L16)</f>
        <v>0</v>
      </c>
      <c r="M16" s="74">
        <f>IF(WAElec09_08!M16+IDElec12_07!M16=0,,WAElec09_08!M16+IDElec12_07!M16)</f>
        <v>0</v>
      </c>
      <c r="N16" s="74" t="e">
        <f>IF(WAElec09_08!#REF!+IDElec12_07!#REF!=0,,WAElec09_08!#REF!+IDElec12_07!#REF!)</f>
        <v>#REF!</v>
      </c>
      <c r="O16" s="74">
        <f>IF(WAElec09_08!N16+IDElec12_07!N16=0,,WAElec09_08!N16+IDElec12_07!N16)</f>
        <v>815581</v>
      </c>
      <c r="P16" s="74" t="e">
        <f>IF(WAElec09_08!#REF!+IDElec12_07!#REF!=0,,WAElec09_08!#REF!+IDElec12_07!#REF!)</f>
        <v>#REF!</v>
      </c>
      <c r="Q16" s="74">
        <f>IF(WAElec09_08!O16+IDElec12_07!P16=0,,WAElec09_08!O16+IDElec12_07!P16)</f>
        <v>-13744</v>
      </c>
      <c r="R16" s="74">
        <f>IF(WAElec09_08!P16+IDElec12_07!Q16=0,,WAElec09_08!P16+IDElec12_07!Q16)</f>
        <v>0</v>
      </c>
      <c r="S16" s="74">
        <f>IF(WAElec09_08!Q16+IDElec12_07!R16=0,,WAElec09_08!Q16+IDElec12_07!R16)</f>
        <v>0</v>
      </c>
      <c r="T16" s="74">
        <f>IF(WAElec09_08!R16+IDElec12_07!S16=0,,WAElec09_08!R16+IDElec12_07!S16)</f>
        <v>0</v>
      </c>
      <c r="U16" s="74">
        <f>IF(WAElec09_08!S16+IDElec12_07!T16=0,,WAElec09_08!S16+IDElec12_07!T16)</f>
        <v>0</v>
      </c>
      <c r="V16" s="74">
        <f>IF(WAElec09_08!T16+IDElec12_07!U16=0,,WAElec09_08!T16+IDElec12_07!U16)</f>
        <v>0</v>
      </c>
      <c r="W16" s="74">
        <f>IF(WAElec09_08!AC16+IDElec12_07!AA16=0,,WAElec09_08!AC16+IDElec12_07!AA16)</f>
        <v>0</v>
      </c>
      <c r="X16" s="74">
        <f>IF(WAElec09_08!U16+IDElec12_07!V16=0,,WAElec09_08!U16+IDElec12_07!V16)</f>
        <v>-32702</v>
      </c>
      <c r="Y16" s="74">
        <f>IF(WAElec09_08!AD16+IDElec12_07!W16=0,,WAElec09_08!AD16+IDElec12_07!W16)</f>
        <v>0</v>
      </c>
      <c r="Z16" s="74" t="e">
        <f>IF(WAElec09_08!AE16+IDElec12_07!#REF!=0,,WAElec09_08!AE16+IDElec12_07!#REF!)</f>
        <v>#REF!</v>
      </c>
      <c r="AA16" s="74" t="e">
        <f>IF(WAElec09_08!#REF!+IDElec12_07!#REF!=0,,WAElec09_08!#REF!+IDElec12_07!#REF!)</f>
        <v>#REF!</v>
      </c>
      <c r="AB16" s="74" t="e">
        <f>IF(WAElec09_08!#REF!+IDElec12_07!#REF!=0,,WAElec09_08!#REF!+IDElec12_07!#REF!)</f>
        <v>#REF!</v>
      </c>
      <c r="AC16" s="74" t="e">
        <f>IF(WAElec09_08!#REF!+IDElec12_07!Y16=0,,WAElec09_08!#REF!+IDElec12_07!Y16)</f>
        <v>#REF!</v>
      </c>
      <c r="AD16" s="74" t="e">
        <f>IF(WAElec09_08!#REF!+IDElec12_07!#REF!=0,,WAElec09_08!#REF!+IDElec12_07!#REF!)</f>
        <v>#REF!</v>
      </c>
      <c r="AE16" s="74" t="e">
        <f>IF(WAElec09_08!#REF!+IDElec12_07!AB16=0,,WAElec09_08!#REF!+IDElec12_07!AB16)</f>
        <v>#REF!</v>
      </c>
      <c r="AF16" s="74">
        <f>IF(WAElec09_08!AG16+IDElec12_07!AG16=0,,WAElec09_08!AG16+IDElec12_07!AG16)</f>
        <v>797885</v>
      </c>
      <c r="AG16" s="74" t="e">
        <f>IF(WAElec09_08!#REF!+IDElec12_07!#REF!=0,,WAElec09_08!#REF!+IDElec12_07!#REF!)</f>
        <v>#REF!</v>
      </c>
      <c r="AH16" s="74" t="e">
        <f>IF(WAElec09_08!AH16+IDElec12_07!#REF!=0,,WAElec09_08!AH16+IDElec12_07!#REF!)</f>
        <v>#REF!</v>
      </c>
      <c r="AI16" s="74" t="e">
        <f>IF(WAElec09_08!#REF!+IDElec12_07!#REF!=0,,WAElec09_08!#REF!+IDElec12_07!#REF!)</f>
        <v>#REF!</v>
      </c>
      <c r="AJ16" s="74" t="e">
        <f>IF(WAElec09_08!AA16+IDElec12_07!#REF!=0,,WAElec09_08!AA16+IDElec12_07!#REF!)</f>
        <v>#REF!</v>
      </c>
      <c r="AK16" s="74" t="e">
        <f>IF(WAElec09_08!AJ16+IDElec12_07!#REF!=0,,WAElec09_08!AJ16+IDElec12_07!#REF!)</f>
        <v>#REF!</v>
      </c>
      <c r="AL16" s="74" t="e">
        <f>IF(WAElec09_08!AK16+IDElec12_07!#REF!=0,,WAElec09_08!AK16+IDElec12_07!#REF!)</f>
        <v>#REF!</v>
      </c>
      <c r="AM16" s="74" t="e">
        <f>IF(WAElec09_08!#REF!+IDElec12_07!#REF!=0,,WAElec09_08!#REF!+IDElec12_07!#REF!)</f>
        <v>#REF!</v>
      </c>
      <c r="AN16" s="74" t="e">
        <f>IF(WAElec09_08!#REF!+IDElec12_07!#REF!=0,,WAElec09_08!#REF!+IDElec12_07!#REF!)</f>
        <v>#REF!</v>
      </c>
      <c r="AO16" s="74">
        <f>IF(WAElec09_08!AM16+IDElec12_07!AL16=0,,WAElec09_08!AM16+IDElec12_07!AL16)</f>
        <v>0</v>
      </c>
      <c r="AP16" s="74">
        <f>IF(WAElec09_08!AN16+IDElec12_07!AM16=0,,WAElec09_08!AN16+IDElec12_07!AM16)</f>
        <v>0</v>
      </c>
      <c r="AQ16" s="74">
        <f>IF(WAElec09_08!BC16+IDElec12_07!AO16=0,,WAElec09_08!BC16+IDElec12_07!AO16)</f>
        <v>0</v>
      </c>
      <c r="AR16" s="74">
        <f>IF(WAElec09_08!BD16+IDElec12_07!AP16=0,,WAElec09_08!BD16+IDElec12_07!AP16)</f>
        <v>464996</v>
      </c>
      <c r="AS16" s="74"/>
      <c r="AT16" s="74">
        <f>IF(RevReq_Exh_WA!I10+RevReq_Exh_WA!I33=0,,RevReq_Exh_WA!I10+RevReq_Exh_WA!I33)</f>
        <v>0</v>
      </c>
    </row>
    <row r="17" spans="1:46" s="34" customFormat="1">
      <c r="A17" s="32">
        <v>5</v>
      </c>
      <c r="B17" s="34" t="s">
        <v>90</v>
      </c>
      <c r="E17" s="75">
        <f>IF(WAElec09_08!E17+IDElec12_07!E17=0,,WAElec09_08!E17+IDElec12_07!E17)</f>
        <v>56326</v>
      </c>
      <c r="F17" s="75">
        <f>IF(WAElec09_08!F17+IDElec12_07!F17=0,,WAElec09_08!F17+IDElec12_07!F17)</f>
        <v>0</v>
      </c>
      <c r="G17" s="75">
        <f>IF(WAElec09_08!G17+IDElec12_07!G17=0,,WAElec09_08!G17+IDElec12_07!G17)</f>
        <v>0</v>
      </c>
      <c r="H17" s="75">
        <f>IF(WAElec09_08!H17+IDElec12_07!H17=0,,WAElec09_08!H17+IDElec12_07!H17)</f>
        <v>0</v>
      </c>
      <c r="I17" s="75">
        <f>IF(WAElec09_08!I17+IDElec12_07!I17=0,,WAElec09_08!I17+IDElec12_07!I17)</f>
        <v>0</v>
      </c>
      <c r="J17" s="75">
        <f>IF(WAElec09_08!J17+IDElec12_07!J17=0,,WAElec09_08!J17+IDElec12_07!J17)</f>
        <v>0</v>
      </c>
      <c r="K17" s="75">
        <f>IF(WAElec09_08!K17+IDElec12_07!K17=0,,WAElec09_08!K17+IDElec12_07!K17)</f>
        <v>0</v>
      </c>
      <c r="L17" s="75">
        <f>IF(WAElec09_08!L17+IDElec12_07!L17=0,,WAElec09_08!L17+IDElec12_07!L17)</f>
        <v>0</v>
      </c>
      <c r="M17" s="75">
        <f>IF(WAElec09_08!M17+IDElec12_07!M17=0,,WAElec09_08!M17+IDElec12_07!M17)</f>
        <v>0</v>
      </c>
      <c r="N17" s="75" t="e">
        <f>IF(WAElec09_08!#REF!+IDElec12_07!#REF!=0,,WAElec09_08!#REF!+IDElec12_07!#REF!)</f>
        <v>#REF!</v>
      </c>
      <c r="O17" s="75">
        <f>IF(WAElec09_08!N17+IDElec12_07!N17=0,,WAElec09_08!N17+IDElec12_07!N17)</f>
        <v>56326</v>
      </c>
      <c r="P17" s="75" t="e">
        <f>IF(WAElec09_08!#REF!+IDElec12_07!#REF!=0,,WAElec09_08!#REF!+IDElec12_07!#REF!)</f>
        <v>#REF!</v>
      </c>
      <c r="Q17" s="75">
        <f>IF(WAElec09_08!O17+IDElec12_07!P17=0,,WAElec09_08!O17+IDElec12_07!P17)</f>
        <v>-16</v>
      </c>
      <c r="R17" s="75">
        <f>IF(WAElec09_08!P17+IDElec12_07!Q17=0,,WAElec09_08!P17+IDElec12_07!Q17)</f>
        <v>0</v>
      </c>
      <c r="S17" s="75">
        <f>IF(WAElec09_08!Q17+IDElec12_07!R17=0,,WAElec09_08!Q17+IDElec12_07!R17)</f>
        <v>0</v>
      </c>
      <c r="T17" s="75">
        <f>IF(WAElec09_08!R17+IDElec12_07!S17=0,,WAElec09_08!R17+IDElec12_07!S17)</f>
        <v>0</v>
      </c>
      <c r="U17" s="75">
        <f>IF(WAElec09_08!S17+IDElec12_07!T17=0,,WAElec09_08!S17+IDElec12_07!T17)</f>
        <v>0</v>
      </c>
      <c r="V17" s="75">
        <f>IF(WAElec09_08!T17+IDElec12_07!U17=0,,WAElec09_08!T17+IDElec12_07!U17)</f>
        <v>0</v>
      </c>
      <c r="W17" s="75">
        <f>IF(WAElec09_08!AC17+IDElec12_07!AA17=0,,WAElec09_08!AC17+IDElec12_07!AA17)</f>
        <v>0</v>
      </c>
      <c r="X17" s="75">
        <f>IF(WAElec09_08!U17+IDElec12_07!V17=0,,WAElec09_08!U17+IDElec12_07!V17)</f>
        <v>0</v>
      </c>
      <c r="Y17" s="75">
        <f>IF(WAElec09_08!AD17+IDElec12_07!W17=0,,WAElec09_08!AD17+IDElec12_07!W17)</f>
        <v>0</v>
      </c>
      <c r="Z17" s="75" t="e">
        <f>IF(WAElec09_08!AE17+IDElec12_07!#REF!=0,,WAElec09_08!AE17+IDElec12_07!#REF!)</f>
        <v>#REF!</v>
      </c>
      <c r="AA17" s="75" t="e">
        <f>IF(WAElec09_08!#REF!+IDElec12_07!#REF!=0,,WAElec09_08!#REF!+IDElec12_07!#REF!)</f>
        <v>#REF!</v>
      </c>
      <c r="AB17" s="75" t="e">
        <f>IF(WAElec09_08!#REF!+IDElec12_07!#REF!=0,,WAElec09_08!#REF!+IDElec12_07!#REF!)</f>
        <v>#REF!</v>
      </c>
      <c r="AC17" s="75" t="e">
        <f>IF(WAElec09_08!#REF!+IDElec12_07!Y17=0,,WAElec09_08!#REF!+IDElec12_07!Y17)</f>
        <v>#REF!</v>
      </c>
      <c r="AD17" s="75" t="e">
        <f>IF(WAElec09_08!#REF!+IDElec12_07!#REF!=0,,WAElec09_08!#REF!+IDElec12_07!#REF!)</f>
        <v>#REF!</v>
      </c>
      <c r="AE17" s="75" t="e">
        <f>IF(WAElec09_08!#REF!+IDElec12_07!AB17=0,,WAElec09_08!#REF!+IDElec12_07!AB17)</f>
        <v>#REF!</v>
      </c>
      <c r="AF17" s="75">
        <f>IF(WAElec09_08!AG17+IDElec12_07!AG17=0,,WAElec09_08!AG17+IDElec12_07!AG17)</f>
        <v>56742</v>
      </c>
      <c r="AG17" s="75" t="e">
        <f>IF(WAElec09_08!#REF!+IDElec12_07!#REF!=0,,WAElec09_08!#REF!+IDElec12_07!#REF!)</f>
        <v>#REF!</v>
      </c>
      <c r="AH17" s="75" t="e">
        <f>IF(WAElec09_08!AH17+IDElec12_07!#REF!=0,,WAElec09_08!AH17+IDElec12_07!#REF!)</f>
        <v>#REF!</v>
      </c>
      <c r="AI17" s="75" t="e">
        <f>IF(WAElec09_08!#REF!+IDElec12_07!#REF!=0,,WAElec09_08!#REF!+IDElec12_07!#REF!)</f>
        <v>#REF!</v>
      </c>
      <c r="AJ17" s="75" t="e">
        <f>IF(WAElec09_08!AA17+IDElec12_07!#REF!=0,,WAElec09_08!AA17+IDElec12_07!#REF!)</f>
        <v>#REF!</v>
      </c>
      <c r="AK17" s="75" t="e">
        <f>IF(WAElec09_08!AJ17+IDElec12_07!#REF!=0,,WAElec09_08!AJ17+IDElec12_07!#REF!)</f>
        <v>#REF!</v>
      </c>
      <c r="AL17" s="75" t="e">
        <f>IF(WAElec09_08!AK17+IDElec12_07!#REF!=0,,WAElec09_08!AK17+IDElec12_07!#REF!)</f>
        <v>#REF!</v>
      </c>
      <c r="AM17" s="75" t="e">
        <f>IF(WAElec09_08!#REF!+IDElec12_07!#REF!=0,,WAElec09_08!#REF!+IDElec12_07!#REF!)</f>
        <v>#REF!</v>
      </c>
      <c r="AN17" s="75" t="e">
        <f>IF(WAElec09_08!#REF!+IDElec12_07!#REF!=0,,WAElec09_08!#REF!+IDElec12_07!#REF!)</f>
        <v>#REF!</v>
      </c>
      <c r="AO17" s="75">
        <f>IF(WAElec09_08!AM17+IDElec12_07!AL17=0,,WAElec09_08!AM17+IDElec12_07!AL17)</f>
        <v>0</v>
      </c>
      <c r="AP17" s="75">
        <f>IF(WAElec09_08!AN17+IDElec12_07!AM17=0,,WAElec09_08!AN17+IDElec12_07!AM17)</f>
        <v>0</v>
      </c>
      <c r="AQ17" s="75">
        <f>IF(WAElec09_08!BC17+IDElec12_07!AO17=0,,WAElec09_08!BC17+IDElec12_07!AO17)</f>
        <v>0</v>
      </c>
      <c r="AR17" s="75">
        <f>IF(WAElec09_08!BD17+IDElec12_07!AP17=0,,WAElec09_08!BD17+IDElec12_07!AP17)</f>
        <v>9680</v>
      </c>
      <c r="AS17" s="75"/>
      <c r="AT17" s="75">
        <f>IF(RevReq_Exh_WA!I11+RevReq_Exh_WA!I34=0,,RevReq_Exh_WA!I11+RevReq_Exh_WA!I34)</f>
        <v>0</v>
      </c>
    </row>
    <row r="18" spans="1:46" s="34" customFormat="1">
      <c r="A18" s="32">
        <v>6</v>
      </c>
      <c r="C18" s="34" t="s">
        <v>91</v>
      </c>
      <c r="E18" s="74">
        <f>IF(WAElec09_08!E18+IDElec12_07!E18=0,,WAElec09_08!E18+IDElec12_07!E18)</f>
        <v>871907</v>
      </c>
      <c r="F18" s="74">
        <f>IF(WAElec09_08!F18+IDElec12_07!F18=0,,WAElec09_08!F18+IDElec12_07!F18)</f>
        <v>0</v>
      </c>
      <c r="G18" s="74">
        <f>IF(WAElec09_08!G18+IDElec12_07!G18=0,,WAElec09_08!G18+IDElec12_07!G18)</f>
        <v>0</v>
      </c>
      <c r="H18" s="74">
        <f>IF(WAElec09_08!H18+IDElec12_07!H18=0,,WAElec09_08!H18+IDElec12_07!H18)</f>
        <v>0</v>
      </c>
      <c r="I18" s="74">
        <f>IF(WAElec09_08!I18+IDElec12_07!I18=0,,WAElec09_08!I18+IDElec12_07!I18)</f>
        <v>0</v>
      </c>
      <c r="J18" s="74">
        <f>IF(WAElec09_08!J18+IDElec12_07!J18=0,,WAElec09_08!J18+IDElec12_07!J18)</f>
        <v>0</v>
      </c>
      <c r="K18" s="74">
        <f>IF(WAElec09_08!K18+IDElec12_07!K18=0,,WAElec09_08!K18+IDElec12_07!K18)</f>
        <v>0</v>
      </c>
      <c r="L18" s="74">
        <f>IF(WAElec09_08!L18+IDElec12_07!L18=0,,WAElec09_08!L18+IDElec12_07!L18)</f>
        <v>0</v>
      </c>
      <c r="M18" s="74">
        <f>IF(WAElec09_08!M18+IDElec12_07!M18=0,,WAElec09_08!M18+IDElec12_07!M18)</f>
        <v>0</v>
      </c>
      <c r="N18" s="74" t="e">
        <f>IF(WAElec09_08!#REF!+IDElec12_07!#REF!=0,,WAElec09_08!#REF!+IDElec12_07!#REF!)</f>
        <v>#REF!</v>
      </c>
      <c r="O18" s="74">
        <f>IF(WAElec09_08!N18+IDElec12_07!N18=0,,WAElec09_08!N18+IDElec12_07!N18)</f>
        <v>871907</v>
      </c>
      <c r="P18" s="74" t="e">
        <f>IF(WAElec09_08!#REF!+IDElec12_07!#REF!=0,,WAElec09_08!#REF!+IDElec12_07!#REF!)</f>
        <v>#REF!</v>
      </c>
      <c r="Q18" s="74">
        <f>IF(WAElec09_08!O18+IDElec12_07!P18=0,,WAElec09_08!O18+IDElec12_07!P18)</f>
        <v>-13760</v>
      </c>
      <c r="R18" s="74">
        <f>IF(WAElec09_08!P18+IDElec12_07!Q18=0,,WAElec09_08!P18+IDElec12_07!Q18)</f>
        <v>0</v>
      </c>
      <c r="S18" s="74">
        <f>IF(WAElec09_08!Q18+IDElec12_07!R18=0,,WAElec09_08!Q18+IDElec12_07!R18)</f>
        <v>0</v>
      </c>
      <c r="T18" s="74">
        <f>IF(WAElec09_08!R18+IDElec12_07!S18=0,,WAElec09_08!R18+IDElec12_07!S18)</f>
        <v>0</v>
      </c>
      <c r="U18" s="74">
        <f>IF(WAElec09_08!S18+IDElec12_07!T18=0,,WAElec09_08!S18+IDElec12_07!T18)</f>
        <v>0</v>
      </c>
      <c r="V18" s="74">
        <f>IF(WAElec09_08!T18+IDElec12_07!U18=0,,WAElec09_08!T18+IDElec12_07!U18)</f>
        <v>0</v>
      </c>
      <c r="W18" s="74">
        <f>IF(WAElec09_08!AC18+IDElec12_07!AA18=0,,WAElec09_08!AC18+IDElec12_07!AA18)</f>
        <v>0</v>
      </c>
      <c r="X18" s="74">
        <f>IF(WAElec09_08!U18+IDElec12_07!V18=0,,WAElec09_08!U18+IDElec12_07!V18)</f>
        <v>-32702</v>
      </c>
      <c r="Y18" s="74">
        <f>IF(WAElec09_08!AD18+IDElec12_07!W18=0,,WAElec09_08!AD18+IDElec12_07!W18)</f>
        <v>0</v>
      </c>
      <c r="Z18" s="74" t="e">
        <f>IF(WAElec09_08!AE18+IDElec12_07!#REF!=0,,WAElec09_08!AE18+IDElec12_07!#REF!)</f>
        <v>#REF!</v>
      </c>
      <c r="AA18" s="74" t="e">
        <f>IF(WAElec09_08!#REF!+IDElec12_07!#REF!=0,,WAElec09_08!#REF!+IDElec12_07!#REF!)</f>
        <v>#REF!</v>
      </c>
      <c r="AB18" s="74" t="e">
        <f>IF(WAElec09_08!#REF!+IDElec12_07!#REF!=0,,WAElec09_08!#REF!+IDElec12_07!#REF!)</f>
        <v>#REF!</v>
      </c>
      <c r="AC18" s="74" t="e">
        <f>IF(WAElec09_08!#REF!+IDElec12_07!Y18=0,,WAElec09_08!#REF!+IDElec12_07!Y18)</f>
        <v>#REF!</v>
      </c>
      <c r="AD18" s="74" t="e">
        <f>IF(WAElec09_08!#REF!+IDElec12_07!#REF!=0,,WAElec09_08!#REF!+IDElec12_07!#REF!)</f>
        <v>#REF!</v>
      </c>
      <c r="AE18" s="74" t="e">
        <f>IF(WAElec09_08!#REF!+IDElec12_07!AB18=0,,WAElec09_08!#REF!+IDElec12_07!AB18)</f>
        <v>#REF!</v>
      </c>
      <c r="AF18" s="74">
        <f>IF(WAElec09_08!AG18+IDElec12_07!AG18=0,,WAElec09_08!AG18+IDElec12_07!AG18)</f>
        <v>854627</v>
      </c>
      <c r="AG18" s="74" t="e">
        <f>IF(WAElec09_08!#REF!+IDElec12_07!#REF!=0,,WAElec09_08!#REF!+IDElec12_07!#REF!)</f>
        <v>#REF!</v>
      </c>
      <c r="AH18" s="74" t="e">
        <f>IF(WAElec09_08!AH18+IDElec12_07!#REF!=0,,WAElec09_08!AH18+IDElec12_07!#REF!)</f>
        <v>#REF!</v>
      </c>
      <c r="AI18" s="74" t="e">
        <f>IF(WAElec09_08!#REF!+IDElec12_07!#REF!=0,,WAElec09_08!#REF!+IDElec12_07!#REF!)</f>
        <v>#REF!</v>
      </c>
      <c r="AJ18" s="74" t="e">
        <f>IF(WAElec09_08!AA18+IDElec12_07!#REF!=0,,WAElec09_08!AA18+IDElec12_07!#REF!)</f>
        <v>#REF!</v>
      </c>
      <c r="AK18" s="74" t="e">
        <f>IF(WAElec09_08!AJ18+IDElec12_07!#REF!=0,,WAElec09_08!AJ18+IDElec12_07!#REF!)</f>
        <v>#REF!</v>
      </c>
      <c r="AL18" s="74" t="e">
        <f>IF(WAElec09_08!AK18+IDElec12_07!#REF!=0,,WAElec09_08!AK18+IDElec12_07!#REF!)</f>
        <v>#REF!</v>
      </c>
      <c r="AM18" s="74" t="e">
        <f>IF(WAElec09_08!#REF!+IDElec12_07!#REF!=0,,WAElec09_08!#REF!+IDElec12_07!#REF!)</f>
        <v>#REF!</v>
      </c>
      <c r="AN18" s="74" t="e">
        <f>IF(WAElec09_08!#REF!+IDElec12_07!#REF!=0,,WAElec09_08!#REF!+IDElec12_07!#REF!)</f>
        <v>#REF!</v>
      </c>
      <c r="AO18" s="74">
        <f>IF(WAElec09_08!AM18+IDElec12_07!AL18=0,,WAElec09_08!AM18+IDElec12_07!AL18)</f>
        <v>0</v>
      </c>
      <c r="AP18" s="74">
        <f>IF(WAElec09_08!AN18+IDElec12_07!AM18=0,,WAElec09_08!AN18+IDElec12_07!AM18)</f>
        <v>0</v>
      </c>
      <c r="AQ18" s="74">
        <f>IF(WAElec09_08!BC18+IDElec12_07!AO18=0,,WAElec09_08!BC18+IDElec12_07!AO18)</f>
        <v>0</v>
      </c>
      <c r="AR18" s="74">
        <f>IF(WAElec09_08!BD18+IDElec12_07!AP18=0,,WAElec09_08!BD18+IDElec12_07!AP18)</f>
        <v>474676</v>
      </c>
      <c r="AS18" s="74"/>
      <c r="AT18" s="74">
        <f>IF(RevReq_Exh_WA!I12+RevReq_Exh_WA!I35=0,,RevReq_Exh_WA!I12+RevReq_Exh_WA!I35)</f>
        <v>0</v>
      </c>
    </row>
    <row r="19" spans="1:46" s="34" customFormat="1">
      <c r="A19" s="32"/>
      <c r="E19" s="74">
        <f>IF(WAElec09_08!E19+IDElec12_07!E19=0,,WAElec09_08!E19+IDElec12_07!E19)</f>
        <v>0</v>
      </c>
      <c r="F19" s="74">
        <f>IF(WAElec09_08!F19+IDElec12_07!F19=0,,WAElec09_08!F19+IDElec12_07!F19)</f>
        <v>0</v>
      </c>
      <c r="G19" s="74">
        <f>IF(WAElec09_08!G19+IDElec12_07!G19=0,,WAElec09_08!G19+IDElec12_07!G19)</f>
        <v>0</v>
      </c>
      <c r="H19" s="74">
        <f>IF(WAElec09_08!H19+IDElec12_07!H19=0,,WAElec09_08!H19+IDElec12_07!H19)</f>
        <v>0</v>
      </c>
      <c r="I19" s="74">
        <f>IF(WAElec09_08!I19+IDElec12_07!I19=0,,WAElec09_08!I19+IDElec12_07!I19)</f>
        <v>0</v>
      </c>
      <c r="J19" s="74">
        <f>IF(WAElec09_08!J19+IDElec12_07!J19=0,,WAElec09_08!J19+IDElec12_07!J19)</f>
        <v>0</v>
      </c>
      <c r="K19" s="74">
        <f>IF(WAElec09_08!K19+IDElec12_07!K19=0,,WAElec09_08!K19+IDElec12_07!K19)</f>
        <v>0</v>
      </c>
      <c r="L19" s="74">
        <f>IF(WAElec09_08!L19+IDElec12_07!L19=0,,WAElec09_08!L19+IDElec12_07!L19)</f>
        <v>0</v>
      </c>
      <c r="M19" s="74">
        <f>IF(WAElec09_08!M19+IDElec12_07!M19=0,,WAElec09_08!M19+IDElec12_07!M19)</f>
        <v>0</v>
      </c>
      <c r="N19" s="74" t="e">
        <f>IF(WAElec09_08!#REF!+IDElec12_07!#REF!=0,,WAElec09_08!#REF!+IDElec12_07!#REF!)</f>
        <v>#REF!</v>
      </c>
      <c r="O19" s="74">
        <f>IF(WAElec09_08!N19+IDElec12_07!N19=0,,WAElec09_08!N19+IDElec12_07!N19)</f>
        <v>0</v>
      </c>
      <c r="P19" s="74" t="e">
        <f>IF(WAElec09_08!#REF!+IDElec12_07!#REF!=0,,WAElec09_08!#REF!+IDElec12_07!#REF!)</f>
        <v>#REF!</v>
      </c>
      <c r="Q19" s="74">
        <f>IF(WAElec09_08!O19+IDElec12_07!P19=0,,WAElec09_08!O19+IDElec12_07!P19)</f>
        <v>0</v>
      </c>
      <c r="R19" s="74">
        <f>IF(WAElec09_08!P19+IDElec12_07!Q19=0,,WAElec09_08!P19+IDElec12_07!Q19)</f>
        <v>0</v>
      </c>
      <c r="S19" s="74">
        <f>IF(WAElec09_08!Q19+IDElec12_07!R19=0,,WAElec09_08!Q19+IDElec12_07!R19)</f>
        <v>0</v>
      </c>
      <c r="T19" s="74">
        <f>IF(WAElec09_08!R19+IDElec12_07!S19=0,,WAElec09_08!R19+IDElec12_07!S19)</f>
        <v>0</v>
      </c>
      <c r="U19" s="74">
        <f>IF(WAElec09_08!S19+IDElec12_07!T19=0,,WAElec09_08!S19+IDElec12_07!T19)</f>
        <v>0</v>
      </c>
      <c r="V19" s="74">
        <f>IF(WAElec09_08!T19+IDElec12_07!U19=0,,WAElec09_08!T19+IDElec12_07!U19)</f>
        <v>0</v>
      </c>
      <c r="W19" s="74">
        <f>IF(WAElec09_08!AC19+IDElec12_07!AA19=0,,WAElec09_08!AC19+IDElec12_07!AA19)</f>
        <v>0</v>
      </c>
      <c r="X19" s="74">
        <f>IF(WAElec09_08!U19+IDElec12_07!V19=0,,WAElec09_08!U19+IDElec12_07!V19)</f>
        <v>0</v>
      </c>
      <c r="Y19" s="74">
        <f>IF(WAElec09_08!AD19+IDElec12_07!W19=0,,WAElec09_08!AD19+IDElec12_07!W19)</f>
        <v>0</v>
      </c>
      <c r="Z19" s="74" t="e">
        <f>IF(WAElec09_08!AE19+IDElec12_07!#REF!=0,,WAElec09_08!AE19+IDElec12_07!#REF!)</f>
        <v>#REF!</v>
      </c>
      <c r="AA19" s="74" t="e">
        <f>IF(WAElec09_08!#REF!+IDElec12_07!#REF!=0,,WAElec09_08!#REF!+IDElec12_07!#REF!)</f>
        <v>#REF!</v>
      </c>
      <c r="AB19" s="74" t="e">
        <f>IF(WAElec09_08!#REF!+IDElec12_07!#REF!=0,,WAElec09_08!#REF!+IDElec12_07!#REF!)</f>
        <v>#REF!</v>
      </c>
      <c r="AC19" s="74" t="e">
        <f>IF(WAElec09_08!#REF!+IDElec12_07!Y19=0,,WAElec09_08!#REF!+IDElec12_07!Y19)</f>
        <v>#REF!</v>
      </c>
      <c r="AD19" s="74" t="e">
        <f>IF(WAElec09_08!#REF!+IDElec12_07!#REF!=0,,WAElec09_08!#REF!+IDElec12_07!#REF!)</f>
        <v>#REF!</v>
      </c>
      <c r="AE19" s="74" t="e">
        <f>IF(WAElec09_08!#REF!+IDElec12_07!AB19=0,,WAElec09_08!#REF!+IDElec12_07!AB19)</f>
        <v>#REF!</v>
      </c>
      <c r="AF19" s="74">
        <f>IF(WAElec09_08!AG19+IDElec12_07!AG19=0,,WAElec09_08!AG19+IDElec12_07!AG19)</f>
        <v>0</v>
      </c>
      <c r="AG19" s="74" t="e">
        <f>IF(WAElec09_08!#REF!+IDElec12_07!#REF!=0,,WAElec09_08!#REF!+IDElec12_07!#REF!)</f>
        <v>#REF!</v>
      </c>
      <c r="AH19" s="74" t="e">
        <f>IF(WAElec09_08!AH19+IDElec12_07!#REF!=0,,WAElec09_08!AH19+IDElec12_07!#REF!)</f>
        <v>#REF!</v>
      </c>
      <c r="AI19" s="74" t="e">
        <f>IF(WAElec09_08!#REF!+IDElec12_07!#REF!=0,,WAElec09_08!#REF!+IDElec12_07!#REF!)</f>
        <v>#REF!</v>
      </c>
      <c r="AJ19" s="74" t="e">
        <f>IF(WAElec09_08!AA19+IDElec12_07!#REF!=0,,WAElec09_08!AA19+IDElec12_07!#REF!)</f>
        <v>#REF!</v>
      </c>
      <c r="AK19" s="74" t="e">
        <f>IF(WAElec09_08!AJ19+IDElec12_07!#REF!=0,,WAElec09_08!AJ19+IDElec12_07!#REF!)</f>
        <v>#REF!</v>
      </c>
      <c r="AL19" s="74" t="e">
        <f>IF(WAElec09_08!AK19+IDElec12_07!#REF!=0,,WAElec09_08!AK19+IDElec12_07!#REF!)</f>
        <v>#REF!</v>
      </c>
      <c r="AM19" s="74" t="e">
        <f>IF(WAElec09_08!#REF!+IDElec12_07!#REF!=0,,WAElec09_08!#REF!+IDElec12_07!#REF!)</f>
        <v>#REF!</v>
      </c>
      <c r="AN19" s="74" t="e">
        <f>IF(WAElec09_08!#REF!+IDElec12_07!#REF!=0,,WAElec09_08!#REF!+IDElec12_07!#REF!)</f>
        <v>#REF!</v>
      </c>
      <c r="AO19" s="74">
        <f>IF(WAElec09_08!AM19+IDElec12_07!AL19=0,,WAElec09_08!AM19+IDElec12_07!AL19)</f>
        <v>0</v>
      </c>
      <c r="AP19" s="74">
        <f>IF(WAElec09_08!AN19+IDElec12_07!AM19=0,,WAElec09_08!AN19+IDElec12_07!AM19)</f>
        <v>0</v>
      </c>
      <c r="AQ19" s="74">
        <f>IF(WAElec09_08!BC19+IDElec12_07!AO19=0,,WAElec09_08!BC19+IDElec12_07!AO19)</f>
        <v>0</v>
      </c>
      <c r="AR19" s="74">
        <f>IF(WAElec09_08!BD19+IDElec12_07!AP19=0,,WAElec09_08!BD19+IDElec12_07!AP19)</f>
        <v>0</v>
      </c>
      <c r="AS19" s="74"/>
      <c r="AT19" s="74">
        <f>IF(RevReq_Exh_WA!I13+RevReq_Exh_WA!I36=0,,RevReq_Exh_WA!I13+RevReq_Exh_WA!I36)</f>
        <v>0</v>
      </c>
    </row>
    <row r="20" spans="1:46" s="34" customFormat="1">
      <c r="A20" s="32"/>
      <c r="B20" s="34" t="s">
        <v>92</v>
      </c>
      <c r="E20" s="74">
        <f>IF(WAElec09_08!E20+IDElec12_07!E20=0,,WAElec09_08!E20+IDElec12_07!E20)</f>
        <v>0</v>
      </c>
      <c r="F20" s="74">
        <f>IF(WAElec09_08!F20+IDElec12_07!F20=0,,WAElec09_08!F20+IDElec12_07!F20)</f>
        <v>0</v>
      </c>
      <c r="G20" s="74">
        <f>IF(WAElec09_08!G20+IDElec12_07!G20=0,,WAElec09_08!G20+IDElec12_07!G20)</f>
        <v>0</v>
      </c>
      <c r="H20" s="74">
        <f>IF(WAElec09_08!H20+IDElec12_07!H20=0,,WAElec09_08!H20+IDElec12_07!H20)</f>
        <v>0</v>
      </c>
      <c r="I20" s="74">
        <f>IF(WAElec09_08!I20+IDElec12_07!I20=0,,WAElec09_08!I20+IDElec12_07!I20)</f>
        <v>0</v>
      </c>
      <c r="J20" s="74">
        <f>IF(WAElec09_08!J20+IDElec12_07!J20=0,,WAElec09_08!J20+IDElec12_07!J20)</f>
        <v>0</v>
      </c>
      <c r="K20" s="74">
        <f>IF(WAElec09_08!K20+IDElec12_07!K20=0,,WAElec09_08!K20+IDElec12_07!K20)</f>
        <v>0</v>
      </c>
      <c r="L20" s="74">
        <f>IF(WAElec09_08!L20+IDElec12_07!L20=0,,WAElec09_08!L20+IDElec12_07!L20)</f>
        <v>0</v>
      </c>
      <c r="M20" s="74">
        <f>IF(WAElec09_08!M20+IDElec12_07!M20=0,,WAElec09_08!M20+IDElec12_07!M20)</f>
        <v>0</v>
      </c>
      <c r="N20" s="74" t="e">
        <f>IF(WAElec09_08!#REF!+IDElec12_07!#REF!=0,,WAElec09_08!#REF!+IDElec12_07!#REF!)</f>
        <v>#REF!</v>
      </c>
      <c r="O20" s="74">
        <f>IF(WAElec09_08!N20+IDElec12_07!N20=0,,WAElec09_08!N20+IDElec12_07!N20)</f>
        <v>0</v>
      </c>
      <c r="P20" s="74" t="e">
        <f>IF(WAElec09_08!#REF!+IDElec12_07!#REF!=0,,WAElec09_08!#REF!+IDElec12_07!#REF!)</f>
        <v>#REF!</v>
      </c>
      <c r="Q20" s="74">
        <f>IF(WAElec09_08!O20+IDElec12_07!P20=0,,WAElec09_08!O20+IDElec12_07!P20)</f>
        <v>0</v>
      </c>
      <c r="R20" s="74">
        <f>IF(WAElec09_08!P20+IDElec12_07!Q20=0,,WAElec09_08!P20+IDElec12_07!Q20)</f>
        <v>0</v>
      </c>
      <c r="S20" s="74">
        <f>IF(WAElec09_08!Q20+IDElec12_07!R20=0,,WAElec09_08!Q20+IDElec12_07!R20)</f>
        <v>0</v>
      </c>
      <c r="T20" s="74">
        <f>IF(WAElec09_08!R20+IDElec12_07!S20=0,,WAElec09_08!R20+IDElec12_07!S20)</f>
        <v>0</v>
      </c>
      <c r="U20" s="74">
        <f>IF(WAElec09_08!S20+IDElec12_07!T20=0,,WAElec09_08!S20+IDElec12_07!T20)</f>
        <v>0</v>
      </c>
      <c r="V20" s="74">
        <f>IF(WAElec09_08!T20+IDElec12_07!U20=0,,WAElec09_08!T20+IDElec12_07!U20)</f>
        <v>0</v>
      </c>
      <c r="W20" s="74">
        <f>IF(WAElec09_08!AC20+IDElec12_07!AA20=0,,WAElec09_08!AC20+IDElec12_07!AA20)</f>
        <v>0</v>
      </c>
      <c r="X20" s="74">
        <f>IF(WAElec09_08!U20+IDElec12_07!V20=0,,WAElec09_08!U20+IDElec12_07!V20)</f>
        <v>0</v>
      </c>
      <c r="Y20" s="74">
        <f>IF(WAElec09_08!AD20+IDElec12_07!W20=0,,WAElec09_08!AD20+IDElec12_07!W20)</f>
        <v>0</v>
      </c>
      <c r="Z20" s="74" t="e">
        <f>IF(WAElec09_08!AE20+IDElec12_07!#REF!=0,,WAElec09_08!AE20+IDElec12_07!#REF!)</f>
        <v>#REF!</v>
      </c>
      <c r="AA20" s="74" t="e">
        <f>IF(WAElec09_08!#REF!+IDElec12_07!#REF!=0,,WAElec09_08!#REF!+IDElec12_07!#REF!)</f>
        <v>#REF!</v>
      </c>
      <c r="AB20" s="74" t="e">
        <f>IF(WAElec09_08!#REF!+IDElec12_07!#REF!=0,,WAElec09_08!#REF!+IDElec12_07!#REF!)</f>
        <v>#REF!</v>
      </c>
      <c r="AC20" s="74" t="e">
        <f>IF(WAElec09_08!#REF!+IDElec12_07!Y20=0,,WAElec09_08!#REF!+IDElec12_07!Y20)</f>
        <v>#REF!</v>
      </c>
      <c r="AD20" s="74" t="e">
        <f>IF(WAElec09_08!#REF!+IDElec12_07!#REF!=0,,WAElec09_08!#REF!+IDElec12_07!#REF!)</f>
        <v>#REF!</v>
      </c>
      <c r="AE20" s="74" t="e">
        <f>IF(WAElec09_08!#REF!+IDElec12_07!AB20=0,,WAElec09_08!#REF!+IDElec12_07!AB20)</f>
        <v>#REF!</v>
      </c>
      <c r="AF20" s="74">
        <f>IF(WAElec09_08!AG20+IDElec12_07!AG20=0,,WAElec09_08!AG20+IDElec12_07!AG20)</f>
        <v>0</v>
      </c>
      <c r="AG20" s="74" t="e">
        <f>IF(WAElec09_08!#REF!+IDElec12_07!#REF!=0,,WAElec09_08!#REF!+IDElec12_07!#REF!)</f>
        <v>#REF!</v>
      </c>
      <c r="AH20" s="74" t="e">
        <f>IF(WAElec09_08!AH20+IDElec12_07!#REF!=0,,WAElec09_08!AH20+IDElec12_07!#REF!)</f>
        <v>#REF!</v>
      </c>
      <c r="AI20" s="74" t="e">
        <f>IF(WAElec09_08!#REF!+IDElec12_07!#REF!=0,,WAElec09_08!#REF!+IDElec12_07!#REF!)</f>
        <v>#REF!</v>
      </c>
      <c r="AJ20" s="74" t="e">
        <f>IF(WAElec09_08!AA20+IDElec12_07!#REF!=0,,WAElec09_08!AA20+IDElec12_07!#REF!)</f>
        <v>#REF!</v>
      </c>
      <c r="AK20" s="74" t="e">
        <f>IF(WAElec09_08!AJ20+IDElec12_07!#REF!=0,,WAElec09_08!AJ20+IDElec12_07!#REF!)</f>
        <v>#REF!</v>
      </c>
      <c r="AL20" s="74" t="e">
        <f>IF(WAElec09_08!AK20+IDElec12_07!#REF!=0,,WAElec09_08!AK20+IDElec12_07!#REF!)</f>
        <v>#REF!</v>
      </c>
      <c r="AM20" s="74" t="e">
        <f>IF(WAElec09_08!#REF!+IDElec12_07!#REF!=0,,WAElec09_08!#REF!+IDElec12_07!#REF!)</f>
        <v>#REF!</v>
      </c>
      <c r="AN20" s="74" t="e">
        <f>IF(WAElec09_08!#REF!+IDElec12_07!#REF!=0,,WAElec09_08!#REF!+IDElec12_07!#REF!)</f>
        <v>#REF!</v>
      </c>
      <c r="AO20" s="74">
        <f>IF(WAElec09_08!AM20+IDElec12_07!AL20=0,,WAElec09_08!AM20+IDElec12_07!AL20)</f>
        <v>0</v>
      </c>
      <c r="AP20" s="74">
        <f>IF(WAElec09_08!AN20+IDElec12_07!AM20=0,,WAElec09_08!AN20+IDElec12_07!AM20)</f>
        <v>0</v>
      </c>
      <c r="AQ20" s="74">
        <f>IF(WAElec09_08!BC20+IDElec12_07!AO20=0,,WAElec09_08!BC20+IDElec12_07!AO20)</f>
        <v>0</v>
      </c>
      <c r="AR20" s="74">
        <f>IF(WAElec09_08!BD20+IDElec12_07!AP20=0,,WAElec09_08!BD20+IDElec12_07!AP20)</f>
        <v>0</v>
      </c>
      <c r="AS20" s="74"/>
      <c r="AT20" s="74">
        <f>IF(RevReq_Exh_WA!I14+RevReq_Exh_WA!I37=0,,RevReq_Exh_WA!I14+RevReq_Exh_WA!I37)</f>
        <v>0</v>
      </c>
    </row>
    <row r="21" spans="1:46" s="34" customFormat="1">
      <c r="A21" s="32"/>
      <c r="B21" s="34" t="s">
        <v>93</v>
      </c>
      <c r="E21" s="74">
        <f>IF(WAElec09_08!E21+IDElec12_07!E21=0,,WAElec09_08!E21+IDElec12_07!E21)</f>
        <v>0</v>
      </c>
      <c r="F21" s="74">
        <f>IF(WAElec09_08!F21+IDElec12_07!F21=0,,WAElec09_08!F21+IDElec12_07!F21)</f>
        <v>0</v>
      </c>
      <c r="G21" s="74">
        <f>IF(WAElec09_08!G21+IDElec12_07!G21=0,,WAElec09_08!G21+IDElec12_07!G21)</f>
        <v>0</v>
      </c>
      <c r="H21" s="74">
        <f>IF(WAElec09_08!H21+IDElec12_07!H21=0,,WAElec09_08!H21+IDElec12_07!H21)</f>
        <v>0</v>
      </c>
      <c r="I21" s="74">
        <f>IF(WAElec09_08!I21+IDElec12_07!I21=0,,WAElec09_08!I21+IDElec12_07!I21)</f>
        <v>0</v>
      </c>
      <c r="J21" s="74">
        <f>IF(WAElec09_08!J21+IDElec12_07!J21=0,,WAElec09_08!J21+IDElec12_07!J21)</f>
        <v>0</v>
      </c>
      <c r="K21" s="74">
        <f>IF(WAElec09_08!K21+IDElec12_07!K21=0,,WAElec09_08!K21+IDElec12_07!K21)</f>
        <v>0</v>
      </c>
      <c r="L21" s="74">
        <f>IF(WAElec09_08!L21+IDElec12_07!L21=0,,WAElec09_08!L21+IDElec12_07!L21)</f>
        <v>0</v>
      </c>
      <c r="M21" s="74">
        <f>IF(WAElec09_08!M21+IDElec12_07!M21=0,,WAElec09_08!M21+IDElec12_07!M21)</f>
        <v>0</v>
      </c>
      <c r="N21" s="74" t="e">
        <f>IF(WAElec09_08!#REF!+IDElec12_07!#REF!=0,,WAElec09_08!#REF!+IDElec12_07!#REF!)</f>
        <v>#REF!</v>
      </c>
      <c r="O21" s="74">
        <f>IF(WAElec09_08!N21+IDElec12_07!N21=0,,WAElec09_08!N21+IDElec12_07!N21)</f>
        <v>0</v>
      </c>
      <c r="P21" s="74" t="e">
        <f>IF(WAElec09_08!#REF!+IDElec12_07!#REF!=0,,WAElec09_08!#REF!+IDElec12_07!#REF!)</f>
        <v>#REF!</v>
      </c>
      <c r="Q21" s="74">
        <f>IF(WAElec09_08!O21+IDElec12_07!P21=0,,WAElec09_08!O21+IDElec12_07!P21)</f>
        <v>0</v>
      </c>
      <c r="R21" s="74">
        <f>IF(WAElec09_08!P21+IDElec12_07!Q21=0,,WAElec09_08!P21+IDElec12_07!Q21)</f>
        <v>0</v>
      </c>
      <c r="S21" s="74">
        <f>IF(WAElec09_08!Q21+IDElec12_07!R21=0,,WAElec09_08!Q21+IDElec12_07!R21)</f>
        <v>0</v>
      </c>
      <c r="T21" s="74">
        <f>IF(WAElec09_08!R21+IDElec12_07!S21=0,,WAElec09_08!R21+IDElec12_07!S21)</f>
        <v>0</v>
      </c>
      <c r="U21" s="74">
        <f>IF(WAElec09_08!S21+IDElec12_07!T21=0,,WAElec09_08!S21+IDElec12_07!T21)</f>
        <v>0</v>
      </c>
      <c r="V21" s="74">
        <f>IF(WAElec09_08!T21+IDElec12_07!U21=0,,WAElec09_08!T21+IDElec12_07!U21)</f>
        <v>0</v>
      </c>
      <c r="W21" s="74">
        <f>IF(WAElec09_08!AC21+IDElec12_07!AA21=0,,WAElec09_08!AC21+IDElec12_07!AA21)</f>
        <v>0</v>
      </c>
      <c r="X21" s="74">
        <f>IF(WAElec09_08!U21+IDElec12_07!V21=0,,WAElec09_08!U21+IDElec12_07!V21)</f>
        <v>0</v>
      </c>
      <c r="Y21" s="74">
        <f>IF(WAElec09_08!AD21+IDElec12_07!W21=0,,WAElec09_08!AD21+IDElec12_07!W21)</f>
        <v>0</v>
      </c>
      <c r="Z21" s="74" t="e">
        <f>IF(WAElec09_08!AE21+IDElec12_07!#REF!=0,,WAElec09_08!AE21+IDElec12_07!#REF!)</f>
        <v>#REF!</v>
      </c>
      <c r="AA21" s="74" t="e">
        <f>IF(WAElec09_08!#REF!+IDElec12_07!#REF!=0,,WAElec09_08!#REF!+IDElec12_07!#REF!)</f>
        <v>#REF!</v>
      </c>
      <c r="AB21" s="74" t="e">
        <f>IF(WAElec09_08!#REF!+IDElec12_07!#REF!=0,,WAElec09_08!#REF!+IDElec12_07!#REF!)</f>
        <v>#REF!</v>
      </c>
      <c r="AC21" s="74" t="e">
        <f>IF(WAElec09_08!#REF!+IDElec12_07!Y21=0,,WAElec09_08!#REF!+IDElec12_07!Y21)</f>
        <v>#REF!</v>
      </c>
      <c r="AD21" s="74" t="e">
        <f>IF(WAElec09_08!#REF!+IDElec12_07!#REF!=0,,WAElec09_08!#REF!+IDElec12_07!#REF!)</f>
        <v>#REF!</v>
      </c>
      <c r="AE21" s="74" t="e">
        <f>IF(WAElec09_08!#REF!+IDElec12_07!AB21=0,,WAElec09_08!#REF!+IDElec12_07!AB21)</f>
        <v>#REF!</v>
      </c>
      <c r="AF21" s="74">
        <f>IF(WAElec09_08!AG21+IDElec12_07!AG21=0,,WAElec09_08!AG21+IDElec12_07!AG21)</f>
        <v>0</v>
      </c>
      <c r="AG21" s="74" t="e">
        <f>IF(WAElec09_08!#REF!+IDElec12_07!#REF!=0,,WAElec09_08!#REF!+IDElec12_07!#REF!)</f>
        <v>#REF!</v>
      </c>
      <c r="AH21" s="74" t="e">
        <f>IF(WAElec09_08!AH21+IDElec12_07!#REF!=0,,WAElec09_08!AH21+IDElec12_07!#REF!)</f>
        <v>#REF!</v>
      </c>
      <c r="AI21" s="74" t="e">
        <f>IF(WAElec09_08!#REF!+IDElec12_07!#REF!=0,,WAElec09_08!#REF!+IDElec12_07!#REF!)</f>
        <v>#REF!</v>
      </c>
      <c r="AJ21" s="74" t="e">
        <f>IF(WAElec09_08!AA21+IDElec12_07!#REF!=0,,WAElec09_08!AA21+IDElec12_07!#REF!)</f>
        <v>#REF!</v>
      </c>
      <c r="AK21" s="74" t="e">
        <f>IF(WAElec09_08!AJ21+IDElec12_07!#REF!=0,,WAElec09_08!AJ21+IDElec12_07!#REF!)</f>
        <v>#REF!</v>
      </c>
      <c r="AL21" s="74" t="e">
        <f>IF(WAElec09_08!AK21+IDElec12_07!#REF!=0,,WAElec09_08!AK21+IDElec12_07!#REF!)</f>
        <v>#REF!</v>
      </c>
      <c r="AM21" s="74" t="e">
        <f>IF(WAElec09_08!#REF!+IDElec12_07!#REF!=0,,WAElec09_08!#REF!+IDElec12_07!#REF!)</f>
        <v>#REF!</v>
      </c>
      <c r="AN21" s="74" t="e">
        <f>IF(WAElec09_08!#REF!+IDElec12_07!#REF!=0,,WAElec09_08!#REF!+IDElec12_07!#REF!)</f>
        <v>#REF!</v>
      </c>
      <c r="AO21" s="74">
        <f>IF(WAElec09_08!AM21+IDElec12_07!AL21=0,,WAElec09_08!AM21+IDElec12_07!AL21)</f>
        <v>0</v>
      </c>
      <c r="AP21" s="74">
        <f>IF(WAElec09_08!AN21+IDElec12_07!AM21=0,,WAElec09_08!AN21+IDElec12_07!AM21)</f>
        <v>0</v>
      </c>
      <c r="AQ21" s="74">
        <f>IF(WAElec09_08!BC21+IDElec12_07!AO21=0,,WAElec09_08!BC21+IDElec12_07!AO21)</f>
        <v>0</v>
      </c>
      <c r="AR21" s="74">
        <f>IF(WAElec09_08!BD21+IDElec12_07!AP21=0,,WAElec09_08!BD21+IDElec12_07!AP21)</f>
        <v>0</v>
      </c>
      <c r="AS21" s="74"/>
      <c r="AT21" s="74">
        <f>IF(RevReq_Exh_WA!I15+RevReq_Exh_WA!I38=0,,RevReq_Exh_WA!I15+RevReq_Exh_WA!I38)</f>
        <v>0</v>
      </c>
    </row>
    <row r="22" spans="1:46" s="34" customFormat="1">
      <c r="A22" s="32">
        <v>7</v>
      </c>
      <c r="C22" s="34" t="s">
        <v>94</v>
      </c>
      <c r="E22" s="74">
        <f>IF(WAElec09_08!E22+IDElec12_07!E22=0,,WAElec09_08!E22+IDElec12_07!E22)</f>
        <v>256659</v>
      </c>
      <c r="F22" s="74">
        <f>IF(WAElec09_08!F22+IDElec12_07!F22=0,,WAElec09_08!F22+IDElec12_07!F22)</f>
        <v>0</v>
      </c>
      <c r="G22" s="74">
        <f>IF(WAElec09_08!G22+IDElec12_07!G22=0,,WAElec09_08!G22+IDElec12_07!G22)</f>
        <v>0</v>
      </c>
      <c r="H22" s="74">
        <f>IF(WAElec09_08!H22+IDElec12_07!H22=0,,WAElec09_08!H22+IDElec12_07!H22)</f>
        <v>0</v>
      </c>
      <c r="I22" s="74">
        <f>IF(WAElec09_08!I22+IDElec12_07!I22=0,,WAElec09_08!I22+IDElec12_07!I22)</f>
        <v>0</v>
      </c>
      <c r="J22" s="74">
        <f>IF(WAElec09_08!J22+IDElec12_07!J22=0,,WAElec09_08!J22+IDElec12_07!J22)</f>
        <v>0</v>
      </c>
      <c r="K22" s="74">
        <f>IF(WAElec09_08!K22+IDElec12_07!K22=0,,WAElec09_08!K22+IDElec12_07!K22)</f>
        <v>0</v>
      </c>
      <c r="L22" s="74">
        <f>IF(WAElec09_08!L22+IDElec12_07!L22=0,,WAElec09_08!L22+IDElec12_07!L22)</f>
        <v>0</v>
      </c>
      <c r="M22" s="74">
        <f>IF(WAElec09_08!M22+IDElec12_07!M22=0,,WAElec09_08!M22+IDElec12_07!M22)</f>
        <v>0</v>
      </c>
      <c r="N22" s="74" t="e">
        <f>IF(WAElec09_08!#REF!+IDElec12_07!#REF!=0,,WAElec09_08!#REF!+IDElec12_07!#REF!)</f>
        <v>#REF!</v>
      </c>
      <c r="O22" s="74">
        <f>IF(WAElec09_08!N22+IDElec12_07!N22=0,,WAElec09_08!N22+IDElec12_07!N22)</f>
        <v>256659</v>
      </c>
      <c r="P22" s="74" t="e">
        <f>IF(WAElec09_08!#REF!+IDElec12_07!#REF!=0,,WAElec09_08!#REF!+IDElec12_07!#REF!)</f>
        <v>#REF!</v>
      </c>
      <c r="Q22" s="74">
        <f>IF(WAElec09_08!O22+IDElec12_07!P22=0,,WAElec09_08!O22+IDElec12_07!P22)</f>
        <v>0</v>
      </c>
      <c r="R22" s="74">
        <f>IF(WAElec09_08!P22+IDElec12_07!Q22=0,,WAElec09_08!P22+IDElec12_07!Q22)</f>
        <v>0</v>
      </c>
      <c r="S22" s="74">
        <f>IF(WAElec09_08!Q22+IDElec12_07!R22=0,,WAElec09_08!Q22+IDElec12_07!R22)</f>
        <v>0</v>
      </c>
      <c r="T22" s="74">
        <f>IF(WAElec09_08!R22+IDElec12_07!S22=0,,WAElec09_08!R22+IDElec12_07!S22)</f>
        <v>0</v>
      </c>
      <c r="U22" s="74">
        <f>IF(WAElec09_08!S22+IDElec12_07!T22=0,,WAElec09_08!S22+IDElec12_07!T22)</f>
        <v>0</v>
      </c>
      <c r="V22" s="74">
        <f>IF(WAElec09_08!T22+IDElec12_07!U22=0,,WAElec09_08!T22+IDElec12_07!U22)</f>
        <v>0</v>
      </c>
      <c r="W22" s="74">
        <f>IF(WAElec09_08!AC22+IDElec12_07!AA22=0,,WAElec09_08!AC22+IDElec12_07!AA22)</f>
        <v>0</v>
      </c>
      <c r="X22" s="74">
        <f>IF(WAElec09_08!U22+IDElec12_07!V22=0,,WAElec09_08!U22+IDElec12_07!V22)</f>
        <v>-17668</v>
      </c>
      <c r="Y22" s="74">
        <f>IF(WAElec09_08!AD22+IDElec12_07!W22=0,,WAElec09_08!AD22+IDElec12_07!W22)</f>
        <v>0</v>
      </c>
      <c r="Z22" s="74" t="e">
        <f>IF(WAElec09_08!AE22+IDElec12_07!#REF!=0,,WAElec09_08!AE22+IDElec12_07!#REF!)</f>
        <v>#REF!</v>
      </c>
      <c r="AA22" s="74" t="e">
        <f>IF(WAElec09_08!#REF!+IDElec12_07!#REF!=0,,WAElec09_08!#REF!+IDElec12_07!#REF!)</f>
        <v>#REF!</v>
      </c>
      <c r="AB22" s="74" t="e">
        <f>IF(WAElec09_08!#REF!+IDElec12_07!#REF!=0,,WAElec09_08!#REF!+IDElec12_07!#REF!)</f>
        <v>#REF!</v>
      </c>
      <c r="AC22" s="74" t="e">
        <f>IF(WAElec09_08!#REF!+IDElec12_07!Y22=0,,WAElec09_08!#REF!+IDElec12_07!Y22)</f>
        <v>#REF!</v>
      </c>
      <c r="AD22" s="74" t="e">
        <f>IF(WAElec09_08!#REF!+IDElec12_07!#REF!=0,,WAElec09_08!#REF!+IDElec12_07!#REF!)</f>
        <v>#REF!</v>
      </c>
      <c r="AE22" s="74" t="e">
        <f>IF(WAElec09_08!#REF!+IDElec12_07!AB22=0,,WAElec09_08!#REF!+IDElec12_07!AB22)</f>
        <v>#REF!</v>
      </c>
      <c r="AF22" s="74">
        <f>IF(WAElec09_08!AG22+IDElec12_07!AG22=0,,WAElec09_08!AG22+IDElec12_07!AG22)</f>
        <v>239453</v>
      </c>
      <c r="AG22" s="74" t="e">
        <f>IF(WAElec09_08!#REF!+IDElec12_07!#REF!=0,,WAElec09_08!#REF!+IDElec12_07!#REF!)</f>
        <v>#REF!</v>
      </c>
      <c r="AH22" s="74" t="e">
        <f>IF(WAElec09_08!AH22+IDElec12_07!#REF!=0,,WAElec09_08!AH22+IDElec12_07!#REF!)</f>
        <v>#REF!</v>
      </c>
      <c r="AI22" s="74" t="e">
        <f>IF(WAElec09_08!#REF!+IDElec12_07!#REF!=0,,WAElec09_08!#REF!+IDElec12_07!#REF!)</f>
        <v>#REF!</v>
      </c>
      <c r="AJ22" s="74" t="e">
        <f>IF(WAElec09_08!AA22+IDElec12_07!#REF!=0,,WAElec09_08!AA22+IDElec12_07!#REF!)</f>
        <v>#REF!</v>
      </c>
      <c r="AK22" s="74" t="e">
        <f>IF(WAElec09_08!AJ22+IDElec12_07!#REF!=0,,WAElec09_08!AJ22+IDElec12_07!#REF!)</f>
        <v>#REF!</v>
      </c>
      <c r="AL22" s="74" t="e">
        <f>IF(WAElec09_08!AK22+IDElec12_07!#REF!=0,,WAElec09_08!AK22+IDElec12_07!#REF!)</f>
        <v>#REF!</v>
      </c>
      <c r="AM22" s="74" t="e">
        <f>IF(WAElec09_08!#REF!+IDElec12_07!#REF!=0,,WAElec09_08!#REF!+IDElec12_07!#REF!)</f>
        <v>#REF!</v>
      </c>
      <c r="AN22" s="74" t="e">
        <f>IF(WAElec09_08!#REF!+IDElec12_07!#REF!=0,,WAElec09_08!#REF!+IDElec12_07!#REF!)</f>
        <v>#REF!</v>
      </c>
      <c r="AO22" s="74">
        <f>IF(WAElec09_08!AM22+IDElec12_07!AL22=0,,WAElec09_08!AM22+IDElec12_07!AL22)</f>
        <v>0</v>
      </c>
      <c r="AP22" s="74">
        <f>IF(WAElec09_08!AN22+IDElec12_07!AM22=0,,WAElec09_08!AN22+IDElec12_07!AM22)</f>
        <v>0</v>
      </c>
      <c r="AQ22" s="74">
        <f>IF(WAElec09_08!BC22+IDElec12_07!AO22=0,,WAElec09_08!BC22+IDElec12_07!AO22)</f>
        <v>0</v>
      </c>
      <c r="AR22" s="74">
        <f>IF(WAElec09_08!BD22+IDElec12_07!AP22=0,,WAElec09_08!BD22+IDElec12_07!AP22)</f>
        <v>157589.5</v>
      </c>
      <c r="AS22" s="74"/>
      <c r="AT22" s="74">
        <f>IF(RevReq_Exh_WA!I16+RevReq_Exh_WA!I39=0,,RevReq_Exh_WA!I16+RevReq_Exh_WA!I39)</f>
        <v>0</v>
      </c>
    </row>
    <row r="23" spans="1:46" s="34" customFormat="1">
      <c r="A23" s="32">
        <v>8</v>
      </c>
      <c r="C23" s="34" t="s">
        <v>95</v>
      </c>
      <c r="E23" s="74">
        <f>IF(WAElec09_08!E23+IDElec12_07!E23=0,,WAElec09_08!E23+IDElec12_07!E23)</f>
        <v>246147</v>
      </c>
      <c r="F23" s="74">
        <f>IF(WAElec09_08!F23+IDElec12_07!F23=0,,WAElec09_08!F23+IDElec12_07!F23)</f>
        <v>0</v>
      </c>
      <c r="G23" s="74">
        <f>IF(WAElec09_08!G23+IDElec12_07!G23=0,,WAElec09_08!G23+IDElec12_07!G23)</f>
        <v>0</v>
      </c>
      <c r="H23" s="74">
        <f>IF(WAElec09_08!H23+IDElec12_07!H23=0,,WAElec09_08!H23+IDElec12_07!H23)</f>
        <v>0</v>
      </c>
      <c r="I23" s="74">
        <f>IF(WAElec09_08!I23+IDElec12_07!I23=0,,WAElec09_08!I23+IDElec12_07!I23)</f>
        <v>0</v>
      </c>
      <c r="J23" s="74">
        <f>IF(WAElec09_08!J23+IDElec12_07!J23=0,,WAElec09_08!J23+IDElec12_07!J23)</f>
        <v>0</v>
      </c>
      <c r="K23" s="74">
        <f>IF(WAElec09_08!K23+IDElec12_07!K23=0,,WAElec09_08!K23+IDElec12_07!K23)</f>
        <v>0</v>
      </c>
      <c r="L23" s="74">
        <f>IF(WAElec09_08!L23+IDElec12_07!L23=0,,WAElec09_08!L23+IDElec12_07!L23)</f>
        <v>0</v>
      </c>
      <c r="M23" s="74">
        <f>IF(WAElec09_08!M23+IDElec12_07!M23=0,,WAElec09_08!M23+IDElec12_07!M23)</f>
        <v>0</v>
      </c>
      <c r="N23" s="74" t="e">
        <f>IF(WAElec09_08!#REF!+IDElec12_07!#REF!=0,,WAElec09_08!#REF!+IDElec12_07!#REF!)</f>
        <v>#REF!</v>
      </c>
      <c r="O23" s="74">
        <f>IF(WAElec09_08!N23+IDElec12_07!N23=0,,WAElec09_08!N23+IDElec12_07!N23)</f>
        <v>246147</v>
      </c>
      <c r="P23" s="74" t="e">
        <f>IF(WAElec09_08!#REF!+IDElec12_07!#REF!=0,,WAElec09_08!#REF!+IDElec12_07!#REF!)</f>
        <v>#REF!</v>
      </c>
      <c r="Q23" s="74">
        <f>IF(WAElec09_08!O23+IDElec12_07!P23=0,,WAElec09_08!O23+IDElec12_07!P23)</f>
        <v>0</v>
      </c>
      <c r="R23" s="74">
        <f>IF(WAElec09_08!P23+IDElec12_07!Q23=0,,WAElec09_08!P23+IDElec12_07!Q23)</f>
        <v>0</v>
      </c>
      <c r="S23" s="74">
        <f>IF(WAElec09_08!Q23+IDElec12_07!R23=0,,WAElec09_08!Q23+IDElec12_07!R23)</f>
        <v>0</v>
      </c>
      <c r="T23" s="74">
        <f>IF(WAElec09_08!R23+IDElec12_07!S23=0,,WAElec09_08!R23+IDElec12_07!S23)</f>
        <v>0</v>
      </c>
      <c r="U23" s="74">
        <f>IF(WAElec09_08!S23+IDElec12_07!T23=0,,WAElec09_08!S23+IDElec12_07!T23)</f>
        <v>0</v>
      </c>
      <c r="V23" s="74">
        <f>IF(WAElec09_08!T23+IDElec12_07!U23=0,,WAElec09_08!T23+IDElec12_07!U23)</f>
        <v>0</v>
      </c>
      <c r="W23" s="74">
        <f>IF(WAElec09_08!AC23+IDElec12_07!AA23=0,,WAElec09_08!AC23+IDElec12_07!AA23)</f>
        <v>0</v>
      </c>
      <c r="X23" s="74">
        <f>IF(WAElec09_08!U23+IDElec12_07!V23=0,,WAElec09_08!U23+IDElec12_07!V23)</f>
        <v>0</v>
      </c>
      <c r="Y23" s="74">
        <f>IF(WAElec09_08!AD23+IDElec12_07!W23=0,,WAElec09_08!AD23+IDElec12_07!W23)</f>
        <v>0</v>
      </c>
      <c r="Z23" s="74" t="e">
        <f>IF(WAElec09_08!AE23+IDElec12_07!#REF!=0,,WAElec09_08!AE23+IDElec12_07!#REF!)</f>
        <v>#REF!</v>
      </c>
      <c r="AA23" s="74" t="e">
        <f>IF(WAElec09_08!#REF!+IDElec12_07!#REF!=0,,WAElec09_08!#REF!+IDElec12_07!#REF!)</f>
        <v>#REF!</v>
      </c>
      <c r="AB23" s="74" t="e">
        <f>IF(WAElec09_08!#REF!+IDElec12_07!#REF!=0,,WAElec09_08!#REF!+IDElec12_07!#REF!)</f>
        <v>#REF!</v>
      </c>
      <c r="AC23" s="74" t="e">
        <f>IF(WAElec09_08!#REF!+IDElec12_07!Y23=0,,WAElec09_08!#REF!+IDElec12_07!Y23)</f>
        <v>#REF!</v>
      </c>
      <c r="AD23" s="74" t="e">
        <f>IF(WAElec09_08!#REF!+IDElec12_07!#REF!=0,,WAElec09_08!#REF!+IDElec12_07!#REF!)</f>
        <v>#REF!</v>
      </c>
      <c r="AE23" s="74" t="e">
        <f>IF(WAElec09_08!#REF!+IDElec12_07!AB23=0,,WAElec09_08!#REF!+IDElec12_07!AB23)</f>
        <v>#REF!</v>
      </c>
      <c r="AF23" s="74">
        <f>IF(WAElec09_08!AG23+IDElec12_07!AG23=0,,WAElec09_08!AG23+IDElec12_07!AG23)</f>
        <v>246147</v>
      </c>
      <c r="AG23" s="74" t="e">
        <f>IF(WAElec09_08!#REF!+IDElec12_07!#REF!=0,,WAElec09_08!#REF!+IDElec12_07!#REF!)</f>
        <v>#REF!</v>
      </c>
      <c r="AH23" s="74" t="e">
        <f>IF(WAElec09_08!AH23+IDElec12_07!#REF!=0,,WAElec09_08!AH23+IDElec12_07!#REF!)</f>
        <v>#REF!</v>
      </c>
      <c r="AI23" s="74" t="e">
        <f>IF(WAElec09_08!#REF!+IDElec12_07!#REF!=0,,WAElec09_08!#REF!+IDElec12_07!#REF!)</f>
        <v>#REF!</v>
      </c>
      <c r="AJ23" s="74" t="e">
        <f>IF(WAElec09_08!AA23+IDElec12_07!#REF!=0,,WAElec09_08!AA23+IDElec12_07!#REF!)</f>
        <v>#REF!</v>
      </c>
      <c r="AK23" s="74" t="e">
        <f>IF(WAElec09_08!AJ23+IDElec12_07!#REF!=0,,WAElec09_08!AJ23+IDElec12_07!#REF!)</f>
        <v>#REF!</v>
      </c>
      <c r="AL23" s="74" t="e">
        <f>IF(WAElec09_08!AK23+IDElec12_07!#REF!=0,,WAElec09_08!AK23+IDElec12_07!#REF!)</f>
        <v>#REF!</v>
      </c>
      <c r="AM23" s="74" t="e">
        <f>IF(WAElec09_08!#REF!+IDElec12_07!#REF!=0,,WAElec09_08!#REF!+IDElec12_07!#REF!)</f>
        <v>#REF!</v>
      </c>
      <c r="AN23" s="74" t="e">
        <f>IF(WAElec09_08!#REF!+IDElec12_07!#REF!=0,,WAElec09_08!#REF!+IDElec12_07!#REF!)</f>
        <v>#REF!</v>
      </c>
      <c r="AO23" s="74">
        <f>IF(WAElec09_08!AM23+IDElec12_07!AL23=0,,WAElec09_08!AM23+IDElec12_07!AL23)</f>
        <v>0</v>
      </c>
      <c r="AP23" s="74">
        <f>IF(WAElec09_08!AN23+IDElec12_07!AM23=0,,WAElec09_08!AN23+IDElec12_07!AM23)</f>
        <v>0</v>
      </c>
      <c r="AQ23" s="74">
        <f>IF(WAElec09_08!BC23+IDElec12_07!AO23=0,,WAElec09_08!BC23+IDElec12_07!AO23)</f>
        <v>0</v>
      </c>
      <c r="AR23" s="74">
        <f>IF(WAElec09_08!BD23+IDElec12_07!AP23=0,,WAElec09_08!BD23+IDElec12_07!AP23)</f>
        <v>76720</v>
      </c>
      <c r="AS23" s="74"/>
      <c r="AT23" s="74">
        <f>IF(RevReq_Exh_WA!I17+RevReq_Exh_WA!I40=0,,RevReq_Exh_WA!I17+RevReq_Exh_WA!I40)</f>
        <v>0</v>
      </c>
    </row>
    <row r="24" spans="1:46" s="34" customFormat="1">
      <c r="A24" s="32">
        <v>9</v>
      </c>
      <c r="C24" s="34" t="s">
        <v>96</v>
      </c>
      <c r="E24" s="74">
        <f>IF(WAElec09_08!E24+IDElec12_07!E24=0,,WAElec09_08!E24+IDElec12_07!E24)</f>
        <v>35050</v>
      </c>
      <c r="F24" s="74">
        <f>IF(WAElec09_08!F24+IDElec12_07!F24=0,,WAElec09_08!F24+IDElec12_07!F24)</f>
        <v>0</v>
      </c>
      <c r="G24" s="74">
        <f>IF(WAElec09_08!G24+IDElec12_07!G24=0,,WAElec09_08!G24+IDElec12_07!G24)</f>
        <v>0</v>
      </c>
      <c r="H24" s="74">
        <f>IF(WAElec09_08!H24+IDElec12_07!H24=0,,WAElec09_08!H24+IDElec12_07!H24)</f>
        <v>-202</v>
      </c>
      <c r="I24" s="74">
        <f>IF(WAElec09_08!I24+IDElec12_07!I24=0,,WAElec09_08!I24+IDElec12_07!I24)</f>
        <v>0</v>
      </c>
      <c r="J24" s="74">
        <f>IF(WAElec09_08!J24+IDElec12_07!J24=0,,WAElec09_08!J24+IDElec12_07!J24)</f>
        <v>0</v>
      </c>
      <c r="K24" s="74">
        <f>IF(WAElec09_08!K24+IDElec12_07!K24=0,,WAElec09_08!K24+IDElec12_07!K24)</f>
        <v>0</v>
      </c>
      <c r="L24" s="74">
        <f>IF(WAElec09_08!L24+IDElec12_07!L24=0,,WAElec09_08!L24+IDElec12_07!L24)</f>
        <v>-685</v>
      </c>
      <c r="M24" s="74">
        <f>IF(WAElec09_08!M24+IDElec12_07!M24=0,,WAElec09_08!M24+IDElec12_07!M24)</f>
        <v>0</v>
      </c>
      <c r="N24" s="74" t="e">
        <f>IF(WAElec09_08!#REF!+IDElec12_07!#REF!=0,,WAElec09_08!#REF!+IDElec12_07!#REF!)</f>
        <v>#REF!</v>
      </c>
      <c r="O24" s="74">
        <f>IF(WAElec09_08!N24+IDElec12_07!N24=0,,WAElec09_08!N24+IDElec12_07!N24)</f>
        <v>34163</v>
      </c>
      <c r="P24" s="74" t="e">
        <f>IF(WAElec09_08!#REF!+IDElec12_07!#REF!=0,,WAElec09_08!#REF!+IDElec12_07!#REF!)</f>
        <v>#REF!</v>
      </c>
      <c r="Q24" s="74">
        <f>IF(WAElec09_08!O24+IDElec12_07!P24=0,,WAElec09_08!O24+IDElec12_07!P24)</f>
        <v>0</v>
      </c>
      <c r="R24" s="74">
        <f>IF(WAElec09_08!P24+IDElec12_07!Q24=0,,WAElec09_08!P24+IDElec12_07!Q24)</f>
        <v>0</v>
      </c>
      <c r="S24" s="74">
        <f>IF(WAElec09_08!Q24+IDElec12_07!R24=0,,WAElec09_08!Q24+IDElec12_07!R24)</f>
        <v>0</v>
      </c>
      <c r="T24" s="74">
        <f>IF(WAElec09_08!R24+IDElec12_07!S24=0,,WAElec09_08!R24+IDElec12_07!S24)</f>
        <v>0</v>
      </c>
      <c r="U24" s="74">
        <f>IF(WAElec09_08!S24+IDElec12_07!T24=0,,WAElec09_08!S24+IDElec12_07!T24)</f>
        <v>0</v>
      </c>
      <c r="V24" s="74">
        <f>IF(WAElec09_08!T24+IDElec12_07!U24=0,,WAElec09_08!T24+IDElec12_07!U24)</f>
        <v>0</v>
      </c>
      <c r="W24" s="74">
        <f>IF(WAElec09_08!AC24+IDElec12_07!AA24=0,,WAElec09_08!AC24+IDElec12_07!AA24)</f>
        <v>0</v>
      </c>
      <c r="X24" s="74">
        <f>IF(WAElec09_08!U24+IDElec12_07!V24=0,,WAElec09_08!U24+IDElec12_07!V24)</f>
        <v>0</v>
      </c>
      <c r="Y24" s="74">
        <f>IF(WAElec09_08!AD24+IDElec12_07!W24=0,,WAElec09_08!AD24+IDElec12_07!W24)</f>
        <v>0</v>
      </c>
      <c r="Z24" s="74" t="e">
        <f>IF(WAElec09_08!AE24+IDElec12_07!#REF!=0,,WAElec09_08!AE24+IDElec12_07!#REF!)</f>
        <v>#REF!</v>
      </c>
      <c r="AA24" s="74" t="e">
        <f>IF(WAElec09_08!#REF!+IDElec12_07!#REF!=0,,WAElec09_08!#REF!+IDElec12_07!#REF!)</f>
        <v>#REF!</v>
      </c>
      <c r="AB24" s="74" t="e">
        <f>IF(WAElec09_08!#REF!+IDElec12_07!#REF!=0,,WAElec09_08!#REF!+IDElec12_07!#REF!)</f>
        <v>#REF!</v>
      </c>
      <c r="AC24" s="74" t="e">
        <f>IF(WAElec09_08!#REF!+IDElec12_07!Y24=0,,WAElec09_08!#REF!+IDElec12_07!Y24)</f>
        <v>#REF!</v>
      </c>
      <c r="AD24" s="74" t="e">
        <f>IF(WAElec09_08!#REF!+IDElec12_07!#REF!=0,,WAElec09_08!#REF!+IDElec12_07!#REF!)</f>
        <v>#REF!</v>
      </c>
      <c r="AE24" s="74" t="e">
        <f>IF(WAElec09_08!#REF!+IDElec12_07!AB24=0,,WAElec09_08!#REF!+IDElec12_07!AB24)</f>
        <v>#REF!</v>
      </c>
      <c r="AF24" s="74">
        <f>IF(WAElec09_08!AG24+IDElec12_07!AG24=0,,WAElec09_08!AG24+IDElec12_07!AG24)</f>
        <v>36851</v>
      </c>
      <c r="AG24" s="74" t="e">
        <f>IF(WAElec09_08!#REF!+IDElec12_07!#REF!=0,,WAElec09_08!#REF!+IDElec12_07!#REF!)</f>
        <v>#REF!</v>
      </c>
      <c r="AH24" s="74" t="e">
        <f>IF(WAElec09_08!AH24+IDElec12_07!#REF!=0,,WAElec09_08!AH24+IDElec12_07!#REF!)</f>
        <v>#REF!</v>
      </c>
      <c r="AI24" s="74" t="e">
        <f>IF(WAElec09_08!#REF!+IDElec12_07!#REF!=0,,WAElec09_08!#REF!+IDElec12_07!#REF!)</f>
        <v>#REF!</v>
      </c>
      <c r="AJ24" s="74" t="e">
        <f>IF(WAElec09_08!AA24+IDElec12_07!#REF!=0,,WAElec09_08!AA24+IDElec12_07!#REF!)</f>
        <v>#REF!</v>
      </c>
      <c r="AK24" s="74" t="e">
        <f>IF(WAElec09_08!AJ24+IDElec12_07!#REF!=0,,WAElec09_08!AJ24+IDElec12_07!#REF!)</f>
        <v>#REF!</v>
      </c>
      <c r="AL24" s="74" t="e">
        <f>IF(WAElec09_08!AK24+IDElec12_07!#REF!=0,,WAElec09_08!AK24+IDElec12_07!#REF!)</f>
        <v>#REF!</v>
      </c>
      <c r="AM24" s="74" t="e">
        <f>IF(WAElec09_08!#REF!+IDElec12_07!#REF!=0,,WAElec09_08!#REF!+IDElec12_07!#REF!)</f>
        <v>#REF!</v>
      </c>
      <c r="AN24" s="74" t="e">
        <f>IF(WAElec09_08!#REF!+IDElec12_07!#REF!=0,,WAElec09_08!#REF!+IDElec12_07!#REF!)</f>
        <v>#REF!</v>
      </c>
      <c r="AO24" s="74">
        <f>IF(WAElec09_08!AM24+IDElec12_07!AL24=0,,WAElec09_08!AM24+IDElec12_07!AL24)</f>
        <v>-77</v>
      </c>
      <c r="AP24" s="74">
        <f>IF(WAElec09_08!AN24+IDElec12_07!AM24=0,,WAElec09_08!AN24+IDElec12_07!AM24)</f>
        <v>722</v>
      </c>
      <c r="AQ24" s="74">
        <f>IF(WAElec09_08!BC24+IDElec12_07!AO24=0,,WAElec09_08!BC24+IDElec12_07!AO24)</f>
        <v>0</v>
      </c>
      <c r="AR24" s="74">
        <f>IF(WAElec09_08!BD24+IDElec12_07!AP24=0,,WAElec09_08!BD24+IDElec12_07!AP24)</f>
        <v>31816</v>
      </c>
      <c r="AS24" s="74"/>
      <c r="AT24" s="74">
        <f>IF(RevReq_Exh_WA!I18+RevReq_Exh_WA!I41=0,,RevReq_Exh_WA!I18+RevReq_Exh_WA!I41)</f>
        <v>0</v>
      </c>
    </row>
    <row r="25" spans="1:46" s="34" customFormat="1">
      <c r="A25" s="32">
        <v>10</v>
      </c>
      <c r="C25" s="34" t="s">
        <v>47</v>
      </c>
      <c r="E25" s="75">
        <f>IF(WAElec09_08!E25+IDElec12_07!E25=0,,WAElec09_08!E25+IDElec12_07!E25)</f>
        <v>13833</v>
      </c>
      <c r="F25" s="75">
        <f>IF(WAElec09_08!F25+IDElec12_07!F25=0,,WAElec09_08!F25+IDElec12_07!F25)</f>
        <v>0</v>
      </c>
      <c r="G25" s="75">
        <f>IF(WAElec09_08!G25+IDElec12_07!G25=0,,WAElec09_08!G25+IDElec12_07!G25)</f>
        <v>0</v>
      </c>
      <c r="H25" s="75">
        <f>IF(WAElec09_08!H25+IDElec12_07!H25=0,,WAElec09_08!H25+IDElec12_07!H25)</f>
        <v>0</v>
      </c>
      <c r="I25" s="75">
        <f>IF(WAElec09_08!I25+IDElec12_07!I25=0,,WAElec09_08!I25+IDElec12_07!I25)</f>
        <v>0</v>
      </c>
      <c r="J25" s="75">
        <f>IF(WAElec09_08!J25+IDElec12_07!J25=0,,WAElec09_08!J25+IDElec12_07!J25)</f>
        <v>0</v>
      </c>
      <c r="K25" s="75">
        <f>IF(WAElec09_08!K25+IDElec12_07!K25=0,,WAElec09_08!K25+IDElec12_07!K25)</f>
        <v>0</v>
      </c>
      <c r="L25" s="75">
        <f>IF(WAElec09_08!L25+IDElec12_07!L25=0,,WAElec09_08!L25+IDElec12_07!L25)</f>
        <v>0</v>
      </c>
      <c r="M25" s="75">
        <f>IF(WAElec09_08!M25+IDElec12_07!M25=0,,WAElec09_08!M25+IDElec12_07!M25)</f>
        <v>0</v>
      </c>
      <c r="N25" s="75" t="e">
        <f>IF(WAElec09_08!#REF!+IDElec12_07!#REF!=0,,WAElec09_08!#REF!+IDElec12_07!#REF!)</f>
        <v>#REF!</v>
      </c>
      <c r="O25" s="75">
        <f>IF(WAElec09_08!N25+IDElec12_07!N25=0,,WAElec09_08!N25+IDElec12_07!N25)</f>
        <v>13833</v>
      </c>
      <c r="P25" s="75" t="e">
        <f>IF(WAElec09_08!#REF!+IDElec12_07!#REF!=0,,WAElec09_08!#REF!+IDElec12_07!#REF!)</f>
        <v>#REF!</v>
      </c>
      <c r="Q25" s="75">
        <f>IF(WAElec09_08!O25+IDElec12_07!P25=0,,WAElec09_08!O25+IDElec12_07!P25)</f>
        <v>0</v>
      </c>
      <c r="R25" s="75">
        <f>IF(WAElec09_08!P25+IDElec12_07!Q25=0,,WAElec09_08!P25+IDElec12_07!Q25)</f>
        <v>2085</v>
      </c>
      <c r="S25" s="75">
        <f>IF(WAElec09_08!Q25+IDElec12_07!R25=0,,WAElec09_08!Q25+IDElec12_07!R25)</f>
        <v>0</v>
      </c>
      <c r="T25" s="75">
        <f>IF(WAElec09_08!R25+IDElec12_07!S25=0,,WAElec09_08!R25+IDElec12_07!S25)</f>
        <v>0</v>
      </c>
      <c r="U25" s="75">
        <f>IF(WAElec09_08!S25+IDElec12_07!T25=0,,WAElec09_08!S25+IDElec12_07!T25)</f>
        <v>0</v>
      </c>
      <c r="V25" s="75">
        <f>IF(WAElec09_08!T25+IDElec12_07!U25=0,,WAElec09_08!T25+IDElec12_07!U25)</f>
        <v>0</v>
      </c>
      <c r="W25" s="75">
        <f>IF(WAElec09_08!AC25+IDElec12_07!AA25=0,,WAElec09_08!AC25+IDElec12_07!AA25)</f>
        <v>0</v>
      </c>
      <c r="X25" s="75">
        <f>IF(WAElec09_08!U25+IDElec12_07!V25=0,,WAElec09_08!U25+IDElec12_07!V25)</f>
        <v>0</v>
      </c>
      <c r="Y25" s="75">
        <f>IF(WAElec09_08!AD25+IDElec12_07!W25=0,,WAElec09_08!AD25+IDElec12_07!W25)</f>
        <v>0</v>
      </c>
      <c r="Z25" s="75" t="e">
        <f>IF(WAElec09_08!AE25+IDElec12_07!#REF!=0,,WAElec09_08!AE25+IDElec12_07!#REF!)</f>
        <v>#REF!</v>
      </c>
      <c r="AA25" s="75" t="e">
        <f>IF(WAElec09_08!#REF!+IDElec12_07!#REF!=0,,WAElec09_08!#REF!+IDElec12_07!#REF!)</f>
        <v>#REF!</v>
      </c>
      <c r="AB25" s="75" t="e">
        <f>IF(WAElec09_08!#REF!+IDElec12_07!#REF!=0,,WAElec09_08!#REF!+IDElec12_07!#REF!)</f>
        <v>#REF!</v>
      </c>
      <c r="AC25" s="75" t="e">
        <f>IF(WAElec09_08!#REF!+IDElec12_07!Y25=0,,WAElec09_08!#REF!+IDElec12_07!Y25)</f>
        <v>#REF!</v>
      </c>
      <c r="AD25" s="75" t="e">
        <f>IF(WAElec09_08!#REF!+IDElec12_07!#REF!=0,,WAElec09_08!#REF!+IDElec12_07!#REF!)</f>
        <v>#REF!</v>
      </c>
      <c r="AE25" s="75" t="e">
        <f>IF(WAElec09_08!#REF!+IDElec12_07!AB25=0,,WAElec09_08!#REF!+IDElec12_07!AB25)</f>
        <v>#REF!</v>
      </c>
      <c r="AF25" s="75">
        <f>IF(WAElec09_08!AG25+IDElec12_07!AG25=0,,WAElec09_08!AG25+IDElec12_07!AG25)</f>
        <v>15918</v>
      </c>
      <c r="AG25" s="75" t="e">
        <f>IF(WAElec09_08!#REF!+IDElec12_07!#REF!=0,,WAElec09_08!#REF!+IDElec12_07!#REF!)</f>
        <v>#REF!</v>
      </c>
      <c r="AH25" s="75" t="e">
        <f>IF(WAElec09_08!AH25+IDElec12_07!#REF!=0,,WAElec09_08!AH25+IDElec12_07!#REF!)</f>
        <v>#REF!</v>
      </c>
      <c r="AI25" s="75" t="e">
        <f>IF(WAElec09_08!#REF!+IDElec12_07!#REF!=0,,WAElec09_08!#REF!+IDElec12_07!#REF!)</f>
        <v>#REF!</v>
      </c>
      <c r="AJ25" s="75" t="e">
        <f>IF(WAElec09_08!AA25+IDElec12_07!#REF!=0,,WAElec09_08!AA25+IDElec12_07!#REF!)</f>
        <v>#REF!</v>
      </c>
      <c r="AK25" s="75" t="e">
        <f>IF(WAElec09_08!AJ25+IDElec12_07!#REF!=0,,WAElec09_08!AJ25+IDElec12_07!#REF!)</f>
        <v>#REF!</v>
      </c>
      <c r="AL25" s="75" t="e">
        <f>IF(WAElec09_08!AK25+IDElec12_07!#REF!=0,,WAElec09_08!AK25+IDElec12_07!#REF!)</f>
        <v>#REF!</v>
      </c>
      <c r="AM25" s="75" t="e">
        <f>IF(WAElec09_08!#REF!+IDElec12_07!#REF!=0,,WAElec09_08!#REF!+IDElec12_07!#REF!)</f>
        <v>#REF!</v>
      </c>
      <c r="AN25" s="75" t="e">
        <f>IF(WAElec09_08!#REF!+IDElec12_07!#REF!=0,,WAElec09_08!#REF!+IDElec12_07!#REF!)</f>
        <v>#REF!</v>
      </c>
      <c r="AO25" s="75">
        <f>IF(WAElec09_08!AM25+IDElec12_07!AL25=0,,WAElec09_08!AM25+IDElec12_07!AL25)</f>
        <v>0</v>
      </c>
      <c r="AP25" s="75">
        <f>IF(WAElec09_08!AN25+IDElec12_07!AM25=0,,WAElec09_08!AN25+IDElec12_07!AM25)</f>
        <v>477</v>
      </c>
      <c r="AQ25" s="75">
        <f>IF(WAElec09_08!BC25+IDElec12_07!AO25=0,,WAElec09_08!BC25+IDElec12_07!AO25)</f>
        <v>0</v>
      </c>
      <c r="AR25" s="75">
        <f>IF(WAElec09_08!BD25+IDElec12_07!AP25=0,,WAElec09_08!BD25+IDElec12_07!AP25)</f>
        <v>11378</v>
      </c>
      <c r="AS25" s="75"/>
      <c r="AT25" s="75">
        <f>IF(RevReq_Exh_WA!I19+RevReq_Exh_WA!I42=0,,RevReq_Exh_WA!I19+RevReq_Exh_WA!I42)</f>
        <v>0</v>
      </c>
    </row>
    <row r="26" spans="1:46" s="34" customFormat="1">
      <c r="A26" s="32">
        <v>11</v>
      </c>
      <c r="D26" s="34" t="s">
        <v>97</v>
      </c>
      <c r="E26" s="74">
        <f>IF(WAElec09_08!E26+IDElec12_07!E26=0,,WAElec09_08!E26+IDElec12_07!E26)</f>
        <v>551689</v>
      </c>
      <c r="F26" s="74">
        <f>IF(WAElec09_08!F26+IDElec12_07!F26=0,,WAElec09_08!F26+IDElec12_07!F26)</f>
        <v>0</v>
      </c>
      <c r="G26" s="74">
        <f>IF(WAElec09_08!G26+IDElec12_07!G26=0,,WAElec09_08!G26+IDElec12_07!G26)</f>
        <v>0</v>
      </c>
      <c r="H26" s="74">
        <f>IF(WAElec09_08!H26+IDElec12_07!H26=0,,WAElec09_08!H26+IDElec12_07!H26)</f>
        <v>-202</v>
      </c>
      <c r="I26" s="74">
        <f>IF(WAElec09_08!I26+IDElec12_07!I26=0,,WAElec09_08!I26+IDElec12_07!I26)</f>
        <v>0</v>
      </c>
      <c r="J26" s="74">
        <f>IF(WAElec09_08!J26+IDElec12_07!J26=0,,WAElec09_08!J26+IDElec12_07!J26)</f>
        <v>0</v>
      </c>
      <c r="K26" s="74">
        <f>IF(WAElec09_08!K26+IDElec12_07!K26=0,,WAElec09_08!K26+IDElec12_07!K26)</f>
        <v>0</v>
      </c>
      <c r="L26" s="74">
        <f>IF(WAElec09_08!L26+IDElec12_07!L26=0,,WAElec09_08!L26+IDElec12_07!L26)</f>
        <v>-685</v>
      </c>
      <c r="M26" s="74">
        <f>IF(WAElec09_08!M26+IDElec12_07!M26=0,,WAElec09_08!M26+IDElec12_07!M26)</f>
        <v>0</v>
      </c>
      <c r="N26" s="74" t="e">
        <f>IF(WAElec09_08!#REF!+IDElec12_07!#REF!=0,,WAElec09_08!#REF!+IDElec12_07!#REF!)</f>
        <v>#REF!</v>
      </c>
      <c r="O26" s="74">
        <f>IF(WAElec09_08!N26+IDElec12_07!N26=0,,WAElec09_08!N26+IDElec12_07!N26)</f>
        <v>550802</v>
      </c>
      <c r="P26" s="74" t="e">
        <f>IF(WAElec09_08!#REF!+IDElec12_07!#REF!=0,,WAElec09_08!#REF!+IDElec12_07!#REF!)</f>
        <v>#REF!</v>
      </c>
      <c r="Q26" s="74">
        <f>IF(WAElec09_08!O26+IDElec12_07!P26=0,,WAElec09_08!O26+IDElec12_07!P26)</f>
        <v>0</v>
      </c>
      <c r="R26" s="74">
        <f>IF(WAElec09_08!P26+IDElec12_07!Q26=0,,WAElec09_08!P26+IDElec12_07!Q26)</f>
        <v>2085</v>
      </c>
      <c r="S26" s="74">
        <f>IF(WAElec09_08!Q26+IDElec12_07!R26=0,,WAElec09_08!Q26+IDElec12_07!R26)</f>
        <v>0</v>
      </c>
      <c r="T26" s="74">
        <f>IF(WAElec09_08!R26+IDElec12_07!S26=0,,WAElec09_08!R26+IDElec12_07!S26)</f>
        <v>0</v>
      </c>
      <c r="U26" s="74">
        <f>IF(WAElec09_08!S26+IDElec12_07!T26=0,,WAElec09_08!S26+IDElec12_07!T26)</f>
        <v>0</v>
      </c>
      <c r="V26" s="74">
        <f>IF(WAElec09_08!T26+IDElec12_07!U26=0,,WAElec09_08!T26+IDElec12_07!U26)</f>
        <v>0</v>
      </c>
      <c r="W26" s="74">
        <f>IF(WAElec09_08!AC26+IDElec12_07!AA26=0,,WAElec09_08!AC26+IDElec12_07!AA26)</f>
        <v>0</v>
      </c>
      <c r="X26" s="74">
        <f>IF(WAElec09_08!U26+IDElec12_07!V26=0,,WAElec09_08!U26+IDElec12_07!V26)</f>
        <v>-17668</v>
      </c>
      <c r="Y26" s="74">
        <f>IF(WAElec09_08!AD26+IDElec12_07!W26=0,,WAElec09_08!AD26+IDElec12_07!W26)</f>
        <v>0</v>
      </c>
      <c r="Z26" s="74" t="e">
        <f>IF(WAElec09_08!AE26+IDElec12_07!#REF!=0,,WAElec09_08!AE26+IDElec12_07!#REF!)</f>
        <v>#REF!</v>
      </c>
      <c r="AA26" s="74" t="e">
        <f>IF(WAElec09_08!#REF!+IDElec12_07!#REF!=0,,WAElec09_08!#REF!+IDElec12_07!#REF!)</f>
        <v>#REF!</v>
      </c>
      <c r="AB26" s="74" t="e">
        <f>IF(WAElec09_08!#REF!+IDElec12_07!#REF!=0,,WAElec09_08!#REF!+IDElec12_07!#REF!)</f>
        <v>#REF!</v>
      </c>
      <c r="AC26" s="74" t="e">
        <f>IF(WAElec09_08!#REF!+IDElec12_07!Y26=0,,WAElec09_08!#REF!+IDElec12_07!Y26)</f>
        <v>#REF!</v>
      </c>
      <c r="AD26" s="74" t="e">
        <f>IF(WAElec09_08!#REF!+IDElec12_07!#REF!=0,,WAElec09_08!#REF!+IDElec12_07!#REF!)</f>
        <v>#REF!</v>
      </c>
      <c r="AE26" s="74" t="e">
        <f>IF(WAElec09_08!#REF!+IDElec12_07!AB26=0,,WAElec09_08!#REF!+IDElec12_07!AB26)</f>
        <v>#REF!</v>
      </c>
      <c r="AF26" s="74">
        <f>IF(WAElec09_08!AG26+IDElec12_07!AG26=0,,WAElec09_08!AG26+IDElec12_07!AG26)</f>
        <v>538369</v>
      </c>
      <c r="AG26" s="74" t="e">
        <f>IF(WAElec09_08!#REF!+IDElec12_07!#REF!=0,,WAElec09_08!#REF!+IDElec12_07!#REF!)</f>
        <v>#REF!</v>
      </c>
      <c r="AH26" s="74" t="e">
        <f>IF(WAElec09_08!AH26+IDElec12_07!#REF!=0,,WAElec09_08!AH26+IDElec12_07!#REF!)</f>
        <v>#REF!</v>
      </c>
      <c r="AI26" s="74" t="e">
        <f>IF(WAElec09_08!#REF!+IDElec12_07!#REF!=0,,WAElec09_08!#REF!+IDElec12_07!#REF!)</f>
        <v>#REF!</v>
      </c>
      <c r="AJ26" s="74" t="e">
        <f>IF(WAElec09_08!AA26+IDElec12_07!#REF!=0,,WAElec09_08!AA26+IDElec12_07!#REF!)</f>
        <v>#REF!</v>
      </c>
      <c r="AK26" s="74" t="e">
        <f>IF(WAElec09_08!AJ26+IDElec12_07!#REF!=0,,WAElec09_08!AJ26+IDElec12_07!#REF!)</f>
        <v>#REF!</v>
      </c>
      <c r="AL26" s="74" t="e">
        <f>IF(WAElec09_08!AK26+IDElec12_07!#REF!=0,,WAElec09_08!AK26+IDElec12_07!#REF!)</f>
        <v>#REF!</v>
      </c>
      <c r="AM26" s="74" t="e">
        <f>IF(WAElec09_08!#REF!+IDElec12_07!#REF!=0,,WAElec09_08!#REF!+IDElec12_07!#REF!)</f>
        <v>#REF!</v>
      </c>
      <c r="AN26" s="74" t="e">
        <f>IF(WAElec09_08!#REF!+IDElec12_07!#REF!=0,,WAElec09_08!#REF!+IDElec12_07!#REF!)</f>
        <v>#REF!</v>
      </c>
      <c r="AO26" s="74">
        <f>IF(WAElec09_08!AM26+IDElec12_07!AL26=0,,WAElec09_08!AM26+IDElec12_07!AL26)</f>
        <v>-77</v>
      </c>
      <c r="AP26" s="74">
        <f>IF(WAElec09_08!AN26+IDElec12_07!AM26=0,,WAElec09_08!AN26+IDElec12_07!AM26)</f>
        <v>1199</v>
      </c>
      <c r="AQ26" s="74">
        <f>IF(WAElec09_08!BC26+IDElec12_07!AO26=0,,WAElec09_08!BC26+IDElec12_07!AO26)</f>
        <v>0</v>
      </c>
      <c r="AR26" s="74">
        <f>IF(WAElec09_08!BD26+IDElec12_07!AP26=0,,WAElec09_08!BD26+IDElec12_07!AP26)</f>
        <v>277503.5</v>
      </c>
      <c r="AS26" s="74"/>
      <c r="AT26" s="74">
        <f>IF(RevReq_Exh_WA!I20+RevReq_Exh_WA!I43=0,,RevReq_Exh_WA!I20+RevReq_Exh_WA!I43)</f>
        <v>0</v>
      </c>
    </row>
    <row r="27" spans="1:46" s="34" customFormat="1">
      <c r="A27" s="32"/>
      <c r="E27" s="74">
        <f>IF(WAElec09_08!E27+IDElec12_07!E27=0,,WAElec09_08!E27+IDElec12_07!E27)</f>
        <v>0</v>
      </c>
      <c r="F27" s="74">
        <f>IF(WAElec09_08!F27+IDElec12_07!F27=0,,WAElec09_08!F27+IDElec12_07!F27)</f>
        <v>0</v>
      </c>
      <c r="G27" s="74">
        <f>IF(WAElec09_08!G27+IDElec12_07!G27=0,,WAElec09_08!G27+IDElec12_07!G27)</f>
        <v>0</v>
      </c>
      <c r="H27" s="74">
        <f>IF(WAElec09_08!H27+IDElec12_07!H27=0,,WAElec09_08!H27+IDElec12_07!H27)</f>
        <v>0</v>
      </c>
      <c r="I27" s="74">
        <f>IF(WAElec09_08!I27+IDElec12_07!I27=0,,WAElec09_08!I27+IDElec12_07!I27)</f>
        <v>0</v>
      </c>
      <c r="J27" s="74">
        <f>IF(WAElec09_08!J27+IDElec12_07!J27=0,,WAElec09_08!J27+IDElec12_07!J27)</f>
        <v>0</v>
      </c>
      <c r="K27" s="74">
        <f>IF(WAElec09_08!K27+IDElec12_07!K27=0,,WAElec09_08!K27+IDElec12_07!K27)</f>
        <v>0</v>
      </c>
      <c r="L27" s="74">
        <f>IF(WAElec09_08!L27+IDElec12_07!L27=0,,WAElec09_08!L27+IDElec12_07!L27)</f>
        <v>0</v>
      </c>
      <c r="M27" s="74">
        <f>IF(WAElec09_08!M27+IDElec12_07!M27=0,,WAElec09_08!M27+IDElec12_07!M27)</f>
        <v>0</v>
      </c>
      <c r="N27" s="74" t="e">
        <f>IF(WAElec09_08!#REF!+IDElec12_07!#REF!=0,,WAElec09_08!#REF!+IDElec12_07!#REF!)</f>
        <v>#REF!</v>
      </c>
      <c r="O27" s="74">
        <f>IF(WAElec09_08!N27+IDElec12_07!N27=0,,WAElec09_08!N27+IDElec12_07!N27)</f>
        <v>0</v>
      </c>
      <c r="P27" s="74" t="e">
        <f>IF(WAElec09_08!#REF!+IDElec12_07!#REF!=0,,WAElec09_08!#REF!+IDElec12_07!#REF!)</f>
        <v>#REF!</v>
      </c>
      <c r="Q27" s="74">
        <f>IF(WAElec09_08!O27+IDElec12_07!P27=0,,WAElec09_08!O27+IDElec12_07!P27)</f>
        <v>0</v>
      </c>
      <c r="R27" s="74">
        <f>IF(WAElec09_08!P27+IDElec12_07!Q27=0,,WAElec09_08!P27+IDElec12_07!Q27)</f>
        <v>0</v>
      </c>
      <c r="S27" s="74">
        <f>IF(WAElec09_08!Q27+IDElec12_07!R27=0,,WAElec09_08!Q27+IDElec12_07!R27)</f>
        <v>0</v>
      </c>
      <c r="T27" s="74">
        <f>IF(WAElec09_08!R27+IDElec12_07!S27=0,,WAElec09_08!R27+IDElec12_07!S27)</f>
        <v>0</v>
      </c>
      <c r="U27" s="74">
        <f>IF(WAElec09_08!S27+IDElec12_07!T27=0,,WAElec09_08!S27+IDElec12_07!T27)</f>
        <v>0</v>
      </c>
      <c r="V27" s="74">
        <f>IF(WAElec09_08!T27+IDElec12_07!U27=0,,WAElec09_08!T27+IDElec12_07!U27)</f>
        <v>0</v>
      </c>
      <c r="W27" s="74">
        <f>IF(WAElec09_08!AC27+IDElec12_07!AA27=0,,WAElec09_08!AC27+IDElec12_07!AA27)</f>
        <v>0</v>
      </c>
      <c r="X27" s="74">
        <f>IF(WAElec09_08!U27+IDElec12_07!V27=0,,WAElec09_08!U27+IDElec12_07!V27)</f>
        <v>0</v>
      </c>
      <c r="Y27" s="74">
        <f>IF(WAElec09_08!AD27+IDElec12_07!W27=0,,WAElec09_08!AD27+IDElec12_07!W27)</f>
        <v>0</v>
      </c>
      <c r="Z27" s="74" t="e">
        <f>IF(WAElec09_08!AE27+IDElec12_07!#REF!=0,,WAElec09_08!AE27+IDElec12_07!#REF!)</f>
        <v>#REF!</v>
      </c>
      <c r="AA27" s="74" t="e">
        <f>IF(WAElec09_08!#REF!+IDElec12_07!#REF!=0,,WAElec09_08!#REF!+IDElec12_07!#REF!)</f>
        <v>#REF!</v>
      </c>
      <c r="AB27" s="74" t="e">
        <f>IF(WAElec09_08!#REF!+IDElec12_07!#REF!=0,,WAElec09_08!#REF!+IDElec12_07!#REF!)</f>
        <v>#REF!</v>
      </c>
      <c r="AC27" s="74" t="e">
        <f>IF(WAElec09_08!#REF!+IDElec12_07!Y27=0,,WAElec09_08!#REF!+IDElec12_07!Y27)</f>
        <v>#REF!</v>
      </c>
      <c r="AD27" s="74" t="e">
        <f>IF(WAElec09_08!#REF!+IDElec12_07!#REF!=0,,WAElec09_08!#REF!+IDElec12_07!#REF!)</f>
        <v>#REF!</v>
      </c>
      <c r="AE27" s="74" t="e">
        <f>IF(WAElec09_08!#REF!+IDElec12_07!AB27=0,,WAElec09_08!#REF!+IDElec12_07!AB27)</f>
        <v>#REF!</v>
      </c>
      <c r="AF27" s="74">
        <f>IF(WAElec09_08!AG27+IDElec12_07!AG27=0,,WAElec09_08!AG27+IDElec12_07!AG27)</f>
        <v>0</v>
      </c>
      <c r="AG27" s="74" t="e">
        <f>IF(WAElec09_08!#REF!+IDElec12_07!#REF!=0,,WAElec09_08!#REF!+IDElec12_07!#REF!)</f>
        <v>#REF!</v>
      </c>
      <c r="AH27" s="74" t="e">
        <f>IF(WAElec09_08!AH27+IDElec12_07!#REF!=0,,WAElec09_08!AH27+IDElec12_07!#REF!)</f>
        <v>#REF!</v>
      </c>
      <c r="AI27" s="74" t="e">
        <f>IF(WAElec09_08!#REF!+IDElec12_07!#REF!=0,,WAElec09_08!#REF!+IDElec12_07!#REF!)</f>
        <v>#REF!</v>
      </c>
      <c r="AJ27" s="74" t="e">
        <f>IF(WAElec09_08!AA27+IDElec12_07!#REF!=0,,WAElec09_08!AA27+IDElec12_07!#REF!)</f>
        <v>#REF!</v>
      </c>
      <c r="AK27" s="74" t="e">
        <f>IF(WAElec09_08!AJ27+IDElec12_07!#REF!=0,,WAElec09_08!AJ27+IDElec12_07!#REF!)</f>
        <v>#REF!</v>
      </c>
      <c r="AL27" s="74" t="e">
        <f>IF(WAElec09_08!AK27+IDElec12_07!#REF!=0,,WAElec09_08!AK27+IDElec12_07!#REF!)</f>
        <v>#REF!</v>
      </c>
      <c r="AM27" s="74" t="e">
        <f>IF(WAElec09_08!#REF!+IDElec12_07!#REF!=0,,WAElec09_08!#REF!+IDElec12_07!#REF!)</f>
        <v>#REF!</v>
      </c>
      <c r="AN27" s="74" t="e">
        <f>IF(WAElec09_08!#REF!+IDElec12_07!#REF!=0,,WAElec09_08!#REF!+IDElec12_07!#REF!)</f>
        <v>#REF!</v>
      </c>
      <c r="AO27" s="74">
        <f>IF(WAElec09_08!AM27+IDElec12_07!AL27=0,,WAElec09_08!AM27+IDElec12_07!AL27)</f>
        <v>0</v>
      </c>
      <c r="AP27" s="74">
        <f>IF(WAElec09_08!AN27+IDElec12_07!AM27=0,,WAElec09_08!AN27+IDElec12_07!AM27)</f>
        <v>0</v>
      </c>
      <c r="AQ27" s="74">
        <f>IF(WAElec09_08!BC27+IDElec12_07!AO27=0,,WAElec09_08!BC27+IDElec12_07!AO27)</f>
        <v>0</v>
      </c>
      <c r="AR27" s="74">
        <f>IF(WAElec09_08!BD27+IDElec12_07!AP27=0,,WAElec09_08!BD27+IDElec12_07!AP27)</f>
        <v>0</v>
      </c>
      <c r="AS27" s="74"/>
      <c r="AT27" s="74">
        <f>IF(RevReq_Exh_WA!I21+RevReq_Exh_WA!I44=0,,RevReq_Exh_WA!I21+RevReq_Exh_WA!I44)</f>
        <v>0</v>
      </c>
    </row>
    <row r="28" spans="1:46" s="34" customFormat="1">
      <c r="A28" s="32"/>
      <c r="B28" s="34" t="s">
        <v>98</v>
      </c>
      <c r="E28" s="74">
        <f>IF(WAElec09_08!E28+IDElec12_07!E28=0,,WAElec09_08!E28+IDElec12_07!E28)</f>
        <v>0</v>
      </c>
      <c r="F28" s="74">
        <f>IF(WAElec09_08!F28+IDElec12_07!F28=0,,WAElec09_08!F28+IDElec12_07!F28)</f>
        <v>0</v>
      </c>
      <c r="G28" s="74">
        <f>IF(WAElec09_08!G28+IDElec12_07!G28=0,,WAElec09_08!G28+IDElec12_07!G28)</f>
        <v>0</v>
      </c>
      <c r="H28" s="74">
        <f>IF(WAElec09_08!H28+IDElec12_07!H28=0,,WAElec09_08!H28+IDElec12_07!H28)</f>
        <v>0</v>
      </c>
      <c r="I28" s="74">
        <f>IF(WAElec09_08!I28+IDElec12_07!I28=0,,WAElec09_08!I28+IDElec12_07!I28)</f>
        <v>0</v>
      </c>
      <c r="J28" s="74">
        <f>IF(WAElec09_08!J28+IDElec12_07!J28=0,,WAElec09_08!J28+IDElec12_07!J28)</f>
        <v>0</v>
      </c>
      <c r="K28" s="74">
        <f>IF(WAElec09_08!K28+IDElec12_07!K28=0,,WAElec09_08!K28+IDElec12_07!K28)</f>
        <v>0</v>
      </c>
      <c r="L28" s="74">
        <f>IF(WAElec09_08!L28+IDElec12_07!L28=0,,WAElec09_08!L28+IDElec12_07!L28)</f>
        <v>0</v>
      </c>
      <c r="M28" s="74">
        <f>IF(WAElec09_08!M28+IDElec12_07!M28=0,,WAElec09_08!M28+IDElec12_07!M28)</f>
        <v>0</v>
      </c>
      <c r="N28" s="74" t="e">
        <f>IF(WAElec09_08!#REF!+IDElec12_07!#REF!=0,,WAElec09_08!#REF!+IDElec12_07!#REF!)</f>
        <v>#REF!</v>
      </c>
      <c r="O28" s="74">
        <f>IF(WAElec09_08!N28+IDElec12_07!N28=0,,WAElec09_08!N28+IDElec12_07!N28)</f>
        <v>0</v>
      </c>
      <c r="P28" s="74" t="e">
        <f>IF(WAElec09_08!#REF!+IDElec12_07!#REF!=0,,WAElec09_08!#REF!+IDElec12_07!#REF!)</f>
        <v>#REF!</v>
      </c>
      <c r="Q28" s="74">
        <f>IF(WAElec09_08!O28+IDElec12_07!P28=0,,WAElec09_08!O28+IDElec12_07!P28)</f>
        <v>0</v>
      </c>
      <c r="R28" s="74">
        <f>IF(WAElec09_08!P28+IDElec12_07!Q28=0,,WAElec09_08!P28+IDElec12_07!Q28)</f>
        <v>0</v>
      </c>
      <c r="S28" s="74">
        <f>IF(WAElec09_08!Q28+IDElec12_07!R28=0,,WAElec09_08!Q28+IDElec12_07!R28)</f>
        <v>0</v>
      </c>
      <c r="T28" s="74">
        <f>IF(WAElec09_08!R28+IDElec12_07!S28=0,,WAElec09_08!R28+IDElec12_07!S28)</f>
        <v>0</v>
      </c>
      <c r="U28" s="74">
        <f>IF(WAElec09_08!S28+IDElec12_07!T28=0,,WAElec09_08!S28+IDElec12_07!T28)</f>
        <v>0</v>
      </c>
      <c r="V28" s="74">
        <f>IF(WAElec09_08!T28+IDElec12_07!U28=0,,WAElec09_08!T28+IDElec12_07!U28)</f>
        <v>0</v>
      </c>
      <c r="W28" s="74">
        <f>IF(WAElec09_08!AC28+IDElec12_07!AA28=0,,WAElec09_08!AC28+IDElec12_07!AA28)</f>
        <v>0</v>
      </c>
      <c r="X28" s="74">
        <f>IF(WAElec09_08!U28+IDElec12_07!V28=0,,WAElec09_08!U28+IDElec12_07!V28)</f>
        <v>0</v>
      </c>
      <c r="Y28" s="74">
        <f>IF(WAElec09_08!AD28+IDElec12_07!W28=0,,WAElec09_08!AD28+IDElec12_07!W28)</f>
        <v>0</v>
      </c>
      <c r="Z28" s="74" t="e">
        <f>IF(WAElec09_08!AE28+IDElec12_07!#REF!=0,,WAElec09_08!AE28+IDElec12_07!#REF!)</f>
        <v>#REF!</v>
      </c>
      <c r="AA28" s="74" t="e">
        <f>IF(WAElec09_08!#REF!+IDElec12_07!#REF!=0,,WAElec09_08!#REF!+IDElec12_07!#REF!)</f>
        <v>#REF!</v>
      </c>
      <c r="AB28" s="74" t="e">
        <f>IF(WAElec09_08!#REF!+IDElec12_07!#REF!=0,,WAElec09_08!#REF!+IDElec12_07!#REF!)</f>
        <v>#REF!</v>
      </c>
      <c r="AC28" s="74" t="e">
        <f>IF(WAElec09_08!#REF!+IDElec12_07!Y28=0,,WAElec09_08!#REF!+IDElec12_07!Y28)</f>
        <v>#REF!</v>
      </c>
      <c r="AD28" s="74" t="e">
        <f>IF(WAElec09_08!#REF!+IDElec12_07!#REF!=0,,WAElec09_08!#REF!+IDElec12_07!#REF!)</f>
        <v>#REF!</v>
      </c>
      <c r="AE28" s="74" t="e">
        <f>IF(WAElec09_08!#REF!+IDElec12_07!AB28=0,,WAElec09_08!#REF!+IDElec12_07!AB28)</f>
        <v>#REF!</v>
      </c>
      <c r="AF28" s="74">
        <f>IF(WAElec09_08!AG28+IDElec12_07!AG28=0,,WAElec09_08!AG28+IDElec12_07!AG28)</f>
        <v>0</v>
      </c>
      <c r="AG28" s="74" t="e">
        <f>IF(WAElec09_08!#REF!+IDElec12_07!#REF!=0,,WAElec09_08!#REF!+IDElec12_07!#REF!)</f>
        <v>#REF!</v>
      </c>
      <c r="AH28" s="74" t="e">
        <f>IF(WAElec09_08!AH28+IDElec12_07!#REF!=0,,WAElec09_08!AH28+IDElec12_07!#REF!)</f>
        <v>#REF!</v>
      </c>
      <c r="AI28" s="74" t="e">
        <f>IF(WAElec09_08!#REF!+IDElec12_07!#REF!=0,,WAElec09_08!#REF!+IDElec12_07!#REF!)</f>
        <v>#REF!</v>
      </c>
      <c r="AJ28" s="74" t="e">
        <f>IF(WAElec09_08!AA28+IDElec12_07!#REF!=0,,WAElec09_08!AA28+IDElec12_07!#REF!)</f>
        <v>#REF!</v>
      </c>
      <c r="AK28" s="74" t="e">
        <f>IF(WAElec09_08!AJ28+IDElec12_07!#REF!=0,,WAElec09_08!AJ28+IDElec12_07!#REF!)</f>
        <v>#REF!</v>
      </c>
      <c r="AL28" s="74" t="e">
        <f>IF(WAElec09_08!AK28+IDElec12_07!#REF!=0,,WAElec09_08!AK28+IDElec12_07!#REF!)</f>
        <v>#REF!</v>
      </c>
      <c r="AM28" s="74" t="e">
        <f>IF(WAElec09_08!#REF!+IDElec12_07!#REF!=0,,WAElec09_08!#REF!+IDElec12_07!#REF!)</f>
        <v>#REF!</v>
      </c>
      <c r="AN28" s="74" t="e">
        <f>IF(WAElec09_08!#REF!+IDElec12_07!#REF!=0,,WAElec09_08!#REF!+IDElec12_07!#REF!)</f>
        <v>#REF!</v>
      </c>
      <c r="AO28" s="74">
        <f>IF(WAElec09_08!AM28+IDElec12_07!AL28=0,,WAElec09_08!AM28+IDElec12_07!AL28)</f>
        <v>0</v>
      </c>
      <c r="AP28" s="74">
        <f>IF(WAElec09_08!AN28+IDElec12_07!AM28=0,,WAElec09_08!AN28+IDElec12_07!AM28)</f>
        <v>0</v>
      </c>
      <c r="AQ28" s="74">
        <f>IF(WAElec09_08!BC28+IDElec12_07!AO28=0,,WAElec09_08!BC28+IDElec12_07!AO28)</f>
        <v>0</v>
      </c>
      <c r="AR28" s="74">
        <f>IF(WAElec09_08!BD28+IDElec12_07!AP28=0,,WAElec09_08!BD28+IDElec12_07!AP28)</f>
        <v>0</v>
      </c>
      <c r="AS28" s="74"/>
      <c r="AT28" s="74">
        <f>IF(RevReq_Exh_WA!I22+RevReq_Exh_WA!I45=0,,RevReq_Exh_WA!I22+RevReq_Exh_WA!I45)</f>
        <v>0</v>
      </c>
    </row>
    <row r="29" spans="1:46" s="34" customFormat="1">
      <c r="A29" s="32">
        <v>12</v>
      </c>
      <c r="C29" s="34" t="s">
        <v>94</v>
      </c>
      <c r="E29" s="74">
        <f>IF(WAElec09_08!E29+IDElec12_07!E29=0,,WAElec09_08!E29+IDElec12_07!E29)</f>
        <v>25859</v>
      </c>
      <c r="F29" s="74">
        <f>IF(WAElec09_08!F29+IDElec12_07!F29=0,,WAElec09_08!F29+IDElec12_07!F29)</f>
        <v>0</v>
      </c>
      <c r="G29" s="74">
        <f>IF(WAElec09_08!G29+IDElec12_07!G29=0,,WAElec09_08!G29+IDElec12_07!G29)</f>
        <v>0</v>
      </c>
      <c r="H29" s="74">
        <f>IF(WAElec09_08!H29+IDElec12_07!H29=0,,WAElec09_08!H29+IDElec12_07!H29)</f>
        <v>0</v>
      </c>
      <c r="I29" s="74">
        <f>IF(WAElec09_08!I29+IDElec12_07!I29=0,,WAElec09_08!I29+IDElec12_07!I29)</f>
        <v>0</v>
      </c>
      <c r="J29" s="74">
        <f>IF(WAElec09_08!J29+IDElec12_07!J29=0,,WAElec09_08!J29+IDElec12_07!J29)</f>
        <v>0</v>
      </c>
      <c r="K29" s="74">
        <f>IF(WAElec09_08!K29+IDElec12_07!K29=0,,WAElec09_08!K29+IDElec12_07!K29)</f>
        <v>0</v>
      </c>
      <c r="L29" s="74">
        <f>IF(WAElec09_08!L29+IDElec12_07!L29=0,,WAElec09_08!L29+IDElec12_07!L29)</f>
        <v>0</v>
      </c>
      <c r="M29" s="74">
        <f>IF(WAElec09_08!M29+IDElec12_07!M29=0,,WAElec09_08!M29+IDElec12_07!M29)</f>
        <v>0</v>
      </c>
      <c r="N29" s="74" t="e">
        <f>IF(WAElec09_08!#REF!+IDElec12_07!#REF!=0,,WAElec09_08!#REF!+IDElec12_07!#REF!)</f>
        <v>#REF!</v>
      </c>
      <c r="O29" s="74">
        <f>IF(WAElec09_08!N29+IDElec12_07!N29=0,,WAElec09_08!N29+IDElec12_07!N29)</f>
        <v>25859</v>
      </c>
      <c r="P29" s="74" t="e">
        <f>IF(WAElec09_08!#REF!+IDElec12_07!#REF!=0,,WAElec09_08!#REF!+IDElec12_07!#REF!)</f>
        <v>#REF!</v>
      </c>
      <c r="Q29" s="74">
        <f>IF(WAElec09_08!O29+IDElec12_07!P29=0,,WAElec09_08!O29+IDElec12_07!P29)</f>
        <v>0</v>
      </c>
      <c r="R29" s="74">
        <f>IF(WAElec09_08!P29+IDElec12_07!Q29=0,,WAElec09_08!P29+IDElec12_07!Q29)</f>
        <v>0</v>
      </c>
      <c r="S29" s="74">
        <f>IF(WAElec09_08!Q29+IDElec12_07!R29=0,,WAElec09_08!Q29+IDElec12_07!R29)</f>
        <v>0</v>
      </c>
      <c r="T29" s="74">
        <f>IF(WAElec09_08!R29+IDElec12_07!S29=0,,WAElec09_08!R29+IDElec12_07!S29)</f>
        <v>0</v>
      </c>
      <c r="U29" s="74">
        <f>IF(WAElec09_08!S29+IDElec12_07!T29=0,,WAElec09_08!S29+IDElec12_07!T29)</f>
        <v>0</v>
      </c>
      <c r="V29" s="74">
        <f>IF(WAElec09_08!T29+IDElec12_07!U29=0,,WAElec09_08!T29+IDElec12_07!U29)</f>
        <v>0</v>
      </c>
      <c r="W29" s="74">
        <f>IF(WAElec09_08!AC29+IDElec12_07!AA29=0,,WAElec09_08!AC29+IDElec12_07!AA29)</f>
        <v>0</v>
      </c>
      <c r="X29" s="74">
        <f>IF(WAElec09_08!U29+IDElec12_07!V29=0,,WAElec09_08!U29+IDElec12_07!V29)</f>
        <v>0</v>
      </c>
      <c r="Y29" s="74">
        <f>IF(WAElec09_08!AD29+IDElec12_07!W29=0,,WAElec09_08!AD29+IDElec12_07!W29)</f>
        <v>0</v>
      </c>
      <c r="Z29" s="74" t="e">
        <f>IF(WAElec09_08!AE29+IDElec12_07!#REF!=0,,WAElec09_08!AE29+IDElec12_07!#REF!)</f>
        <v>#REF!</v>
      </c>
      <c r="AA29" s="74" t="e">
        <f>IF(WAElec09_08!#REF!+IDElec12_07!#REF!=0,,WAElec09_08!#REF!+IDElec12_07!#REF!)</f>
        <v>#REF!</v>
      </c>
      <c r="AB29" s="74" t="e">
        <f>IF(WAElec09_08!#REF!+IDElec12_07!#REF!=0,,WAElec09_08!#REF!+IDElec12_07!#REF!)</f>
        <v>#REF!</v>
      </c>
      <c r="AC29" s="74" t="e">
        <f>IF(WAElec09_08!#REF!+IDElec12_07!Y29=0,,WAElec09_08!#REF!+IDElec12_07!Y29)</f>
        <v>#REF!</v>
      </c>
      <c r="AD29" s="74" t="e">
        <f>IF(WAElec09_08!#REF!+IDElec12_07!#REF!=0,,WAElec09_08!#REF!+IDElec12_07!#REF!)</f>
        <v>#REF!</v>
      </c>
      <c r="AE29" s="74" t="e">
        <f>IF(WAElec09_08!#REF!+IDElec12_07!AB29=0,,WAElec09_08!#REF!+IDElec12_07!AB29)</f>
        <v>#REF!</v>
      </c>
      <c r="AF29" s="74">
        <f>IF(WAElec09_08!AG29+IDElec12_07!AG29=0,,WAElec09_08!AG29+IDElec12_07!AG29)</f>
        <v>25859</v>
      </c>
      <c r="AG29" s="74" t="e">
        <f>IF(WAElec09_08!#REF!+IDElec12_07!#REF!=0,,WAElec09_08!#REF!+IDElec12_07!#REF!)</f>
        <v>#REF!</v>
      </c>
      <c r="AH29" s="74" t="e">
        <f>IF(WAElec09_08!AH29+IDElec12_07!#REF!=0,,WAElec09_08!AH29+IDElec12_07!#REF!)</f>
        <v>#REF!</v>
      </c>
      <c r="AI29" s="74" t="e">
        <f>IF(WAElec09_08!#REF!+IDElec12_07!#REF!=0,,WAElec09_08!#REF!+IDElec12_07!#REF!)</f>
        <v>#REF!</v>
      </c>
      <c r="AJ29" s="74" t="e">
        <f>IF(WAElec09_08!AA29+IDElec12_07!#REF!=0,,WAElec09_08!AA29+IDElec12_07!#REF!)</f>
        <v>#REF!</v>
      </c>
      <c r="AK29" s="74" t="e">
        <f>IF(WAElec09_08!AJ29+IDElec12_07!#REF!=0,,WAElec09_08!AJ29+IDElec12_07!#REF!)</f>
        <v>#REF!</v>
      </c>
      <c r="AL29" s="74" t="e">
        <f>IF(WAElec09_08!AK29+IDElec12_07!#REF!=0,,WAElec09_08!AK29+IDElec12_07!#REF!)</f>
        <v>#REF!</v>
      </c>
      <c r="AM29" s="74" t="e">
        <f>IF(WAElec09_08!#REF!+IDElec12_07!#REF!=0,,WAElec09_08!#REF!+IDElec12_07!#REF!)</f>
        <v>#REF!</v>
      </c>
      <c r="AN29" s="74" t="e">
        <f>IF(WAElec09_08!#REF!+IDElec12_07!#REF!=0,,WAElec09_08!#REF!+IDElec12_07!#REF!)</f>
        <v>#REF!</v>
      </c>
      <c r="AO29" s="74">
        <f>IF(WAElec09_08!AM29+IDElec12_07!AL29=0,,WAElec09_08!AM29+IDElec12_07!AL29)</f>
        <v>0</v>
      </c>
      <c r="AP29" s="74">
        <f>IF(WAElec09_08!AN29+IDElec12_07!AM29=0,,WAElec09_08!AN29+IDElec12_07!AM29)</f>
        <v>0</v>
      </c>
      <c r="AQ29" s="74">
        <f>IF(WAElec09_08!BC29+IDElec12_07!AO29=0,,WAElec09_08!BC29+IDElec12_07!AO29)</f>
        <v>0</v>
      </c>
      <c r="AR29" s="74">
        <f>IF(WAElec09_08!BD29+IDElec12_07!AP29=0,,WAElec09_08!BD29+IDElec12_07!AP29)</f>
        <v>20922</v>
      </c>
      <c r="AS29" s="74"/>
      <c r="AT29" s="74">
        <f>IF(RevReq_Exh_WA!I23+RevReq_Exh_WA!I46=0,,RevReq_Exh_WA!I23+RevReq_Exh_WA!I46)</f>
        <v>0</v>
      </c>
    </row>
    <row r="30" spans="1:46" s="34" customFormat="1">
      <c r="A30" s="32">
        <v>13</v>
      </c>
      <c r="C30" s="34" t="s">
        <v>99</v>
      </c>
      <c r="E30" s="74">
        <f>IF(WAElec09_08!E30+IDElec12_07!E30=0,,WAElec09_08!E30+IDElec12_07!E30)</f>
        <v>22950</v>
      </c>
      <c r="F30" s="74">
        <f>IF(WAElec09_08!F30+IDElec12_07!F30=0,,WAElec09_08!F30+IDElec12_07!F30)</f>
        <v>0</v>
      </c>
      <c r="G30" s="74">
        <f>IF(WAElec09_08!G30+IDElec12_07!G30=0,,WAElec09_08!G30+IDElec12_07!G30)</f>
        <v>0</v>
      </c>
      <c r="H30" s="74">
        <f>IF(WAElec09_08!H30+IDElec12_07!H30=0,,WAElec09_08!H30+IDElec12_07!H30)</f>
        <v>0</v>
      </c>
      <c r="I30" s="74">
        <f>IF(WAElec09_08!I30+IDElec12_07!I30=0,,WAElec09_08!I30+IDElec12_07!I30)</f>
        <v>0</v>
      </c>
      <c r="J30" s="74">
        <f>IF(WAElec09_08!J30+IDElec12_07!J30=0,,WAElec09_08!J30+IDElec12_07!J30)</f>
        <v>0</v>
      </c>
      <c r="K30" s="74">
        <f>IF(WAElec09_08!K30+IDElec12_07!K30=0,,WAElec09_08!K30+IDElec12_07!K30)</f>
        <v>0</v>
      </c>
      <c r="L30" s="74">
        <f>IF(WAElec09_08!L30+IDElec12_07!L30=0,,WAElec09_08!L30+IDElec12_07!L30)</f>
        <v>857</v>
      </c>
      <c r="M30" s="74">
        <f>IF(WAElec09_08!M30+IDElec12_07!M30=0,,WAElec09_08!M30+IDElec12_07!M30)</f>
        <v>0</v>
      </c>
      <c r="N30" s="74" t="e">
        <f>IF(WAElec09_08!#REF!+IDElec12_07!#REF!=0,,WAElec09_08!#REF!+IDElec12_07!#REF!)</f>
        <v>#REF!</v>
      </c>
      <c r="O30" s="74">
        <f>IF(WAElec09_08!N30+IDElec12_07!N30=0,,WAElec09_08!N30+IDElec12_07!N30)</f>
        <v>23807</v>
      </c>
      <c r="P30" s="74" t="e">
        <f>IF(WAElec09_08!#REF!+IDElec12_07!#REF!=0,,WAElec09_08!#REF!+IDElec12_07!#REF!)</f>
        <v>#REF!</v>
      </c>
      <c r="Q30" s="74">
        <f>IF(WAElec09_08!O30+IDElec12_07!P30=0,,WAElec09_08!O30+IDElec12_07!P30)</f>
        <v>0</v>
      </c>
      <c r="R30" s="74">
        <f>IF(WAElec09_08!P30+IDElec12_07!Q30=0,,WAElec09_08!P30+IDElec12_07!Q30)</f>
        <v>0</v>
      </c>
      <c r="S30" s="74">
        <f>IF(WAElec09_08!Q30+IDElec12_07!R30=0,,WAElec09_08!Q30+IDElec12_07!R30)</f>
        <v>0</v>
      </c>
      <c r="T30" s="74">
        <f>IF(WAElec09_08!R30+IDElec12_07!S30=0,,WAElec09_08!R30+IDElec12_07!S30)</f>
        <v>0</v>
      </c>
      <c r="U30" s="74">
        <f>IF(WAElec09_08!S30+IDElec12_07!T30=0,,WAElec09_08!S30+IDElec12_07!T30)</f>
        <v>0</v>
      </c>
      <c r="V30" s="74">
        <f>IF(WAElec09_08!T30+IDElec12_07!U30=0,,WAElec09_08!T30+IDElec12_07!U30)</f>
        <v>0</v>
      </c>
      <c r="W30" s="74">
        <f>IF(WAElec09_08!AC30+IDElec12_07!AA30=0,,WAElec09_08!AC30+IDElec12_07!AA30)</f>
        <v>0</v>
      </c>
      <c r="X30" s="74">
        <f>IF(WAElec09_08!U30+IDElec12_07!V30=0,,WAElec09_08!U30+IDElec12_07!V30)</f>
        <v>0</v>
      </c>
      <c r="Y30" s="74">
        <f>IF(WAElec09_08!AD30+IDElec12_07!W30=0,,WAElec09_08!AD30+IDElec12_07!W30)</f>
        <v>0</v>
      </c>
      <c r="Z30" s="74" t="e">
        <f>IF(WAElec09_08!AE30+IDElec12_07!#REF!=0,,WAElec09_08!AE30+IDElec12_07!#REF!)</f>
        <v>#REF!</v>
      </c>
      <c r="AA30" s="74" t="e">
        <f>IF(WAElec09_08!#REF!+IDElec12_07!#REF!=0,,WAElec09_08!#REF!+IDElec12_07!#REF!)</f>
        <v>#REF!</v>
      </c>
      <c r="AB30" s="74" t="e">
        <f>IF(WAElec09_08!#REF!+IDElec12_07!#REF!=0,,WAElec09_08!#REF!+IDElec12_07!#REF!)</f>
        <v>#REF!</v>
      </c>
      <c r="AC30" s="74" t="e">
        <f>IF(WAElec09_08!#REF!+IDElec12_07!Y30=0,,WAElec09_08!#REF!+IDElec12_07!Y30)</f>
        <v>#REF!</v>
      </c>
      <c r="AD30" s="74" t="e">
        <f>IF(WAElec09_08!#REF!+IDElec12_07!#REF!=0,,WAElec09_08!#REF!+IDElec12_07!#REF!)</f>
        <v>#REF!</v>
      </c>
      <c r="AE30" s="74" t="e">
        <f>IF(WAElec09_08!#REF!+IDElec12_07!AB30=0,,WAElec09_08!#REF!+IDElec12_07!AB30)</f>
        <v>#REF!</v>
      </c>
      <c r="AF30" s="74">
        <f>IF(WAElec09_08!AG30+IDElec12_07!AG30=0,,WAElec09_08!AG30+IDElec12_07!AG30)</f>
        <v>23685</v>
      </c>
      <c r="AG30" s="74" t="e">
        <f>IF(WAElec09_08!#REF!+IDElec12_07!#REF!=0,,WAElec09_08!#REF!+IDElec12_07!#REF!)</f>
        <v>#REF!</v>
      </c>
      <c r="AH30" s="74" t="e">
        <f>IF(WAElec09_08!AH30+IDElec12_07!#REF!=0,,WAElec09_08!AH30+IDElec12_07!#REF!)</f>
        <v>#REF!</v>
      </c>
      <c r="AI30" s="74" t="e">
        <f>IF(WAElec09_08!#REF!+IDElec12_07!#REF!=0,,WAElec09_08!#REF!+IDElec12_07!#REF!)</f>
        <v>#REF!</v>
      </c>
      <c r="AJ30" s="74" t="e">
        <f>IF(WAElec09_08!AA30+IDElec12_07!#REF!=0,,WAElec09_08!AA30+IDElec12_07!#REF!)</f>
        <v>#REF!</v>
      </c>
      <c r="AK30" s="74" t="e">
        <f>IF(WAElec09_08!AJ30+IDElec12_07!#REF!=0,,WAElec09_08!AJ30+IDElec12_07!#REF!)</f>
        <v>#REF!</v>
      </c>
      <c r="AL30" s="74" t="e">
        <f>IF(WAElec09_08!AK30+IDElec12_07!#REF!=0,,WAElec09_08!AK30+IDElec12_07!#REF!)</f>
        <v>#REF!</v>
      </c>
      <c r="AM30" s="74" t="e">
        <f>IF(WAElec09_08!#REF!+IDElec12_07!#REF!=0,,WAElec09_08!#REF!+IDElec12_07!#REF!)</f>
        <v>#REF!</v>
      </c>
      <c r="AN30" s="74" t="e">
        <f>IF(WAElec09_08!#REF!+IDElec12_07!#REF!=0,,WAElec09_08!#REF!+IDElec12_07!#REF!)</f>
        <v>#REF!</v>
      </c>
      <c r="AO30" s="74">
        <f>IF(WAElec09_08!AM30+IDElec12_07!AL30=0,,WAElec09_08!AM30+IDElec12_07!AL30)</f>
        <v>296</v>
      </c>
      <c r="AP30" s="74">
        <f>IF(WAElec09_08!AN30+IDElec12_07!AM30=0,,WAElec09_08!AN30+IDElec12_07!AM30)</f>
        <v>810</v>
      </c>
      <c r="AQ30" s="74">
        <f>IF(WAElec09_08!BC30+IDElec12_07!AO30=0,,WAElec09_08!BC30+IDElec12_07!AO30)</f>
        <v>0</v>
      </c>
      <c r="AR30" s="74">
        <f>IF(WAElec09_08!BD30+IDElec12_07!AP30=0,,WAElec09_08!BD30+IDElec12_07!AP30)</f>
        <v>16440</v>
      </c>
      <c r="AS30" s="74"/>
      <c r="AT30" s="74">
        <f>IF(RevReq_Exh_WA!I24+RevReq_Exh_WA!I47=0,,RevReq_Exh_WA!I24+RevReq_Exh_WA!I47)</f>
        <v>0</v>
      </c>
    </row>
    <row r="31" spans="1:46" s="34" customFormat="1">
      <c r="A31" s="32">
        <v>14</v>
      </c>
      <c r="C31" s="34" t="s">
        <v>47</v>
      </c>
      <c r="E31" s="75">
        <f>IF(WAElec09_08!E31+IDElec12_07!E31=0,,WAElec09_08!E31+IDElec12_07!E31)</f>
        <v>37353</v>
      </c>
      <c r="F31" s="75">
        <f>IF(WAElec09_08!F31+IDElec12_07!F31=0,,WAElec09_08!F31+IDElec12_07!F31)</f>
        <v>0</v>
      </c>
      <c r="G31" s="75">
        <f>IF(WAElec09_08!G31+IDElec12_07!G31=0,,WAElec09_08!G31+IDElec12_07!G31)</f>
        <v>0</v>
      </c>
      <c r="H31" s="75">
        <f>IF(WAElec09_08!H31+IDElec12_07!H31=0,,WAElec09_08!H31+IDElec12_07!H31)</f>
        <v>0</v>
      </c>
      <c r="I31" s="75">
        <f>IF(WAElec09_08!I31+IDElec12_07!I31=0,,WAElec09_08!I31+IDElec12_07!I31)</f>
        <v>0</v>
      </c>
      <c r="J31" s="75">
        <f>IF(WAElec09_08!J31+IDElec12_07!J31=0,,WAElec09_08!J31+IDElec12_07!J31)</f>
        <v>0</v>
      </c>
      <c r="K31" s="75">
        <f>IF(WAElec09_08!K31+IDElec12_07!K31=0,,WAElec09_08!K31+IDElec12_07!K31)</f>
        <v>0</v>
      </c>
      <c r="L31" s="75">
        <f>IF(WAElec09_08!L31+IDElec12_07!L31=0,,WAElec09_08!L31+IDElec12_07!L31)</f>
        <v>0</v>
      </c>
      <c r="M31" s="75">
        <f>IF(WAElec09_08!M31+IDElec12_07!M31=0,,WAElec09_08!M31+IDElec12_07!M31)</f>
        <v>0</v>
      </c>
      <c r="N31" s="75" t="e">
        <f>IF(WAElec09_08!#REF!+IDElec12_07!#REF!=0,,WAElec09_08!#REF!+IDElec12_07!#REF!)</f>
        <v>#REF!</v>
      </c>
      <c r="O31" s="75">
        <f>IF(WAElec09_08!N31+IDElec12_07!N31=0,,WAElec09_08!N31+IDElec12_07!N31)</f>
        <v>37353</v>
      </c>
      <c r="P31" s="75" t="e">
        <f>IF(WAElec09_08!#REF!+IDElec12_07!#REF!=0,,WAElec09_08!#REF!+IDElec12_07!#REF!)</f>
        <v>#REF!</v>
      </c>
      <c r="Q31" s="75">
        <f>IF(WAElec09_08!O31+IDElec12_07!P31=0,,WAElec09_08!O31+IDElec12_07!P31)</f>
        <v>-13726</v>
      </c>
      <c r="R31" s="75">
        <f>IF(WAElec09_08!P31+IDElec12_07!Q31=0,,WAElec09_08!P31+IDElec12_07!Q31)</f>
        <v>-643</v>
      </c>
      <c r="S31" s="75">
        <f>IF(WAElec09_08!Q31+IDElec12_07!R31=0,,WAElec09_08!Q31+IDElec12_07!R31)</f>
        <v>0</v>
      </c>
      <c r="T31" s="75">
        <f>IF(WAElec09_08!R31+IDElec12_07!S31=0,,WAElec09_08!R31+IDElec12_07!S31)</f>
        <v>0</v>
      </c>
      <c r="U31" s="75">
        <f>IF(WAElec09_08!S31+IDElec12_07!T31=0,,WAElec09_08!S31+IDElec12_07!T31)</f>
        <v>0</v>
      </c>
      <c r="V31" s="75">
        <f>IF(WAElec09_08!T31+IDElec12_07!U31=0,,WAElec09_08!T31+IDElec12_07!U31)</f>
        <v>0</v>
      </c>
      <c r="W31" s="75">
        <f>IF(WAElec09_08!AC31+IDElec12_07!AA31=0,,WAElec09_08!AC31+IDElec12_07!AA31)</f>
        <v>0</v>
      </c>
      <c r="X31" s="75">
        <f>IF(WAElec09_08!U31+IDElec12_07!V31=0,,WAElec09_08!U31+IDElec12_07!V31)</f>
        <v>-1262</v>
      </c>
      <c r="Y31" s="75">
        <f>IF(WAElec09_08!AD31+IDElec12_07!W31=0,,WAElec09_08!AD31+IDElec12_07!W31)</f>
        <v>0</v>
      </c>
      <c r="Z31" s="75" t="e">
        <f>IF(WAElec09_08!AE31+IDElec12_07!#REF!=0,,WAElec09_08!AE31+IDElec12_07!#REF!)</f>
        <v>#REF!</v>
      </c>
      <c r="AA31" s="75" t="e">
        <f>IF(WAElec09_08!#REF!+IDElec12_07!#REF!=0,,WAElec09_08!#REF!+IDElec12_07!#REF!)</f>
        <v>#REF!</v>
      </c>
      <c r="AB31" s="75" t="e">
        <f>IF(WAElec09_08!#REF!+IDElec12_07!#REF!=0,,WAElec09_08!#REF!+IDElec12_07!#REF!)</f>
        <v>#REF!</v>
      </c>
      <c r="AC31" s="75" t="e">
        <f>IF(WAElec09_08!#REF!+IDElec12_07!Y31=0,,WAElec09_08!#REF!+IDElec12_07!Y31)</f>
        <v>#REF!</v>
      </c>
      <c r="AD31" s="75" t="e">
        <f>IF(WAElec09_08!#REF!+IDElec12_07!#REF!=0,,WAElec09_08!#REF!+IDElec12_07!#REF!)</f>
        <v>#REF!</v>
      </c>
      <c r="AE31" s="75" t="e">
        <f>IF(WAElec09_08!#REF!+IDElec12_07!AB31=0,,WAElec09_08!#REF!+IDElec12_07!AB31)</f>
        <v>#REF!</v>
      </c>
      <c r="AF31" s="75">
        <f>IF(WAElec09_08!AG31+IDElec12_07!AG31=0,,WAElec09_08!AG31+IDElec12_07!AG31)</f>
        <v>22874</v>
      </c>
      <c r="AG31" s="75" t="e">
        <f>IF(WAElec09_08!#REF!+IDElec12_07!#REF!=0,,WAElec09_08!#REF!+IDElec12_07!#REF!)</f>
        <v>#REF!</v>
      </c>
      <c r="AH31" s="75" t="e">
        <f>IF(WAElec09_08!AH31+IDElec12_07!#REF!=0,,WAElec09_08!AH31+IDElec12_07!#REF!)</f>
        <v>#REF!</v>
      </c>
      <c r="AI31" s="75" t="e">
        <f>IF(WAElec09_08!#REF!+IDElec12_07!#REF!=0,,WAElec09_08!#REF!+IDElec12_07!#REF!)</f>
        <v>#REF!</v>
      </c>
      <c r="AJ31" s="75" t="e">
        <f>IF(WAElec09_08!AA31+IDElec12_07!#REF!=0,,WAElec09_08!AA31+IDElec12_07!#REF!)</f>
        <v>#REF!</v>
      </c>
      <c r="AK31" s="75" t="e">
        <f>IF(WAElec09_08!AJ31+IDElec12_07!#REF!=0,,WAElec09_08!AJ31+IDElec12_07!#REF!)</f>
        <v>#REF!</v>
      </c>
      <c r="AL31" s="75" t="e">
        <f>IF(WAElec09_08!AK31+IDElec12_07!#REF!=0,,WAElec09_08!AK31+IDElec12_07!#REF!)</f>
        <v>#REF!</v>
      </c>
      <c r="AM31" s="75" t="e">
        <f>IF(WAElec09_08!#REF!+IDElec12_07!#REF!=0,,WAElec09_08!#REF!+IDElec12_07!#REF!)</f>
        <v>#REF!</v>
      </c>
      <c r="AN31" s="75" t="e">
        <f>IF(WAElec09_08!#REF!+IDElec12_07!#REF!=0,,WAElec09_08!#REF!+IDElec12_07!#REF!)</f>
        <v>#REF!</v>
      </c>
      <c r="AO31" s="75">
        <f>IF(WAElec09_08!AM31+IDElec12_07!AL31=0,,WAElec09_08!AM31+IDElec12_07!AL31)</f>
        <v>0</v>
      </c>
      <c r="AP31" s="75">
        <f>IF(WAElec09_08!AN31+IDElec12_07!AM31=0,,WAElec09_08!AN31+IDElec12_07!AM31)</f>
        <v>429</v>
      </c>
      <c r="AQ31" s="75">
        <f>IF(WAElec09_08!BC31+IDElec12_07!AO31=0,,WAElec09_08!BC31+IDElec12_07!AO31)</f>
        <v>0</v>
      </c>
      <c r="AR31" s="75">
        <f>IF(WAElec09_08!BD31+IDElec12_07!AP31=0,,WAElec09_08!BD31+IDElec12_07!AP31)</f>
        <v>19142</v>
      </c>
      <c r="AS31" s="75"/>
      <c r="AT31" s="75">
        <f>IF(RevReq_Exh_WA!I25+RevReq_Exh_WA!I48=0,,RevReq_Exh_WA!I25+RevReq_Exh_WA!I48)</f>
        <v>0</v>
      </c>
    </row>
    <row r="32" spans="1:46" s="34" customFormat="1">
      <c r="A32" s="32">
        <v>15</v>
      </c>
      <c r="D32" s="34" t="s">
        <v>100</v>
      </c>
      <c r="E32" s="74">
        <f>IF(WAElec09_08!E32+IDElec12_07!E32=0,,WAElec09_08!E32+IDElec12_07!E32)</f>
        <v>86162</v>
      </c>
      <c r="F32" s="74">
        <f>IF(WAElec09_08!F32+IDElec12_07!F32=0,,WAElec09_08!F32+IDElec12_07!F32)</f>
        <v>0</v>
      </c>
      <c r="G32" s="74">
        <f>IF(WAElec09_08!G32+IDElec12_07!G32=0,,WAElec09_08!G32+IDElec12_07!G32)</f>
        <v>0</v>
      </c>
      <c r="H32" s="74">
        <f>IF(WAElec09_08!H32+IDElec12_07!H32=0,,WAElec09_08!H32+IDElec12_07!H32)</f>
        <v>0</v>
      </c>
      <c r="I32" s="74">
        <f>IF(WAElec09_08!I32+IDElec12_07!I32=0,,WAElec09_08!I32+IDElec12_07!I32)</f>
        <v>0</v>
      </c>
      <c r="J32" s="74">
        <f>IF(WAElec09_08!J32+IDElec12_07!J32=0,,WAElec09_08!J32+IDElec12_07!J32)</f>
        <v>0</v>
      </c>
      <c r="K32" s="74">
        <f>IF(WAElec09_08!K32+IDElec12_07!K32=0,,WAElec09_08!K32+IDElec12_07!K32)</f>
        <v>0</v>
      </c>
      <c r="L32" s="74">
        <f>IF(WAElec09_08!L32+IDElec12_07!L32=0,,WAElec09_08!L32+IDElec12_07!L32)</f>
        <v>857</v>
      </c>
      <c r="M32" s="74">
        <f>IF(WAElec09_08!M32+IDElec12_07!M32=0,,WAElec09_08!M32+IDElec12_07!M32)</f>
        <v>0</v>
      </c>
      <c r="N32" s="74" t="e">
        <f>IF(WAElec09_08!#REF!+IDElec12_07!#REF!=0,,WAElec09_08!#REF!+IDElec12_07!#REF!)</f>
        <v>#REF!</v>
      </c>
      <c r="O32" s="74">
        <f>IF(WAElec09_08!N32+IDElec12_07!N32=0,,WAElec09_08!N32+IDElec12_07!N32)</f>
        <v>87019</v>
      </c>
      <c r="P32" s="74" t="e">
        <f>IF(WAElec09_08!#REF!+IDElec12_07!#REF!=0,,WAElec09_08!#REF!+IDElec12_07!#REF!)</f>
        <v>#REF!</v>
      </c>
      <c r="Q32" s="74">
        <f>IF(WAElec09_08!O32+IDElec12_07!P32=0,,WAElec09_08!O32+IDElec12_07!P32)</f>
        <v>-13726</v>
      </c>
      <c r="R32" s="74">
        <f>IF(WAElec09_08!P32+IDElec12_07!Q32=0,,WAElec09_08!P32+IDElec12_07!Q32)</f>
        <v>-643</v>
      </c>
      <c r="S32" s="74">
        <f>IF(WAElec09_08!Q32+IDElec12_07!R32=0,,WAElec09_08!Q32+IDElec12_07!R32)</f>
        <v>0</v>
      </c>
      <c r="T32" s="74">
        <f>IF(WAElec09_08!R32+IDElec12_07!S32=0,,WAElec09_08!R32+IDElec12_07!S32)</f>
        <v>0</v>
      </c>
      <c r="U32" s="74">
        <f>IF(WAElec09_08!S32+IDElec12_07!T32=0,,WAElec09_08!S32+IDElec12_07!T32)</f>
        <v>0</v>
      </c>
      <c r="V32" s="74">
        <f>IF(WAElec09_08!T32+IDElec12_07!U32=0,,WAElec09_08!T32+IDElec12_07!U32)</f>
        <v>0</v>
      </c>
      <c r="W32" s="74">
        <f>IF(WAElec09_08!AC32+IDElec12_07!AA32=0,,WAElec09_08!AC32+IDElec12_07!AA32)</f>
        <v>0</v>
      </c>
      <c r="X32" s="74">
        <f>IF(WAElec09_08!U32+IDElec12_07!V32=0,,WAElec09_08!U32+IDElec12_07!V32)</f>
        <v>-1262</v>
      </c>
      <c r="Y32" s="74">
        <f>IF(WAElec09_08!AD32+IDElec12_07!W32=0,,WAElec09_08!AD32+IDElec12_07!W32)</f>
        <v>0</v>
      </c>
      <c r="Z32" s="74" t="e">
        <f>IF(WAElec09_08!AE32+IDElec12_07!#REF!=0,,WAElec09_08!AE32+IDElec12_07!#REF!)</f>
        <v>#REF!</v>
      </c>
      <c r="AA32" s="74" t="e">
        <f>IF(WAElec09_08!#REF!+IDElec12_07!#REF!=0,,WAElec09_08!#REF!+IDElec12_07!#REF!)</f>
        <v>#REF!</v>
      </c>
      <c r="AB32" s="74" t="e">
        <f>IF(WAElec09_08!#REF!+IDElec12_07!#REF!=0,,WAElec09_08!#REF!+IDElec12_07!#REF!)</f>
        <v>#REF!</v>
      </c>
      <c r="AC32" s="74" t="e">
        <f>IF(WAElec09_08!#REF!+IDElec12_07!Y32=0,,WAElec09_08!#REF!+IDElec12_07!Y32)</f>
        <v>#REF!</v>
      </c>
      <c r="AD32" s="74" t="e">
        <f>IF(WAElec09_08!#REF!+IDElec12_07!#REF!=0,,WAElec09_08!#REF!+IDElec12_07!#REF!)</f>
        <v>#REF!</v>
      </c>
      <c r="AE32" s="74" t="e">
        <f>IF(WAElec09_08!#REF!+IDElec12_07!AB32=0,,WAElec09_08!#REF!+IDElec12_07!AB32)</f>
        <v>#REF!</v>
      </c>
      <c r="AF32" s="74">
        <f>IF(WAElec09_08!AG32+IDElec12_07!AG32=0,,WAElec09_08!AG32+IDElec12_07!AG32)</f>
        <v>72418</v>
      </c>
      <c r="AG32" s="74" t="e">
        <f>IF(WAElec09_08!#REF!+IDElec12_07!#REF!=0,,WAElec09_08!#REF!+IDElec12_07!#REF!)</f>
        <v>#REF!</v>
      </c>
      <c r="AH32" s="74" t="e">
        <f>IF(WAElec09_08!AH32+IDElec12_07!#REF!=0,,WAElec09_08!AH32+IDElec12_07!#REF!)</f>
        <v>#REF!</v>
      </c>
      <c r="AI32" s="74" t="e">
        <f>IF(WAElec09_08!#REF!+IDElec12_07!#REF!=0,,WAElec09_08!#REF!+IDElec12_07!#REF!)</f>
        <v>#REF!</v>
      </c>
      <c r="AJ32" s="74" t="e">
        <f>IF(WAElec09_08!AA32+IDElec12_07!#REF!=0,,WAElec09_08!AA32+IDElec12_07!#REF!)</f>
        <v>#REF!</v>
      </c>
      <c r="AK32" s="74" t="e">
        <f>IF(WAElec09_08!AJ32+IDElec12_07!#REF!=0,,WAElec09_08!AJ32+IDElec12_07!#REF!)</f>
        <v>#REF!</v>
      </c>
      <c r="AL32" s="74" t="e">
        <f>IF(WAElec09_08!AK32+IDElec12_07!#REF!=0,,WAElec09_08!AK32+IDElec12_07!#REF!)</f>
        <v>#REF!</v>
      </c>
      <c r="AM32" s="74" t="e">
        <f>IF(WAElec09_08!#REF!+IDElec12_07!#REF!=0,,WAElec09_08!#REF!+IDElec12_07!#REF!)</f>
        <v>#REF!</v>
      </c>
      <c r="AN32" s="74" t="e">
        <f>IF(WAElec09_08!#REF!+IDElec12_07!#REF!=0,,WAElec09_08!#REF!+IDElec12_07!#REF!)</f>
        <v>#REF!</v>
      </c>
      <c r="AO32" s="74">
        <f>IF(WAElec09_08!AM32+IDElec12_07!AL32=0,,WAElec09_08!AM32+IDElec12_07!AL32)</f>
        <v>296</v>
      </c>
      <c r="AP32" s="74">
        <f>IF(WAElec09_08!AN32+IDElec12_07!AM32=0,,WAElec09_08!AN32+IDElec12_07!AM32)</f>
        <v>1239</v>
      </c>
      <c r="AQ32" s="74">
        <f>IF(WAElec09_08!BC32+IDElec12_07!AO32=0,,WAElec09_08!BC32+IDElec12_07!AO32)</f>
        <v>0</v>
      </c>
      <c r="AR32" s="74">
        <f>IF(WAElec09_08!BD32+IDElec12_07!AP32=0,,WAElec09_08!BD32+IDElec12_07!AP32)</f>
        <v>56504</v>
      </c>
      <c r="AS32" s="74"/>
      <c r="AT32" s="74">
        <f>IF(RevReq_Exh_WA!I26+RevReq_Exh_WA!I49=0,,RevReq_Exh_WA!I26+RevReq_Exh_WA!I49)</f>
        <v>0</v>
      </c>
    </row>
    <row r="33" spans="1:46" s="34" customFormat="1">
      <c r="A33" s="32"/>
      <c r="E33" s="74">
        <f>IF(WAElec09_08!E33+IDElec12_07!E33=0,,WAElec09_08!E33+IDElec12_07!E33)</f>
        <v>0</v>
      </c>
      <c r="F33" s="74">
        <f>IF(WAElec09_08!F33+IDElec12_07!F33=0,,WAElec09_08!F33+IDElec12_07!F33)</f>
        <v>0</v>
      </c>
      <c r="G33" s="74">
        <f>IF(WAElec09_08!G33+IDElec12_07!G33=0,,WAElec09_08!G33+IDElec12_07!G33)</f>
        <v>0</v>
      </c>
      <c r="H33" s="74">
        <f>IF(WAElec09_08!H33+IDElec12_07!H33=0,,WAElec09_08!H33+IDElec12_07!H33)</f>
        <v>0</v>
      </c>
      <c r="I33" s="74">
        <f>IF(WAElec09_08!I33+IDElec12_07!I33=0,,WAElec09_08!I33+IDElec12_07!I33)</f>
        <v>0</v>
      </c>
      <c r="J33" s="74">
        <f>IF(WAElec09_08!J33+IDElec12_07!J33=0,,WAElec09_08!J33+IDElec12_07!J33)</f>
        <v>0</v>
      </c>
      <c r="K33" s="74">
        <f>IF(WAElec09_08!K33+IDElec12_07!K33=0,,WAElec09_08!K33+IDElec12_07!K33)</f>
        <v>0</v>
      </c>
      <c r="L33" s="74">
        <f>IF(WAElec09_08!L33+IDElec12_07!L33=0,,WAElec09_08!L33+IDElec12_07!L33)</f>
        <v>0</v>
      </c>
      <c r="M33" s="74">
        <f>IF(WAElec09_08!M33+IDElec12_07!M33=0,,WAElec09_08!M33+IDElec12_07!M33)</f>
        <v>0</v>
      </c>
      <c r="N33" s="74" t="e">
        <f>IF(WAElec09_08!#REF!+IDElec12_07!#REF!=0,,WAElec09_08!#REF!+IDElec12_07!#REF!)</f>
        <v>#REF!</v>
      </c>
      <c r="O33" s="74">
        <f>IF(WAElec09_08!N33+IDElec12_07!N33=0,,WAElec09_08!N33+IDElec12_07!N33)</f>
        <v>0</v>
      </c>
      <c r="P33" s="74" t="e">
        <f>IF(WAElec09_08!#REF!+IDElec12_07!#REF!=0,,WAElec09_08!#REF!+IDElec12_07!#REF!)</f>
        <v>#REF!</v>
      </c>
      <c r="Q33" s="74">
        <f>IF(WAElec09_08!O33+IDElec12_07!P33=0,,WAElec09_08!O33+IDElec12_07!P33)</f>
        <v>0</v>
      </c>
      <c r="R33" s="74">
        <f>IF(WAElec09_08!P33+IDElec12_07!Q33=0,,WAElec09_08!P33+IDElec12_07!Q33)</f>
        <v>0</v>
      </c>
      <c r="S33" s="74">
        <f>IF(WAElec09_08!Q33+IDElec12_07!R33=0,,WAElec09_08!Q33+IDElec12_07!R33)</f>
        <v>0</v>
      </c>
      <c r="T33" s="74">
        <f>IF(WAElec09_08!R33+IDElec12_07!S33=0,,WAElec09_08!R33+IDElec12_07!S33)</f>
        <v>0</v>
      </c>
      <c r="U33" s="74">
        <f>IF(WAElec09_08!S33+IDElec12_07!T33=0,,WAElec09_08!S33+IDElec12_07!T33)</f>
        <v>0</v>
      </c>
      <c r="V33" s="74">
        <f>IF(WAElec09_08!T33+IDElec12_07!U33=0,,WAElec09_08!T33+IDElec12_07!U33)</f>
        <v>0</v>
      </c>
      <c r="W33" s="74">
        <f>IF(WAElec09_08!AC33+IDElec12_07!AA33=0,,WAElec09_08!AC33+IDElec12_07!AA33)</f>
        <v>0</v>
      </c>
      <c r="X33" s="74">
        <f>IF(WAElec09_08!U33+IDElec12_07!V33=0,,WAElec09_08!U33+IDElec12_07!V33)</f>
        <v>0</v>
      </c>
      <c r="Y33" s="74">
        <f>IF(WAElec09_08!AD33+IDElec12_07!W33=0,,WAElec09_08!AD33+IDElec12_07!W33)</f>
        <v>0</v>
      </c>
      <c r="Z33" s="74" t="e">
        <f>IF(WAElec09_08!AE33+IDElec12_07!#REF!=0,,WAElec09_08!AE33+IDElec12_07!#REF!)</f>
        <v>#REF!</v>
      </c>
      <c r="AA33" s="74" t="e">
        <f>IF(WAElec09_08!#REF!+IDElec12_07!#REF!=0,,WAElec09_08!#REF!+IDElec12_07!#REF!)</f>
        <v>#REF!</v>
      </c>
      <c r="AB33" s="74" t="e">
        <f>IF(WAElec09_08!#REF!+IDElec12_07!#REF!=0,,WAElec09_08!#REF!+IDElec12_07!#REF!)</f>
        <v>#REF!</v>
      </c>
      <c r="AC33" s="74" t="e">
        <f>IF(WAElec09_08!#REF!+IDElec12_07!Y33=0,,WAElec09_08!#REF!+IDElec12_07!Y33)</f>
        <v>#REF!</v>
      </c>
      <c r="AD33" s="74" t="e">
        <f>IF(WAElec09_08!#REF!+IDElec12_07!#REF!=0,,WAElec09_08!#REF!+IDElec12_07!#REF!)</f>
        <v>#REF!</v>
      </c>
      <c r="AE33" s="74" t="e">
        <f>IF(WAElec09_08!#REF!+IDElec12_07!AB33=0,,WAElec09_08!#REF!+IDElec12_07!AB33)</f>
        <v>#REF!</v>
      </c>
      <c r="AF33" s="74">
        <f>IF(WAElec09_08!AG33+IDElec12_07!AG33=0,,WAElec09_08!AG33+IDElec12_07!AG33)</f>
        <v>0</v>
      </c>
      <c r="AG33" s="74" t="e">
        <f>IF(WAElec09_08!#REF!+IDElec12_07!#REF!=0,,WAElec09_08!#REF!+IDElec12_07!#REF!)</f>
        <v>#REF!</v>
      </c>
      <c r="AH33" s="74" t="e">
        <f>IF(WAElec09_08!AH33+IDElec12_07!#REF!=0,,WAElec09_08!AH33+IDElec12_07!#REF!)</f>
        <v>#REF!</v>
      </c>
      <c r="AI33" s="74" t="e">
        <f>IF(WAElec09_08!#REF!+IDElec12_07!#REF!=0,,WAElec09_08!#REF!+IDElec12_07!#REF!)</f>
        <v>#REF!</v>
      </c>
      <c r="AJ33" s="74" t="e">
        <f>IF(WAElec09_08!AA33+IDElec12_07!#REF!=0,,WAElec09_08!AA33+IDElec12_07!#REF!)</f>
        <v>#REF!</v>
      </c>
      <c r="AK33" s="74" t="e">
        <f>IF(WAElec09_08!AJ33+IDElec12_07!#REF!=0,,WAElec09_08!AJ33+IDElec12_07!#REF!)</f>
        <v>#REF!</v>
      </c>
      <c r="AL33" s="74" t="e">
        <f>IF(WAElec09_08!AK33+IDElec12_07!#REF!=0,,WAElec09_08!AK33+IDElec12_07!#REF!)</f>
        <v>#REF!</v>
      </c>
      <c r="AM33" s="74" t="e">
        <f>IF(WAElec09_08!#REF!+IDElec12_07!#REF!=0,,WAElec09_08!#REF!+IDElec12_07!#REF!)</f>
        <v>#REF!</v>
      </c>
      <c r="AN33" s="74" t="e">
        <f>IF(WAElec09_08!#REF!+IDElec12_07!#REF!=0,,WAElec09_08!#REF!+IDElec12_07!#REF!)</f>
        <v>#REF!</v>
      </c>
      <c r="AO33" s="74">
        <f>IF(WAElec09_08!AM33+IDElec12_07!AL33=0,,WAElec09_08!AM33+IDElec12_07!AL33)</f>
        <v>0</v>
      </c>
      <c r="AP33" s="74">
        <f>IF(WAElec09_08!AN33+IDElec12_07!AM33=0,,WAElec09_08!AN33+IDElec12_07!AM33)</f>
        <v>0</v>
      </c>
      <c r="AQ33" s="74">
        <f>IF(WAElec09_08!BC33+IDElec12_07!AO33=0,,WAElec09_08!BC33+IDElec12_07!AO33)</f>
        <v>0</v>
      </c>
      <c r="AR33" s="74">
        <f>IF(WAElec09_08!BD33+IDElec12_07!AP33=0,,WAElec09_08!BD33+IDElec12_07!AP33)</f>
        <v>0</v>
      </c>
      <c r="AS33" s="74"/>
      <c r="AT33" s="74">
        <f>IF(RevReq_Exh_WA!I27+RevReq_Exh_WA!I50=0,,RevReq_Exh_WA!I27+RevReq_Exh_WA!I50)</f>
        <v>0</v>
      </c>
    </row>
    <row r="34" spans="1:46" s="34" customFormat="1">
      <c r="A34" s="32">
        <v>16</v>
      </c>
      <c r="B34" s="34" t="s">
        <v>101</v>
      </c>
      <c r="E34" s="74">
        <f>IF(WAElec09_08!E34+IDElec12_07!E34=0,,WAElec09_08!E34+IDElec12_07!E34)</f>
        <v>12202</v>
      </c>
      <c r="F34" s="74">
        <f>IF(WAElec09_08!F34+IDElec12_07!F34=0,,WAElec09_08!F34+IDElec12_07!F34)</f>
        <v>0</v>
      </c>
      <c r="G34" s="74">
        <f>IF(WAElec09_08!G34+IDElec12_07!G34=0,,WAElec09_08!G34+IDElec12_07!G34)</f>
        <v>0</v>
      </c>
      <c r="H34" s="74">
        <f>IF(WAElec09_08!H34+IDElec12_07!H34=0,,WAElec09_08!H34+IDElec12_07!H34)</f>
        <v>0</v>
      </c>
      <c r="I34" s="74">
        <f>IF(WAElec09_08!I34+IDElec12_07!I34=0,,WAElec09_08!I34+IDElec12_07!I34)</f>
        <v>0</v>
      </c>
      <c r="J34" s="74">
        <f>IF(WAElec09_08!J34+IDElec12_07!J34=0,,WAElec09_08!J34+IDElec12_07!J34)</f>
        <v>0</v>
      </c>
      <c r="K34" s="74">
        <f>IF(WAElec09_08!K34+IDElec12_07!K34=0,,WAElec09_08!K34+IDElec12_07!K34)</f>
        <v>0</v>
      </c>
      <c r="L34" s="74">
        <f>IF(WAElec09_08!L34+IDElec12_07!L34=0,,WAElec09_08!L34+IDElec12_07!L34)</f>
        <v>0</v>
      </c>
      <c r="M34" s="74">
        <f>IF(WAElec09_08!M34+IDElec12_07!M34=0,,WAElec09_08!M34+IDElec12_07!M34)</f>
        <v>0</v>
      </c>
      <c r="N34" s="74" t="e">
        <f>IF(WAElec09_08!#REF!+IDElec12_07!#REF!=0,,WAElec09_08!#REF!+IDElec12_07!#REF!)</f>
        <v>#REF!</v>
      </c>
      <c r="O34" s="74">
        <f>IF(WAElec09_08!N34+IDElec12_07!N34=0,,WAElec09_08!N34+IDElec12_07!N34)</f>
        <v>12202</v>
      </c>
      <c r="P34" s="74" t="e">
        <f>IF(WAElec09_08!#REF!+IDElec12_07!#REF!=0,,WAElec09_08!#REF!+IDElec12_07!#REF!)</f>
        <v>#REF!</v>
      </c>
      <c r="Q34" s="74">
        <f>IF(WAElec09_08!O34+IDElec12_07!P34=0,,WAElec09_08!O34+IDElec12_07!P34)</f>
        <v>0</v>
      </c>
      <c r="R34" s="74">
        <f>IF(WAElec09_08!P34+IDElec12_07!Q34=0,,WAElec09_08!P34+IDElec12_07!Q34)</f>
        <v>0</v>
      </c>
      <c r="S34" s="74">
        <f>IF(WAElec09_08!Q34+IDElec12_07!R34=0,,WAElec09_08!Q34+IDElec12_07!R34)</f>
        <v>-108</v>
      </c>
      <c r="T34" s="74">
        <f>IF(WAElec09_08!R34+IDElec12_07!S34=0,,WAElec09_08!R34+IDElec12_07!S34)</f>
        <v>0</v>
      </c>
      <c r="U34" s="74">
        <f>IF(WAElec09_08!S34+IDElec12_07!T34=0,,WAElec09_08!S34+IDElec12_07!T34)</f>
        <v>0</v>
      </c>
      <c r="V34" s="74">
        <f>IF(WAElec09_08!T34+IDElec12_07!U34=0,,WAElec09_08!T34+IDElec12_07!U34)</f>
        <v>0</v>
      </c>
      <c r="W34" s="74">
        <f>IF(WAElec09_08!AC34+IDElec12_07!AA34=0,,WAElec09_08!AC34+IDElec12_07!AA34)</f>
        <v>0</v>
      </c>
      <c r="X34" s="74">
        <f>IF(WAElec09_08!U34+IDElec12_07!V34=0,,WAElec09_08!U34+IDElec12_07!V34)</f>
        <v>-104</v>
      </c>
      <c r="Y34" s="74">
        <f>IF(WAElec09_08!AD34+IDElec12_07!W34=0,,WAElec09_08!AD34+IDElec12_07!W34)</f>
        <v>0</v>
      </c>
      <c r="Z34" s="74" t="e">
        <f>IF(WAElec09_08!AE34+IDElec12_07!#REF!=0,,WAElec09_08!AE34+IDElec12_07!#REF!)</f>
        <v>#REF!</v>
      </c>
      <c r="AA34" s="74" t="e">
        <f>IF(WAElec09_08!#REF!+IDElec12_07!#REF!=0,,WAElec09_08!#REF!+IDElec12_07!#REF!)</f>
        <v>#REF!</v>
      </c>
      <c r="AB34" s="74" t="e">
        <f>IF(WAElec09_08!#REF!+IDElec12_07!#REF!=0,,WAElec09_08!#REF!+IDElec12_07!#REF!)</f>
        <v>#REF!</v>
      </c>
      <c r="AC34" s="74" t="e">
        <f>IF(WAElec09_08!#REF!+IDElec12_07!Y34=0,,WAElec09_08!#REF!+IDElec12_07!Y34)</f>
        <v>#REF!</v>
      </c>
      <c r="AD34" s="74" t="e">
        <f>IF(WAElec09_08!#REF!+IDElec12_07!#REF!=0,,WAElec09_08!#REF!+IDElec12_07!#REF!)</f>
        <v>#REF!</v>
      </c>
      <c r="AE34" s="74" t="e">
        <f>IF(WAElec09_08!#REF!+IDElec12_07!AB34=0,,WAElec09_08!#REF!+IDElec12_07!AB34)</f>
        <v>#REF!</v>
      </c>
      <c r="AF34" s="74">
        <f>IF(WAElec09_08!AG34+IDElec12_07!AG34=0,,WAElec09_08!AG34+IDElec12_07!AG34)</f>
        <v>11550</v>
      </c>
      <c r="AG34" s="74" t="e">
        <f>IF(WAElec09_08!#REF!+IDElec12_07!#REF!=0,,WAElec09_08!#REF!+IDElec12_07!#REF!)</f>
        <v>#REF!</v>
      </c>
      <c r="AH34" s="74" t="e">
        <f>IF(WAElec09_08!AH34+IDElec12_07!#REF!=0,,WAElec09_08!AH34+IDElec12_07!#REF!)</f>
        <v>#REF!</v>
      </c>
      <c r="AI34" s="74" t="e">
        <f>IF(WAElec09_08!#REF!+IDElec12_07!#REF!=0,,WAElec09_08!#REF!+IDElec12_07!#REF!)</f>
        <v>#REF!</v>
      </c>
      <c r="AJ34" s="74" t="e">
        <f>IF(WAElec09_08!AA34+IDElec12_07!#REF!=0,,WAElec09_08!AA34+IDElec12_07!#REF!)</f>
        <v>#REF!</v>
      </c>
      <c r="AK34" s="74" t="e">
        <f>IF(WAElec09_08!AJ34+IDElec12_07!#REF!=0,,WAElec09_08!AJ34+IDElec12_07!#REF!)</f>
        <v>#REF!</v>
      </c>
      <c r="AL34" s="74" t="e">
        <f>IF(WAElec09_08!AK34+IDElec12_07!#REF!=0,,WAElec09_08!AK34+IDElec12_07!#REF!)</f>
        <v>#REF!</v>
      </c>
      <c r="AM34" s="74" t="e">
        <f>IF(WAElec09_08!#REF!+IDElec12_07!#REF!=0,,WAElec09_08!#REF!+IDElec12_07!#REF!)</f>
        <v>#REF!</v>
      </c>
      <c r="AN34" s="74" t="e">
        <f>IF(WAElec09_08!#REF!+IDElec12_07!#REF!=0,,WAElec09_08!#REF!+IDElec12_07!#REF!)</f>
        <v>#REF!</v>
      </c>
      <c r="AO34" s="74">
        <f>IF(WAElec09_08!AM34+IDElec12_07!AL34=0,,WAElec09_08!AM34+IDElec12_07!AL34)</f>
        <v>0</v>
      </c>
      <c r="AP34" s="74">
        <f>IF(WAElec09_08!AN34+IDElec12_07!AM34=0,,WAElec09_08!AN34+IDElec12_07!AM34)</f>
        <v>0</v>
      </c>
      <c r="AQ34" s="74">
        <f>IF(WAElec09_08!BC34+IDElec12_07!AO34=0,,WAElec09_08!BC34+IDElec12_07!AO34)</f>
        <v>0</v>
      </c>
      <c r="AR34" s="74">
        <f>IF(WAElec09_08!BD34+IDElec12_07!AP34=0,,WAElec09_08!BD34+IDElec12_07!AP34)</f>
        <v>8584</v>
      </c>
      <c r="AS34" s="74"/>
      <c r="AT34" s="74" t="e">
        <f>IF(WAElec09_08!BG34+IDElec12_07!#REF!=0,,WAElec09_08!BG34+IDElec12_07!#REF!)</f>
        <v>#REF!</v>
      </c>
    </row>
    <row r="35" spans="1:46" s="34" customFormat="1">
      <c r="A35" s="32">
        <v>17</v>
      </c>
      <c r="B35" s="34" t="s">
        <v>102</v>
      </c>
      <c r="E35" s="74">
        <f>IF(WAElec09_08!E35+IDElec12_07!E35=0,,WAElec09_08!E35+IDElec12_07!E35)</f>
        <v>15319</v>
      </c>
      <c r="F35" s="74">
        <f>IF(WAElec09_08!F35+IDElec12_07!F35=0,,WAElec09_08!F35+IDElec12_07!F35)</f>
        <v>0</v>
      </c>
      <c r="G35" s="74">
        <f>IF(WAElec09_08!G35+IDElec12_07!G35=0,,WAElec09_08!G35+IDElec12_07!G35)</f>
        <v>0</v>
      </c>
      <c r="H35" s="74">
        <f>IF(WAElec09_08!H35+IDElec12_07!H35=0,,WAElec09_08!H35+IDElec12_07!H35)</f>
        <v>0</v>
      </c>
      <c r="I35" s="74">
        <f>IF(WAElec09_08!I35+IDElec12_07!I35=0,,WAElec09_08!I35+IDElec12_07!I35)</f>
        <v>0</v>
      </c>
      <c r="J35" s="74">
        <f>IF(WAElec09_08!J35+IDElec12_07!J35=0,,WAElec09_08!J35+IDElec12_07!J35)</f>
        <v>0</v>
      </c>
      <c r="K35" s="74">
        <f>IF(WAElec09_08!K35+IDElec12_07!K35=0,,WAElec09_08!K35+IDElec12_07!K35)</f>
        <v>0</v>
      </c>
      <c r="L35" s="74">
        <f>IF(WAElec09_08!L35+IDElec12_07!L35=0,,WAElec09_08!L35+IDElec12_07!L35)</f>
        <v>0</v>
      </c>
      <c r="M35" s="74">
        <f>IF(WAElec09_08!M35+IDElec12_07!M35=0,,WAElec09_08!M35+IDElec12_07!M35)</f>
        <v>0</v>
      </c>
      <c r="N35" s="74" t="e">
        <f>IF(WAElec09_08!#REF!+IDElec12_07!#REF!=0,,WAElec09_08!#REF!+IDElec12_07!#REF!)</f>
        <v>#REF!</v>
      </c>
      <c r="O35" s="74">
        <f>IF(WAElec09_08!N35+IDElec12_07!N35=0,,WAElec09_08!N35+IDElec12_07!N35)</f>
        <v>15319</v>
      </c>
      <c r="P35" s="74" t="e">
        <f>IF(WAElec09_08!#REF!+IDElec12_07!#REF!=0,,WAElec09_08!#REF!+IDElec12_07!#REF!)</f>
        <v>#REF!</v>
      </c>
      <c r="Q35" s="74">
        <f>IF(WAElec09_08!O35+IDElec12_07!P35=0,,WAElec09_08!O35+IDElec12_07!P35)</f>
        <v>0</v>
      </c>
      <c r="R35" s="74">
        <f>IF(WAElec09_08!P35+IDElec12_07!Q35=0,,WAElec09_08!P35+IDElec12_07!Q35)</f>
        <v>0</v>
      </c>
      <c r="S35" s="74">
        <f>IF(WAElec09_08!Q35+IDElec12_07!R35=0,,WAElec09_08!Q35+IDElec12_07!R35)</f>
        <v>0</v>
      </c>
      <c r="T35" s="74">
        <f>IF(WAElec09_08!R35+IDElec12_07!S35=0,,WAElec09_08!R35+IDElec12_07!S35)</f>
        <v>0</v>
      </c>
      <c r="U35" s="74">
        <f>IF(WAElec09_08!S35+IDElec12_07!T35=0,,WAElec09_08!S35+IDElec12_07!T35)</f>
        <v>0</v>
      </c>
      <c r="V35" s="74">
        <f>IF(WAElec09_08!T35+IDElec12_07!U35=0,,WAElec09_08!T35+IDElec12_07!U35)</f>
        <v>0</v>
      </c>
      <c r="W35" s="74">
        <f>IF(WAElec09_08!AC35+IDElec12_07!AA35=0,,WAElec09_08!AC35+IDElec12_07!AA35)</f>
        <v>0</v>
      </c>
      <c r="X35" s="74">
        <f>IF(WAElec09_08!U35+IDElec12_07!V35=0,,WAElec09_08!U35+IDElec12_07!V35)</f>
        <v>0</v>
      </c>
      <c r="Y35" s="74">
        <f>IF(WAElec09_08!AD35+IDElec12_07!W35=0,,WAElec09_08!AD35+IDElec12_07!W35)</f>
        <v>0</v>
      </c>
      <c r="Z35" s="74" t="e">
        <f>IF(WAElec09_08!AE35+IDElec12_07!#REF!=0,,WAElec09_08!AE35+IDElec12_07!#REF!)</f>
        <v>#REF!</v>
      </c>
      <c r="AA35" s="74" t="e">
        <f>IF(WAElec09_08!#REF!+IDElec12_07!#REF!=0,,WAElec09_08!#REF!+IDElec12_07!#REF!)</f>
        <v>#REF!</v>
      </c>
      <c r="AB35" s="74" t="e">
        <f>IF(WAElec09_08!#REF!+IDElec12_07!#REF!=0,,WAElec09_08!#REF!+IDElec12_07!#REF!)</f>
        <v>#REF!</v>
      </c>
      <c r="AC35" s="74" t="e">
        <f>IF(WAElec09_08!#REF!+IDElec12_07!Y35=0,,WAElec09_08!#REF!+IDElec12_07!Y35)</f>
        <v>#REF!</v>
      </c>
      <c r="AD35" s="74" t="e">
        <f>IF(WAElec09_08!#REF!+IDElec12_07!#REF!=0,,WAElec09_08!#REF!+IDElec12_07!#REF!)</f>
        <v>#REF!</v>
      </c>
      <c r="AE35" s="74" t="e">
        <f>IF(WAElec09_08!#REF!+IDElec12_07!AB35=0,,WAElec09_08!#REF!+IDElec12_07!AB35)</f>
        <v>#REF!</v>
      </c>
      <c r="AF35" s="74">
        <f>IF(WAElec09_08!AG35+IDElec12_07!AG35=0,,WAElec09_08!AG35+IDElec12_07!AG35)</f>
        <v>4631</v>
      </c>
      <c r="AG35" s="74" t="e">
        <f>IF(WAElec09_08!#REF!+IDElec12_07!#REF!=0,,WAElec09_08!#REF!+IDElec12_07!#REF!)</f>
        <v>#REF!</v>
      </c>
      <c r="AH35" s="74" t="e">
        <f>IF(WAElec09_08!AH35+IDElec12_07!#REF!=0,,WAElec09_08!AH35+IDElec12_07!#REF!)</f>
        <v>#REF!</v>
      </c>
      <c r="AI35" s="74" t="e">
        <f>IF(WAElec09_08!#REF!+IDElec12_07!#REF!=0,,WAElec09_08!#REF!+IDElec12_07!#REF!)</f>
        <v>#REF!</v>
      </c>
      <c r="AJ35" s="74" t="e">
        <f>IF(WAElec09_08!AA35+IDElec12_07!#REF!=0,,WAElec09_08!AA35+IDElec12_07!#REF!)</f>
        <v>#REF!</v>
      </c>
      <c r="AK35" s="74" t="e">
        <f>IF(WAElec09_08!AJ35+IDElec12_07!#REF!=0,,WAElec09_08!AJ35+IDElec12_07!#REF!)</f>
        <v>#REF!</v>
      </c>
      <c r="AL35" s="74" t="e">
        <f>IF(WAElec09_08!AK35+IDElec12_07!#REF!=0,,WAElec09_08!AK35+IDElec12_07!#REF!)</f>
        <v>#REF!</v>
      </c>
      <c r="AM35" s="74" t="e">
        <f>IF(WAElec09_08!#REF!+IDElec12_07!#REF!=0,,WAElec09_08!#REF!+IDElec12_07!#REF!)</f>
        <v>#REF!</v>
      </c>
      <c r="AN35" s="74" t="e">
        <f>IF(WAElec09_08!#REF!+IDElec12_07!#REF!=0,,WAElec09_08!#REF!+IDElec12_07!#REF!)</f>
        <v>#REF!</v>
      </c>
      <c r="AO35" s="74">
        <f>IF(WAElec09_08!AM35+IDElec12_07!AL35=0,,WAElec09_08!AM35+IDElec12_07!AL35)</f>
        <v>0</v>
      </c>
      <c r="AP35" s="74">
        <f>IF(WAElec09_08!AN35+IDElec12_07!AM35=0,,WAElec09_08!AN35+IDElec12_07!AM35)</f>
        <v>0</v>
      </c>
      <c r="AQ35" s="74">
        <f>IF(WAElec09_08!BC35+IDElec12_07!AO35=0,,WAElec09_08!BC35+IDElec12_07!AO35)</f>
        <v>0</v>
      </c>
      <c r="AR35" s="74">
        <f>IF(WAElec09_08!BD35+IDElec12_07!AP35=0,,WAElec09_08!BD35+IDElec12_07!AP35)</f>
        <v>710</v>
      </c>
      <c r="AS35" s="74"/>
      <c r="AT35" s="74" t="e">
        <f>IF(WAElec09_08!BG35+IDElec12_07!#REF!=0,,WAElec09_08!BG35+IDElec12_07!#REF!)</f>
        <v>#REF!</v>
      </c>
    </row>
    <row r="36" spans="1:46" s="34" customFormat="1">
      <c r="A36" s="32">
        <v>18</v>
      </c>
      <c r="B36" s="34" t="s">
        <v>103</v>
      </c>
      <c r="E36" s="74">
        <f>IF(WAElec09_08!E36+IDElec12_07!E36=0,,WAElec09_08!E36+IDElec12_07!E36)</f>
        <v>957</v>
      </c>
      <c r="F36" s="74">
        <f>IF(WAElec09_08!F36+IDElec12_07!F36=0,,WAElec09_08!F36+IDElec12_07!F36)</f>
        <v>0</v>
      </c>
      <c r="G36" s="74">
        <f>IF(WAElec09_08!G36+IDElec12_07!G36=0,,WAElec09_08!G36+IDElec12_07!G36)</f>
        <v>0</v>
      </c>
      <c r="H36" s="74">
        <f>IF(WAElec09_08!H36+IDElec12_07!H36=0,,WAElec09_08!H36+IDElec12_07!H36)</f>
        <v>0</v>
      </c>
      <c r="I36" s="74">
        <f>IF(WAElec09_08!I36+IDElec12_07!I36=0,,WAElec09_08!I36+IDElec12_07!I36)</f>
        <v>0</v>
      </c>
      <c r="J36" s="74">
        <f>IF(WAElec09_08!J36+IDElec12_07!J36=0,,WAElec09_08!J36+IDElec12_07!J36)</f>
        <v>0</v>
      </c>
      <c r="K36" s="74">
        <f>IF(WAElec09_08!K36+IDElec12_07!K36=0,,WAElec09_08!K36+IDElec12_07!K36)</f>
        <v>0</v>
      </c>
      <c r="L36" s="74">
        <f>IF(WAElec09_08!L36+IDElec12_07!L36=0,,WAElec09_08!L36+IDElec12_07!L36)</f>
        <v>0</v>
      </c>
      <c r="M36" s="74">
        <f>IF(WAElec09_08!M36+IDElec12_07!M36=0,,WAElec09_08!M36+IDElec12_07!M36)</f>
        <v>0</v>
      </c>
      <c r="N36" s="74" t="e">
        <f>IF(WAElec09_08!#REF!+IDElec12_07!#REF!=0,,WAElec09_08!#REF!+IDElec12_07!#REF!)</f>
        <v>#REF!</v>
      </c>
      <c r="O36" s="74">
        <f>IF(WAElec09_08!N36+IDElec12_07!N36=0,,WAElec09_08!N36+IDElec12_07!N36)</f>
        <v>957</v>
      </c>
      <c r="P36" s="74" t="e">
        <f>IF(WAElec09_08!#REF!+IDElec12_07!#REF!=0,,WAElec09_08!#REF!+IDElec12_07!#REF!)</f>
        <v>#REF!</v>
      </c>
      <c r="Q36" s="74">
        <f>IF(WAElec09_08!O36+IDElec12_07!P36=0,,WAElec09_08!O36+IDElec12_07!P36)</f>
        <v>0</v>
      </c>
      <c r="R36" s="74">
        <f>IF(WAElec09_08!P36+IDElec12_07!Q36=0,,WAElec09_08!P36+IDElec12_07!Q36)</f>
        <v>0</v>
      </c>
      <c r="S36" s="74">
        <f>IF(WAElec09_08!Q36+IDElec12_07!R36=0,,WAElec09_08!Q36+IDElec12_07!R36)</f>
        <v>0</v>
      </c>
      <c r="T36" s="74">
        <f>IF(WAElec09_08!R36+IDElec12_07!S36=0,,WAElec09_08!R36+IDElec12_07!S36)</f>
        <v>0</v>
      </c>
      <c r="U36" s="74">
        <f>IF(WAElec09_08!S36+IDElec12_07!T36=0,,WAElec09_08!S36+IDElec12_07!T36)</f>
        <v>0</v>
      </c>
      <c r="V36" s="74">
        <f>IF(WAElec09_08!T36+IDElec12_07!U36=0,,WAElec09_08!T36+IDElec12_07!U36)</f>
        <v>0</v>
      </c>
      <c r="W36" s="74">
        <f>IF(WAElec09_08!AC36+IDElec12_07!AA36=0,,WAElec09_08!AC36+IDElec12_07!AA36)</f>
        <v>0</v>
      </c>
      <c r="X36" s="74">
        <f>IF(WAElec09_08!U36+IDElec12_07!V36=0,,WAElec09_08!U36+IDElec12_07!V36)</f>
        <v>0</v>
      </c>
      <c r="Y36" s="74">
        <f>IF(WAElec09_08!AD36+IDElec12_07!W36=0,,WAElec09_08!AD36+IDElec12_07!W36)</f>
        <v>0</v>
      </c>
      <c r="Z36" s="74" t="e">
        <f>IF(WAElec09_08!AE36+IDElec12_07!#REF!=0,,WAElec09_08!AE36+IDElec12_07!#REF!)</f>
        <v>#REF!</v>
      </c>
      <c r="AA36" s="74" t="e">
        <f>IF(WAElec09_08!#REF!+IDElec12_07!#REF!=0,,WAElec09_08!#REF!+IDElec12_07!#REF!)</f>
        <v>#REF!</v>
      </c>
      <c r="AB36" s="74" t="e">
        <f>IF(WAElec09_08!#REF!+IDElec12_07!#REF!=0,,WAElec09_08!#REF!+IDElec12_07!#REF!)</f>
        <v>#REF!</v>
      </c>
      <c r="AC36" s="74" t="e">
        <f>IF(WAElec09_08!#REF!+IDElec12_07!Y36=0,,WAElec09_08!#REF!+IDElec12_07!Y36)</f>
        <v>#REF!</v>
      </c>
      <c r="AD36" s="74" t="e">
        <f>IF(WAElec09_08!#REF!+IDElec12_07!#REF!=0,,WAElec09_08!#REF!+IDElec12_07!#REF!)</f>
        <v>#REF!</v>
      </c>
      <c r="AE36" s="74" t="e">
        <f>IF(WAElec09_08!#REF!+IDElec12_07!AB36=0,,WAElec09_08!#REF!+IDElec12_07!AB36)</f>
        <v>#REF!</v>
      </c>
      <c r="AF36" s="74">
        <f>IF(WAElec09_08!AG36+IDElec12_07!AG36=0,,WAElec09_08!AG36+IDElec12_07!AG36)</f>
        <v>957</v>
      </c>
      <c r="AG36" s="74" t="e">
        <f>IF(WAElec09_08!#REF!+IDElec12_07!#REF!=0,,WAElec09_08!#REF!+IDElec12_07!#REF!)</f>
        <v>#REF!</v>
      </c>
      <c r="AH36" s="74" t="e">
        <f>IF(WAElec09_08!AH36+IDElec12_07!#REF!=0,,WAElec09_08!AH36+IDElec12_07!#REF!)</f>
        <v>#REF!</v>
      </c>
      <c r="AI36" s="74" t="e">
        <f>IF(WAElec09_08!#REF!+IDElec12_07!#REF!=0,,WAElec09_08!#REF!+IDElec12_07!#REF!)</f>
        <v>#REF!</v>
      </c>
      <c r="AJ36" s="74" t="e">
        <f>IF(WAElec09_08!AA36+IDElec12_07!#REF!=0,,WAElec09_08!AA36+IDElec12_07!#REF!)</f>
        <v>#REF!</v>
      </c>
      <c r="AK36" s="74" t="e">
        <f>IF(WAElec09_08!AJ36+IDElec12_07!#REF!=0,,WAElec09_08!AJ36+IDElec12_07!#REF!)</f>
        <v>#REF!</v>
      </c>
      <c r="AL36" s="74" t="e">
        <f>IF(WAElec09_08!AK36+IDElec12_07!#REF!=0,,WAElec09_08!AK36+IDElec12_07!#REF!)</f>
        <v>#REF!</v>
      </c>
      <c r="AM36" s="74" t="e">
        <f>IF(WAElec09_08!#REF!+IDElec12_07!#REF!=0,,WAElec09_08!#REF!+IDElec12_07!#REF!)</f>
        <v>#REF!</v>
      </c>
      <c r="AN36" s="74" t="e">
        <f>IF(WAElec09_08!#REF!+IDElec12_07!#REF!=0,,WAElec09_08!#REF!+IDElec12_07!#REF!)</f>
        <v>#REF!</v>
      </c>
      <c r="AO36" s="74">
        <f>IF(WAElec09_08!AM36+IDElec12_07!AL36=0,,WAElec09_08!AM36+IDElec12_07!AL36)</f>
        <v>0</v>
      </c>
      <c r="AP36" s="74">
        <f>IF(WAElec09_08!AN36+IDElec12_07!AM36=0,,WAElec09_08!AN36+IDElec12_07!AM36)</f>
        <v>0</v>
      </c>
      <c r="AQ36" s="74">
        <f>IF(WAElec09_08!BC36+IDElec12_07!AO36=0,,WAElec09_08!BC36+IDElec12_07!AO36)</f>
        <v>0</v>
      </c>
      <c r="AR36" s="74">
        <f>IF(WAElec09_08!BD36+IDElec12_07!AP36=0,,WAElec09_08!BD36+IDElec12_07!AP36)</f>
        <v>757</v>
      </c>
      <c r="AS36" s="74"/>
      <c r="AT36" s="74" t="e">
        <f>IF(WAElec09_08!BG36+IDElec12_07!#REF!=0,,WAElec09_08!BG36+IDElec12_07!#REF!)</f>
        <v>#REF!</v>
      </c>
    </row>
    <row r="37" spans="1:46" s="34" customFormat="1">
      <c r="E37" s="74">
        <f>IF(WAElec09_08!E37+IDElec12_07!E37=0,,WAElec09_08!E37+IDElec12_07!E37)</f>
        <v>0</v>
      </c>
      <c r="F37" s="74">
        <f>IF(WAElec09_08!F37+IDElec12_07!F37=0,,WAElec09_08!F37+IDElec12_07!F37)</f>
        <v>0</v>
      </c>
      <c r="G37" s="74">
        <f>IF(WAElec09_08!G37+IDElec12_07!G37=0,,WAElec09_08!G37+IDElec12_07!G37)</f>
        <v>0</v>
      </c>
      <c r="H37" s="74">
        <f>IF(WAElec09_08!H37+IDElec12_07!H37=0,,WAElec09_08!H37+IDElec12_07!H37)</f>
        <v>0</v>
      </c>
      <c r="I37" s="74">
        <f>IF(WAElec09_08!I37+IDElec12_07!I37=0,,WAElec09_08!I37+IDElec12_07!I37)</f>
        <v>0</v>
      </c>
      <c r="J37" s="74">
        <f>IF(WAElec09_08!J37+IDElec12_07!J37=0,,WAElec09_08!J37+IDElec12_07!J37)</f>
        <v>0</v>
      </c>
      <c r="K37" s="74">
        <f>IF(WAElec09_08!K37+IDElec12_07!K37=0,,WAElec09_08!K37+IDElec12_07!K37)</f>
        <v>0</v>
      </c>
      <c r="L37" s="74">
        <f>IF(WAElec09_08!L37+IDElec12_07!L37=0,,WAElec09_08!L37+IDElec12_07!L37)</f>
        <v>0</v>
      </c>
      <c r="M37" s="74">
        <f>IF(WAElec09_08!M37+IDElec12_07!M37=0,,WAElec09_08!M37+IDElec12_07!M37)</f>
        <v>0</v>
      </c>
      <c r="N37" s="74" t="e">
        <f>IF(WAElec09_08!#REF!+IDElec12_07!#REF!=0,,WAElec09_08!#REF!+IDElec12_07!#REF!)</f>
        <v>#REF!</v>
      </c>
      <c r="O37" s="74">
        <f>IF(WAElec09_08!N37+IDElec12_07!N37=0,,WAElec09_08!N37+IDElec12_07!N37)</f>
        <v>0</v>
      </c>
      <c r="P37" s="74" t="e">
        <f>IF(WAElec09_08!#REF!+IDElec12_07!#REF!=0,,WAElec09_08!#REF!+IDElec12_07!#REF!)</f>
        <v>#REF!</v>
      </c>
      <c r="Q37" s="74">
        <f>IF(WAElec09_08!O37+IDElec12_07!P37=0,,WAElec09_08!O37+IDElec12_07!P37)</f>
        <v>0</v>
      </c>
      <c r="R37" s="74">
        <f>IF(WAElec09_08!P37+IDElec12_07!Q37=0,,WAElec09_08!P37+IDElec12_07!Q37)</f>
        <v>0</v>
      </c>
      <c r="S37" s="74">
        <f>IF(WAElec09_08!Q37+IDElec12_07!R37=0,,WAElec09_08!Q37+IDElec12_07!R37)</f>
        <v>0</v>
      </c>
      <c r="T37" s="74">
        <f>IF(WAElec09_08!R37+IDElec12_07!S37=0,,WAElec09_08!R37+IDElec12_07!S37)</f>
        <v>0</v>
      </c>
      <c r="U37" s="74">
        <f>IF(WAElec09_08!S37+IDElec12_07!T37=0,,WAElec09_08!S37+IDElec12_07!T37)</f>
        <v>0</v>
      </c>
      <c r="V37" s="74">
        <f>IF(WAElec09_08!T37+IDElec12_07!U37=0,,WAElec09_08!T37+IDElec12_07!U37)</f>
        <v>0</v>
      </c>
      <c r="W37" s="74">
        <f>IF(WAElec09_08!AC37+IDElec12_07!AA37=0,,WAElec09_08!AC37+IDElec12_07!AA37)</f>
        <v>0</v>
      </c>
      <c r="X37" s="74">
        <f>IF(WAElec09_08!U37+IDElec12_07!V37=0,,WAElec09_08!U37+IDElec12_07!V37)</f>
        <v>0</v>
      </c>
      <c r="Y37" s="74">
        <f>IF(WAElec09_08!AD37+IDElec12_07!W37=0,,WAElec09_08!AD37+IDElec12_07!W37)</f>
        <v>0</v>
      </c>
      <c r="Z37" s="74" t="e">
        <f>IF(WAElec09_08!AE37+IDElec12_07!#REF!=0,,WAElec09_08!AE37+IDElec12_07!#REF!)</f>
        <v>#REF!</v>
      </c>
      <c r="AA37" s="74" t="e">
        <f>IF(WAElec09_08!#REF!+IDElec12_07!#REF!=0,,WAElec09_08!#REF!+IDElec12_07!#REF!)</f>
        <v>#REF!</v>
      </c>
      <c r="AB37" s="74" t="e">
        <f>IF(WAElec09_08!#REF!+IDElec12_07!#REF!=0,,WAElec09_08!#REF!+IDElec12_07!#REF!)</f>
        <v>#REF!</v>
      </c>
      <c r="AC37" s="74" t="e">
        <f>IF(WAElec09_08!#REF!+IDElec12_07!Y37=0,,WAElec09_08!#REF!+IDElec12_07!Y37)</f>
        <v>#REF!</v>
      </c>
      <c r="AD37" s="74" t="e">
        <f>IF(WAElec09_08!#REF!+IDElec12_07!#REF!=0,,WAElec09_08!#REF!+IDElec12_07!#REF!)</f>
        <v>#REF!</v>
      </c>
      <c r="AE37" s="74" t="e">
        <f>IF(WAElec09_08!#REF!+IDElec12_07!AB37=0,,WAElec09_08!#REF!+IDElec12_07!AB37)</f>
        <v>#REF!</v>
      </c>
      <c r="AF37" s="74">
        <f>IF(WAElec09_08!AG37+IDElec12_07!AG37=0,,WAElec09_08!AG37+IDElec12_07!AG37)</f>
        <v>0</v>
      </c>
      <c r="AG37" s="74" t="e">
        <f>IF(WAElec09_08!#REF!+IDElec12_07!#REF!=0,,WAElec09_08!#REF!+IDElec12_07!#REF!)</f>
        <v>#REF!</v>
      </c>
      <c r="AH37" s="74" t="e">
        <f>IF(WAElec09_08!AH37+IDElec12_07!#REF!=0,,WAElec09_08!AH37+IDElec12_07!#REF!)</f>
        <v>#REF!</v>
      </c>
      <c r="AI37" s="74" t="e">
        <f>IF(WAElec09_08!#REF!+IDElec12_07!#REF!=0,,WAElec09_08!#REF!+IDElec12_07!#REF!)</f>
        <v>#REF!</v>
      </c>
      <c r="AJ37" s="74" t="e">
        <f>IF(WAElec09_08!AA37+IDElec12_07!#REF!=0,,WAElec09_08!AA37+IDElec12_07!#REF!)</f>
        <v>#REF!</v>
      </c>
      <c r="AK37" s="74" t="e">
        <f>IF(WAElec09_08!AJ37+IDElec12_07!#REF!=0,,WAElec09_08!AJ37+IDElec12_07!#REF!)</f>
        <v>#REF!</v>
      </c>
      <c r="AL37" s="74" t="e">
        <f>IF(WAElec09_08!AK37+IDElec12_07!#REF!=0,,WAElec09_08!AK37+IDElec12_07!#REF!)</f>
        <v>#REF!</v>
      </c>
      <c r="AM37" s="74" t="e">
        <f>IF(WAElec09_08!#REF!+IDElec12_07!#REF!=0,,WAElec09_08!#REF!+IDElec12_07!#REF!)</f>
        <v>#REF!</v>
      </c>
      <c r="AN37" s="74" t="e">
        <f>IF(WAElec09_08!#REF!+IDElec12_07!#REF!=0,,WAElec09_08!#REF!+IDElec12_07!#REF!)</f>
        <v>#REF!</v>
      </c>
      <c r="AO37" s="74">
        <f>IF(WAElec09_08!AM37+IDElec12_07!AL37=0,,WAElec09_08!AM37+IDElec12_07!AL37)</f>
        <v>0</v>
      </c>
      <c r="AP37" s="74">
        <f>IF(WAElec09_08!AN37+IDElec12_07!AM37=0,,WAElec09_08!AN37+IDElec12_07!AM37)</f>
        <v>0</v>
      </c>
      <c r="AQ37" s="74">
        <f>IF(WAElec09_08!BC37+IDElec12_07!AO37=0,,WAElec09_08!BC37+IDElec12_07!AO37)</f>
        <v>0</v>
      </c>
      <c r="AR37" s="74">
        <f>IF(WAElec09_08!BD37+IDElec12_07!AP37=0,,WAElec09_08!BD37+IDElec12_07!AP37)</f>
        <v>0</v>
      </c>
      <c r="AS37" s="74"/>
      <c r="AT37" s="74" t="e">
        <f>IF(WAElec09_08!BG37+IDElec12_07!#REF!=0,,WAElec09_08!BG37+IDElec12_07!#REF!)</f>
        <v>#REF!</v>
      </c>
    </row>
    <row r="38" spans="1:46" s="34" customFormat="1">
      <c r="A38" s="32"/>
      <c r="B38" s="34" t="s">
        <v>104</v>
      </c>
      <c r="E38" s="74">
        <f>IF(WAElec09_08!E38+IDElec12_07!E38=0,,WAElec09_08!E38+IDElec12_07!E38)</f>
        <v>0</v>
      </c>
      <c r="F38" s="74">
        <f>IF(WAElec09_08!F38+IDElec12_07!F38=0,,WAElec09_08!F38+IDElec12_07!F38)</f>
        <v>0</v>
      </c>
      <c r="G38" s="74">
        <f>IF(WAElec09_08!G38+IDElec12_07!G38=0,,WAElec09_08!G38+IDElec12_07!G38)</f>
        <v>0</v>
      </c>
      <c r="H38" s="74">
        <f>IF(WAElec09_08!H38+IDElec12_07!H38=0,,WAElec09_08!H38+IDElec12_07!H38)</f>
        <v>0</v>
      </c>
      <c r="I38" s="74">
        <f>IF(WAElec09_08!I38+IDElec12_07!I38=0,,WAElec09_08!I38+IDElec12_07!I38)</f>
        <v>0</v>
      </c>
      <c r="J38" s="74">
        <f>IF(WAElec09_08!J38+IDElec12_07!J38=0,,WAElec09_08!J38+IDElec12_07!J38)</f>
        <v>0</v>
      </c>
      <c r="K38" s="74">
        <f>IF(WAElec09_08!K38+IDElec12_07!K38=0,,WAElec09_08!K38+IDElec12_07!K38)</f>
        <v>0</v>
      </c>
      <c r="L38" s="74">
        <f>IF(WAElec09_08!L38+IDElec12_07!L38=0,,WAElec09_08!L38+IDElec12_07!L38)</f>
        <v>0</v>
      </c>
      <c r="M38" s="74">
        <f>IF(WAElec09_08!M38+IDElec12_07!M38=0,,WAElec09_08!M38+IDElec12_07!M38)</f>
        <v>0</v>
      </c>
      <c r="N38" s="74" t="e">
        <f>IF(WAElec09_08!#REF!+IDElec12_07!#REF!=0,,WAElec09_08!#REF!+IDElec12_07!#REF!)</f>
        <v>#REF!</v>
      </c>
      <c r="O38" s="74">
        <f>IF(WAElec09_08!N38+IDElec12_07!N38=0,,WAElec09_08!N38+IDElec12_07!N38)</f>
        <v>0</v>
      </c>
      <c r="P38" s="74" t="e">
        <f>IF(WAElec09_08!#REF!+IDElec12_07!#REF!=0,,WAElec09_08!#REF!+IDElec12_07!#REF!)</f>
        <v>#REF!</v>
      </c>
      <c r="Q38" s="74">
        <f>IF(WAElec09_08!O38+IDElec12_07!P38=0,,WAElec09_08!O38+IDElec12_07!P38)</f>
        <v>0</v>
      </c>
      <c r="R38" s="74">
        <f>IF(WAElec09_08!P38+IDElec12_07!Q38=0,,WAElec09_08!P38+IDElec12_07!Q38)</f>
        <v>0</v>
      </c>
      <c r="S38" s="74">
        <f>IF(WAElec09_08!Q38+IDElec12_07!R38=0,,WAElec09_08!Q38+IDElec12_07!R38)</f>
        <v>0</v>
      </c>
      <c r="T38" s="74">
        <f>IF(WAElec09_08!R38+IDElec12_07!S38=0,,WAElec09_08!R38+IDElec12_07!S38)</f>
        <v>0</v>
      </c>
      <c r="U38" s="74">
        <f>IF(WAElec09_08!S38+IDElec12_07!T38=0,,WAElec09_08!S38+IDElec12_07!T38)</f>
        <v>0</v>
      </c>
      <c r="V38" s="74">
        <f>IF(WAElec09_08!T38+IDElec12_07!U38=0,,WAElec09_08!T38+IDElec12_07!U38)</f>
        <v>0</v>
      </c>
      <c r="W38" s="74">
        <f>IF(WAElec09_08!AC38+IDElec12_07!AA38=0,,WAElec09_08!AC38+IDElec12_07!AA38)</f>
        <v>0</v>
      </c>
      <c r="X38" s="74">
        <f>IF(WAElec09_08!U38+IDElec12_07!V38=0,,WAElec09_08!U38+IDElec12_07!V38)</f>
        <v>0</v>
      </c>
      <c r="Y38" s="74">
        <f>IF(WAElec09_08!AD38+IDElec12_07!W38=0,,WAElec09_08!AD38+IDElec12_07!W38)</f>
        <v>0</v>
      </c>
      <c r="Z38" s="74" t="e">
        <f>IF(WAElec09_08!AE38+IDElec12_07!#REF!=0,,WAElec09_08!AE38+IDElec12_07!#REF!)</f>
        <v>#REF!</v>
      </c>
      <c r="AA38" s="74" t="e">
        <f>IF(WAElec09_08!#REF!+IDElec12_07!#REF!=0,,WAElec09_08!#REF!+IDElec12_07!#REF!)</f>
        <v>#REF!</v>
      </c>
      <c r="AB38" s="74" t="e">
        <f>IF(WAElec09_08!#REF!+IDElec12_07!#REF!=0,,WAElec09_08!#REF!+IDElec12_07!#REF!)</f>
        <v>#REF!</v>
      </c>
      <c r="AC38" s="74" t="e">
        <f>IF(WAElec09_08!#REF!+IDElec12_07!Y38=0,,WAElec09_08!#REF!+IDElec12_07!Y38)</f>
        <v>#REF!</v>
      </c>
      <c r="AD38" s="74" t="e">
        <f>IF(WAElec09_08!#REF!+IDElec12_07!#REF!=0,,WAElec09_08!#REF!+IDElec12_07!#REF!)</f>
        <v>#REF!</v>
      </c>
      <c r="AE38" s="74" t="e">
        <f>IF(WAElec09_08!#REF!+IDElec12_07!AB38=0,,WAElec09_08!#REF!+IDElec12_07!AB38)</f>
        <v>#REF!</v>
      </c>
      <c r="AF38" s="74">
        <f>IF(WAElec09_08!AG38+IDElec12_07!AG38=0,,WAElec09_08!AG38+IDElec12_07!AG38)</f>
        <v>0</v>
      </c>
      <c r="AG38" s="74" t="e">
        <f>IF(WAElec09_08!#REF!+IDElec12_07!#REF!=0,,WAElec09_08!#REF!+IDElec12_07!#REF!)</f>
        <v>#REF!</v>
      </c>
      <c r="AH38" s="74" t="e">
        <f>IF(WAElec09_08!AH38+IDElec12_07!#REF!=0,,WAElec09_08!AH38+IDElec12_07!#REF!)</f>
        <v>#REF!</v>
      </c>
      <c r="AI38" s="74" t="e">
        <f>IF(WAElec09_08!#REF!+IDElec12_07!#REF!=0,,WAElec09_08!#REF!+IDElec12_07!#REF!)</f>
        <v>#REF!</v>
      </c>
      <c r="AJ38" s="74" t="e">
        <f>IF(WAElec09_08!AA38+IDElec12_07!#REF!=0,,WAElec09_08!AA38+IDElec12_07!#REF!)</f>
        <v>#REF!</v>
      </c>
      <c r="AK38" s="74" t="e">
        <f>IF(WAElec09_08!AJ38+IDElec12_07!#REF!=0,,WAElec09_08!AJ38+IDElec12_07!#REF!)</f>
        <v>#REF!</v>
      </c>
      <c r="AL38" s="74" t="e">
        <f>IF(WAElec09_08!AK38+IDElec12_07!#REF!=0,,WAElec09_08!AK38+IDElec12_07!#REF!)</f>
        <v>#REF!</v>
      </c>
      <c r="AM38" s="74" t="e">
        <f>IF(WAElec09_08!#REF!+IDElec12_07!#REF!=0,,WAElec09_08!#REF!+IDElec12_07!#REF!)</f>
        <v>#REF!</v>
      </c>
      <c r="AN38" s="74" t="e">
        <f>IF(WAElec09_08!#REF!+IDElec12_07!#REF!=0,,WAElec09_08!#REF!+IDElec12_07!#REF!)</f>
        <v>#REF!</v>
      </c>
      <c r="AO38" s="74">
        <f>IF(WAElec09_08!AM38+IDElec12_07!AL38=0,,WAElec09_08!AM38+IDElec12_07!AL38)</f>
        <v>0</v>
      </c>
      <c r="AP38" s="74">
        <f>IF(WAElec09_08!AN38+IDElec12_07!AM38=0,,WAElec09_08!AN38+IDElec12_07!AM38)</f>
        <v>0</v>
      </c>
      <c r="AQ38" s="74">
        <f>IF(WAElec09_08!BC38+IDElec12_07!AO38=0,,WAElec09_08!BC38+IDElec12_07!AO38)</f>
        <v>0</v>
      </c>
      <c r="AR38" s="74">
        <f>IF(WAElec09_08!BD38+IDElec12_07!AP38=0,,WAElec09_08!BD38+IDElec12_07!AP38)</f>
        <v>0</v>
      </c>
      <c r="AS38" s="74"/>
      <c r="AT38" s="74" t="e">
        <f>IF(WAElec09_08!BG38+IDElec12_07!#REF!=0,,WAElec09_08!BG38+IDElec12_07!#REF!)</f>
        <v>#REF!</v>
      </c>
    </row>
    <row r="39" spans="1:46" s="34" customFormat="1">
      <c r="A39" s="32">
        <v>19</v>
      </c>
      <c r="C39" s="34" t="s">
        <v>94</v>
      </c>
      <c r="E39" s="74">
        <f>IF(WAElec09_08!E39+IDElec12_07!E39=0,,WAElec09_08!E39+IDElec12_07!E39)</f>
        <v>54408</v>
      </c>
      <c r="F39" s="74">
        <f>IF(WAElec09_08!F39+IDElec12_07!F39=0,,WAElec09_08!F39+IDElec12_07!F39)</f>
        <v>0</v>
      </c>
      <c r="G39" s="74">
        <f>IF(WAElec09_08!G39+IDElec12_07!G39=0,,WAElec09_08!G39+IDElec12_07!G39)</f>
        <v>0</v>
      </c>
      <c r="H39" s="74">
        <f>IF(WAElec09_08!H39+IDElec12_07!H39=0,,WAElec09_08!H39+IDElec12_07!H39)</f>
        <v>0</v>
      </c>
      <c r="I39" s="74">
        <f>IF(WAElec09_08!I39+IDElec12_07!I39=0,,WAElec09_08!I39+IDElec12_07!I39)</f>
        <v>0</v>
      </c>
      <c r="J39" s="74">
        <f>IF(WAElec09_08!J39+IDElec12_07!J39=0,,WAElec09_08!J39+IDElec12_07!J39)</f>
        <v>0</v>
      </c>
      <c r="K39" s="74">
        <f>IF(WAElec09_08!K39+IDElec12_07!K39=0,,WAElec09_08!K39+IDElec12_07!K39)</f>
        <v>0</v>
      </c>
      <c r="L39" s="74">
        <f>IF(WAElec09_08!L39+IDElec12_07!L39=0,,WAElec09_08!L39+IDElec12_07!L39)</f>
        <v>0</v>
      </c>
      <c r="M39" s="74">
        <f>IF(WAElec09_08!M39+IDElec12_07!M39=0,,WAElec09_08!M39+IDElec12_07!M39)</f>
        <v>0</v>
      </c>
      <c r="N39" s="74" t="e">
        <f>IF(WAElec09_08!#REF!+IDElec12_07!#REF!=0,,WAElec09_08!#REF!+IDElec12_07!#REF!)</f>
        <v>#REF!</v>
      </c>
      <c r="O39" s="74">
        <f>IF(WAElec09_08!N39+IDElec12_07!N39=0,,WAElec09_08!N39+IDElec12_07!N39)</f>
        <v>54408</v>
      </c>
      <c r="P39" s="74" t="e">
        <f>IF(WAElec09_08!#REF!+IDElec12_07!#REF!=0,,WAElec09_08!#REF!+IDElec12_07!#REF!)</f>
        <v>#REF!</v>
      </c>
      <c r="Q39" s="74">
        <f>IF(WAElec09_08!O39+IDElec12_07!P39=0,,WAElec09_08!O39+IDElec12_07!P39)</f>
        <v>0</v>
      </c>
      <c r="R39" s="74">
        <f>IF(WAElec09_08!P39+IDElec12_07!Q39=0,,WAElec09_08!P39+IDElec12_07!Q39)</f>
        <v>0</v>
      </c>
      <c r="S39" s="74">
        <f>IF(WAElec09_08!Q39+IDElec12_07!R39=0,,WAElec09_08!Q39+IDElec12_07!R39)</f>
        <v>0</v>
      </c>
      <c r="T39" s="74">
        <f>IF(WAElec09_08!R39+IDElec12_07!S39=0,,WAElec09_08!R39+IDElec12_07!S39)</f>
        <v>80</v>
      </c>
      <c r="U39" s="74">
        <f>IF(WAElec09_08!S39+IDElec12_07!T39=0,,WAElec09_08!S39+IDElec12_07!T39)</f>
        <v>86</v>
      </c>
      <c r="V39" s="74">
        <f>IF(WAElec09_08!T39+IDElec12_07!U39=0,,WAElec09_08!T39+IDElec12_07!U39)</f>
        <v>0</v>
      </c>
      <c r="W39" s="74">
        <f>IF(WAElec09_08!AC39+IDElec12_07!AA39=0,,WAElec09_08!AC39+IDElec12_07!AA39)</f>
        <v>0</v>
      </c>
      <c r="X39" s="74">
        <f>IF(WAElec09_08!U39+IDElec12_07!V39=0,,WAElec09_08!U39+IDElec12_07!V39)</f>
        <v>-62</v>
      </c>
      <c r="Y39" s="74">
        <f>IF(WAElec09_08!AD39+IDElec12_07!W39=0,,WAElec09_08!AD39+IDElec12_07!W39)</f>
        <v>0</v>
      </c>
      <c r="Z39" s="74" t="e">
        <f>IF(WAElec09_08!AE39+IDElec12_07!#REF!=0,,WAElec09_08!AE39+IDElec12_07!#REF!)</f>
        <v>#REF!</v>
      </c>
      <c r="AA39" s="74" t="e">
        <f>IF(WAElec09_08!#REF!+IDElec12_07!#REF!=0,,WAElec09_08!#REF!+IDElec12_07!#REF!)</f>
        <v>#REF!</v>
      </c>
      <c r="AB39" s="74" t="e">
        <f>IF(WAElec09_08!#REF!+IDElec12_07!#REF!=0,,WAElec09_08!#REF!+IDElec12_07!#REF!)</f>
        <v>#REF!</v>
      </c>
      <c r="AC39" s="74" t="e">
        <f>IF(WAElec09_08!#REF!+IDElec12_07!Y39=0,,WAElec09_08!#REF!+IDElec12_07!Y39)</f>
        <v>#REF!</v>
      </c>
      <c r="AD39" s="74" t="e">
        <f>IF(WAElec09_08!#REF!+IDElec12_07!#REF!=0,,WAElec09_08!#REF!+IDElec12_07!#REF!)</f>
        <v>#REF!</v>
      </c>
      <c r="AE39" s="74" t="e">
        <f>IF(WAElec09_08!#REF!+IDElec12_07!AB39=0,,WAElec09_08!#REF!+IDElec12_07!AB39)</f>
        <v>#REF!</v>
      </c>
      <c r="AF39" s="74">
        <f>IF(WAElec09_08!AG39+IDElec12_07!AG39=0,,WAElec09_08!AG39+IDElec12_07!AG39)</f>
        <v>54348</v>
      </c>
      <c r="AG39" s="74" t="e">
        <f>IF(WAElec09_08!#REF!+IDElec12_07!#REF!=0,,WAElec09_08!#REF!+IDElec12_07!#REF!)</f>
        <v>#REF!</v>
      </c>
      <c r="AH39" s="74" t="e">
        <f>IF(WAElec09_08!AH39+IDElec12_07!#REF!=0,,WAElec09_08!AH39+IDElec12_07!#REF!)</f>
        <v>#REF!</v>
      </c>
      <c r="AI39" s="74" t="e">
        <f>IF(WAElec09_08!#REF!+IDElec12_07!#REF!=0,,WAElec09_08!#REF!+IDElec12_07!#REF!)</f>
        <v>#REF!</v>
      </c>
      <c r="AJ39" s="74" t="e">
        <f>IF(WAElec09_08!AA39+IDElec12_07!#REF!=0,,WAElec09_08!AA39+IDElec12_07!#REF!)</f>
        <v>#REF!</v>
      </c>
      <c r="AK39" s="74" t="e">
        <f>IF(WAElec09_08!AJ39+IDElec12_07!#REF!=0,,WAElec09_08!AJ39+IDElec12_07!#REF!)</f>
        <v>#REF!</v>
      </c>
      <c r="AL39" s="74" t="e">
        <f>IF(WAElec09_08!AK39+IDElec12_07!#REF!=0,,WAElec09_08!AK39+IDElec12_07!#REF!)</f>
        <v>#REF!</v>
      </c>
      <c r="AM39" s="74" t="e">
        <f>IF(WAElec09_08!#REF!+IDElec12_07!#REF!=0,,WAElec09_08!#REF!+IDElec12_07!#REF!)</f>
        <v>#REF!</v>
      </c>
      <c r="AN39" s="74" t="e">
        <f>IF(WAElec09_08!#REF!+IDElec12_07!#REF!=0,,WAElec09_08!#REF!+IDElec12_07!#REF!)</f>
        <v>#REF!</v>
      </c>
      <c r="AO39" s="74">
        <f>IF(WAElec09_08!AM39+IDElec12_07!AL39=0,,WAElec09_08!AM39+IDElec12_07!AL39)</f>
        <v>0</v>
      </c>
      <c r="AP39" s="74">
        <f>IF(WAElec09_08!AN39+IDElec12_07!AM39=0,,WAElec09_08!AN39+IDElec12_07!AM39)</f>
        <v>0</v>
      </c>
      <c r="AQ39" s="74">
        <f>IF(WAElec09_08!BC39+IDElec12_07!AO39=0,,WAElec09_08!BC39+IDElec12_07!AO39)</f>
        <v>0</v>
      </c>
      <c r="AR39" s="74">
        <f>IF(WAElec09_08!BD39+IDElec12_07!AP39=0,,WAElec09_08!BD39+IDElec12_07!AP39)</f>
        <v>40385</v>
      </c>
      <c r="AS39" s="74"/>
      <c r="AT39" s="74" t="e">
        <f>IF(WAElec09_08!BG39+IDElec12_07!#REF!=0,,WAElec09_08!BG39+IDElec12_07!#REF!)</f>
        <v>#REF!</v>
      </c>
    </row>
    <row r="40" spans="1:46" s="34" customFormat="1">
      <c r="A40" s="32">
        <v>20</v>
      </c>
      <c r="C40" s="34" t="s">
        <v>99</v>
      </c>
      <c r="E40" s="74">
        <f>IF(WAElec09_08!E40+IDElec12_07!E40=0,,WAElec09_08!E40+IDElec12_07!E40)</f>
        <v>10882</v>
      </c>
      <c r="F40" s="74">
        <f>IF(WAElec09_08!F40+IDElec12_07!F40=0,,WAElec09_08!F40+IDElec12_07!F40)</f>
        <v>0</v>
      </c>
      <c r="G40" s="74">
        <f>IF(WAElec09_08!G40+IDElec12_07!G40=0,,WAElec09_08!G40+IDElec12_07!G40)</f>
        <v>0</v>
      </c>
      <c r="H40" s="74">
        <f>IF(WAElec09_08!H40+IDElec12_07!H40=0,,WAElec09_08!H40+IDElec12_07!H40)</f>
        <v>0</v>
      </c>
      <c r="I40" s="74">
        <f>IF(WAElec09_08!I40+IDElec12_07!I40=0,,WAElec09_08!I40+IDElec12_07!I40)</f>
        <v>0</v>
      </c>
      <c r="J40" s="74">
        <f>IF(WAElec09_08!J40+IDElec12_07!J40=0,,WAElec09_08!J40+IDElec12_07!J40)</f>
        <v>0</v>
      </c>
      <c r="K40" s="74">
        <f>IF(WAElec09_08!K40+IDElec12_07!K40=0,,WAElec09_08!K40+IDElec12_07!K40)</f>
        <v>0</v>
      </c>
      <c r="L40" s="74">
        <f>IF(WAElec09_08!L40+IDElec12_07!L40=0,,WAElec09_08!L40+IDElec12_07!L40)</f>
        <v>-232</v>
      </c>
      <c r="M40" s="74">
        <f>IF(WAElec09_08!M40+IDElec12_07!M40=0,,WAElec09_08!M40+IDElec12_07!M40)</f>
        <v>0</v>
      </c>
      <c r="N40" s="74" t="e">
        <f>IF(WAElec09_08!#REF!+IDElec12_07!#REF!=0,,WAElec09_08!#REF!+IDElec12_07!#REF!)</f>
        <v>#REF!</v>
      </c>
      <c r="O40" s="74">
        <f>IF(WAElec09_08!N40+IDElec12_07!N40=0,,WAElec09_08!N40+IDElec12_07!N40)</f>
        <v>10650</v>
      </c>
      <c r="P40" s="74" t="e">
        <f>IF(WAElec09_08!#REF!+IDElec12_07!#REF!=0,,WAElec09_08!#REF!+IDElec12_07!#REF!)</f>
        <v>#REF!</v>
      </c>
      <c r="Q40" s="74">
        <f>IF(WAElec09_08!O40+IDElec12_07!P40=0,,WAElec09_08!O40+IDElec12_07!P40)</f>
        <v>0</v>
      </c>
      <c r="R40" s="74">
        <f>IF(WAElec09_08!P40+IDElec12_07!Q40=0,,WAElec09_08!P40+IDElec12_07!Q40)</f>
        <v>0</v>
      </c>
      <c r="S40" s="74">
        <f>IF(WAElec09_08!Q40+IDElec12_07!R40=0,,WAElec09_08!Q40+IDElec12_07!R40)</f>
        <v>0</v>
      </c>
      <c r="T40" s="74">
        <f>IF(WAElec09_08!R40+IDElec12_07!S40=0,,WAElec09_08!R40+IDElec12_07!S40)</f>
        <v>0</v>
      </c>
      <c r="U40" s="74">
        <f>IF(WAElec09_08!S40+IDElec12_07!T40=0,,WAElec09_08!S40+IDElec12_07!T40)</f>
        <v>0</v>
      </c>
      <c r="V40" s="74">
        <f>IF(WAElec09_08!T40+IDElec12_07!U40=0,,WAElec09_08!T40+IDElec12_07!U40)</f>
        <v>0</v>
      </c>
      <c r="W40" s="74">
        <f>IF(WAElec09_08!AC40+IDElec12_07!AA40=0,,WAElec09_08!AC40+IDElec12_07!AA40)</f>
        <v>0</v>
      </c>
      <c r="X40" s="74">
        <f>IF(WAElec09_08!U40+IDElec12_07!V40=0,,WAElec09_08!U40+IDElec12_07!V40)</f>
        <v>0</v>
      </c>
      <c r="Y40" s="74">
        <f>IF(WAElec09_08!AD40+IDElec12_07!W40=0,,WAElec09_08!AD40+IDElec12_07!W40)</f>
        <v>0</v>
      </c>
      <c r="Z40" s="74" t="e">
        <f>IF(WAElec09_08!AE40+IDElec12_07!#REF!=0,,WAElec09_08!AE40+IDElec12_07!#REF!)</f>
        <v>#REF!</v>
      </c>
      <c r="AA40" s="74" t="e">
        <f>IF(WAElec09_08!#REF!+IDElec12_07!#REF!=0,,WAElec09_08!#REF!+IDElec12_07!#REF!)</f>
        <v>#REF!</v>
      </c>
      <c r="AB40" s="74" t="e">
        <f>IF(WAElec09_08!#REF!+IDElec12_07!#REF!=0,,WAElec09_08!#REF!+IDElec12_07!#REF!)</f>
        <v>#REF!</v>
      </c>
      <c r="AC40" s="74" t="e">
        <f>IF(WAElec09_08!#REF!+IDElec12_07!Y40=0,,WAElec09_08!#REF!+IDElec12_07!Y40)</f>
        <v>#REF!</v>
      </c>
      <c r="AD40" s="74" t="e">
        <f>IF(WAElec09_08!#REF!+IDElec12_07!#REF!=0,,WAElec09_08!#REF!+IDElec12_07!#REF!)</f>
        <v>#REF!</v>
      </c>
      <c r="AE40" s="74" t="e">
        <f>IF(WAElec09_08!#REF!+IDElec12_07!AB40=0,,WAElec09_08!#REF!+IDElec12_07!AB40)</f>
        <v>#REF!</v>
      </c>
      <c r="AF40" s="74">
        <f>IF(WAElec09_08!AG40+IDElec12_07!AG40=0,,WAElec09_08!AG40+IDElec12_07!AG40)</f>
        <v>10650</v>
      </c>
      <c r="AG40" s="74" t="e">
        <f>IF(WAElec09_08!#REF!+IDElec12_07!#REF!=0,,WAElec09_08!#REF!+IDElec12_07!#REF!)</f>
        <v>#REF!</v>
      </c>
      <c r="AH40" s="74" t="e">
        <f>IF(WAElec09_08!AH40+IDElec12_07!#REF!=0,,WAElec09_08!AH40+IDElec12_07!#REF!)</f>
        <v>#REF!</v>
      </c>
      <c r="AI40" s="74" t="e">
        <f>IF(WAElec09_08!#REF!+IDElec12_07!#REF!=0,,WAElec09_08!#REF!+IDElec12_07!#REF!)</f>
        <v>#REF!</v>
      </c>
      <c r="AJ40" s="74" t="e">
        <f>IF(WAElec09_08!AA40+IDElec12_07!#REF!=0,,WAElec09_08!AA40+IDElec12_07!#REF!)</f>
        <v>#REF!</v>
      </c>
      <c r="AK40" s="74" t="e">
        <f>IF(WAElec09_08!AJ40+IDElec12_07!#REF!=0,,WAElec09_08!AJ40+IDElec12_07!#REF!)</f>
        <v>#REF!</v>
      </c>
      <c r="AL40" s="74" t="e">
        <f>IF(WAElec09_08!AK40+IDElec12_07!#REF!=0,,WAElec09_08!AK40+IDElec12_07!#REF!)</f>
        <v>#REF!</v>
      </c>
      <c r="AM40" s="74" t="e">
        <f>IF(WAElec09_08!#REF!+IDElec12_07!#REF!=0,,WAElec09_08!#REF!+IDElec12_07!#REF!)</f>
        <v>#REF!</v>
      </c>
      <c r="AN40" s="74" t="e">
        <f>IF(WAElec09_08!#REF!+IDElec12_07!#REF!=0,,WAElec09_08!#REF!+IDElec12_07!#REF!)</f>
        <v>#REF!</v>
      </c>
      <c r="AO40" s="74">
        <f>IF(WAElec09_08!AM40+IDElec12_07!AL40=0,,WAElec09_08!AM40+IDElec12_07!AL40)</f>
        <v>509</v>
      </c>
      <c r="AP40" s="74">
        <f>IF(WAElec09_08!AN40+IDElec12_07!AM40=0,,WAElec09_08!AN40+IDElec12_07!AM40)</f>
        <v>1784</v>
      </c>
      <c r="AQ40" s="74">
        <f>IF(WAElec09_08!BC40+IDElec12_07!AO40=0,,WAElec09_08!BC40+IDElec12_07!AO40)</f>
        <v>0</v>
      </c>
      <c r="AR40" s="74">
        <f>IF(WAElec09_08!BD40+IDElec12_07!AP40=0,,WAElec09_08!BD40+IDElec12_07!AP40)</f>
        <v>9083</v>
      </c>
      <c r="AS40" s="74"/>
      <c r="AT40" s="74" t="e">
        <f>IF(WAElec09_08!BG40+IDElec12_07!#REF!=0,,WAElec09_08!BG40+IDElec12_07!#REF!)</f>
        <v>#REF!</v>
      </c>
    </row>
    <row r="41" spans="1:46" s="34" customFormat="1">
      <c r="A41" s="32">
        <v>21</v>
      </c>
      <c r="C41" s="34" t="s">
        <v>47</v>
      </c>
      <c r="E41" s="75">
        <f>IF(WAElec09_08!E41+IDElec12_07!E41=0,,WAElec09_08!E41+IDElec12_07!E41)</f>
        <v>0</v>
      </c>
      <c r="F41" s="75">
        <f>IF(WAElec09_08!F41+IDElec12_07!F41=0,,WAElec09_08!F41+IDElec12_07!F41)</f>
        <v>0</v>
      </c>
      <c r="G41" s="75">
        <f>IF(WAElec09_08!G41+IDElec12_07!G41=0,,WAElec09_08!G41+IDElec12_07!G41)</f>
        <v>0</v>
      </c>
      <c r="H41" s="75">
        <f>IF(WAElec09_08!H41+IDElec12_07!H41=0,,WAElec09_08!H41+IDElec12_07!H41)</f>
        <v>0</v>
      </c>
      <c r="I41" s="75">
        <f>IF(WAElec09_08!I41+IDElec12_07!I41=0,,WAElec09_08!I41+IDElec12_07!I41)</f>
        <v>0</v>
      </c>
      <c r="J41" s="75">
        <f>IF(WAElec09_08!J41+IDElec12_07!J41=0,,WAElec09_08!J41+IDElec12_07!J41)</f>
        <v>0</v>
      </c>
      <c r="K41" s="75">
        <f>IF(WAElec09_08!K41+IDElec12_07!K41=0,,WAElec09_08!K41+IDElec12_07!K41)</f>
        <v>0</v>
      </c>
      <c r="L41" s="75">
        <f>IF(WAElec09_08!L41+IDElec12_07!L41=0,,WAElec09_08!L41+IDElec12_07!L41)</f>
        <v>0</v>
      </c>
      <c r="M41" s="75">
        <f>IF(WAElec09_08!M41+IDElec12_07!M41=0,,WAElec09_08!M41+IDElec12_07!M41)</f>
        <v>0</v>
      </c>
      <c r="N41" s="75" t="e">
        <f>IF(WAElec09_08!#REF!+IDElec12_07!#REF!=0,,WAElec09_08!#REF!+IDElec12_07!#REF!)</f>
        <v>#REF!</v>
      </c>
      <c r="O41" s="75">
        <f>IF(WAElec09_08!N41+IDElec12_07!N41=0,,WAElec09_08!N41+IDElec12_07!N41)</f>
        <v>0</v>
      </c>
      <c r="P41" s="75" t="e">
        <f>IF(WAElec09_08!#REF!+IDElec12_07!#REF!=0,,WAElec09_08!#REF!+IDElec12_07!#REF!)</f>
        <v>#REF!</v>
      </c>
      <c r="Q41" s="75">
        <f>IF(WAElec09_08!O41+IDElec12_07!P41=0,,WAElec09_08!O41+IDElec12_07!P41)</f>
        <v>0</v>
      </c>
      <c r="R41" s="75">
        <f>IF(WAElec09_08!P41+IDElec12_07!Q41=0,,WAElec09_08!P41+IDElec12_07!Q41)</f>
        <v>3</v>
      </c>
      <c r="S41" s="75">
        <f>IF(WAElec09_08!Q41+IDElec12_07!R41=0,,WAElec09_08!Q41+IDElec12_07!R41)</f>
        <v>0</v>
      </c>
      <c r="T41" s="75">
        <f>IF(WAElec09_08!R41+IDElec12_07!S41=0,,WAElec09_08!R41+IDElec12_07!S41)</f>
        <v>0</v>
      </c>
      <c r="U41" s="75">
        <f>IF(WAElec09_08!S41+IDElec12_07!T41=0,,WAElec09_08!S41+IDElec12_07!T41)</f>
        <v>0</v>
      </c>
      <c r="V41" s="75">
        <f>IF(WAElec09_08!T41+IDElec12_07!U41=0,,WAElec09_08!T41+IDElec12_07!U41)</f>
        <v>0</v>
      </c>
      <c r="W41" s="75">
        <f>IF(WAElec09_08!AC41+IDElec12_07!AA41=0,,WAElec09_08!AC41+IDElec12_07!AA41)</f>
        <v>0</v>
      </c>
      <c r="X41" s="75">
        <f>IF(WAElec09_08!U41+IDElec12_07!V41=0,,WAElec09_08!U41+IDElec12_07!V41)</f>
        <v>0</v>
      </c>
      <c r="Y41" s="75">
        <f>IF(WAElec09_08!AD41+IDElec12_07!W41=0,,WAElec09_08!AD41+IDElec12_07!W41)</f>
        <v>0</v>
      </c>
      <c r="Z41" s="75" t="e">
        <f>IF(WAElec09_08!AE41+IDElec12_07!#REF!=0,,WAElec09_08!AE41+IDElec12_07!#REF!)</f>
        <v>#REF!</v>
      </c>
      <c r="AA41" s="75" t="e">
        <f>IF(WAElec09_08!#REF!+IDElec12_07!#REF!=0,,WAElec09_08!#REF!+IDElec12_07!#REF!)</f>
        <v>#REF!</v>
      </c>
      <c r="AB41" s="75" t="e">
        <f>IF(WAElec09_08!#REF!+IDElec12_07!#REF!=0,,WAElec09_08!#REF!+IDElec12_07!#REF!)</f>
        <v>#REF!</v>
      </c>
      <c r="AC41" s="75" t="e">
        <f>IF(WAElec09_08!#REF!+IDElec12_07!Y41=0,,WAElec09_08!#REF!+IDElec12_07!Y41)</f>
        <v>#REF!</v>
      </c>
      <c r="AD41" s="75" t="e">
        <f>IF(WAElec09_08!#REF!+IDElec12_07!#REF!=0,,WAElec09_08!#REF!+IDElec12_07!#REF!)</f>
        <v>#REF!</v>
      </c>
      <c r="AE41" s="75" t="e">
        <f>IF(WAElec09_08!#REF!+IDElec12_07!AB41=0,,WAElec09_08!#REF!+IDElec12_07!AB41)</f>
        <v>#REF!</v>
      </c>
      <c r="AF41" s="75">
        <f>IF(WAElec09_08!AG41+IDElec12_07!AG41=0,,WAElec09_08!AG41+IDElec12_07!AG41)</f>
        <v>3</v>
      </c>
      <c r="AG41" s="75" t="e">
        <f>IF(WAElec09_08!#REF!+IDElec12_07!#REF!=0,,WAElec09_08!#REF!+IDElec12_07!#REF!)</f>
        <v>#REF!</v>
      </c>
      <c r="AH41" s="75" t="e">
        <f>IF(WAElec09_08!AH41+IDElec12_07!#REF!=0,,WAElec09_08!AH41+IDElec12_07!#REF!)</f>
        <v>#REF!</v>
      </c>
      <c r="AI41" s="75" t="e">
        <f>IF(WAElec09_08!#REF!+IDElec12_07!#REF!=0,,WAElec09_08!#REF!+IDElec12_07!#REF!)</f>
        <v>#REF!</v>
      </c>
      <c r="AJ41" s="75" t="e">
        <f>IF(WAElec09_08!AA41+IDElec12_07!#REF!=0,,WAElec09_08!AA41+IDElec12_07!#REF!)</f>
        <v>#REF!</v>
      </c>
      <c r="AK41" s="75" t="e">
        <f>IF(WAElec09_08!AJ41+IDElec12_07!#REF!=0,,WAElec09_08!AJ41+IDElec12_07!#REF!)</f>
        <v>#REF!</v>
      </c>
      <c r="AL41" s="75" t="e">
        <f>IF(WAElec09_08!AK41+IDElec12_07!#REF!=0,,WAElec09_08!AK41+IDElec12_07!#REF!)</f>
        <v>#REF!</v>
      </c>
      <c r="AM41" s="75" t="e">
        <f>IF(WAElec09_08!#REF!+IDElec12_07!#REF!=0,,WAElec09_08!#REF!+IDElec12_07!#REF!)</f>
        <v>#REF!</v>
      </c>
      <c r="AN41" s="75" t="e">
        <f>IF(WAElec09_08!#REF!+IDElec12_07!#REF!=0,,WAElec09_08!#REF!+IDElec12_07!#REF!)</f>
        <v>#REF!</v>
      </c>
      <c r="AO41" s="75">
        <f>IF(WAElec09_08!AM41+IDElec12_07!AL41=0,,WAElec09_08!AM41+IDElec12_07!AL41)</f>
        <v>0</v>
      </c>
      <c r="AP41" s="75">
        <f>IF(WAElec09_08!AN41+IDElec12_07!AM41=0,,WAElec09_08!AN41+IDElec12_07!AM41)</f>
        <v>249</v>
      </c>
      <c r="AQ41" s="75">
        <f>IF(WAElec09_08!BC41+IDElec12_07!AO41=0,,WAElec09_08!BC41+IDElec12_07!AO41)</f>
        <v>0</v>
      </c>
      <c r="AR41" s="75">
        <f>IF(WAElec09_08!BD41+IDElec12_07!AP41=0,,WAElec09_08!BD41+IDElec12_07!AP41)</f>
        <v>252</v>
      </c>
      <c r="AS41" s="75"/>
      <c r="AT41" s="75" t="e">
        <f>IF(WAElec09_08!BG41+IDElec12_07!#REF!=0,,WAElec09_08!BG41+IDElec12_07!#REF!)</f>
        <v>#REF!</v>
      </c>
    </row>
    <row r="42" spans="1:46" s="34" customFormat="1">
      <c r="A42" s="32">
        <v>22</v>
      </c>
      <c r="D42" s="34" t="s">
        <v>105</v>
      </c>
      <c r="E42" s="75">
        <f>IF(WAElec09_08!E42+IDElec12_07!E42=0,,WAElec09_08!E42+IDElec12_07!E42)</f>
        <v>65290</v>
      </c>
      <c r="F42" s="75">
        <f>IF(WAElec09_08!F42+IDElec12_07!F42=0,,WAElec09_08!F42+IDElec12_07!F42)</f>
        <v>0</v>
      </c>
      <c r="G42" s="75">
        <f>IF(WAElec09_08!G42+IDElec12_07!G42=0,,WAElec09_08!G42+IDElec12_07!G42)</f>
        <v>0</v>
      </c>
      <c r="H42" s="75">
        <f>IF(WAElec09_08!H42+IDElec12_07!H42=0,,WAElec09_08!H42+IDElec12_07!H42)</f>
        <v>0</v>
      </c>
      <c r="I42" s="75">
        <f>IF(WAElec09_08!I42+IDElec12_07!I42=0,,WAElec09_08!I42+IDElec12_07!I42)</f>
        <v>0</v>
      </c>
      <c r="J42" s="75">
        <f>IF(WAElec09_08!J42+IDElec12_07!J42=0,,WAElec09_08!J42+IDElec12_07!J42)</f>
        <v>0</v>
      </c>
      <c r="K42" s="75">
        <f>IF(WAElec09_08!K42+IDElec12_07!K42=0,,WAElec09_08!K42+IDElec12_07!K42)</f>
        <v>0</v>
      </c>
      <c r="L42" s="75">
        <f>IF(WAElec09_08!L42+IDElec12_07!L42=0,,WAElec09_08!L42+IDElec12_07!L42)</f>
        <v>-232</v>
      </c>
      <c r="M42" s="75">
        <f>IF(WAElec09_08!M42+IDElec12_07!M42=0,,WAElec09_08!M42+IDElec12_07!M42)</f>
        <v>0</v>
      </c>
      <c r="N42" s="75" t="e">
        <f>IF(WAElec09_08!#REF!+IDElec12_07!#REF!=0,,WAElec09_08!#REF!+IDElec12_07!#REF!)</f>
        <v>#REF!</v>
      </c>
      <c r="O42" s="75">
        <f>IF(WAElec09_08!N42+IDElec12_07!N42=0,,WAElec09_08!N42+IDElec12_07!N42)</f>
        <v>65058</v>
      </c>
      <c r="P42" s="75" t="e">
        <f>IF(WAElec09_08!#REF!+IDElec12_07!#REF!=0,,WAElec09_08!#REF!+IDElec12_07!#REF!)</f>
        <v>#REF!</v>
      </c>
      <c r="Q42" s="75">
        <f>IF(WAElec09_08!O42+IDElec12_07!P42=0,,WAElec09_08!O42+IDElec12_07!P42)</f>
        <v>0</v>
      </c>
      <c r="R42" s="75">
        <f>IF(WAElec09_08!P42+IDElec12_07!Q42=0,,WAElec09_08!P42+IDElec12_07!Q42)</f>
        <v>3</v>
      </c>
      <c r="S42" s="75">
        <f>IF(WAElec09_08!Q42+IDElec12_07!R42=0,,WAElec09_08!Q42+IDElec12_07!R42)</f>
        <v>0</v>
      </c>
      <c r="T42" s="75">
        <f>IF(WAElec09_08!R42+IDElec12_07!S42=0,,WAElec09_08!R42+IDElec12_07!S42)</f>
        <v>80</v>
      </c>
      <c r="U42" s="75">
        <f>IF(WAElec09_08!S42+IDElec12_07!T42=0,,WAElec09_08!S42+IDElec12_07!T42)</f>
        <v>86</v>
      </c>
      <c r="V42" s="75">
        <f>IF(WAElec09_08!T42+IDElec12_07!U42=0,,WAElec09_08!T42+IDElec12_07!U42)</f>
        <v>0</v>
      </c>
      <c r="W42" s="75">
        <f>IF(WAElec09_08!AC42+IDElec12_07!AA42=0,,WAElec09_08!AC42+IDElec12_07!AA42)</f>
        <v>0</v>
      </c>
      <c r="X42" s="75">
        <f>IF(WAElec09_08!U42+IDElec12_07!V42=0,,WAElec09_08!U42+IDElec12_07!V42)</f>
        <v>-62</v>
      </c>
      <c r="Y42" s="75">
        <f>IF(WAElec09_08!AD42+IDElec12_07!W42=0,,WAElec09_08!AD42+IDElec12_07!W42)</f>
        <v>0</v>
      </c>
      <c r="Z42" s="75" t="e">
        <f>IF(WAElec09_08!AE42+IDElec12_07!#REF!=0,,WAElec09_08!AE42+IDElec12_07!#REF!)</f>
        <v>#REF!</v>
      </c>
      <c r="AA42" s="75" t="e">
        <f>IF(WAElec09_08!#REF!+IDElec12_07!#REF!=0,,WAElec09_08!#REF!+IDElec12_07!#REF!)</f>
        <v>#REF!</v>
      </c>
      <c r="AB42" s="75" t="e">
        <f>IF(WAElec09_08!#REF!+IDElec12_07!#REF!=0,,WAElec09_08!#REF!+IDElec12_07!#REF!)</f>
        <v>#REF!</v>
      </c>
      <c r="AC42" s="75" t="e">
        <f>IF(WAElec09_08!#REF!+IDElec12_07!Y42=0,,WAElec09_08!#REF!+IDElec12_07!Y42)</f>
        <v>#REF!</v>
      </c>
      <c r="AD42" s="75" t="e">
        <f>IF(WAElec09_08!#REF!+IDElec12_07!#REF!=0,,WAElec09_08!#REF!+IDElec12_07!#REF!)</f>
        <v>#REF!</v>
      </c>
      <c r="AE42" s="75" t="e">
        <f>IF(WAElec09_08!#REF!+IDElec12_07!AB42=0,,WAElec09_08!#REF!+IDElec12_07!AB42)</f>
        <v>#REF!</v>
      </c>
      <c r="AF42" s="75">
        <f>IF(WAElec09_08!AG42+IDElec12_07!AG42=0,,WAElec09_08!AG42+IDElec12_07!AG42)</f>
        <v>65001</v>
      </c>
      <c r="AG42" s="75" t="e">
        <f>IF(WAElec09_08!#REF!+IDElec12_07!#REF!=0,,WAElec09_08!#REF!+IDElec12_07!#REF!)</f>
        <v>#REF!</v>
      </c>
      <c r="AH42" s="75" t="e">
        <f>IF(WAElec09_08!AH42+IDElec12_07!#REF!=0,,WAElec09_08!AH42+IDElec12_07!#REF!)</f>
        <v>#REF!</v>
      </c>
      <c r="AI42" s="75" t="e">
        <f>IF(WAElec09_08!#REF!+IDElec12_07!#REF!=0,,WAElec09_08!#REF!+IDElec12_07!#REF!)</f>
        <v>#REF!</v>
      </c>
      <c r="AJ42" s="75" t="e">
        <f>IF(WAElec09_08!AA42+IDElec12_07!#REF!=0,,WAElec09_08!AA42+IDElec12_07!#REF!)</f>
        <v>#REF!</v>
      </c>
      <c r="AK42" s="75" t="e">
        <f>IF(WAElec09_08!AJ42+IDElec12_07!#REF!=0,,WAElec09_08!AJ42+IDElec12_07!#REF!)</f>
        <v>#REF!</v>
      </c>
      <c r="AL42" s="75" t="e">
        <f>IF(WAElec09_08!AK42+IDElec12_07!#REF!=0,,WAElec09_08!AK42+IDElec12_07!#REF!)</f>
        <v>#REF!</v>
      </c>
      <c r="AM42" s="75" t="e">
        <f>IF(WAElec09_08!#REF!+IDElec12_07!#REF!=0,,WAElec09_08!#REF!+IDElec12_07!#REF!)</f>
        <v>#REF!</v>
      </c>
      <c r="AN42" s="75" t="e">
        <f>IF(WAElec09_08!#REF!+IDElec12_07!#REF!=0,,WAElec09_08!#REF!+IDElec12_07!#REF!)</f>
        <v>#REF!</v>
      </c>
      <c r="AO42" s="75">
        <f>IF(WAElec09_08!AM42+IDElec12_07!AL42=0,,WAElec09_08!AM42+IDElec12_07!AL42)</f>
        <v>509</v>
      </c>
      <c r="AP42" s="75">
        <f>IF(WAElec09_08!AN42+IDElec12_07!AM42=0,,WAElec09_08!AN42+IDElec12_07!AM42)</f>
        <v>2033</v>
      </c>
      <c r="AQ42" s="75">
        <f>IF(WAElec09_08!BC42+IDElec12_07!AO42=0,,WAElec09_08!BC42+IDElec12_07!AO42)</f>
        <v>0</v>
      </c>
      <c r="AR42" s="75">
        <f>IF(WAElec09_08!BD42+IDElec12_07!AP42=0,,WAElec09_08!BD42+IDElec12_07!AP42)</f>
        <v>49720</v>
      </c>
      <c r="AS42" s="75"/>
      <c r="AT42" s="75" t="e">
        <f>IF(WAElec09_08!BG42+IDElec12_07!#REF!=0,,WAElec09_08!BG42+IDElec12_07!#REF!)</f>
        <v>#REF!</v>
      </c>
    </row>
    <row r="43" spans="1:46" s="34" customFormat="1">
      <c r="A43" s="32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</row>
    <row r="44" spans="1:46" s="34" customFormat="1">
      <c r="A44" s="32">
        <v>23</v>
      </c>
      <c r="B44" s="34" t="s">
        <v>106</v>
      </c>
      <c r="E44" s="75">
        <f>IF(WAElec09_08!E43+IDElec12_07!E43=0,,WAElec09_08!E43+IDElec12_07!E43)</f>
        <v>731619</v>
      </c>
      <c r="F44" s="75">
        <f>IF(WAElec09_08!F43+IDElec12_07!F43=0,,WAElec09_08!F43+IDElec12_07!F43)</f>
        <v>0</v>
      </c>
      <c r="G44" s="75">
        <f>IF(WAElec09_08!G43+IDElec12_07!G43=0,,WAElec09_08!G43+IDElec12_07!G43)</f>
        <v>0</v>
      </c>
      <c r="H44" s="75">
        <f>IF(WAElec09_08!H43+IDElec12_07!H43=0,,WAElec09_08!H43+IDElec12_07!H43)</f>
        <v>-202</v>
      </c>
      <c r="I44" s="75">
        <f>IF(WAElec09_08!I43+IDElec12_07!I43=0,,WAElec09_08!I43+IDElec12_07!I43)</f>
        <v>0</v>
      </c>
      <c r="J44" s="75">
        <f>IF(WAElec09_08!J43+IDElec12_07!J43=0,,WAElec09_08!J43+IDElec12_07!J43)</f>
        <v>0</v>
      </c>
      <c r="K44" s="75">
        <f>IF(WAElec09_08!K43+IDElec12_07!K43=0,,WAElec09_08!K43+IDElec12_07!K43)</f>
        <v>0</v>
      </c>
      <c r="L44" s="75">
        <f>IF(WAElec09_08!L43+IDElec12_07!L43=0,,WAElec09_08!L43+IDElec12_07!L43)</f>
        <v>-60</v>
      </c>
      <c r="M44" s="75">
        <f>IF(WAElec09_08!M43+IDElec12_07!M43=0,,WAElec09_08!M43+IDElec12_07!M43)</f>
        <v>0</v>
      </c>
      <c r="N44" s="75" t="e">
        <f>IF(WAElec09_08!#REF!+IDElec12_07!#REF!=0,,WAElec09_08!#REF!+IDElec12_07!#REF!)</f>
        <v>#REF!</v>
      </c>
      <c r="O44" s="75">
        <f>IF(WAElec09_08!N43+IDElec12_07!N43=0,,WAElec09_08!N43+IDElec12_07!N43)</f>
        <v>731357</v>
      </c>
      <c r="P44" s="75" t="e">
        <f>IF(WAElec09_08!#REF!+IDElec12_07!#REF!=0,,WAElec09_08!#REF!+IDElec12_07!#REF!)</f>
        <v>#REF!</v>
      </c>
      <c r="Q44" s="75">
        <f>IF(WAElec09_08!O43+IDElec12_07!P43=0,,WAElec09_08!O43+IDElec12_07!P43)</f>
        <v>-13726</v>
      </c>
      <c r="R44" s="75">
        <f>IF(WAElec09_08!P43+IDElec12_07!Q43=0,,WAElec09_08!P43+IDElec12_07!Q43)</f>
        <v>1445</v>
      </c>
      <c r="S44" s="75">
        <f>IF(WAElec09_08!Q43+IDElec12_07!R43=0,,WAElec09_08!Q43+IDElec12_07!R43)</f>
        <v>-108</v>
      </c>
      <c r="T44" s="75">
        <f>IF(WAElec09_08!R43+IDElec12_07!S43=0,,WAElec09_08!R43+IDElec12_07!S43)</f>
        <v>80</v>
      </c>
      <c r="U44" s="75">
        <f>IF(WAElec09_08!S43+IDElec12_07!T43=0,,WAElec09_08!S43+IDElec12_07!T43)</f>
        <v>86</v>
      </c>
      <c r="V44" s="75">
        <f>IF(WAElec09_08!T43+IDElec12_07!U43=0,,WAElec09_08!T43+IDElec12_07!U43)</f>
        <v>0</v>
      </c>
      <c r="W44" s="75">
        <f>IF(WAElec09_08!AC43+IDElec12_07!AA43=0,,WAElec09_08!AC43+IDElec12_07!AA43)</f>
        <v>0</v>
      </c>
      <c r="X44" s="75">
        <f>IF(WAElec09_08!U43+IDElec12_07!V43=0,,WAElec09_08!U43+IDElec12_07!V43)</f>
        <v>-19096</v>
      </c>
      <c r="Y44" s="75">
        <f>IF(WAElec09_08!AD43+IDElec12_07!W43=0,,WAElec09_08!AD43+IDElec12_07!W43)</f>
        <v>0</v>
      </c>
      <c r="Z44" s="75" t="e">
        <f>IF(WAElec09_08!AE43+IDElec12_07!#REF!=0,,WAElec09_08!AE43+IDElec12_07!#REF!)</f>
        <v>#REF!</v>
      </c>
      <c r="AA44" s="75" t="e">
        <f>IF(WAElec09_08!#REF!+IDElec12_07!#REF!=0,,WAElec09_08!#REF!+IDElec12_07!#REF!)</f>
        <v>#REF!</v>
      </c>
      <c r="AB44" s="75" t="e">
        <f>IF(WAElec09_08!#REF!+IDElec12_07!#REF!=0,,WAElec09_08!#REF!+IDElec12_07!#REF!)</f>
        <v>#REF!</v>
      </c>
      <c r="AC44" s="75" t="e">
        <f>IF(WAElec09_08!#REF!+IDElec12_07!Y43=0,,WAElec09_08!#REF!+IDElec12_07!Y43)</f>
        <v>#REF!</v>
      </c>
      <c r="AD44" s="75" t="e">
        <f>IF(WAElec09_08!#REF!+IDElec12_07!#REF!=0,,WAElec09_08!#REF!+IDElec12_07!#REF!)</f>
        <v>#REF!</v>
      </c>
      <c r="AE44" s="75" t="e">
        <f>IF(WAElec09_08!#REF!+IDElec12_07!AB43=0,,WAElec09_08!#REF!+IDElec12_07!AB43)</f>
        <v>#REF!</v>
      </c>
      <c r="AF44" s="75">
        <f>IF(WAElec09_08!AG43+IDElec12_07!AG43=0,,WAElec09_08!AG43+IDElec12_07!AG43)</f>
        <v>692926</v>
      </c>
      <c r="AG44" s="75" t="e">
        <f>IF(WAElec09_08!#REF!+IDElec12_07!#REF!=0,,WAElec09_08!#REF!+IDElec12_07!#REF!)</f>
        <v>#REF!</v>
      </c>
      <c r="AH44" s="75" t="e">
        <f>IF(WAElec09_08!AH43+IDElec12_07!#REF!=0,,WAElec09_08!AH43+IDElec12_07!#REF!)</f>
        <v>#REF!</v>
      </c>
      <c r="AI44" s="75" t="e">
        <f>IF(WAElec09_08!#REF!+IDElec12_07!#REF!=0,,WAElec09_08!#REF!+IDElec12_07!#REF!)</f>
        <v>#REF!</v>
      </c>
      <c r="AJ44" s="75" t="e">
        <f>IF(WAElec09_08!AA43+IDElec12_07!#REF!=0,,WAElec09_08!AA43+IDElec12_07!#REF!)</f>
        <v>#REF!</v>
      </c>
      <c r="AK44" s="75" t="e">
        <f>IF(WAElec09_08!AJ43+IDElec12_07!#REF!=0,,WAElec09_08!AJ43+IDElec12_07!#REF!)</f>
        <v>#REF!</v>
      </c>
      <c r="AL44" s="75" t="e">
        <f>IF(WAElec09_08!AK43+IDElec12_07!#REF!=0,,WAElec09_08!AK43+IDElec12_07!#REF!)</f>
        <v>#REF!</v>
      </c>
      <c r="AM44" s="75" t="e">
        <f>IF(WAElec09_08!#REF!+IDElec12_07!#REF!=0,,WAElec09_08!#REF!+IDElec12_07!#REF!)</f>
        <v>#REF!</v>
      </c>
      <c r="AN44" s="75" t="e">
        <f>IF(WAElec09_08!#REF!+IDElec12_07!#REF!=0,,WAElec09_08!#REF!+IDElec12_07!#REF!)</f>
        <v>#REF!</v>
      </c>
      <c r="AO44" s="75">
        <f>IF(WAElec09_08!AM43+IDElec12_07!AL43=0,,WAElec09_08!AM43+IDElec12_07!AL43)</f>
        <v>728</v>
      </c>
      <c r="AP44" s="75">
        <f>IF(WAElec09_08!AN43+IDElec12_07!AM43=0,,WAElec09_08!AN43+IDElec12_07!AM43)</f>
        <v>4471</v>
      </c>
      <c r="AQ44" s="75">
        <f>IF(WAElec09_08!BC43+IDElec12_07!AO43=0,,WAElec09_08!BC43+IDElec12_07!AO43)</f>
        <v>0</v>
      </c>
      <c r="AR44" s="75">
        <f>IF(WAElec09_08!BD43+IDElec12_07!AP43=0,,WAElec09_08!BD43+IDElec12_07!AP43)</f>
        <v>393778.5</v>
      </c>
      <c r="AS44" s="75"/>
      <c r="AT44" s="75" t="e">
        <f>IF(WAElec09_08!BG43+IDElec12_07!#REF!=0,,WAElec09_08!BG43+IDElec12_07!#REF!)</f>
        <v>#REF!</v>
      </c>
    </row>
    <row r="45" spans="1:46" s="34" customFormat="1">
      <c r="A45" s="32"/>
      <c r="E45" s="74">
        <f>IF(WAElec09_08!E44+IDElec12_07!E44=0,,WAElec09_08!E44+IDElec12_07!E44)</f>
        <v>0</v>
      </c>
      <c r="F45" s="74">
        <f>IF(WAElec09_08!F44+IDElec12_07!F44=0,,WAElec09_08!F44+IDElec12_07!F44)</f>
        <v>0</v>
      </c>
      <c r="G45" s="74">
        <f>IF(WAElec09_08!G44+IDElec12_07!G44=0,,WAElec09_08!G44+IDElec12_07!G44)</f>
        <v>0</v>
      </c>
      <c r="H45" s="74">
        <f>IF(WAElec09_08!H44+IDElec12_07!H44=0,,WAElec09_08!H44+IDElec12_07!H44)</f>
        <v>0</v>
      </c>
      <c r="I45" s="74">
        <f>IF(WAElec09_08!I44+IDElec12_07!I44=0,,WAElec09_08!I44+IDElec12_07!I44)</f>
        <v>0</v>
      </c>
      <c r="J45" s="74">
        <f>IF(WAElec09_08!J44+IDElec12_07!J44=0,,WAElec09_08!J44+IDElec12_07!J44)</f>
        <v>0</v>
      </c>
      <c r="K45" s="74">
        <f>IF(WAElec09_08!K44+IDElec12_07!K44=0,,WAElec09_08!K44+IDElec12_07!K44)</f>
        <v>0</v>
      </c>
      <c r="L45" s="74">
        <f>IF(WAElec09_08!L44+IDElec12_07!L44=0,,WAElec09_08!L44+IDElec12_07!L44)</f>
        <v>0</v>
      </c>
      <c r="M45" s="74">
        <f>IF(WAElec09_08!M44+IDElec12_07!M44=0,,WAElec09_08!M44+IDElec12_07!M44)</f>
        <v>0</v>
      </c>
      <c r="N45" s="74" t="e">
        <f>IF(WAElec09_08!#REF!+IDElec12_07!#REF!=0,,WAElec09_08!#REF!+IDElec12_07!#REF!)</f>
        <v>#REF!</v>
      </c>
      <c r="O45" s="74">
        <f>IF(WAElec09_08!N44+IDElec12_07!N44=0,,WAElec09_08!N44+IDElec12_07!N44)</f>
        <v>0</v>
      </c>
      <c r="P45" s="74" t="e">
        <f>IF(WAElec09_08!#REF!+IDElec12_07!#REF!=0,,WAElec09_08!#REF!+IDElec12_07!#REF!)</f>
        <v>#REF!</v>
      </c>
      <c r="Q45" s="74">
        <f>IF(WAElec09_08!O44+IDElec12_07!P44=0,,WAElec09_08!O44+IDElec12_07!P44)</f>
        <v>0</v>
      </c>
      <c r="R45" s="74">
        <f>IF(WAElec09_08!P44+IDElec12_07!Q44=0,,WAElec09_08!P44+IDElec12_07!Q44)</f>
        <v>0</v>
      </c>
      <c r="S45" s="74">
        <f>IF(WAElec09_08!Q44+IDElec12_07!R44=0,,WAElec09_08!Q44+IDElec12_07!R44)</f>
        <v>0</v>
      </c>
      <c r="T45" s="74">
        <f>IF(WAElec09_08!R44+IDElec12_07!S44=0,,WAElec09_08!R44+IDElec12_07!S44)</f>
        <v>0</v>
      </c>
      <c r="U45" s="74">
        <f>IF(WAElec09_08!S44+IDElec12_07!T44=0,,WAElec09_08!S44+IDElec12_07!T44)</f>
        <v>0</v>
      </c>
      <c r="V45" s="74">
        <f>IF(WAElec09_08!T44+IDElec12_07!U44=0,,WAElec09_08!T44+IDElec12_07!U44)</f>
        <v>0</v>
      </c>
      <c r="W45" s="74">
        <f>IF(WAElec09_08!AC44+IDElec12_07!AA44=0,,WAElec09_08!AC44+IDElec12_07!AA44)</f>
        <v>0</v>
      </c>
      <c r="X45" s="74">
        <f>IF(WAElec09_08!U44+IDElec12_07!V44=0,,WAElec09_08!U44+IDElec12_07!V44)</f>
        <v>0</v>
      </c>
      <c r="Y45" s="74">
        <f>IF(WAElec09_08!AD44+IDElec12_07!W44=0,,WAElec09_08!AD44+IDElec12_07!W44)</f>
        <v>0</v>
      </c>
      <c r="Z45" s="74" t="e">
        <f>IF(WAElec09_08!AE44+IDElec12_07!#REF!=0,,WAElec09_08!AE44+IDElec12_07!#REF!)</f>
        <v>#REF!</v>
      </c>
      <c r="AA45" s="74" t="e">
        <f>IF(WAElec09_08!#REF!+IDElec12_07!#REF!=0,,WAElec09_08!#REF!+IDElec12_07!#REF!)</f>
        <v>#REF!</v>
      </c>
      <c r="AB45" s="74" t="e">
        <f>IF(WAElec09_08!#REF!+IDElec12_07!#REF!=0,,WAElec09_08!#REF!+IDElec12_07!#REF!)</f>
        <v>#REF!</v>
      </c>
      <c r="AC45" s="74" t="e">
        <f>IF(WAElec09_08!#REF!+IDElec12_07!Y44=0,,WAElec09_08!#REF!+IDElec12_07!Y44)</f>
        <v>#REF!</v>
      </c>
      <c r="AD45" s="74" t="e">
        <f>IF(WAElec09_08!#REF!+IDElec12_07!#REF!=0,,WAElec09_08!#REF!+IDElec12_07!#REF!)</f>
        <v>#REF!</v>
      </c>
      <c r="AE45" s="74" t="e">
        <f>IF(WAElec09_08!#REF!+IDElec12_07!AB44=0,,WAElec09_08!#REF!+IDElec12_07!AB44)</f>
        <v>#REF!</v>
      </c>
      <c r="AF45" s="74">
        <f>IF(WAElec09_08!AG44+IDElec12_07!AG44=0,,WAElec09_08!AG44+IDElec12_07!AG44)</f>
        <v>0</v>
      </c>
      <c r="AG45" s="74" t="e">
        <f>IF(WAElec09_08!#REF!+IDElec12_07!#REF!=0,,WAElec09_08!#REF!+IDElec12_07!#REF!)</f>
        <v>#REF!</v>
      </c>
      <c r="AH45" s="74" t="e">
        <f>IF(WAElec09_08!AH44+IDElec12_07!#REF!=0,,WAElec09_08!AH44+IDElec12_07!#REF!)</f>
        <v>#REF!</v>
      </c>
      <c r="AI45" s="74" t="e">
        <f>IF(WAElec09_08!#REF!+IDElec12_07!#REF!=0,,WAElec09_08!#REF!+IDElec12_07!#REF!)</f>
        <v>#REF!</v>
      </c>
      <c r="AJ45" s="74" t="e">
        <f>IF(WAElec09_08!AA44+IDElec12_07!#REF!=0,,WAElec09_08!AA44+IDElec12_07!#REF!)</f>
        <v>#REF!</v>
      </c>
      <c r="AK45" s="74" t="e">
        <f>IF(WAElec09_08!AJ44+IDElec12_07!#REF!=0,,WAElec09_08!AJ44+IDElec12_07!#REF!)</f>
        <v>#REF!</v>
      </c>
      <c r="AL45" s="74" t="e">
        <f>IF(WAElec09_08!AK44+IDElec12_07!#REF!=0,,WAElec09_08!AK44+IDElec12_07!#REF!)</f>
        <v>#REF!</v>
      </c>
      <c r="AM45" s="74" t="e">
        <f>IF(WAElec09_08!#REF!+IDElec12_07!#REF!=0,,WAElec09_08!#REF!+IDElec12_07!#REF!)</f>
        <v>#REF!</v>
      </c>
      <c r="AN45" s="74" t="e">
        <f>IF(WAElec09_08!#REF!+IDElec12_07!#REF!=0,,WAElec09_08!#REF!+IDElec12_07!#REF!)</f>
        <v>#REF!</v>
      </c>
      <c r="AO45" s="74">
        <f>IF(WAElec09_08!AM44+IDElec12_07!AL44=0,,WAElec09_08!AM44+IDElec12_07!AL44)</f>
        <v>0</v>
      </c>
      <c r="AP45" s="74">
        <f>IF(WAElec09_08!AN44+IDElec12_07!AM44=0,,WAElec09_08!AN44+IDElec12_07!AM44)</f>
        <v>0</v>
      </c>
      <c r="AQ45" s="74">
        <f>IF(WAElec09_08!BC44+IDElec12_07!AO44=0,,WAElec09_08!BC44+IDElec12_07!AO44)</f>
        <v>0</v>
      </c>
      <c r="AR45" s="74">
        <f>IF(WAElec09_08!BD44+IDElec12_07!AP44=0,,WAElec09_08!BD44+IDElec12_07!AP44)</f>
        <v>0</v>
      </c>
      <c r="AS45" s="74"/>
      <c r="AT45" s="74" t="e">
        <f>IF(WAElec09_08!BG44+IDElec12_07!#REF!=0,,WAElec09_08!BG44+IDElec12_07!#REF!)</f>
        <v>#REF!</v>
      </c>
    </row>
    <row r="46" spans="1:46" s="34" customFormat="1">
      <c r="A46" s="32">
        <v>24</v>
      </c>
      <c r="B46" s="34" t="s">
        <v>107</v>
      </c>
      <c r="E46" s="74">
        <f>IF(WAElec09_08!E45+IDElec12_07!E45=0,,WAElec09_08!E45+IDElec12_07!E45)</f>
        <v>140288</v>
      </c>
      <c r="F46" s="74">
        <f>IF(WAElec09_08!F45+IDElec12_07!F45=0,,WAElec09_08!F45+IDElec12_07!F45)</f>
        <v>0</v>
      </c>
      <c r="G46" s="74">
        <f>IF(WAElec09_08!G45+IDElec12_07!G45=0,,WAElec09_08!G45+IDElec12_07!G45)</f>
        <v>0</v>
      </c>
      <c r="H46" s="74">
        <f>IF(WAElec09_08!H45+IDElec12_07!H45=0,,WAElec09_08!H45+IDElec12_07!H45)</f>
        <v>202</v>
      </c>
      <c r="I46" s="74">
        <f>IF(WAElec09_08!I45+IDElec12_07!I45=0,,WAElec09_08!I45+IDElec12_07!I45)</f>
        <v>0</v>
      </c>
      <c r="J46" s="74">
        <f>IF(WAElec09_08!J45+IDElec12_07!J45=0,,WAElec09_08!J45+IDElec12_07!J45)</f>
        <v>0</v>
      </c>
      <c r="K46" s="74">
        <f>IF(WAElec09_08!K45+IDElec12_07!K45=0,,WAElec09_08!K45+IDElec12_07!K45)</f>
        <v>0</v>
      </c>
      <c r="L46" s="74">
        <f>IF(WAElec09_08!L45+IDElec12_07!L45=0,,WAElec09_08!L45+IDElec12_07!L45)</f>
        <v>60</v>
      </c>
      <c r="M46" s="74">
        <f>IF(WAElec09_08!M45+IDElec12_07!M45=0,,WAElec09_08!M45+IDElec12_07!M45)</f>
        <v>0</v>
      </c>
      <c r="N46" s="74" t="e">
        <f>IF(WAElec09_08!#REF!+IDElec12_07!#REF!=0,,WAElec09_08!#REF!+IDElec12_07!#REF!)</f>
        <v>#REF!</v>
      </c>
      <c r="O46" s="74">
        <f>IF(WAElec09_08!N45+IDElec12_07!N45=0,,WAElec09_08!N45+IDElec12_07!N45)</f>
        <v>140550</v>
      </c>
      <c r="P46" s="74" t="e">
        <f>IF(WAElec09_08!#REF!+IDElec12_07!#REF!=0,,WAElec09_08!#REF!+IDElec12_07!#REF!)</f>
        <v>#REF!</v>
      </c>
      <c r="Q46" s="74">
        <f>IF(WAElec09_08!O45+IDElec12_07!P45=0,,WAElec09_08!O45+IDElec12_07!P45)</f>
        <v>-34</v>
      </c>
      <c r="R46" s="74">
        <f>IF(WAElec09_08!P45+IDElec12_07!Q45=0,,WAElec09_08!P45+IDElec12_07!Q45)</f>
        <v>-1445</v>
      </c>
      <c r="S46" s="74">
        <f>IF(WAElec09_08!Q45+IDElec12_07!R45=0,,WAElec09_08!Q45+IDElec12_07!R45)</f>
        <v>108</v>
      </c>
      <c r="T46" s="74">
        <f>IF(WAElec09_08!R45+IDElec12_07!S45=0,,WAElec09_08!R45+IDElec12_07!S45)</f>
        <v>-80</v>
      </c>
      <c r="U46" s="74">
        <f>IF(WAElec09_08!S45+IDElec12_07!T45=0,,WAElec09_08!S45+IDElec12_07!T45)</f>
        <v>-86</v>
      </c>
      <c r="V46" s="74">
        <f>IF(WAElec09_08!T45+IDElec12_07!U45=0,,WAElec09_08!T45+IDElec12_07!U45)</f>
        <v>0</v>
      </c>
      <c r="W46" s="74">
        <f>IF(WAElec09_08!AC45+IDElec12_07!AA45=0,,WAElec09_08!AC45+IDElec12_07!AA45)</f>
        <v>0</v>
      </c>
      <c r="X46" s="74">
        <f>IF(WAElec09_08!U45+IDElec12_07!V45=0,,WAElec09_08!U45+IDElec12_07!V45)</f>
        <v>-13606</v>
      </c>
      <c r="Y46" s="74">
        <f>IF(WAElec09_08!AD45+IDElec12_07!W45=0,,WAElec09_08!AD45+IDElec12_07!W45)</f>
        <v>0</v>
      </c>
      <c r="Z46" s="74" t="e">
        <f>IF(WAElec09_08!AE45+IDElec12_07!#REF!=0,,WAElec09_08!AE45+IDElec12_07!#REF!)</f>
        <v>#REF!</v>
      </c>
      <c r="AA46" s="74" t="e">
        <f>IF(WAElec09_08!#REF!+IDElec12_07!#REF!=0,,WAElec09_08!#REF!+IDElec12_07!#REF!)</f>
        <v>#REF!</v>
      </c>
      <c r="AB46" s="74" t="e">
        <f>IF(WAElec09_08!#REF!+IDElec12_07!#REF!=0,,WAElec09_08!#REF!+IDElec12_07!#REF!)</f>
        <v>#REF!</v>
      </c>
      <c r="AC46" s="74" t="e">
        <f>IF(WAElec09_08!#REF!+IDElec12_07!Y45=0,,WAElec09_08!#REF!+IDElec12_07!Y45)</f>
        <v>#REF!</v>
      </c>
      <c r="AD46" s="74" t="e">
        <f>IF(WAElec09_08!#REF!+IDElec12_07!#REF!=0,,WAElec09_08!#REF!+IDElec12_07!#REF!)</f>
        <v>#REF!</v>
      </c>
      <c r="AE46" s="74" t="e">
        <f>IF(WAElec09_08!#REF!+IDElec12_07!AB45=0,,WAElec09_08!#REF!+IDElec12_07!AB45)</f>
        <v>#REF!</v>
      </c>
      <c r="AF46" s="74">
        <f>IF(WAElec09_08!AG45+IDElec12_07!AG45=0,,WAElec09_08!AG45+IDElec12_07!AG45)</f>
        <v>161701</v>
      </c>
      <c r="AG46" s="74" t="e">
        <f>IF(WAElec09_08!#REF!+IDElec12_07!#REF!=0,,WAElec09_08!#REF!+IDElec12_07!#REF!)</f>
        <v>#REF!</v>
      </c>
      <c r="AH46" s="74" t="e">
        <f>IF(WAElec09_08!AH45+IDElec12_07!#REF!=0,,WAElec09_08!AH45+IDElec12_07!#REF!)</f>
        <v>#REF!</v>
      </c>
      <c r="AI46" s="74" t="e">
        <f>IF(WAElec09_08!#REF!+IDElec12_07!#REF!=0,,WAElec09_08!#REF!+IDElec12_07!#REF!)</f>
        <v>#REF!</v>
      </c>
      <c r="AJ46" s="74" t="e">
        <f>IF(WAElec09_08!AA45+IDElec12_07!#REF!=0,,WAElec09_08!AA45+IDElec12_07!#REF!)</f>
        <v>#REF!</v>
      </c>
      <c r="AK46" s="74" t="e">
        <f>IF(WAElec09_08!AJ45+IDElec12_07!#REF!=0,,WAElec09_08!AJ45+IDElec12_07!#REF!)</f>
        <v>#REF!</v>
      </c>
      <c r="AL46" s="74" t="e">
        <f>IF(WAElec09_08!AK45+IDElec12_07!#REF!=0,,WAElec09_08!AK45+IDElec12_07!#REF!)</f>
        <v>#REF!</v>
      </c>
      <c r="AM46" s="74" t="e">
        <f>IF(WAElec09_08!#REF!+IDElec12_07!#REF!=0,,WAElec09_08!#REF!+IDElec12_07!#REF!)</f>
        <v>#REF!</v>
      </c>
      <c r="AN46" s="74" t="e">
        <f>IF(WAElec09_08!#REF!+IDElec12_07!#REF!=0,,WAElec09_08!#REF!+IDElec12_07!#REF!)</f>
        <v>#REF!</v>
      </c>
      <c r="AO46" s="74">
        <f>IF(WAElec09_08!AM45+IDElec12_07!AL45=0,,WAElec09_08!AM45+IDElec12_07!AL45)</f>
        <v>-728</v>
      </c>
      <c r="AP46" s="74">
        <f>IF(WAElec09_08!AN45+IDElec12_07!AM45=0,,WAElec09_08!AN45+IDElec12_07!AM45)</f>
        <v>-4471</v>
      </c>
      <c r="AQ46" s="74">
        <f>IF(WAElec09_08!BC45+IDElec12_07!AO45=0,,WAElec09_08!BC45+IDElec12_07!AO45)</f>
        <v>0</v>
      </c>
      <c r="AR46" s="74">
        <f>IF(WAElec09_08!BD45+IDElec12_07!AP45=0,,WAElec09_08!BD45+IDElec12_07!AP45)</f>
        <v>80897.5</v>
      </c>
      <c r="AS46" s="74"/>
      <c r="AT46" s="74" t="e">
        <f>IF(WAElec09_08!BG45+IDElec12_07!#REF!=0,,WAElec09_08!BG45+IDElec12_07!#REF!)</f>
        <v>#REF!</v>
      </c>
    </row>
    <row r="47" spans="1:46" s="34" customFormat="1">
      <c r="A47" s="32"/>
      <c r="E47" s="74">
        <f>IF(WAElec09_08!E46+IDElec12_07!E46=0,,WAElec09_08!E46+IDElec12_07!E46)</f>
        <v>0</v>
      </c>
      <c r="F47" s="74">
        <f>IF(WAElec09_08!F46+IDElec12_07!F46=0,,WAElec09_08!F46+IDElec12_07!F46)</f>
        <v>0</v>
      </c>
      <c r="G47" s="74">
        <f>IF(WAElec09_08!G46+IDElec12_07!G46=0,,WAElec09_08!G46+IDElec12_07!G46)</f>
        <v>0</v>
      </c>
      <c r="H47" s="74">
        <f>IF(WAElec09_08!H46+IDElec12_07!H46=0,,WAElec09_08!H46+IDElec12_07!H46)</f>
        <v>0</v>
      </c>
      <c r="I47" s="74">
        <f>IF(WAElec09_08!I46+IDElec12_07!I46=0,,WAElec09_08!I46+IDElec12_07!I46)</f>
        <v>0</v>
      </c>
      <c r="J47" s="74">
        <f>IF(WAElec09_08!J46+IDElec12_07!J46=0,,WAElec09_08!J46+IDElec12_07!J46)</f>
        <v>0</v>
      </c>
      <c r="K47" s="74">
        <f>IF(WAElec09_08!K46+IDElec12_07!K46=0,,WAElec09_08!K46+IDElec12_07!K46)</f>
        <v>0</v>
      </c>
      <c r="L47" s="74">
        <f>IF(WAElec09_08!L46+IDElec12_07!L46=0,,WAElec09_08!L46+IDElec12_07!L46)</f>
        <v>0</v>
      </c>
      <c r="M47" s="74">
        <f>IF(WAElec09_08!M46+IDElec12_07!M46=0,,WAElec09_08!M46+IDElec12_07!M46)</f>
        <v>0</v>
      </c>
      <c r="N47" s="74" t="e">
        <f>IF(WAElec09_08!#REF!+IDElec12_07!#REF!=0,,WAElec09_08!#REF!+IDElec12_07!#REF!)</f>
        <v>#REF!</v>
      </c>
      <c r="O47" s="74">
        <f>IF(WAElec09_08!N46+IDElec12_07!N46=0,,WAElec09_08!N46+IDElec12_07!N46)</f>
        <v>0</v>
      </c>
      <c r="P47" s="74" t="e">
        <f>IF(WAElec09_08!#REF!+IDElec12_07!#REF!=0,,WAElec09_08!#REF!+IDElec12_07!#REF!)</f>
        <v>#REF!</v>
      </c>
      <c r="Q47" s="74">
        <f>IF(WAElec09_08!O46+IDElec12_07!P46=0,,WAElec09_08!O46+IDElec12_07!P46)</f>
        <v>0</v>
      </c>
      <c r="R47" s="74">
        <f>IF(WAElec09_08!P46+IDElec12_07!Q46=0,,WAElec09_08!P46+IDElec12_07!Q46)</f>
        <v>0</v>
      </c>
      <c r="S47" s="74">
        <f>IF(WAElec09_08!Q46+IDElec12_07!R46=0,,WAElec09_08!Q46+IDElec12_07!R46)</f>
        <v>0</v>
      </c>
      <c r="T47" s="74">
        <f>IF(WAElec09_08!R46+IDElec12_07!S46=0,,WAElec09_08!R46+IDElec12_07!S46)</f>
        <v>0</v>
      </c>
      <c r="U47" s="74">
        <f>IF(WAElec09_08!S46+IDElec12_07!T46=0,,WAElec09_08!S46+IDElec12_07!T46)</f>
        <v>0</v>
      </c>
      <c r="V47" s="74">
        <f>IF(WAElec09_08!T46+IDElec12_07!U46=0,,WAElec09_08!T46+IDElec12_07!U46)</f>
        <v>0</v>
      </c>
      <c r="W47" s="74">
        <f>IF(WAElec09_08!AC46+IDElec12_07!AA46=0,,WAElec09_08!AC46+IDElec12_07!AA46)</f>
        <v>0</v>
      </c>
      <c r="X47" s="74">
        <f>IF(WAElec09_08!U46+IDElec12_07!V46=0,,WAElec09_08!U46+IDElec12_07!V46)</f>
        <v>0</v>
      </c>
      <c r="Y47" s="74">
        <f>IF(WAElec09_08!AD46+IDElec12_07!W46=0,,WAElec09_08!AD46+IDElec12_07!W46)</f>
        <v>0</v>
      </c>
      <c r="Z47" s="74" t="e">
        <f>IF(WAElec09_08!AE46+IDElec12_07!#REF!=0,,WAElec09_08!AE46+IDElec12_07!#REF!)</f>
        <v>#REF!</v>
      </c>
      <c r="AA47" s="74" t="e">
        <f>IF(WAElec09_08!#REF!+IDElec12_07!#REF!=0,,WAElec09_08!#REF!+IDElec12_07!#REF!)</f>
        <v>#REF!</v>
      </c>
      <c r="AB47" s="74" t="e">
        <f>IF(WAElec09_08!#REF!+IDElec12_07!#REF!=0,,WAElec09_08!#REF!+IDElec12_07!#REF!)</f>
        <v>#REF!</v>
      </c>
      <c r="AC47" s="74" t="e">
        <f>IF(WAElec09_08!#REF!+IDElec12_07!Y46=0,,WAElec09_08!#REF!+IDElec12_07!Y46)</f>
        <v>#REF!</v>
      </c>
      <c r="AD47" s="74" t="e">
        <f>IF(WAElec09_08!#REF!+IDElec12_07!#REF!=0,,WAElec09_08!#REF!+IDElec12_07!#REF!)</f>
        <v>#REF!</v>
      </c>
      <c r="AE47" s="74" t="e">
        <f>IF(WAElec09_08!#REF!+IDElec12_07!AB46=0,,WAElec09_08!#REF!+IDElec12_07!AB46)</f>
        <v>#REF!</v>
      </c>
      <c r="AF47" s="74">
        <f>IF(WAElec09_08!AG46+IDElec12_07!AG46=0,,WAElec09_08!AG46+IDElec12_07!AG46)</f>
        <v>0</v>
      </c>
      <c r="AG47" s="74" t="e">
        <f>IF(WAElec09_08!#REF!+IDElec12_07!#REF!=0,,WAElec09_08!#REF!+IDElec12_07!#REF!)</f>
        <v>#REF!</v>
      </c>
      <c r="AH47" s="74" t="e">
        <f>IF(WAElec09_08!AH46+IDElec12_07!#REF!=0,,WAElec09_08!AH46+IDElec12_07!#REF!)</f>
        <v>#REF!</v>
      </c>
      <c r="AI47" s="74" t="e">
        <f>IF(WAElec09_08!#REF!+IDElec12_07!#REF!=0,,WAElec09_08!#REF!+IDElec12_07!#REF!)</f>
        <v>#REF!</v>
      </c>
      <c r="AJ47" s="74" t="e">
        <f>IF(WAElec09_08!AA46+IDElec12_07!#REF!=0,,WAElec09_08!AA46+IDElec12_07!#REF!)</f>
        <v>#REF!</v>
      </c>
      <c r="AK47" s="74" t="e">
        <f>IF(WAElec09_08!AJ46+IDElec12_07!#REF!=0,,WAElec09_08!AJ46+IDElec12_07!#REF!)</f>
        <v>#REF!</v>
      </c>
      <c r="AL47" s="74" t="e">
        <f>IF(WAElec09_08!AK46+IDElec12_07!#REF!=0,,WAElec09_08!AK46+IDElec12_07!#REF!)</f>
        <v>#REF!</v>
      </c>
      <c r="AM47" s="74" t="e">
        <f>IF(WAElec09_08!#REF!+IDElec12_07!#REF!=0,,WAElec09_08!#REF!+IDElec12_07!#REF!)</f>
        <v>#REF!</v>
      </c>
      <c r="AN47" s="74" t="e">
        <f>IF(WAElec09_08!#REF!+IDElec12_07!#REF!=0,,WAElec09_08!#REF!+IDElec12_07!#REF!)</f>
        <v>#REF!</v>
      </c>
      <c r="AO47" s="74">
        <f>IF(WAElec09_08!AM46+IDElec12_07!AL46=0,,WAElec09_08!AM46+IDElec12_07!AL46)</f>
        <v>0</v>
      </c>
      <c r="AP47" s="74">
        <f>IF(WAElec09_08!AN46+IDElec12_07!AM46=0,,WAElec09_08!AN46+IDElec12_07!AM46)</f>
        <v>0</v>
      </c>
      <c r="AQ47" s="74">
        <f>IF(WAElec09_08!BC46+IDElec12_07!AO46=0,,WAElec09_08!BC46+IDElec12_07!AO46)</f>
        <v>0</v>
      </c>
      <c r="AR47" s="74">
        <f>IF(WAElec09_08!BD46+IDElec12_07!AP46=0,,WAElec09_08!BD46+IDElec12_07!AP46)</f>
        <v>0</v>
      </c>
      <c r="AS47" s="74"/>
      <c r="AT47" s="74" t="e">
        <f>IF(WAElec09_08!BG46+IDElec12_07!#REF!=0,,WAElec09_08!BG46+IDElec12_07!#REF!)</f>
        <v>#REF!</v>
      </c>
    </row>
    <row r="48" spans="1:46" s="34" customFormat="1">
      <c r="A48" s="32"/>
      <c r="B48" s="34" t="s">
        <v>108</v>
      </c>
      <c r="E48" s="74">
        <f>IF(WAElec09_08!E47+IDElec12_07!E47=0,,WAElec09_08!E47+IDElec12_07!E47)</f>
        <v>0</v>
      </c>
      <c r="F48" s="74">
        <f>IF(WAElec09_08!F47+IDElec12_07!F47=0,,WAElec09_08!F47+IDElec12_07!F47)</f>
        <v>0</v>
      </c>
      <c r="G48" s="74">
        <f>IF(WAElec09_08!G47+IDElec12_07!G47=0,,WAElec09_08!G47+IDElec12_07!G47)</f>
        <v>0</v>
      </c>
      <c r="H48" s="74">
        <f>IF(WAElec09_08!H47+IDElec12_07!H47=0,,WAElec09_08!H47+IDElec12_07!H47)</f>
        <v>0</v>
      </c>
      <c r="I48" s="74">
        <f>IF(WAElec09_08!I47+IDElec12_07!I47=0,,WAElec09_08!I47+IDElec12_07!I47)</f>
        <v>0</v>
      </c>
      <c r="J48" s="74">
        <f>IF(WAElec09_08!J47+IDElec12_07!J47=0,,WAElec09_08!J47+IDElec12_07!J47)</f>
        <v>0</v>
      </c>
      <c r="K48" s="74">
        <f>IF(WAElec09_08!K47+IDElec12_07!K47=0,,WAElec09_08!K47+IDElec12_07!K47)</f>
        <v>0</v>
      </c>
      <c r="L48" s="74">
        <f>IF(WAElec09_08!L47+IDElec12_07!L47=0,,WAElec09_08!L47+IDElec12_07!L47)</f>
        <v>0</v>
      </c>
      <c r="M48" s="74">
        <f>IF(WAElec09_08!M47+IDElec12_07!M47=0,,WAElec09_08!M47+IDElec12_07!M47)</f>
        <v>0</v>
      </c>
      <c r="N48" s="74" t="e">
        <f>IF(WAElec09_08!#REF!+IDElec12_07!#REF!=0,,WAElec09_08!#REF!+IDElec12_07!#REF!)</f>
        <v>#REF!</v>
      </c>
      <c r="O48" s="74">
        <f>IF(WAElec09_08!N47+IDElec12_07!N47=0,,WAElec09_08!N47+IDElec12_07!N47)</f>
        <v>0</v>
      </c>
      <c r="P48" s="74" t="e">
        <f>IF(WAElec09_08!#REF!+IDElec12_07!#REF!=0,,WAElec09_08!#REF!+IDElec12_07!#REF!)</f>
        <v>#REF!</v>
      </c>
      <c r="Q48" s="74">
        <f>IF(WAElec09_08!O47+IDElec12_07!P47=0,,WAElec09_08!O47+IDElec12_07!P47)</f>
        <v>0</v>
      </c>
      <c r="R48" s="74">
        <f>IF(WAElec09_08!P47+IDElec12_07!Q47=0,,WAElec09_08!P47+IDElec12_07!Q47)</f>
        <v>0</v>
      </c>
      <c r="S48" s="74">
        <f>IF(WAElec09_08!Q47+IDElec12_07!R47=0,,WAElec09_08!Q47+IDElec12_07!R47)</f>
        <v>0</v>
      </c>
      <c r="T48" s="74">
        <f>IF(WAElec09_08!R47+IDElec12_07!S47=0,,WAElec09_08!R47+IDElec12_07!S47)</f>
        <v>0</v>
      </c>
      <c r="U48" s="74">
        <f>IF(WAElec09_08!S47+IDElec12_07!T47=0,,WAElec09_08!S47+IDElec12_07!T47)</f>
        <v>0</v>
      </c>
      <c r="V48" s="74">
        <f>IF(WAElec09_08!T47+IDElec12_07!U47=0,,WAElec09_08!T47+IDElec12_07!U47)</f>
        <v>0</v>
      </c>
      <c r="W48" s="74">
        <f>IF(WAElec09_08!AC47+IDElec12_07!AA47=0,,WAElec09_08!AC47+IDElec12_07!AA47)</f>
        <v>0</v>
      </c>
      <c r="X48" s="74">
        <f>IF(WAElec09_08!U47+IDElec12_07!V47=0,,WAElec09_08!U47+IDElec12_07!V47)</f>
        <v>0</v>
      </c>
      <c r="Y48" s="74">
        <f>IF(WAElec09_08!AD47+IDElec12_07!W47=0,,WAElec09_08!AD47+IDElec12_07!W47)</f>
        <v>0</v>
      </c>
      <c r="Z48" s="74" t="e">
        <f>IF(WAElec09_08!AE47+IDElec12_07!#REF!=0,,WAElec09_08!AE47+IDElec12_07!#REF!)</f>
        <v>#REF!</v>
      </c>
      <c r="AA48" s="74" t="e">
        <f>IF(WAElec09_08!#REF!+IDElec12_07!#REF!=0,,WAElec09_08!#REF!+IDElec12_07!#REF!)</f>
        <v>#REF!</v>
      </c>
      <c r="AB48" s="74" t="e">
        <f>IF(WAElec09_08!#REF!+IDElec12_07!#REF!=0,,WAElec09_08!#REF!+IDElec12_07!#REF!)</f>
        <v>#REF!</v>
      </c>
      <c r="AC48" s="74" t="e">
        <f>IF(WAElec09_08!#REF!+IDElec12_07!Y47=0,,WAElec09_08!#REF!+IDElec12_07!Y47)</f>
        <v>#REF!</v>
      </c>
      <c r="AD48" s="74" t="e">
        <f>IF(WAElec09_08!#REF!+IDElec12_07!#REF!=0,,WAElec09_08!#REF!+IDElec12_07!#REF!)</f>
        <v>#REF!</v>
      </c>
      <c r="AE48" s="74" t="e">
        <f>IF(WAElec09_08!#REF!+IDElec12_07!AB47=0,,WAElec09_08!#REF!+IDElec12_07!AB47)</f>
        <v>#REF!</v>
      </c>
      <c r="AF48" s="74">
        <f>IF(WAElec09_08!AG47+IDElec12_07!AG47=0,,WAElec09_08!AG47+IDElec12_07!AG47)</f>
        <v>0</v>
      </c>
      <c r="AG48" s="74" t="e">
        <f>IF(WAElec09_08!#REF!+IDElec12_07!#REF!=0,,WAElec09_08!#REF!+IDElec12_07!#REF!)</f>
        <v>#REF!</v>
      </c>
      <c r="AH48" s="74" t="e">
        <f>IF(WAElec09_08!AH47+IDElec12_07!#REF!=0,,WAElec09_08!AH47+IDElec12_07!#REF!)</f>
        <v>#REF!</v>
      </c>
      <c r="AI48" s="74" t="e">
        <f>IF(WAElec09_08!#REF!+IDElec12_07!#REF!=0,,WAElec09_08!#REF!+IDElec12_07!#REF!)</f>
        <v>#REF!</v>
      </c>
      <c r="AJ48" s="74" t="e">
        <f>IF(WAElec09_08!AA47+IDElec12_07!#REF!=0,,WAElec09_08!AA47+IDElec12_07!#REF!)</f>
        <v>#REF!</v>
      </c>
      <c r="AK48" s="74" t="e">
        <f>IF(WAElec09_08!AJ47+IDElec12_07!#REF!=0,,WAElec09_08!AJ47+IDElec12_07!#REF!)</f>
        <v>#REF!</v>
      </c>
      <c r="AL48" s="74" t="e">
        <f>IF(WAElec09_08!AK47+IDElec12_07!#REF!=0,,WAElec09_08!AK47+IDElec12_07!#REF!)</f>
        <v>#REF!</v>
      </c>
      <c r="AM48" s="74" t="e">
        <f>IF(WAElec09_08!#REF!+IDElec12_07!#REF!=0,,WAElec09_08!#REF!+IDElec12_07!#REF!)</f>
        <v>#REF!</v>
      </c>
      <c r="AN48" s="74" t="e">
        <f>IF(WAElec09_08!#REF!+IDElec12_07!#REF!=0,,WAElec09_08!#REF!+IDElec12_07!#REF!)</f>
        <v>#REF!</v>
      </c>
      <c r="AO48" s="74">
        <f>IF(WAElec09_08!AM47+IDElec12_07!AL47=0,,WAElec09_08!AM47+IDElec12_07!AL47)</f>
        <v>0</v>
      </c>
      <c r="AP48" s="74">
        <f>IF(WAElec09_08!AN47+IDElec12_07!AM47=0,,WAElec09_08!AN47+IDElec12_07!AM47)</f>
        <v>0</v>
      </c>
      <c r="AQ48" s="74">
        <f>IF(WAElec09_08!BC47+IDElec12_07!AO47=0,,WAElec09_08!BC47+IDElec12_07!AO47)</f>
        <v>0</v>
      </c>
      <c r="AR48" s="74">
        <f>IF(WAElec09_08!BD47+IDElec12_07!AP47=0,,WAElec09_08!BD47+IDElec12_07!AP47)</f>
        <v>0</v>
      </c>
      <c r="AS48" s="74"/>
      <c r="AT48" s="74" t="e">
        <f>IF(WAElec09_08!BG47+IDElec12_07!#REF!=0,,WAElec09_08!BG47+IDElec12_07!#REF!)</f>
        <v>#REF!</v>
      </c>
    </row>
    <row r="49" spans="1:47" s="34" customFormat="1">
      <c r="A49" s="32">
        <v>25</v>
      </c>
      <c r="B49" s="34" t="s">
        <v>109</v>
      </c>
      <c r="E49" s="74">
        <f>IF(WAElec09_08!E48+IDElec12_07!E48=0,,WAElec09_08!E48+IDElec12_07!E48)</f>
        <v>18789</v>
      </c>
      <c r="F49" s="74">
        <f>IF(WAElec09_08!F48+IDElec12_07!F48=0,,WAElec09_08!F48+IDElec12_07!F48)</f>
        <v>0</v>
      </c>
      <c r="G49" s="74">
        <f>IF(WAElec09_08!G48+IDElec12_07!G48=0,,WAElec09_08!G48+IDElec12_07!G48)</f>
        <v>0</v>
      </c>
      <c r="H49" s="74">
        <f>IF(WAElec09_08!H48+IDElec12_07!H48=0,,WAElec09_08!H48+IDElec12_07!H48)</f>
        <v>0</v>
      </c>
      <c r="I49" s="74">
        <f>IF(WAElec09_08!I48+IDElec12_07!I48=0,,WAElec09_08!I48+IDElec12_07!I48)</f>
        <v>0</v>
      </c>
      <c r="J49" s="74">
        <f>IF(WAElec09_08!J48+IDElec12_07!J48=0,,WAElec09_08!J48+IDElec12_07!J48)</f>
        <v>0</v>
      </c>
      <c r="K49" s="74">
        <f>IF(WAElec09_08!K48+IDElec12_07!K48=0,,WAElec09_08!K48+IDElec12_07!K48)</f>
        <v>0</v>
      </c>
      <c r="L49" s="74">
        <f>IF(WAElec09_08!L48+IDElec12_07!L48=0,,WAElec09_08!L48+IDElec12_07!L48)</f>
        <v>21</v>
      </c>
      <c r="M49" s="74">
        <f>IF(WAElec09_08!M48+IDElec12_07!M48=0,,WAElec09_08!M48+IDElec12_07!M48)</f>
        <v>0</v>
      </c>
      <c r="N49" s="74" t="e">
        <f>IF(WAElec09_08!#REF!+IDElec12_07!#REF!=0,,WAElec09_08!#REF!+IDElec12_07!#REF!)</f>
        <v>#REF!</v>
      </c>
      <c r="O49" s="74">
        <f>IF(WAElec09_08!N48+IDElec12_07!N48=0,,WAElec09_08!N48+IDElec12_07!N48)</f>
        <v>18810</v>
      </c>
      <c r="P49" s="74" t="e">
        <f>IF(WAElec09_08!#REF!+IDElec12_07!#REF!=0,,WAElec09_08!#REF!+IDElec12_07!#REF!)</f>
        <v>#REF!</v>
      </c>
      <c r="Q49" s="74">
        <f>IF(WAElec09_08!O48+IDElec12_07!P48=0,,WAElec09_08!O48+IDElec12_07!P48)</f>
        <v>-12</v>
      </c>
      <c r="R49" s="74">
        <f>IF(WAElec09_08!P48+IDElec12_07!Q48=0,,WAElec09_08!P48+IDElec12_07!Q48)</f>
        <v>-506</v>
      </c>
      <c r="S49" s="74">
        <f>IF(WAElec09_08!Q48+IDElec12_07!R48=0,,WAElec09_08!Q48+IDElec12_07!R48)</f>
        <v>38</v>
      </c>
      <c r="T49" s="74">
        <f>IF(WAElec09_08!R48+IDElec12_07!S48=0,,WAElec09_08!R48+IDElec12_07!S48)</f>
        <v>-28</v>
      </c>
      <c r="U49" s="74">
        <f>IF(WAElec09_08!S48+IDElec12_07!T48=0,,WAElec09_08!S48+IDElec12_07!T48)</f>
        <v>-30</v>
      </c>
      <c r="V49" s="74">
        <f>IF(WAElec09_08!T48+IDElec12_07!U48=0,,WAElec09_08!T48+IDElec12_07!U48)</f>
        <v>1715</v>
      </c>
      <c r="W49" s="74">
        <f>IF(WAElec09_08!AC48+IDElec12_07!AA48=0,,WAElec09_08!AC48+IDElec12_07!AA48)</f>
        <v>-894.37865999999917</v>
      </c>
      <c r="X49" s="74">
        <f>IF(WAElec09_08!U48+IDElec12_07!V48=0,,WAElec09_08!U48+IDElec12_07!V48)</f>
        <v>-10946</v>
      </c>
      <c r="Y49" s="74">
        <f>IF(WAElec09_08!AD48+IDElec12_07!W48=0,,WAElec09_08!AD48+IDElec12_07!W48)</f>
        <v>0</v>
      </c>
      <c r="Z49" s="74" t="e">
        <f>IF(WAElec09_08!AE48+IDElec12_07!#REF!=0,,WAElec09_08!AE48+IDElec12_07!#REF!)</f>
        <v>#REF!</v>
      </c>
      <c r="AA49" s="74" t="e">
        <f>IF(WAElec09_08!#REF!+IDElec12_07!#REF!=0,,WAElec09_08!#REF!+IDElec12_07!#REF!)</f>
        <v>#REF!</v>
      </c>
      <c r="AB49" s="74" t="e">
        <f>IF(WAElec09_08!#REF!+IDElec12_07!#REF!=0,,WAElec09_08!#REF!+IDElec12_07!#REF!)</f>
        <v>#REF!</v>
      </c>
      <c r="AC49" s="74" t="e">
        <f>IF(WAElec09_08!#REF!+IDElec12_07!Y48=0,,WAElec09_08!#REF!+IDElec12_07!Y48)</f>
        <v>#REF!</v>
      </c>
      <c r="AD49" s="74" t="e">
        <f>IF(WAElec09_08!#REF!+IDElec12_07!#REF!=0,,WAElec09_08!#REF!+IDElec12_07!#REF!)</f>
        <v>#REF!</v>
      </c>
      <c r="AE49" s="74" t="e">
        <f>IF(WAElec09_08!#REF!+IDElec12_07!AB48=0,,WAElec09_08!#REF!+IDElec12_07!AB48)</f>
        <v>#REF!</v>
      </c>
      <c r="AF49" s="74">
        <f>IF(WAElec09_08!AG48+IDElec12_07!AG48=0,,WAElec09_08!AG48+IDElec12_07!AG48)</f>
        <v>20850.621340000002</v>
      </c>
      <c r="AG49" s="74" t="e">
        <f>IF(WAElec09_08!#REF!+IDElec12_07!#REF!=0,,WAElec09_08!#REF!+IDElec12_07!#REF!)</f>
        <v>#REF!</v>
      </c>
      <c r="AH49" s="74" t="e">
        <f>IF(WAElec09_08!AH48+IDElec12_07!#REF!=0,,WAElec09_08!AH48+IDElec12_07!#REF!)</f>
        <v>#REF!</v>
      </c>
      <c r="AI49" s="74" t="e">
        <f>IF(WAElec09_08!#REF!+IDElec12_07!#REF!=0,,WAElec09_08!#REF!+IDElec12_07!#REF!)</f>
        <v>#REF!</v>
      </c>
      <c r="AJ49" s="74" t="e">
        <f>IF(WAElec09_08!AA48+IDElec12_07!#REF!=0,,WAElec09_08!AA48+IDElec12_07!#REF!)</f>
        <v>#REF!</v>
      </c>
      <c r="AK49" s="74" t="e">
        <f>IF(WAElec09_08!AJ48+IDElec12_07!#REF!=0,,WAElec09_08!AJ48+IDElec12_07!#REF!)</f>
        <v>#REF!</v>
      </c>
      <c r="AL49" s="74" t="e">
        <f>IF(WAElec09_08!AK48+IDElec12_07!#REF!=0,,WAElec09_08!AK48+IDElec12_07!#REF!)</f>
        <v>#REF!</v>
      </c>
      <c r="AM49" s="74" t="e">
        <f>IF(WAElec09_08!#REF!+IDElec12_07!#REF!=0,,WAElec09_08!#REF!+IDElec12_07!#REF!)</f>
        <v>#REF!</v>
      </c>
      <c r="AN49" s="74" t="e">
        <f>IF(WAElec09_08!#REF!+IDElec12_07!#REF!=0,,WAElec09_08!#REF!+IDElec12_07!#REF!)</f>
        <v>#REF!</v>
      </c>
      <c r="AO49" s="74">
        <f>IF(WAElec09_08!AM48+IDElec12_07!AL48=0,,WAElec09_08!AM48+IDElec12_07!AL48)</f>
        <v>-255</v>
      </c>
      <c r="AP49" s="74">
        <f>IF(WAElec09_08!AN48+IDElec12_07!AM48=0,,WAElec09_08!AN48+IDElec12_07!AM48)</f>
        <v>-1565</v>
      </c>
      <c r="AQ49" s="74">
        <f>IF(WAElec09_08!BC48+IDElec12_07!AO48=0,,WAElec09_08!BC48+IDElec12_07!AO48)</f>
        <v>0</v>
      </c>
      <c r="AR49" s="74">
        <f>IF(WAElec09_08!BD48+IDElec12_07!AP48=0,,WAElec09_08!BD48+IDElec12_07!AP48)</f>
        <v>8709.6213400000015</v>
      </c>
      <c r="AS49" s="74"/>
      <c r="AT49" s="74" t="e">
        <f>IF(WAElec09_08!BG48+IDElec12_07!#REF!=0,,WAElec09_08!BG48+IDElec12_07!#REF!)</f>
        <v>#REF!</v>
      </c>
    </row>
    <row r="50" spans="1:47" s="34" customFormat="1">
      <c r="A50" s="32">
        <v>26</v>
      </c>
      <c r="B50" s="34" t="s">
        <v>110</v>
      </c>
      <c r="E50" s="74">
        <f>IF(WAElec09_08!E49+IDElec12_07!E49=0,,WAElec09_08!E49+IDElec12_07!E49)</f>
        <v>10648</v>
      </c>
      <c r="F50" s="74">
        <f>IF(WAElec09_08!F49+IDElec12_07!F49=0,,WAElec09_08!F49+IDElec12_07!F49)</f>
        <v>0</v>
      </c>
      <c r="G50" s="74">
        <f>IF(WAElec09_08!G49+IDElec12_07!G49=0,,WAElec09_08!G49+IDElec12_07!G49)</f>
        <v>0</v>
      </c>
      <c r="H50" s="74">
        <f>IF(WAElec09_08!H49+IDElec12_07!H49=0,,WAElec09_08!H49+IDElec12_07!H49)</f>
        <v>0</v>
      </c>
      <c r="I50" s="74">
        <f>IF(WAElec09_08!I49+IDElec12_07!I49=0,,WAElec09_08!I49+IDElec12_07!I49)</f>
        <v>0</v>
      </c>
      <c r="J50" s="74">
        <f>IF(WAElec09_08!J49+IDElec12_07!J49=0,,WAElec09_08!J49+IDElec12_07!J49)</f>
        <v>56</v>
      </c>
      <c r="K50" s="74">
        <f>IF(WAElec09_08!K49+IDElec12_07!K49=0,,WAElec09_08!K49+IDElec12_07!K49)</f>
        <v>0</v>
      </c>
      <c r="L50" s="74">
        <f>IF(WAElec09_08!L49+IDElec12_07!L49=0,,WAElec09_08!L49+IDElec12_07!L49)</f>
        <v>0</v>
      </c>
      <c r="M50" s="74">
        <f>IF(WAElec09_08!M49+IDElec12_07!M49=0,,WAElec09_08!M49+IDElec12_07!M49)</f>
        <v>0</v>
      </c>
      <c r="N50" s="74" t="e">
        <f>IF(WAElec09_08!#REF!+IDElec12_07!#REF!=0,,WAElec09_08!#REF!+IDElec12_07!#REF!)</f>
        <v>#REF!</v>
      </c>
      <c r="O50" s="74">
        <f>IF(WAElec09_08!N49+IDElec12_07!N49=0,,WAElec09_08!N49+IDElec12_07!N49)</f>
        <v>10704</v>
      </c>
      <c r="P50" s="74" t="e">
        <f>IF(WAElec09_08!#REF!+IDElec12_07!#REF!=0,,WAElec09_08!#REF!+IDElec12_07!#REF!)</f>
        <v>#REF!</v>
      </c>
      <c r="Q50" s="74">
        <f>IF(WAElec09_08!O49+IDElec12_07!P49=0,,WAElec09_08!O49+IDElec12_07!P49)</f>
        <v>0</v>
      </c>
      <c r="R50" s="74">
        <f>IF(WAElec09_08!P49+IDElec12_07!Q49=0,,WAElec09_08!P49+IDElec12_07!Q49)</f>
        <v>0</v>
      </c>
      <c r="S50" s="74">
        <f>IF(WAElec09_08!Q49+IDElec12_07!R49=0,,WAElec09_08!Q49+IDElec12_07!R49)</f>
        <v>0</v>
      </c>
      <c r="T50" s="74">
        <f>IF(WAElec09_08!R49+IDElec12_07!S49=0,,WAElec09_08!R49+IDElec12_07!S49)</f>
        <v>0</v>
      </c>
      <c r="U50" s="74">
        <f>IF(WAElec09_08!S49+IDElec12_07!T49=0,,WAElec09_08!S49+IDElec12_07!T49)</f>
        <v>0</v>
      </c>
      <c r="V50" s="74">
        <f>IF(WAElec09_08!T49+IDElec12_07!U49=0,,WAElec09_08!T49+IDElec12_07!U49)</f>
        <v>36</v>
      </c>
      <c r="W50" s="74">
        <f>IF(WAElec09_08!AC49+IDElec12_07!AA49=0,,WAElec09_08!AC49+IDElec12_07!AA49)</f>
        <v>0</v>
      </c>
      <c r="X50" s="74">
        <f>IF(WAElec09_08!U49+IDElec12_07!V49=0,,WAElec09_08!U49+IDElec12_07!V49)</f>
        <v>6184</v>
      </c>
      <c r="Y50" s="74">
        <f>IF(WAElec09_08!AD49+IDElec12_07!W49=0,,WAElec09_08!AD49+IDElec12_07!W49)</f>
        <v>0</v>
      </c>
      <c r="Z50" s="74" t="e">
        <f>IF(WAElec09_08!AE49+IDElec12_07!#REF!=0,,WAElec09_08!AE49+IDElec12_07!#REF!)</f>
        <v>#REF!</v>
      </c>
      <c r="AA50" s="74" t="e">
        <f>IF(WAElec09_08!#REF!+IDElec12_07!#REF!=0,,WAElec09_08!#REF!+IDElec12_07!#REF!)</f>
        <v>#REF!</v>
      </c>
      <c r="AB50" s="74" t="e">
        <f>IF(WAElec09_08!#REF!+IDElec12_07!#REF!=0,,WAElec09_08!#REF!+IDElec12_07!#REF!)</f>
        <v>#REF!</v>
      </c>
      <c r="AC50" s="74" t="e">
        <f>IF(WAElec09_08!#REF!+IDElec12_07!Y49=0,,WAElec09_08!#REF!+IDElec12_07!Y49)</f>
        <v>#REF!</v>
      </c>
      <c r="AD50" s="74" t="e">
        <f>IF(WAElec09_08!#REF!+IDElec12_07!#REF!=0,,WAElec09_08!#REF!+IDElec12_07!#REF!)</f>
        <v>#REF!</v>
      </c>
      <c r="AE50" s="74" t="e">
        <f>IF(WAElec09_08!#REF!+IDElec12_07!AB49=0,,WAElec09_08!#REF!+IDElec12_07!AB49)</f>
        <v>#REF!</v>
      </c>
      <c r="AF50" s="74">
        <f>IF(WAElec09_08!AG49+IDElec12_07!AG49=0,,WAElec09_08!AG49+IDElec12_07!AG49)</f>
        <v>16924</v>
      </c>
      <c r="AG50" s="74" t="e">
        <f>IF(WAElec09_08!#REF!+IDElec12_07!#REF!=0,,WAElec09_08!#REF!+IDElec12_07!#REF!)</f>
        <v>#REF!</v>
      </c>
      <c r="AH50" s="74" t="e">
        <f>IF(WAElec09_08!AH49+IDElec12_07!#REF!=0,,WAElec09_08!AH49+IDElec12_07!#REF!)</f>
        <v>#REF!</v>
      </c>
      <c r="AI50" s="74" t="e">
        <f>IF(WAElec09_08!#REF!+IDElec12_07!#REF!=0,,WAElec09_08!#REF!+IDElec12_07!#REF!)</f>
        <v>#REF!</v>
      </c>
      <c r="AJ50" s="74" t="e">
        <f>IF(WAElec09_08!AA49+IDElec12_07!#REF!=0,,WAElec09_08!AA49+IDElec12_07!#REF!)</f>
        <v>#REF!</v>
      </c>
      <c r="AK50" s="74" t="e">
        <f>IF(WAElec09_08!AJ49+IDElec12_07!#REF!=0,,WAElec09_08!AJ49+IDElec12_07!#REF!)</f>
        <v>#REF!</v>
      </c>
      <c r="AL50" s="74" t="e">
        <f>IF(WAElec09_08!AK49+IDElec12_07!#REF!=0,,WAElec09_08!AK49+IDElec12_07!#REF!)</f>
        <v>#REF!</v>
      </c>
      <c r="AM50" s="74" t="e">
        <f>IF(WAElec09_08!#REF!+IDElec12_07!#REF!=0,,WAElec09_08!#REF!+IDElec12_07!#REF!)</f>
        <v>#REF!</v>
      </c>
      <c r="AN50" s="74" t="e">
        <f>IF(WAElec09_08!#REF!+IDElec12_07!#REF!=0,,WAElec09_08!#REF!+IDElec12_07!#REF!)</f>
        <v>#REF!</v>
      </c>
      <c r="AO50" s="74">
        <f>IF(WAElec09_08!AM49+IDElec12_07!AL49=0,,WAElec09_08!AM49+IDElec12_07!AL49)</f>
        <v>0</v>
      </c>
      <c r="AP50" s="74">
        <f>IF(WAElec09_08!AN49+IDElec12_07!AM49=0,,WAElec09_08!AN49+IDElec12_07!AM49)</f>
        <v>0</v>
      </c>
      <c r="AQ50" s="74">
        <f>IF(WAElec09_08!BC49+IDElec12_07!AO49=0,,WAElec09_08!BC49+IDElec12_07!AO49)</f>
        <v>0</v>
      </c>
      <c r="AR50" s="74">
        <f>IF(WAElec09_08!BD49+IDElec12_07!AP49=0,,WAElec09_08!BD49+IDElec12_07!AP49)</f>
        <v>9346</v>
      </c>
      <c r="AS50" s="74"/>
      <c r="AT50" s="74" t="e">
        <f>IF(WAElec09_08!BG49+IDElec12_07!#REF!=0,,WAElec09_08!BG49+IDElec12_07!#REF!)</f>
        <v>#REF!</v>
      </c>
    </row>
    <row r="51" spans="1:47" s="34" customFormat="1">
      <c r="A51" s="32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</row>
    <row r="52" spans="1:47" s="34" customFormat="1">
      <c r="A52" s="32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</row>
    <row r="53" spans="1:47" s="34" customFormat="1">
      <c r="A53" s="32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</row>
    <row r="54" spans="1:47">
      <c r="E54" s="74">
        <f>IF(WAElec09_08!E51+IDElec12_07!E51=0,,WAElec09_08!E51+IDElec12_07!E51)</f>
        <v>0</v>
      </c>
      <c r="F54" s="74">
        <f>IF(WAElec09_08!F51+IDElec12_07!F51=0,,WAElec09_08!F51+IDElec12_07!F51)</f>
        <v>0</v>
      </c>
      <c r="G54" s="74">
        <f>IF(WAElec09_08!G51+IDElec12_07!G51=0,,WAElec09_08!G51+IDElec12_07!G51)</f>
        <v>0</v>
      </c>
      <c r="H54" s="74">
        <f>IF(WAElec09_08!H51+IDElec12_07!H51=0,,WAElec09_08!H51+IDElec12_07!H51)</f>
        <v>0</v>
      </c>
      <c r="I54" s="74">
        <f>IF(WAElec09_08!I51+IDElec12_07!I51=0,,WAElec09_08!I51+IDElec12_07!I51)</f>
        <v>0</v>
      </c>
      <c r="J54" s="74">
        <f>IF(WAElec09_08!J51+IDElec12_07!J51=0,,WAElec09_08!J51+IDElec12_07!J51)</f>
        <v>0</v>
      </c>
      <c r="K54" s="74">
        <f>IF(WAElec09_08!K51+IDElec12_07!K51=0,,WAElec09_08!K51+IDElec12_07!K51)</f>
        <v>0</v>
      </c>
      <c r="L54" s="74">
        <f>IF(WAElec09_08!L51+IDElec12_07!L51=0,,WAElec09_08!L51+IDElec12_07!L51)</f>
        <v>0</v>
      </c>
      <c r="M54" s="74">
        <f>IF(WAElec09_08!M51+IDElec12_07!M51=0,,WAElec09_08!M51+IDElec12_07!M51)</f>
        <v>0</v>
      </c>
      <c r="N54" s="74" t="e">
        <f>IF(WAElec09_08!#REF!+IDElec12_07!#REF!=0,,WAElec09_08!#REF!+IDElec12_07!#REF!)</f>
        <v>#REF!</v>
      </c>
      <c r="O54" s="74">
        <f>IF(WAElec09_08!N51+IDElec12_07!N51=0,,WAElec09_08!N51+IDElec12_07!N51)</f>
        <v>0</v>
      </c>
      <c r="P54" s="74" t="e">
        <f>IF(WAElec09_08!#REF!+IDElec12_07!#REF!=0,,WAElec09_08!#REF!+IDElec12_07!#REF!)</f>
        <v>#REF!</v>
      </c>
      <c r="Q54" s="74">
        <f>IF(WAElec09_08!O51+IDElec12_07!P51=0,,WAElec09_08!O51+IDElec12_07!P51)</f>
        <v>0</v>
      </c>
      <c r="R54" s="74">
        <f>IF(WAElec09_08!P51+IDElec12_07!Q51=0,,WAElec09_08!P51+IDElec12_07!Q51)</f>
        <v>0</v>
      </c>
      <c r="S54" s="74">
        <f>IF(WAElec09_08!Q51+IDElec12_07!R51=0,,WAElec09_08!Q51+IDElec12_07!R51)</f>
        <v>0</v>
      </c>
      <c r="T54" s="74">
        <f>IF(WAElec09_08!R51+IDElec12_07!S51=0,,WAElec09_08!R51+IDElec12_07!S51)</f>
        <v>0</v>
      </c>
      <c r="U54" s="74">
        <f>IF(WAElec09_08!S51+IDElec12_07!T51=0,,WAElec09_08!S51+IDElec12_07!T51)</f>
        <v>0</v>
      </c>
      <c r="V54" s="74">
        <f>IF(WAElec09_08!T51+IDElec12_07!U51=0,,WAElec09_08!T51+IDElec12_07!U51)</f>
        <v>0</v>
      </c>
      <c r="W54" s="74">
        <f>IF(WAElec09_08!AC51+IDElec12_07!AA51=0,,WAElec09_08!AC51+IDElec12_07!AA51)</f>
        <v>0</v>
      </c>
      <c r="X54" s="74">
        <f>IF(WAElec09_08!U51+IDElec12_07!V51=0,,WAElec09_08!U51+IDElec12_07!V51)</f>
        <v>0</v>
      </c>
      <c r="Y54" s="74">
        <f>IF(WAElec09_08!AD51+IDElec12_07!W51=0,,WAElec09_08!AD51+IDElec12_07!W51)</f>
        <v>0</v>
      </c>
      <c r="Z54" s="74" t="e">
        <f>IF(WAElec09_08!AE51+IDElec12_07!#REF!=0,,WAElec09_08!AE51+IDElec12_07!#REF!)</f>
        <v>#REF!</v>
      </c>
      <c r="AA54" s="74" t="e">
        <f>IF(WAElec09_08!#REF!+IDElec12_07!#REF!=0,,WAElec09_08!#REF!+IDElec12_07!#REF!)</f>
        <v>#REF!</v>
      </c>
      <c r="AB54" s="74" t="e">
        <f>IF(WAElec09_08!#REF!+IDElec12_07!#REF!=0,,WAElec09_08!#REF!+IDElec12_07!#REF!)</f>
        <v>#REF!</v>
      </c>
      <c r="AC54" s="74" t="e">
        <f>IF(WAElec09_08!#REF!+IDElec12_07!Y51=0,,WAElec09_08!#REF!+IDElec12_07!Y51)</f>
        <v>#REF!</v>
      </c>
      <c r="AD54" s="74" t="e">
        <f>IF(WAElec09_08!#REF!+IDElec12_07!#REF!=0,,WAElec09_08!#REF!+IDElec12_07!#REF!)</f>
        <v>#REF!</v>
      </c>
      <c r="AE54" s="74" t="e">
        <f>IF(WAElec09_08!#REF!+IDElec12_07!AB51=0,,WAElec09_08!#REF!+IDElec12_07!AB51)</f>
        <v>#REF!</v>
      </c>
      <c r="AF54" s="74">
        <f>IF(WAElec09_08!AG51+IDElec12_07!AG51=0,,WAElec09_08!AG51+IDElec12_07!AG51)</f>
        <v>0</v>
      </c>
      <c r="AG54" s="74" t="e">
        <f>IF(WAElec09_08!#REF!+IDElec12_07!#REF!=0,,WAElec09_08!#REF!+IDElec12_07!#REF!)</f>
        <v>#REF!</v>
      </c>
      <c r="AH54" s="74" t="e">
        <f>IF(WAElec09_08!AH51+IDElec12_07!#REF!=0,,WAElec09_08!AH51+IDElec12_07!#REF!)</f>
        <v>#REF!</v>
      </c>
      <c r="AI54" s="74" t="e">
        <f>IF(WAElec09_08!#REF!+IDElec12_07!#REF!=0,,WAElec09_08!#REF!+IDElec12_07!#REF!)</f>
        <v>#REF!</v>
      </c>
      <c r="AJ54" s="74" t="e">
        <f>IF(WAElec09_08!AA51+IDElec12_07!#REF!=0,,WAElec09_08!AA51+IDElec12_07!#REF!)</f>
        <v>#REF!</v>
      </c>
      <c r="AK54" s="74" t="e">
        <f>IF(WAElec09_08!AJ51+IDElec12_07!#REF!=0,,WAElec09_08!AJ51+IDElec12_07!#REF!)</f>
        <v>#REF!</v>
      </c>
      <c r="AL54" s="74" t="e">
        <f>IF(WAElec09_08!AK51+IDElec12_07!#REF!=0,,WAElec09_08!AK51+IDElec12_07!#REF!)</f>
        <v>#REF!</v>
      </c>
      <c r="AM54" s="74" t="e">
        <f>IF(WAElec09_08!#REF!+IDElec12_07!#REF!=0,,WAElec09_08!#REF!+IDElec12_07!#REF!)</f>
        <v>#REF!</v>
      </c>
      <c r="AN54" s="74" t="e">
        <f>IF(WAElec09_08!#REF!+IDElec12_07!#REF!=0,,WAElec09_08!#REF!+IDElec12_07!#REF!)</f>
        <v>#REF!</v>
      </c>
      <c r="AO54" s="74">
        <f>IF(WAElec09_08!AM51+IDElec12_07!AL51=0,,WAElec09_08!AM51+IDElec12_07!AL51)</f>
        <v>0</v>
      </c>
      <c r="AP54" s="74">
        <f>IF(WAElec09_08!AN51+IDElec12_07!AM51=0,,WAElec09_08!AN51+IDElec12_07!AM51)</f>
        <v>0</v>
      </c>
      <c r="AQ54" s="74">
        <f>IF(WAElec09_08!BC51+IDElec12_07!AO51=0,,WAElec09_08!BC51+IDElec12_07!AO51)</f>
        <v>0</v>
      </c>
      <c r="AR54" s="74">
        <f>IF(WAElec09_08!BD51+IDElec12_07!AP51=0,,WAElec09_08!BD51+IDElec12_07!AP51)</f>
        <v>0</v>
      </c>
      <c r="AS54" s="74"/>
      <c r="AT54" s="74" t="e">
        <f>IF(WAElec09_08!BG51+IDElec12_07!#REF!=0,,WAElec09_08!BG51+IDElec12_07!#REF!)</f>
        <v>#REF!</v>
      </c>
    </row>
    <row r="55" spans="1:47" s="33" customFormat="1" ht="12.75" thickBot="1">
      <c r="A55" s="32">
        <v>27</v>
      </c>
      <c r="B55" s="33" t="s">
        <v>113</v>
      </c>
      <c r="E55" s="77">
        <f>IF(WAElec09_08!E52+IDElec12_07!E52=0,,WAElec09_08!E52+IDElec12_07!E52)</f>
        <v>110851</v>
      </c>
      <c r="F55" s="77">
        <f>IF(WAElec09_08!F52+IDElec12_07!F52=0,,WAElec09_08!F52+IDElec12_07!F52)</f>
        <v>0</v>
      </c>
      <c r="G55" s="77">
        <f>IF(WAElec09_08!G52+IDElec12_07!G52=0,,WAElec09_08!G52+IDElec12_07!G52)</f>
        <v>0</v>
      </c>
      <c r="H55" s="77">
        <f>IF(WAElec09_08!H52+IDElec12_07!H52=0,,WAElec09_08!H52+IDElec12_07!H52)</f>
        <v>202</v>
      </c>
      <c r="I55" s="77">
        <f>IF(WAElec09_08!I52+IDElec12_07!I52=0,,WAElec09_08!I52+IDElec12_07!I52)</f>
        <v>0</v>
      </c>
      <c r="J55" s="77">
        <f>IF(WAElec09_08!J52+IDElec12_07!J52=0,,WAElec09_08!J52+IDElec12_07!J52)</f>
        <v>-56</v>
      </c>
      <c r="K55" s="77">
        <f>IF(WAElec09_08!K52+IDElec12_07!K52=0,,WAElec09_08!K52+IDElec12_07!K52)</f>
        <v>0</v>
      </c>
      <c r="L55" s="77">
        <f>IF(WAElec09_08!L52+IDElec12_07!L52=0,,WAElec09_08!L52+IDElec12_07!L52)</f>
        <v>39</v>
      </c>
      <c r="M55" s="77">
        <f>IF(WAElec09_08!M52+IDElec12_07!M52=0,,WAElec09_08!M52+IDElec12_07!M52)</f>
        <v>0</v>
      </c>
      <c r="N55" s="77" t="e">
        <f>IF(WAElec09_08!#REF!+IDElec12_07!#REF!=0,,WAElec09_08!#REF!+IDElec12_07!#REF!)</f>
        <v>#REF!</v>
      </c>
      <c r="O55" s="77">
        <f>IF(WAElec09_08!N52+IDElec12_07!N52=0,,WAElec09_08!N52+IDElec12_07!N52)</f>
        <v>111036</v>
      </c>
      <c r="P55" s="77" t="e">
        <f>IF(WAElec09_08!#REF!+IDElec12_07!#REF!=0,,WAElec09_08!#REF!+IDElec12_07!#REF!)</f>
        <v>#REF!</v>
      </c>
      <c r="Q55" s="77">
        <f>IF(WAElec09_08!O52+IDElec12_07!P52=0,,WAElec09_08!O52+IDElec12_07!P52)</f>
        <v>-22</v>
      </c>
      <c r="R55" s="77">
        <f>IF(WAElec09_08!P52+IDElec12_07!Q52=0,,WAElec09_08!P52+IDElec12_07!Q52)</f>
        <v>-939</v>
      </c>
      <c r="S55" s="77">
        <f>IF(WAElec09_08!Q52+IDElec12_07!R52=0,,WAElec09_08!Q52+IDElec12_07!R52)</f>
        <v>70</v>
      </c>
      <c r="T55" s="77">
        <f>IF(WAElec09_08!R52+IDElec12_07!S52=0,,WAElec09_08!R52+IDElec12_07!S52)</f>
        <v>-52</v>
      </c>
      <c r="U55" s="77">
        <f>IF(WAElec09_08!S52+IDElec12_07!T52=0,,WAElec09_08!S52+IDElec12_07!T52)</f>
        <v>-56</v>
      </c>
      <c r="V55" s="77">
        <f>IF(WAElec09_08!T52+IDElec12_07!U52=0,,WAElec09_08!T52+IDElec12_07!U52)</f>
        <v>-1751</v>
      </c>
      <c r="W55" s="77">
        <f>IF(WAElec09_08!AC52+IDElec12_07!AA52=0,,WAElec09_08!AC52+IDElec12_07!AA52)</f>
        <v>894.37865999999917</v>
      </c>
      <c r="X55" s="77">
        <f>IF(WAElec09_08!U52+IDElec12_07!V52=0,,WAElec09_08!U52+IDElec12_07!V52)</f>
        <v>-8844</v>
      </c>
      <c r="Y55" s="77">
        <f>IF(WAElec09_08!AD52+IDElec12_07!W52=0,,WAElec09_08!AD52+IDElec12_07!W52)</f>
        <v>0</v>
      </c>
      <c r="Z55" s="77" t="e">
        <f>IF(WAElec09_08!AE52+IDElec12_07!#REF!=0,,WAElec09_08!AE52+IDElec12_07!#REF!)</f>
        <v>#REF!</v>
      </c>
      <c r="AA55" s="77" t="e">
        <f>IF(WAElec09_08!#REF!+IDElec12_07!#REF!=0,,WAElec09_08!#REF!+IDElec12_07!#REF!)</f>
        <v>#REF!</v>
      </c>
      <c r="AB55" s="77" t="e">
        <f>IF(WAElec09_08!#REF!+IDElec12_07!#REF!=0,,WAElec09_08!#REF!+IDElec12_07!#REF!)</f>
        <v>#REF!</v>
      </c>
      <c r="AC55" s="77" t="e">
        <f>IF(WAElec09_08!#REF!+IDElec12_07!Y52=0,,WAElec09_08!#REF!+IDElec12_07!Y52)</f>
        <v>#REF!</v>
      </c>
      <c r="AD55" s="77" t="e">
        <f>IF(WAElec09_08!#REF!+IDElec12_07!#REF!=0,,WAElec09_08!#REF!+IDElec12_07!#REF!)</f>
        <v>#REF!</v>
      </c>
      <c r="AE55" s="77" t="e">
        <f>IF(WAElec09_08!#REF!+IDElec12_07!AB52=0,,WAElec09_08!#REF!+IDElec12_07!AB52)</f>
        <v>#REF!</v>
      </c>
      <c r="AF55" s="77">
        <f>IF(WAElec09_08!AG52+IDElec12_07!AG52=0,,WAElec09_08!AG52+IDElec12_07!AG52)</f>
        <v>123926.37866</v>
      </c>
      <c r="AG55" s="77" t="e">
        <f>IF(WAElec09_08!#REF!+IDElec12_07!#REF!=0,,WAElec09_08!#REF!+IDElec12_07!#REF!)</f>
        <v>#REF!</v>
      </c>
      <c r="AH55" s="77" t="e">
        <f>IF(WAElec09_08!AH52+IDElec12_07!#REF!=0,,WAElec09_08!AH52+IDElec12_07!#REF!)</f>
        <v>#REF!</v>
      </c>
      <c r="AI55" s="77" t="e">
        <f>IF(WAElec09_08!#REF!+IDElec12_07!#REF!=0,,WAElec09_08!#REF!+IDElec12_07!#REF!)</f>
        <v>#REF!</v>
      </c>
      <c r="AJ55" s="77" t="e">
        <f>IF(WAElec09_08!AA52+IDElec12_07!#REF!=0,,WAElec09_08!AA52+IDElec12_07!#REF!)</f>
        <v>#REF!</v>
      </c>
      <c r="AK55" s="77" t="e">
        <f>IF(WAElec09_08!AJ52+IDElec12_07!#REF!=0,,WAElec09_08!AJ52+IDElec12_07!#REF!)</f>
        <v>#REF!</v>
      </c>
      <c r="AL55" s="77" t="e">
        <f>IF(WAElec09_08!AK52+IDElec12_07!#REF!=0,,WAElec09_08!AK52+IDElec12_07!#REF!)</f>
        <v>#REF!</v>
      </c>
      <c r="AM55" s="77" t="e">
        <f>IF(WAElec09_08!#REF!+IDElec12_07!#REF!=0,,WAElec09_08!#REF!+IDElec12_07!#REF!)</f>
        <v>#REF!</v>
      </c>
      <c r="AN55" s="77" t="e">
        <f>IF(WAElec09_08!#REF!+IDElec12_07!#REF!=0,,WAElec09_08!#REF!+IDElec12_07!#REF!)</f>
        <v>#REF!</v>
      </c>
      <c r="AO55" s="77">
        <f>IF(WAElec09_08!AM52+IDElec12_07!AL52=0,,WAElec09_08!AM52+IDElec12_07!AL52)</f>
        <v>-473</v>
      </c>
      <c r="AP55" s="77">
        <f>IF(WAElec09_08!AN52+IDElec12_07!AM52=0,,WAElec09_08!AN52+IDElec12_07!AM52)</f>
        <v>-2906</v>
      </c>
      <c r="AQ55" s="77">
        <f>IF(WAElec09_08!BC52+IDElec12_07!AO52=0,,WAElec09_08!BC52+IDElec12_07!AO52)</f>
        <v>0</v>
      </c>
      <c r="AR55" s="77">
        <f>IF(WAElec09_08!BD52+IDElec12_07!AP52=0,,WAElec09_08!BD52+IDElec12_07!AP52)</f>
        <v>62841.878660000002</v>
      </c>
      <c r="AS55" s="77"/>
      <c r="AT55" s="77" t="e">
        <f>IF(WAElec09_08!BG52+IDElec12_07!#REF!=0,,WAElec09_08!BG52+IDElec12_07!#REF!)</f>
        <v>#REF!</v>
      </c>
      <c r="AU55" s="33">
        <f>IDElec12_07!AP52+WAElec09_08!BD52</f>
        <v>62841.878660000002</v>
      </c>
    </row>
    <row r="56" spans="1:47" ht="12.75" thickTop="1">
      <c r="E56" s="74">
        <f>IF(WAElec09_08!E53+IDElec12_07!E53=0,,WAElec09_08!E53+IDElec12_07!E53)</f>
        <v>0</v>
      </c>
      <c r="F56" s="74">
        <f>IF(WAElec09_08!F53+IDElec12_07!F53=0,,WAElec09_08!F53+IDElec12_07!F53)</f>
        <v>0</v>
      </c>
      <c r="G56" s="74">
        <f>IF(WAElec09_08!G53+IDElec12_07!G53=0,,WAElec09_08!G53+IDElec12_07!G53)</f>
        <v>0</v>
      </c>
      <c r="H56" s="74">
        <f>IF(WAElec09_08!H53+IDElec12_07!H53=0,,WAElec09_08!H53+IDElec12_07!H53)</f>
        <v>0</v>
      </c>
      <c r="I56" s="74">
        <f>IF(WAElec09_08!I53+IDElec12_07!I53=0,,WAElec09_08!I53+IDElec12_07!I53)</f>
        <v>0</v>
      </c>
      <c r="J56" s="74">
        <f>IF(WAElec09_08!J53+IDElec12_07!J53=0,,WAElec09_08!J53+IDElec12_07!J53)</f>
        <v>0</v>
      </c>
      <c r="K56" s="74">
        <f>IF(WAElec09_08!K53+IDElec12_07!K53=0,,WAElec09_08!K53+IDElec12_07!K53)</f>
        <v>0</v>
      </c>
      <c r="L56" s="74">
        <f>IF(WAElec09_08!L53+IDElec12_07!L53=0,,WAElec09_08!L53+IDElec12_07!L53)</f>
        <v>0</v>
      </c>
      <c r="M56" s="74">
        <f>IF(WAElec09_08!M53+IDElec12_07!M53=0,,WAElec09_08!M53+IDElec12_07!M53)</f>
        <v>0</v>
      </c>
      <c r="N56" s="74" t="e">
        <f>IF(WAElec09_08!#REF!+IDElec12_07!#REF!=0,,WAElec09_08!#REF!+IDElec12_07!#REF!)</f>
        <v>#REF!</v>
      </c>
      <c r="O56" s="74">
        <f>IF(WAElec09_08!N53+IDElec12_07!N53=0,,WAElec09_08!N53+IDElec12_07!N53)</f>
        <v>0</v>
      </c>
      <c r="P56" s="74" t="e">
        <f>IF(WAElec09_08!#REF!+IDElec12_07!#REF!=0,,WAElec09_08!#REF!+IDElec12_07!#REF!)</f>
        <v>#REF!</v>
      </c>
      <c r="Q56" s="74">
        <f>IF(WAElec09_08!O53+IDElec12_07!P53=0,,WAElec09_08!O53+IDElec12_07!P53)</f>
        <v>0</v>
      </c>
      <c r="R56" s="74">
        <f>IF(WAElec09_08!P53+IDElec12_07!Q53=0,,WAElec09_08!P53+IDElec12_07!Q53)</f>
        <v>0</v>
      </c>
      <c r="S56" s="74">
        <f>IF(WAElec09_08!Q53+IDElec12_07!R53=0,,WAElec09_08!Q53+IDElec12_07!R53)</f>
        <v>0</v>
      </c>
      <c r="T56" s="74">
        <f>IF(WAElec09_08!R53+IDElec12_07!S53=0,,WAElec09_08!R53+IDElec12_07!S53)</f>
        <v>0</v>
      </c>
      <c r="U56" s="74">
        <f>IF(WAElec09_08!S53+IDElec12_07!T53=0,,WAElec09_08!S53+IDElec12_07!T53)</f>
        <v>0</v>
      </c>
      <c r="V56" s="74">
        <f>IF(WAElec09_08!T53+IDElec12_07!U53=0,,WAElec09_08!T53+IDElec12_07!U53)</f>
        <v>0</v>
      </c>
      <c r="W56" s="74">
        <f>IF(WAElec09_08!AC53+IDElec12_07!AA53=0,,WAElec09_08!AC53+IDElec12_07!AA53)</f>
        <v>0</v>
      </c>
      <c r="X56" s="74">
        <f>IF(WAElec09_08!U53+IDElec12_07!V53=0,,WAElec09_08!U53+IDElec12_07!V53)</f>
        <v>0</v>
      </c>
      <c r="Y56" s="74">
        <f>IF(WAElec09_08!AD53+IDElec12_07!W53=0,,WAElec09_08!AD53+IDElec12_07!W53)</f>
        <v>0</v>
      </c>
      <c r="Z56" s="74" t="e">
        <f>IF(WAElec09_08!AE53+IDElec12_07!#REF!=0,,WAElec09_08!AE53+IDElec12_07!#REF!)</f>
        <v>#REF!</v>
      </c>
      <c r="AA56" s="74" t="e">
        <f>IF(WAElec09_08!#REF!+IDElec12_07!#REF!=0,,WAElec09_08!#REF!+IDElec12_07!#REF!)</f>
        <v>#REF!</v>
      </c>
      <c r="AB56" s="74" t="e">
        <f>IF(WAElec09_08!#REF!+IDElec12_07!#REF!=0,,WAElec09_08!#REF!+IDElec12_07!#REF!)</f>
        <v>#REF!</v>
      </c>
      <c r="AC56" s="74" t="e">
        <f>IF(WAElec09_08!#REF!+IDElec12_07!Y53=0,,WAElec09_08!#REF!+IDElec12_07!Y53)</f>
        <v>#REF!</v>
      </c>
      <c r="AD56" s="74" t="e">
        <f>IF(WAElec09_08!#REF!+IDElec12_07!#REF!=0,,WAElec09_08!#REF!+IDElec12_07!#REF!)</f>
        <v>#REF!</v>
      </c>
      <c r="AE56" s="74" t="e">
        <f>IF(WAElec09_08!#REF!+IDElec12_07!AB53=0,,WAElec09_08!#REF!+IDElec12_07!AB53)</f>
        <v>#REF!</v>
      </c>
      <c r="AF56" s="74">
        <f>IF(WAElec09_08!AG53+IDElec12_07!AG53=0,,WAElec09_08!AG53+IDElec12_07!AG53)</f>
        <v>0</v>
      </c>
      <c r="AG56" s="74" t="e">
        <f>IF(WAElec09_08!#REF!+IDElec12_07!#REF!=0,,WAElec09_08!#REF!+IDElec12_07!#REF!)</f>
        <v>#REF!</v>
      </c>
      <c r="AH56" s="74" t="e">
        <f>IF(WAElec09_08!AH53+IDElec12_07!#REF!=0,,WAElec09_08!AH53+IDElec12_07!#REF!)</f>
        <v>#REF!</v>
      </c>
      <c r="AI56" s="74" t="e">
        <f>IF(WAElec09_08!#REF!+IDElec12_07!#REF!=0,,WAElec09_08!#REF!+IDElec12_07!#REF!)</f>
        <v>#REF!</v>
      </c>
      <c r="AJ56" s="74" t="e">
        <f>IF(WAElec09_08!AA53+IDElec12_07!#REF!=0,,WAElec09_08!AA53+IDElec12_07!#REF!)</f>
        <v>#REF!</v>
      </c>
      <c r="AK56" s="74" t="e">
        <f>IF(WAElec09_08!AJ53+IDElec12_07!#REF!=0,,WAElec09_08!AJ53+IDElec12_07!#REF!)</f>
        <v>#REF!</v>
      </c>
      <c r="AL56" s="74" t="e">
        <f>IF(WAElec09_08!AK53+IDElec12_07!#REF!=0,,WAElec09_08!AK53+IDElec12_07!#REF!)</f>
        <v>#REF!</v>
      </c>
      <c r="AM56" s="74" t="e">
        <f>IF(WAElec09_08!#REF!+IDElec12_07!#REF!=0,,WAElec09_08!#REF!+IDElec12_07!#REF!)</f>
        <v>#REF!</v>
      </c>
      <c r="AN56" s="74" t="e">
        <f>IF(WAElec09_08!#REF!+IDElec12_07!#REF!=0,,WAElec09_08!#REF!+IDElec12_07!#REF!)</f>
        <v>#REF!</v>
      </c>
      <c r="AO56" s="74">
        <f>IF(WAElec09_08!AM53+IDElec12_07!AL53=0,,WAElec09_08!AM53+IDElec12_07!AL53)</f>
        <v>0</v>
      </c>
      <c r="AP56" s="74">
        <f>IF(WAElec09_08!AN53+IDElec12_07!AM53=0,,WAElec09_08!AN53+IDElec12_07!AM53)</f>
        <v>0</v>
      </c>
      <c r="AQ56" s="74">
        <f>IF(WAElec09_08!BC53+IDElec12_07!AO53=0,,WAElec09_08!BC53+IDElec12_07!AO53)</f>
        <v>0</v>
      </c>
      <c r="AR56" s="74">
        <f>IF(WAElec09_08!BD53+IDElec12_07!AP53=0,,WAElec09_08!BD53+IDElec12_07!AP53)</f>
        <v>0</v>
      </c>
      <c r="AS56" s="74"/>
      <c r="AT56" s="74" t="e">
        <f>IF(WAElec09_08!BG53+IDElec12_07!#REF!=0,,WAElec09_08!BG53+IDElec12_07!#REF!)</f>
        <v>#REF!</v>
      </c>
    </row>
    <row r="57" spans="1:47">
      <c r="B57" s="2" t="s">
        <v>114</v>
      </c>
      <c r="E57" s="74">
        <f>IF(WAElec09_08!E54+IDElec12_07!E54=0,,WAElec09_08!E54+IDElec12_07!E54)</f>
        <v>0</v>
      </c>
      <c r="F57" s="74">
        <f>IF(WAElec09_08!F54+IDElec12_07!F54=0,,WAElec09_08!F54+IDElec12_07!F54)</f>
        <v>0</v>
      </c>
      <c r="G57" s="74">
        <f>IF(WAElec09_08!G54+IDElec12_07!G54=0,,WAElec09_08!G54+IDElec12_07!G54)</f>
        <v>0</v>
      </c>
      <c r="H57" s="74">
        <f>IF(WAElec09_08!H54+IDElec12_07!H54=0,,WAElec09_08!H54+IDElec12_07!H54)</f>
        <v>0</v>
      </c>
      <c r="I57" s="74">
        <f>IF(WAElec09_08!I54+IDElec12_07!I54=0,,WAElec09_08!I54+IDElec12_07!I54)</f>
        <v>0</v>
      </c>
      <c r="J57" s="74">
        <f>IF(WAElec09_08!J54+IDElec12_07!J54=0,,WAElec09_08!J54+IDElec12_07!J54)</f>
        <v>0</v>
      </c>
      <c r="K57" s="74">
        <f>IF(WAElec09_08!K54+IDElec12_07!K54=0,,WAElec09_08!K54+IDElec12_07!K54)</f>
        <v>0</v>
      </c>
      <c r="L57" s="74">
        <f>IF(WAElec09_08!L54+IDElec12_07!L54=0,,WAElec09_08!L54+IDElec12_07!L54)</f>
        <v>0</v>
      </c>
      <c r="M57" s="74">
        <f>IF(WAElec09_08!M54+IDElec12_07!M54=0,,WAElec09_08!M54+IDElec12_07!M54)</f>
        <v>0</v>
      </c>
      <c r="N57" s="74" t="e">
        <f>IF(WAElec09_08!#REF!+IDElec12_07!#REF!=0,,WAElec09_08!#REF!+IDElec12_07!#REF!)</f>
        <v>#REF!</v>
      </c>
      <c r="O57" s="74">
        <f>IF(WAElec09_08!N54+IDElec12_07!N54=0,,WAElec09_08!N54+IDElec12_07!N54)</f>
        <v>0</v>
      </c>
      <c r="P57" s="74" t="e">
        <f>IF(WAElec09_08!#REF!+IDElec12_07!#REF!=0,,WAElec09_08!#REF!+IDElec12_07!#REF!)</f>
        <v>#REF!</v>
      </c>
      <c r="Q57" s="74">
        <f>IF(WAElec09_08!O54+IDElec12_07!P54=0,,WAElec09_08!O54+IDElec12_07!P54)</f>
        <v>0</v>
      </c>
      <c r="R57" s="74">
        <f>IF(WAElec09_08!P54+IDElec12_07!Q54=0,,WAElec09_08!P54+IDElec12_07!Q54)</f>
        <v>0</v>
      </c>
      <c r="S57" s="74">
        <f>IF(WAElec09_08!Q54+IDElec12_07!R54=0,,WAElec09_08!Q54+IDElec12_07!R54)</f>
        <v>0</v>
      </c>
      <c r="T57" s="74">
        <f>IF(WAElec09_08!R54+IDElec12_07!S54=0,,WAElec09_08!R54+IDElec12_07!S54)</f>
        <v>0</v>
      </c>
      <c r="U57" s="74">
        <f>IF(WAElec09_08!S54+IDElec12_07!T54=0,,WAElec09_08!S54+IDElec12_07!T54)</f>
        <v>0</v>
      </c>
      <c r="V57" s="74">
        <f>IF(WAElec09_08!T54+IDElec12_07!U54=0,,WAElec09_08!T54+IDElec12_07!U54)</f>
        <v>0</v>
      </c>
      <c r="W57" s="74">
        <f>IF(WAElec09_08!AC54+IDElec12_07!AA54=0,,WAElec09_08!AC54+IDElec12_07!AA54)</f>
        <v>0</v>
      </c>
      <c r="X57" s="74">
        <f>IF(WAElec09_08!U54+IDElec12_07!V54=0,,WAElec09_08!U54+IDElec12_07!V54)</f>
        <v>0</v>
      </c>
      <c r="Y57" s="74">
        <f>IF(WAElec09_08!AD54+IDElec12_07!W54=0,,WAElec09_08!AD54+IDElec12_07!W54)</f>
        <v>0</v>
      </c>
      <c r="Z57" s="74" t="e">
        <f>IF(WAElec09_08!AE54+IDElec12_07!#REF!=0,,WAElec09_08!AE54+IDElec12_07!#REF!)</f>
        <v>#REF!</v>
      </c>
      <c r="AA57" s="74" t="e">
        <f>IF(WAElec09_08!#REF!+IDElec12_07!#REF!=0,,WAElec09_08!#REF!+IDElec12_07!#REF!)</f>
        <v>#REF!</v>
      </c>
      <c r="AB57" s="74" t="e">
        <f>IF(WAElec09_08!#REF!+IDElec12_07!#REF!=0,,WAElec09_08!#REF!+IDElec12_07!#REF!)</f>
        <v>#REF!</v>
      </c>
      <c r="AC57" s="74" t="e">
        <f>IF(WAElec09_08!#REF!+IDElec12_07!Y54=0,,WAElec09_08!#REF!+IDElec12_07!Y54)</f>
        <v>#REF!</v>
      </c>
      <c r="AD57" s="74" t="e">
        <f>IF(WAElec09_08!#REF!+IDElec12_07!#REF!=0,,WAElec09_08!#REF!+IDElec12_07!#REF!)</f>
        <v>#REF!</v>
      </c>
      <c r="AE57" s="74" t="e">
        <f>IF(WAElec09_08!#REF!+IDElec12_07!AB54=0,,WAElec09_08!#REF!+IDElec12_07!AB54)</f>
        <v>#REF!</v>
      </c>
      <c r="AF57" s="74">
        <f>IF(WAElec09_08!AG54+IDElec12_07!AG54=0,,WAElec09_08!AG54+IDElec12_07!AG54)</f>
        <v>0</v>
      </c>
      <c r="AG57" s="74" t="e">
        <f>IF(WAElec09_08!#REF!+IDElec12_07!#REF!=0,,WAElec09_08!#REF!+IDElec12_07!#REF!)</f>
        <v>#REF!</v>
      </c>
      <c r="AH57" s="74" t="e">
        <f>IF(WAElec09_08!AH54+IDElec12_07!#REF!=0,,WAElec09_08!AH54+IDElec12_07!#REF!)</f>
        <v>#REF!</v>
      </c>
      <c r="AI57" s="74" t="e">
        <f>IF(WAElec09_08!#REF!+IDElec12_07!#REF!=0,,WAElec09_08!#REF!+IDElec12_07!#REF!)</f>
        <v>#REF!</v>
      </c>
      <c r="AJ57" s="74" t="e">
        <f>IF(WAElec09_08!AA54+IDElec12_07!#REF!=0,,WAElec09_08!AA54+IDElec12_07!#REF!)</f>
        <v>#REF!</v>
      </c>
      <c r="AK57" s="74" t="e">
        <f>IF(WAElec09_08!AJ54+IDElec12_07!#REF!=0,,WAElec09_08!AJ54+IDElec12_07!#REF!)</f>
        <v>#REF!</v>
      </c>
      <c r="AL57" s="74" t="e">
        <f>IF(WAElec09_08!AK54+IDElec12_07!#REF!=0,,WAElec09_08!AK54+IDElec12_07!#REF!)</f>
        <v>#REF!</v>
      </c>
      <c r="AM57" s="74" t="e">
        <f>IF(WAElec09_08!#REF!+IDElec12_07!#REF!=0,,WAElec09_08!#REF!+IDElec12_07!#REF!)</f>
        <v>#REF!</v>
      </c>
      <c r="AN57" s="74" t="e">
        <f>IF(WAElec09_08!#REF!+IDElec12_07!#REF!=0,,WAElec09_08!#REF!+IDElec12_07!#REF!)</f>
        <v>#REF!</v>
      </c>
      <c r="AO57" s="74">
        <f>IF(WAElec09_08!AM54+IDElec12_07!AL54=0,,WAElec09_08!AM54+IDElec12_07!AL54)</f>
        <v>0</v>
      </c>
      <c r="AP57" s="74">
        <f>IF(WAElec09_08!AN54+IDElec12_07!AM54=0,,WAElec09_08!AN54+IDElec12_07!AM54)</f>
        <v>0</v>
      </c>
      <c r="AQ57" s="74">
        <f>IF(WAElec09_08!BC54+IDElec12_07!AO54=0,,WAElec09_08!BC54+IDElec12_07!AO54)</f>
        <v>0</v>
      </c>
      <c r="AR57" s="74">
        <f>IF(WAElec09_08!BD54+IDElec12_07!AP54=0,,WAElec09_08!BD54+IDElec12_07!AP54)</f>
        <v>0</v>
      </c>
      <c r="AS57" s="74"/>
      <c r="AT57" s="74" t="e">
        <f>IF(WAElec09_08!BG54+IDElec12_07!#REF!=0,,WAElec09_08!BG54+IDElec12_07!#REF!)</f>
        <v>#REF!</v>
      </c>
    </row>
    <row r="58" spans="1:47">
      <c r="B58" s="2" t="s">
        <v>115</v>
      </c>
      <c r="E58" s="74">
        <f>IF(WAElec09_08!E55+IDElec12_07!E55=0,,WAElec09_08!E55+IDElec12_07!E55)</f>
        <v>0</v>
      </c>
      <c r="F58" s="74">
        <f>IF(WAElec09_08!F55+IDElec12_07!F55=0,,WAElec09_08!F55+IDElec12_07!F55)</f>
        <v>0</v>
      </c>
      <c r="G58" s="74">
        <f>IF(WAElec09_08!G55+IDElec12_07!G55=0,,WAElec09_08!G55+IDElec12_07!G55)</f>
        <v>0</v>
      </c>
      <c r="H58" s="74">
        <f>IF(WAElec09_08!H55+IDElec12_07!H55=0,,WAElec09_08!H55+IDElec12_07!H55)</f>
        <v>0</v>
      </c>
      <c r="I58" s="74">
        <f>IF(WAElec09_08!I55+IDElec12_07!I55=0,,WAElec09_08!I55+IDElec12_07!I55)</f>
        <v>0</v>
      </c>
      <c r="J58" s="74">
        <f>IF(WAElec09_08!J55+IDElec12_07!J55=0,,WAElec09_08!J55+IDElec12_07!J55)</f>
        <v>0</v>
      </c>
      <c r="K58" s="74">
        <f>IF(WAElec09_08!K55+IDElec12_07!K55=0,,WAElec09_08!K55+IDElec12_07!K55)</f>
        <v>0</v>
      </c>
      <c r="L58" s="74">
        <f>IF(WAElec09_08!L55+IDElec12_07!L55=0,,WAElec09_08!L55+IDElec12_07!L55)</f>
        <v>0</v>
      </c>
      <c r="M58" s="74">
        <f>IF(WAElec09_08!M55+IDElec12_07!M55=0,,WAElec09_08!M55+IDElec12_07!M55)</f>
        <v>0</v>
      </c>
      <c r="N58" s="74" t="e">
        <f>IF(WAElec09_08!#REF!+IDElec12_07!#REF!=0,,WAElec09_08!#REF!+IDElec12_07!#REF!)</f>
        <v>#REF!</v>
      </c>
      <c r="O58" s="74">
        <f>IF(WAElec09_08!N55+IDElec12_07!N55=0,,WAElec09_08!N55+IDElec12_07!N55)</f>
        <v>0</v>
      </c>
      <c r="P58" s="74" t="e">
        <f>IF(WAElec09_08!#REF!+IDElec12_07!#REF!=0,,WAElec09_08!#REF!+IDElec12_07!#REF!)</f>
        <v>#REF!</v>
      </c>
      <c r="Q58" s="74">
        <f>IF(WAElec09_08!O55+IDElec12_07!P55=0,,WAElec09_08!O55+IDElec12_07!P55)</f>
        <v>0</v>
      </c>
      <c r="R58" s="74">
        <f>IF(WAElec09_08!P55+IDElec12_07!Q55=0,,WAElec09_08!P55+IDElec12_07!Q55)</f>
        <v>0</v>
      </c>
      <c r="S58" s="74">
        <f>IF(WAElec09_08!Q55+IDElec12_07!R55=0,,WAElec09_08!Q55+IDElec12_07!R55)</f>
        <v>0</v>
      </c>
      <c r="T58" s="74">
        <f>IF(WAElec09_08!R55+IDElec12_07!S55=0,,WAElec09_08!R55+IDElec12_07!S55)</f>
        <v>0</v>
      </c>
      <c r="U58" s="74">
        <f>IF(WAElec09_08!S55+IDElec12_07!T55=0,,WAElec09_08!S55+IDElec12_07!T55)</f>
        <v>0</v>
      </c>
      <c r="V58" s="74">
        <f>IF(WAElec09_08!T55+IDElec12_07!U55=0,,WAElec09_08!T55+IDElec12_07!U55)</f>
        <v>0</v>
      </c>
      <c r="W58" s="74">
        <f>IF(WAElec09_08!AC55+IDElec12_07!AA55=0,,WAElec09_08!AC55+IDElec12_07!AA55)</f>
        <v>0</v>
      </c>
      <c r="X58" s="74">
        <f>IF(WAElec09_08!U55+IDElec12_07!V55=0,,WAElec09_08!U55+IDElec12_07!V55)</f>
        <v>0</v>
      </c>
      <c r="Y58" s="74">
        <f>IF(WAElec09_08!AD55+IDElec12_07!W55=0,,WAElec09_08!AD55+IDElec12_07!W55)</f>
        <v>0</v>
      </c>
      <c r="Z58" s="74" t="e">
        <f>IF(WAElec09_08!AE55+IDElec12_07!#REF!=0,,WAElec09_08!AE55+IDElec12_07!#REF!)</f>
        <v>#REF!</v>
      </c>
      <c r="AA58" s="74" t="e">
        <f>IF(WAElec09_08!#REF!+IDElec12_07!#REF!=0,,WAElec09_08!#REF!+IDElec12_07!#REF!)</f>
        <v>#REF!</v>
      </c>
      <c r="AB58" s="74" t="e">
        <f>IF(WAElec09_08!#REF!+IDElec12_07!#REF!=0,,WAElec09_08!#REF!+IDElec12_07!#REF!)</f>
        <v>#REF!</v>
      </c>
      <c r="AC58" s="74" t="e">
        <f>IF(WAElec09_08!#REF!+IDElec12_07!Y55=0,,WAElec09_08!#REF!+IDElec12_07!Y55)</f>
        <v>#REF!</v>
      </c>
      <c r="AD58" s="74" t="e">
        <f>IF(WAElec09_08!#REF!+IDElec12_07!#REF!=0,,WAElec09_08!#REF!+IDElec12_07!#REF!)</f>
        <v>#REF!</v>
      </c>
      <c r="AE58" s="74" t="e">
        <f>IF(WAElec09_08!#REF!+IDElec12_07!AB55=0,,WAElec09_08!#REF!+IDElec12_07!AB55)</f>
        <v>#REF!</v>
      </c>
      <c r="AF58" s="74">
        <f>IF(WAElec09_08!AG55+IDElec12_07!AG55=0,,WAElec09_08!AG55+IDElec12_07!AG55)</f>
        <v>0</v>
      </c>
      <c r="AG58" s="74" t="e">
        <f>IF(WAElec09_08!#REF!+IDElec12_07!#REF!=0,,WAElec09_08!#REF!+IDElec12_07!#REF!)</f>
        <v>#REF!</v>
      </c>
      <c r="AH58" s="74" t="e">
        <f>IF(WAElec09_08!AH55+IDElec12_07!#REF!=0,,WAElec09_08!AH55+IDElec12_07!#REF!)</f>
        <v>#REF!</v>
      </c>
      <c r="AI58" s="74" t="e">
        <f>IF(WAElec09_08!#REF!+IDElec12_07!#REF!=0,,WAElec09_08!#REF!+IDElec12_07!#REF!)</f>
        <v>#REF!</v>
      </c>
      <c r="AJ58" s="74" t="e">
        <f>IF(WAElec09_08!AA55+IDElec12_07!#REF!=0,,WAElec09_08!AA55+IDElec12_07!#REF!)</f>
        <v>#REF!</v>
      </c>
      <c r="AK58" s="74" t="e">
        <f>IF(WAElec09_08!AJ55+IDElec12_07!#REF!=0,,WAElec09_08!AJ55+IDElec12_07!#REF!)</f>
        <v>#REF!</v>
      </c>
      <c r="AL58" s="74" t="e">
        <f>IF(WAElec09_08!AK55+IDElec12_07!#REF!=0,,WAElec09_08!AK55+IDElec12_07!#REF!)</f>
        <v>#REF!</v>
      </c>
      <c r="AM58" s="74" t="e">
        <f>IF(WAElec09_08!#REF!+IDElec12_07!#REF!=0,,WAElec09_08!#REF!+IDElec12_07!#REF!)</f>
        <v>#REF!</v>
      </c>
      <c r="AN58" s="74" t="e">
        <f>IF(WAElec09_08!#REF!+IDElec12_07!#REF!=0,,WAElec09_08!#REF!+IDElec12_07!#REF!)</f>
        <v>#REF!</v>
      </c>
      <c r="AO58" s="74">
        <f>IF(WAElec09_08!AM55+IDElec12_07!AL55=0,,WAElec09_08!AM55+IDElec12_07!AL55)</f>
        <v>0</v>
      </c>
      <c r="AP58" s="74">
        <f>IF(WAElec09_08!AN55+IDElec12_07!AM55=0,,WAElec09_08!AN55+IDElec12_07!AM55)</f>
        <v>0</v>
      </c>
      <c r="AQ58" s="74">
        <f>IF(WAElec09_08!BC55+IDElec12_07!AO55=0,,WAElec09_08!BC55+IDElec12_07!AO55)</f>
        <v>0</v>
      </c>
      <c r="AR58" s="74">
        <f>IF(WAElec09_08!BD55+IDElec12_07!AP55=0,,WAElec09_08!BD55+IDElec12_07!AP55)</f>
        <v>0</v>
      </c>
      <c r="AS58" s="74"/>
      <c r="AT58" s="74" t="e">
        <f>IF(WAElec09_08!BG55+IDElec12_07!#REF!=0,,WAElec09_08!BG55+IDElec12_07!#REF!)</f>
        <v>#REF!</v>
      </c>
    </row>
    <row r="59" spans="1:47" s="33" customFormat="1">
      <c r="A59" s="32">
        <v>28</v>
      </c>
      <c r="C59" s="33" t="s">
        <v>116</v>
      </c>
      <c r="E59" s="78">
        <f>IF(WAElec09_08!E56+IDElec12_07!E56=0,,WAElec09_08!E56+IDElec12_07!E56)</f>
        <v>34522</v>
      </c>
      <c r="F59" s="78">
        <f>IF(WAElec09_08!F56+IDElec12_07!F56=0,,WAElec09_08!F56+IDElec12_07!F56)</f>
        <v>0</v>
      </c>
      <c r="G59" s="78">
        <f>IF(WAElec09_08!G56+IDElec12_07!G56=0,,WAElec09_08!G56+IDElec12_07!G56)</f>
        <v>0</v>
      </c>
      <c r="H59" s="78">
        <f>IF(WAElec09_08!H56+IDElec12_07!H56=0,,WAElec09_08!H56+IDElec12_07!H56)</f>
        <v>0</v>
      </c>
      <c r="I59" s="78">
        <f>IF(WAElec09_08!I56+IDElec12_07!I56=0,,WAElec09_08!I56+IDElec12_07!I56)</f>
        <v>0</v>
      </c>
      <c r="J59" s="78">
        <f>IF(WAElec09_08!J56+IDElec12_07!J56=0,,WAElec09_08!J56+IDElec12_07!J56)</f>
        <v>0</v>
      </c>
      <c r="K59" s="78">
        <f>IF(WAElec09_08!K56+IDElec12_07!K56=0,,WAElec09_08!K56+IDElec12_07!K56)</f>
        <v>0</v>
      </c>
      <c r="L59" s="78">
        <f>IF(WAElec09_08!L56+IDElec12_07!L56=0,,WAElec09_08!L56+IDElec12_07!L56)</f>
        <v>0</v>
      </c>
      <c r="M59" s="78">
        <f>IF(WAElec09_08!M56+IDElec12_07!M56=0,,WAElec09_08!M56+IDElec12_07!M56)</f>
        <v>0</v>
      </c>
      <c r="N59" s="78" t="e">
        <f>IF(WAElec09_08!#REF!+IDElec12_07!#REF!=0,,WAElec09_08!#REF!+IDElec12_07!#REF!)</f>
        <v>#REF!</v>
      </c>
      <c r="O59" s="78">
        <f>IF(WAElec09_08!N56+IDElec12_07!N56=0,,WAElec09_08!N56+IDElec12_07!N56)</f>
        <v>34522</v>
      </c>
      <c r="P59" s="78" t="e">
        <f>IF(WAElec09_08!#REF!+IDElec12_07!#REF!=0,,WAElec09_08!#REF!+IDElec12_07!#REF!)</f>
        <v>#REF!</v>
      </c>
      <c r="Q59" s="78">
        <f>IF(WAElec09_08!O56+IDElec12_07!P56=0,,WAElec09_08!O56+IDElec12_07!P56)</f>
        <v>0</v>
      </c>
      <c r="R59" s="78">
        <f>IF(WAElec09_08!P56+IDElec12_07!Q56=0,,WAElec09_08!P56+IDElec12_07!Q56)</f>
        <v>0</v>
      </c>
      <c r="S59" s="78">
        <f>IF(WAElec09_08!Q56+IDElec12_07!R56=0,,WAElec09_08!Q56+IDElec12_07!R56)</f>
        <v>0</v>
      </c>
      <c r="T59" s="78">
        <f>IF(WAElec09_08!R56+IDElec12_07!S56=0,,WAElec09_08!R56+IDElec12_07!S56)</f>
        <v>0</v>
      </c>
      <c r="U59" s="78">
        <f>IF(WAElec09_08!S56+IDElec12_07!T56=0,,WAElec09_08!S56+IDElec12_07!T56)</f>
        <v>0</v>
      </c>
      <c r="V59" s="78">
        <f>IF(WAElec09_08!T56+IDElec12_07!U56=0,,WAElec09_08!T56+IDElec12_07!U56)</f>
        <v>0</v>
      </c>
      <c r="W59" s="78">
        <f>IF(WAElec09_08!AC56+IDElec12_07!AA56=0,,WAElec09_08!AC56+IDElec12_07!AA56)</f>
        <v>0</v>
      </c>
      <c r="X59" s="78">
        <f>IF(WAElec09_08!U56+IDElec12_07!V56=0,,WAElec09_08!U56+IDElec12_07!V56)</f>
        <v>0</v>
      </c>
      <c r="Y59" s="78">
        <f>IF(WAElec09_08!AD56+IDElec12_07!W56=0,,WAElec09_08!AD56+IDElec12_07!W56)</f>
        <v>0</v>
      </c>
      <c r="Z59" s="78" t="e">
        <f>IF(WAElec09_08!AE56+IDElec12_07!#REF!=0,,WAElec09_08!AE56+IDElec12_07!#REF!)</f>
        <v>#REF!</v>
      </c>
      <c r="AA59" s="78" t="e">
        <f>IF(WAElec09_08!#REF!+IDElec12_07!#REF!=0,,WAElec09_08!#REF!+IDElec12_07!#REF!)</f>
        <v>#REF!</v>
      </c>
      <c r="AB59" s="78" t="e">
        <f>IF(WAElec09_08!#REF!+IDElec12_07!#REF!=0,,WAElec09_08!#REF!+IDElec12_07!#REF!)</f>
        <v>#REF!</v>
      </c>
      <c r="AC59" s="78" t="e">
        <f>IF(WAElec09_08!#REF!+IDElec12_07!Y56=0,,WAElec09_08!#REF!+IDElec12_07!Y56)</f>
        <v>#REF!</v>
      </c>
      <c r="AD59" s="78" t="e">
        <f>IF(WAElec09_08!#REF!+IDElec12_07!#REF!=0,,WAElec09_08!#REF!+IDElec12_07!#REF!)</f>
        <v>#REF!</v>
      </c>
      <c r="AE59" s="78" t="e">
        <f>IF(WAElec09_08!#REF!+IDElec12_07!AB56=0,,WAElec09_08!#REF!+IDElec12_07!AB56)</f>
        <v>#REF!</v>
      </c>
      <c r="AF59" s="78">
        <f>IF(WAElec09_08!AG56+IDElec12_07!AG56=0,,WAElec09_08!AG56+IDElec12_07!AG56)</f>
        <v>34522</v>
      </c>
      <c r="AG59" s="78" t="e">
        <f>IF(WAElec09_08!#REF!+IDElec12_07!#REF!=0,,WAElec09_08!#REF!+IDElec12_07!#REF!)</f>
        <v>#REF!</v>
      </c>
      <c r="AH59" s="78" t="e">
        <f>IF(WAElec09_08!AH56+IDElec12_07!#REF!=0,,WAElec09_08!AH56+IDElec12_07!#REF!)</f>
        <v>#REF!</v>
      </c>
      <c r="AI59" s="78" t="e">
        <f>IF(WAElec09_08!#REF!+IDElec12_07!#REF!=0,,WAElec09_08!#REF!+IDElec12_07!#REF!)</f>
        <v>#REF!</v>
      </c>
      <c r="AJ59" s="78" t="e">
        <f>IF(WAElec09_08!AA56+IDElec12_07!#REF!=0,,WAElec09_08!AA56+IDElec12_07!#REF!)</f>
        <v>#REF!</v>
      </c>
      <c r="AK59" s="78" t="e">
        <f>IF(WAElec09_08!AJ56+IDElec12_07!#REF!=0,,WAElec09_08!AJ56+IDElec12_07!#REF!)</f>
        <v>#REF!</v>
      </c>
      <c r="AL59" s="78" t="e">
        <f>IF(WAElec09_08!AK56+IDElec12_07!#REF!=0,,WAElec09_08!AK56+IDElec12_07!#REF!)</f>
        <v>#REF!</v>
      </c>
      <c r="AM59" s="78" t="e">
        <f>IF(WAElec09_08!#REF!+IDElec12_07!#REF!=0,,WAElec09_08!#REF!+IDElec12_07!#REF!)</f>
        <v>#REF!</v>
      </c>
      <c r="AN59" s="78" t="e">
        <f>IF(WAElec09_08!#REF!+IDElec12_07!#REF!=0,,WAElec09_08!#REF!+IDElec12_07!#REF!)</f>
        <v>#REF!</v>
      </c>
      <c r="AO59" s="78">
        <f>IF(WAElec09_08!AM56+IDElec12_07!AL56=0,,WAElec09_08!AM56+IDElec12_07!AL56)</f>
        <v>349</v>
      </c>
      <c r="AP59" s="78">
        <f>IF(WAElec09_08!AN56+IDElec12_07!AM56=0,,WAElec09_08!AN56+IDElec12_07!AM56)</f>
        <v>5498</v>
      </c>
      <c r="AQ59" s="78">
        <f>IF(WAElec09_08!BC56+IDElec12_07!AO56=0,,WAElec09_08!BC56+IDElec12_07!AO56)</f>
        <v>0</v>
      </c>
      <c r="AR59" s="78">
        <f>IF(WAElec09_08!BD56+IDElec12_07!AP56=0,,WAElec09_08!BD56+IDElec12_07!AP56)</f>
        <v>78478</v>
      </c>
      <c r="AS59" s="78"/>
      <c r="AT59" s="78" t="e">
        <f>IF(WAElec09_08!BG56+IDElec12_07!#REF!=0,,WAElec09_08!BG56+IDElec12_07!#REF!)</f>
        <v>#REF!</v>
      </c>
    </row>
    <row r="60" spans="1:47" s="34" customFormat="1">
      <c r="A60" s="32">
        <v>29</v>
      </c>
      <c r="C60" s="34" t="s">
        <v>117</v>
      </c>
      <c r="E60" s="74">
        <f>IF(WAElec09_08!E57+IDElec12_07!E57=0,,WAElec09_08!E57+IDElec12_07!E57)</f>
        <v>1015757</v>
      </c>
      <c r="F60" s="74">
        <f>IF(WAElec09_08!F57+IDElec12_07!F57=0,,WAElec09_08!F57+IDElec12_07!F57)</f>
        <v>0</v>
      </c>
      <c r="G60" s="74">
        <f>IF(WAElec09_08!G57+IDElec12_07!G57=0,,WAElec09_08!G57+IDElec12_07!G57)</f>
        <v>0</v>
      </c>
      <c r="H60" s="74">
        <f>IF(WAElec09_08!H57+IDElec12_07!H57=0,,WAElec09_08!H57+IDElec12_07!H57)</f>
        <v>-7452</v>
      </c>
      <c r="I60" s="74">
        <f>IF(WAElec09_08!I57+IDElec12_07!I57=0,,WAElec09_08!I57+IDElec12_07!I57)</f>
        <v>436</v>
      </c>
      <c r="J60" s="74">
        <f>IF(WAElec09_08!J57+IDElec12_07!J57=0,,WAElec09_08!J57+IDElec12_07!J57)</f>
        <v>-5248</v>
      </c>
      <c r="K60" s="74">
        <f>IF(WAElec09_08!K57+IDElec12_07!K57=0,,WAElec09_08!K57+IDElec12_07!K57)</f>
        <v>0</v>
      </c>
      <c r="L60" s="74">
        <f>IF(WAElec09_08!L57+IDElec12_07!L57=0,,WAElec09_08!L57+IDElec12_07!L57)</f>
        <v>2630</v>
      </c>
      <c r="M60" s="74">
        <f>IF(WAElec09_08!M57+IDElec12_07!M57=0,,WAElec09_08!M57+IDElec12_07!M57)</f>
        <v>79626</v>
      </c>
      <c r="N60" s="74" t="e">
        <f>IF(WAElec09_08!#REF!+IDElec12_07!#REF!=0,,WAElec09_08!#REF!+IDElec12_07!#REF!)</f>
        <v>#REF!</v>
      </c>
      <c r="O60" s="74">
        <f>IF(WAElec09_08!N57+IDElec12_07!N57=0,,WAElec09_08!N57+IDElec12_07!N57)</f>
        <v>1085749</v>
      </c>
      <c r="P60" s="74" t="e">
        <f>IF(WAElec09_08!#REF!+IDElec12_07!#REF!=0,,WAElec09_08!#REF!+IDElec12_07!#REF!)</f>
        <v>#REF!</v>
      </c>
      <c r="Q60" s="74">
        <f>IF(WAElec09_08!O57+IDElec12_07!P57=0,,WAElec09_08!O57+IDElec12_07!P57)</f>
        <v>0</v>
      </c>
      <c r="R60" s="74">
        <f>IF(WAElec09_08!P57+IDElec12_07!Q57=0,,WAElec09_08!P57+IDElec12_07!Q57)</f>
        <v>0</v>
      </c>
      <c r="S60" s="74">
        <f>IF(WAElec09_08!Q57+IDElec12_07!R57=0,,WAElec09_08!Q57+IDElec12_07!R57)</f>
        <v>0</v>
      </c>
      <c r="T60" s="74">
        <f>IF(WAElec09_08!R57+IDElec12_07!S57=0,,WAElec09_08!R57+IDElec12_07!S57)</f>
        <v>0</v>
      </c>
      <c r="U60" s="74">
        <f>IF(WAElec09_08!S57+IDElec12_07!T57=0,,WAElec09_08!S57+IDElec12_07!T57)</f>
        <v>0</v>
      </c>
      <c r="V60" s="74">
        <f>IF(WAElec09_08!T57+IDElec12_07!U57=0,,WAElec09_08!T57+IDElec12_07!U57)</f>
        <v>0</v>
      </c>
      <c r="W60" s="74">
        <f>IF(WAElec09_08!AC57+IDElec12_07!AA57=0,,WAElec09_08!AC57+IDElec12_07!AA57)</f>
        <v>0</v>
      </c>
      <c r="X60" s="74">
        <f>IF(WAElec09_08!U57+IDElec12_07!V57=0,,WAElec09_08!U57+IDElec12_07!V57)</f>
        <v>0</v>
      </c>
      <c r="Y60" s="74">
        <f>IF(WAElec09_08!AD57+IDElec12_07!W57=0,,WAElec09_08!AD57+IDElec12_07!W57)</f>
        <v>0</v>
      </c>
      <c r="Z60" s="74" t="e">
        <f>IF(WAElec09_08!AE57+IDElec12_07!#REF!=0,,WAElec09_08!AE57+IDElec12_07!#REF!)</f>
        <v>#REF!</v>
      </c>
      <c r="AA60" s="74" t="e">
        <f>IF(WAElec09_08!#REF!+IDElec12_07!#REF!=0,,WAElec09_08!#REF!+IDElec12_07!#REF!)</f>
        <v>#REF!</v>
      </c>
      <c r="AB60" s="74" t="e">
        <f>IF(WAElec09_08!#REF!+IDElec12_07!#REF!=0,,WAElec09_08!#REF!+IDElec12_07!#REF!)</f>
        <v>#REF!</v>
      </c>
      <c r="AC60" s="74" t="e">
        <f>IF(WAElec09_08!#REF!+IDElec12_07!Y57=0,,WAElec09_08!#REF!+IDElec12_07!Y57)</f>
        <v>#REF!</v>
      </c>
      <c r="AD60" s="74" t="e">
        <f>IF(WAElec09_08!#REF!+IDElec12_07!#REF!=0,,WAElec09_08!#REF!+IDElec12_07!#REF!)</f>
        <v>#REF!</v>
      </c>
      <c r="AE60" s="74" t="e">
        <f>IF(WAElec09_08!#REF!+IDElec12_07!AB57=0,,WAElec09_08!#REF!+IDElec12_07!AB57)</f>
        <v>#REF!</v>
      </c>
      <c r="AF60" s="74">
        <f>IF(WAElec09_08!AG57+IDElec12_07!AG57=0,,WAElec09_08!AG57+IDElec12_07!AG57)</f>
        <v>1085749</v>
      </c>
      <c r="AG60" s="74" t="e">
        <f>IF(WAElec09_08!#REF!+IDElec12_07!#REF!=0,,WAElec09_08!#REF!+IDElec12_07!#REF!)</f>
        <v>#REF!</v>
      </c>
      <c r="AH60" s="74" t="e">
        <f>IF(WAElec09_08!AH57+IDElec12_07!#REF!=0,,WAElec09_08!AH57+IDElec12_07!#REF!)</f>
        <v>#REF!</v>
      </c>
      <c r="AI60" s="74" t="e">
        <f>IF(WAElec09_08!#REF!+IDElec12_07!#REF!=0,,WAElec09_08!#REF!+IDElec12_07!#REF!)</f>
        <v>#REF!</v>
      </c>
      <c r="AJ60" s="74" t="e">
        <f>IF(WAElec09_08!AA57+IDElec12_07!#REF!=0,,WAElec09_08!AA57+IDElec12_07!#REF!)</f>
        <v>#REF!</v>
      </c>
      <c r="AK60" s="74" t="e">
        <f>IF(WAElec09_08!AJ57+IDElec12_07!#REF!=0,,WAElec09_08!AJ57+IDElec12_07!#REF!)</f>
        <v>#REF!</v>
      </c>
      <c r="AL60" s="74" t="e">
        <f>IF(WAElec09_08!AK57+IDElec12_07!#REF!=0,,WAElec09_08!AK57+IDElec12_07!#REF!)</f>
        <v>#REF!</v>
      </c>
      <c r="AM60" s="74" t="e">
        <f>IF(WAElec09_08!#REF!+IDElec12_07!#REF!=0,,WAElec09_08!#REF!+IDElec12_07!#REF!)</f>
        <v>#REF!</v>
      </c>
      <c r="AN60" s="74" t="e">
        <f>IF(WAElec09_08!#REF!+IDElec12_07!#REF!=0,,WAElec09_08!#REF!+IDElec12_07!#REF!)</f>
        <v>#REF!</v>
      </c>
      <c r="AO60" s="74">
        <f>IF(WAElec09_08!AM57+IDElec12_07!AL57=0,,WAElec09_08!AM57+IDElec12_07!AL57)</f>
        <v>18107</v>
      </c>
      <c r="AP60" s="74">
        <f>IF(WAElec09_08!AN57+IDElec12_07!AM57=0,,WAElec09_08!AN57+IDElec12_07!AM57)</f>
        <v>24825</v>
      </c>
      <c r="AQ60" s="74">
        <f>IF(WAElec09_08!BC57+IDElec12_07!AO57=0,,WAElec09_08!BC57+IDElec12_07!AO57)</f>
        <v>0</v>
      </c>
      <c r="AR60" s="74">
        <f>IF(WAElec09_08!BD57+IDElec12_07!AP57=0,,WAElec09_08!BD57+IDElec12_07!AP57)</f>
        <v>762219</v>
      </c>
      <c r="AS60" s="74"/>
      <c r="AT60" s="74" t="e">
        <f>IF(WAElec09_08!BG57+IDElec12_07!#REF!=0,,WAElec09_08!BG57+IDElec12_07!#REF!)</f>
        <v>#REF!</v>
      </c>
    </row>
    <row r="61" spans="1:47" s="34" customFormat="1">
      <c r="A61" s="32">
        <v>30</v>
      </c>
      <c r="C61" s="34" t="s">
        <v>118</v>
      </c>
      <c r="E61" s="74">
        <f>IF(WAElec09_08!E58+IDElec12_07!E58=0,,WAElec09_08!E58+IDElec12_07!E58)</f>
        <v>442422</v>
      </c>
      <c r="F61" s="74">
        <f>IF(WAElec09_08!F58+IDElec12_07!F58=0,,WAElec09_08!F58+IDElec12_07!F58)</f>
        <v>0</v>
      </c>
      <c r="G61" s="74">
        <f>IF(WAElec09_08!G58+IDElec12_07!G58=0,,WAElec09_08!G58+IDElec12_07!G58)</f>
        <v>0</v>
      </c>
      <c r="H61" s="74">
        <f>IF(WAElec09_08!H58+IDElec12_07!H58=0,,WAElec09_08!H58+IDElec12_07!H58)</f>
        <v>0</v>
      </c>
      <c r="I61" s="74">
        <f>IF(WAElec09_08!I58+IDElec12_07!I58=0,,WAElec09_08!I58+IDElec12_07!I58)</f>
        <v>0</v>
      </c>
      <c r="J61" s="74">
        <f>IF(WAElec09_08!J58+IDElec12_07!J58=0,,WAElec09_08!J58+IDElec12_07!J58)</f>
        <v>0</v>
      </c>
      <c r="K61" s="74">
        <f>IF(WAElec09_08!K58+IDElec12_07!K58=0,,WAElec09_08!K58+IDElec12_07!K58)</f>
        <v>0</v>
      </c>
      <c r="L61" s="74">
        <f>IF(WAElec09_08!L58+IDElec12_07!L58=0,,WAElec09_08!L58+IDElec12_07!L58)</f>
        <v>0</v>
      </c>
      <c r="M61" s="74">
        <f>IF(WAElec09_08!M58+IDElec12_07!M58=0,,WAElec09_08!M58+IDElec12_07!M58)</f>
        <v>0</v>
      </c>
      <c r="N61" s="74" t="e">
        <f>IF(WAElec09_08!#REF!+IDElec12_07!#REF!=0,,WAElec09_08!#REF!+IDElec12_07!#REF!)</f>
        <v>#REF!</v>
      </c>
      <c r="O61" s="74">
        <f>IF(WAElec09_08!N58+IDElec12_07!N58=0,,WAElec09_08!N58+IDElec12_07!N58)</f>
        <v>442422</v>
      </c>
      <c r="P61" s="74" t="e">
        <f>IF(WAElec09_08!#REF!+IDElec12_07!#REF!=0,,WAElec09_08!#REF!+IDElec12_07!#REF!)</f>
        <v>#REF!</v>
      </c>
      <c r="Q61" s="74">
        <f>IF(WAElec09_08!O58+IDElec12_07!P58=0,,WAElec09_08!O58+IDElec12_07!P58)</f>
        <v>0</v>
      </c>
      <c r="R61" s="74">
        <f>IF(WAElec09_08!P58+IDElec12_07!Q58=0,,WAElec09_08!P58+IDElec12_07!Q58)</f>
        <v>0</v>
      </c>
      <c r="S61" s="74">
        <f>IF(WAElec09_08!Q58+IDElec12_07!R58=0,,WAElec09_08!Q58+IDElec12_07!R58)</f>
        <v>0</v>
      </c>
      <c r="T61" s="74">
        <f>IF(WAElec09_08!R58+IDElec12_07!S58=0,,WAElec09_08!R58+IDElec12_07!S58)</f>
        <v>0</v>
      </c>
      <c r="U61" s="74">
        <f>IF(WAElec09_08!S58+IDElec12_07!T58=0,,WAElec09_08!S58+IDElec12_07!T58)</f>
        <v>0</v>
      </c>
      <c r="V61" s="74">
        <f>IF(WAElec09_08!T58+IDElec12_07!U58=0,,WAElec09_08!T58+IDElec12_07!U58)</f>
        <v>0</v>
      </c>
      <c r="W61" s="74">
        <f>IF(WAElec09_08!AC58+IDElec12_07!AA58=0,,WAElec09_08!AC58+IDElec12_07!AA58)</f>
        <v>0</v>
      </c>
      <c r="X61" s="74">
        <f>IF(WAElec09_08!U58+IDElec12_07!V58=0,,WAElec09_08!U58+IDElec12_07!V58)</f>
        <v>0</v>
      </c>
      <c r="Y61" s="74">
        <f>IF(WAElec09_08!AD58+IDElec12_07!W58=0,,WAElec09_08!AD58+IDElec12_07!W58)</f>
        <v>0</v>
      </c>
      <c r="Z61" s="74" t="e">
        <f>IF(WAElec09_08!AE58+IDElec12_07!#REF!=0,,WAElec09_08!AE58+IDElec12_07!#REF!)</f>
        <v>#REF!</v>
      </c>
      <c r="AA61" s="74" t="e">
        <f>IF(WAElec09_08!#REF!+IDElec12_07!#REF!=0,,WAElec09_08!#REF!+IDElec12_07!#REF!)</f>
        <v>#REF!</v>
      </c>
      <c r="AB61" s="74" t="e">
        <f>IF(WAElec09_08!#REF!+IDElec12_07!#REF!=0,,WAElec09_08!#REF!+IDElec12_07!#REF!)</f>
        <v>#REF!</v>
      </c>
      <c r="AC61" s="74" t="e">
        <f>IF(WAElec09_08!#REF!+IDElec12_07!Y58=0,,WAElec09_08!#REF!+IDElec12_07!Y58)</f>
        <v>#REF!</v>
      </c>
      <c r="AD61" s="74" t="e">
        <f>IF(WAElec09_08!#REF!+IDElec12_07!#REF!=0,,WAElec09_08!#REF!+IDElec12_07!#REF!)</f>
        <v>#REF!</v>
      </c>
      <c r="AE61" s="74" t="e">
        <f>IF(WAElec09_08!#REF!+IDElec12_07!AB58=0,,WAElec09_08!#REF!+IDElec12_07!AB58)</f>
        <v>#REF!</v>
      </c>
      <c r="AF61" s="74">
        <f>IF(WAElec09_08!AG58+IDElec12_07!AG58=0,,WAElec09_08!AG58+IDElec12_07!AG58)</f>
        <v>442422</v>
      </c>
      <c r="AG61" s="74" t="e">
        <f>IF(WAElec09_08!#REF!+IDElec12_07!#REF!=0,,WAElec09_08!#REF!+IDElec12_07!#REF!)</f>
        <v>#REF!</v>
      </c>
      <c r="AH61" s="74" t="e">
        <f>IF(WAElec09_08!AH58+IDElec12_07!#REF!=0,,WAElec09_08!AH58+IDElec12_07!#REF!)</f>
        <v>#REF!</v>
      </c>
      <c r="AI61" s="74" t="e">
        <f>IF(WAElec09_08!#REF!+IDElec12_07!#REF!=0,,WAElec09_08!#REF!+IDElec12_07!#REF!)</f>
        <v>#REF!</v>
      </c>
      <c r="AJ61" s="74" t="e">
        <f>IF(WAElec09_08!AA58+IDElec12_07!#REF!=0,,WAElec09_08!AA58+IDElec12_07!#REF!)</f>
        <v>#REF!</v>
      </c>
      <c r="AK61" s="74" t="e">
        <f>IF(WAElec09_08!AJ58+IDElec12_07!#REF!=0,,WAElec09_08!AJ58+IDElec12_07!#REF!)</f>
        <v>#REF!</v>
      </c>
      <c r="AL61" s="74" t="e">
        <f>IF(WAElec09_08!AK58+IDElec12_07!#REF!=0,,WAElec09_08!AK58+IDElec12_07!#REF!)</f>
        <v>#REF!</v>
      </c>
      <c r="AM61" s="74" t="e">
        <f>IF(WAElec09_08!#REF!+IDElec12_07!#REF!=0,,WAElec09_08!#REF!+IDElec12_07!#REF!)</f>
        <v>#REF!</v>
      </c>
      <c r="AN61" s="74" t="e">
        <f>IF(WAElec09_08!#REF!+IDElec12_07!#REF!=0,,WAElec09_08!#REF!+IDElec12_07!#REF!)</f>
        <v>#REF!</v>
      </c>
      <c r="AO61" s="74">
        <f>IF(WAElec09_08!AM58+IDElec12_07!AL58=0,,WAElec09_08!AM58+IDElec12_07!AL58)</f>
        <v>9165</v>
      </c>
      <c r="AP61" s="74">
        <f>IF(WAElec09_08!AN58+IDElec12_07!AM58=0,,WAElec09_08!AN58+IDElec12_07!AM58)</f>
        <v>7245</v>
      </c>
      <c r="AQ61" s="74">
        <f>IF(WAElec09_08!BC58+IDElec12_07!AO58=0,,WAElec09_08!BC58+IDElec12_07!AO58)</f>
        <v>0</v>
      </c>
      <c r="AR61" s="74">
        <f>IF(WAElec09_08!BD58+IDElec12_07!AP58=0,,WAElec09_08!BD58+IDElec12_07!AP58)</f>
        <v>296316</v>
      </c>
      <c r="AS61" s="74"/>
      <c r="AT61" s="74" t="e">
        <f>IF(WAElec09_08!BG58+IDElec12_07!#REF!=0,,WAElec09_08!BG58+IDElec12_07!#REF!)</f>
        <v>#REF!</v>
      </c>
    </row>
    <row r="62" spans="1:47" s="34" customFormat="1">
      <c r="A62" s="32">
        <v>31</v>
      </c>
      <c r="C62" s="34" t="s">
        <v>98</v>
      </c>
      <c r="E62" s="74">
        <f>IF(WAElec09_08!E59+IDElec12_07!E59=0,,WAElec09_08!E59+IDElec12_07!E59)</f>
        <v>893140</v>
      </c>
      <c r="F62" s="74">
        <f>IF(WAElec09_08!F59+IDElec12_07!F59=0,,WAElec09_08!F59+IDElec12_07!F59)</f>
        <v>0</v>
      </c>
      <c r="G62" s="74">
        <f>IF(WAElec09_08!G59+IDElec12_07!G59=0,,WAElec09_08!G59+IDElec12_07!G59)</f>
        <v>0</v>
      </c>
      <c r="H62" s="74">
        <f>IF(WAElec09_08!H59+IDElec12_07!H59=0,,WAElec09_08!H59+IDElec12_07!H59)</f>
        <v>0</v>
      </c>
      <c r="I62" s="74">
        <f>IF(WAElec09_08!I59+IDElec12_07!I59=0,,WAElec09_08!I59+IDElec12_07!I59)</f>
        <v>0</v>
      </c>
      <c r="J62" s="74">
        <f>IF(WAElec09_08!J59+IDElec12_07!J59=0,,WAElec09_08!J59+IDElec12_07!J59)</f>
        <v>0</v>
      </c>
      <c r="K62" s="74">
        <f>IF(WAElec09_08!K59+IDElec12_07!K59=0,,WAElec09_08!K59+IDElec12_07!K59)</f>
        <v>-231</v>
      </c>
      <c r="L62" s="74">
        <f>IF(WAElec09_08!L59+IDElec12_07!L59=0,,WAElec09_08!L59+IDElec12_07!L59)</f>
        <v>0</v>
      </c>
      <c r="M62" s="74">
        <f>IF(WAElec09_08!M59+IDElec12_07!M59=0,,WAElec09_08!M59+IDElec12_07!M59)</f>
        <v>0</v>
      </c>
      <c r="N62" s="74" t="e">
        <f>IF(WAElec09_08!#REF!+IDElec12_07!#REF!=0,,WAElec09_08!#REF!+IDElec12_07!#REF!)</f>
        <v>#REF!</v>
      </c>
      <c r="O62" s="74">
        <f>IF(WAElec09_08!N59+IDElec12_07!N59=0,,WAElec09_08!N59+IDElec12_07!N59)</f>
        <v>892909</v>
      </c>
      <c r="P62" s="74" t="e">
        <f>IF(WAElec09_08!#REF!+IDElec12_07!#REF!=0,,WAElec09_08!#REF!+IDElec12_07!#REF!)</f>
        <v>#REF!</v>
      </c>
      <c r="Q62" s="74">
        <f>IF(WAElec09_08!O59+IDElec12_07!P59=0,,WAElec09_08!O59+IDElec12_07!P59)</f>
        <v>0</v>
      </c>
      <c r="R62" s="74">
        <f>IF(WAElec09_08!P59+IDElec12_07!Q59=0,,WAElec09_08!P59+IDElec12_07!Q59)</f>
        <v>0</v>
      </c>
      <c r="S62" s="74">
        <f>IF(WAElec09_08!Q59+IDElec12_07!R59=0,,WAElec09_08!Q59+IDElec12_07!R59)</f>
        <v>0</v>
      </c>
      <c r="T62" s="74">
        <f>IF(WAElec09_08!R59+IDElec12_07!S59=0,,WAElec09_08!R59+IDElec12_07!S59)</f>
        <v>0</v>
      </c>
      <c r="U62" s="74">
        <f>IF(WAElec09_08!S59+IDElec12_07!T59=0,,WAElec09_08!S59+IDElec12_07!T59)</f>
        <v>0</v>
      </c>
      <c r="V62" s="74">
        <f>IF(WAElec09_08!T59+IDElec12_07!U59=0,,WAElec09_08!T59+IDElec12_07!U59)</f>
        <v>0</v>
      </c>
      <c r="W62" s="74">
        <f>IF(WAElec09_08!AC59+IDElec12_07!AA59=0,,WAElec09_08!AC59+IDElec12_07!AA59)</f>
        <v>0</v>
      </c>
      <c r="X62" s="74">
        <f>IF(WAElec09_08!U59+IDElec12_07!V59=0,,WAElec09_08!U59+IDElec12_07!V59)</f>
        <v>0</v>
      </c>
      <c r="Y62" s="74">
        <f>IF(WAElec09_08!AD59+IDElec12_07!W59=0,,WAElec09_08!AD59+IDElec12_07!W59)</f>
        <v>0</v>
      </c>
      <c r="Z62" s="74" t="e">
        <f>IF(WAElec09_08!AE59+IDElec12_07!#REF!=0,,WAElec09_08!AE59+IDElec12_07!#REF!)</f>
        <v>#REF!</v>
      </c>
      <c r="AA62" s="74" t="e">
        <f>IF(WAElec09_08!#REF!+IDElec12_07!#REF!=0,,WAElec09_08!#REF!+IDElec12_07!#REF!)</f>
        <v>#REF!</v>
      </c>
      <c r="AB62" s="74" t="e">
        <f>IF(WAElec09_08!#REF!+IDElec12_07!#REF!=0,,WAElec09_08!#REF!+IDElec12_07!#REF!)</f>
        <v>#REF!</v>
      </c>
      <c r="AC62" s="74" t="e">
        <f>IF(WAElec09_08!#REF!+IDElec12_07!Y59=0,,WAElec09_08!#REF!+IDElec12_07!Y59)</f>
        <v>#REF!</v>
      </c>
      <c r="AD62" s="74" t="e">
        <f>IF(WAElec09_08!#REF!+IDElec12_07!#REF!=0,,WAElec09_08!#REF!+IDElec12_07!#REF!)</f>
        <v>#REF!</v>
      </c>
      <c r="AE62" s="74" t="e">
        <f>IF(WAElec09_08!#REF!+IDElec12_07!AB59=0,,WAElec09_08!#REF!+IDElec12_07!AB59)</f>
        <v>#REF!</v>
      </c>
      <c r="AF62" s="74">
        <f>IF(WAElec09_08!AG59+IDElec12_07!AG59=0,,WAElec09_08!AG59+IDElec12_07!AG59)</f>
        <v>892909</v>
      </c>
      <c r="AG62" s="74" t="e">
        <f>IF(WAElec09_08!#REF!+IDElec12_07!#REF!=0,,WAElec09_08!#REF!+IDElec12_07!#REF!)</f>
        <v>#REF!</v>
      </c>
      <c r="AH62" s="74" t="e">
        <f>IF(WAElec09_08!AH59+IDElec12_07!#REF!=0,,WAElec09_08!AH59+IDElec12_07!#REF!)</f>
        <v>#REF!</v>
      </c>
      <c r="AI62" s="74" t="e">
        <f>IF(WAElec09_08!#REF!+IDElec12_07!#REF!=0,,WAElec09_08!#REF!+IDElec12_07!#REF!)</f>
        <v>#REF!</v>
      </c>
      <c r="AJ62" s="74" t="e">
        <f>IF(WAElec09_08!AA59+IDElec12_07!#REF!=0,,WAElec09_08!AA59+IDElec12_07!#REF!)</f>
        <v>#REF!</v>
      </c>
      <c r="AK62" s="74" t="e">
        <f>IF(WAElec09_08!AJ59+IDElec12_07!#REF!=0,,WAElec09_08!AJ59+IDElec12_07!#REF!)</f>
        <v>#REF!</v>
      </c>
      <c r="AL62" s="74" t="e">
        <f>IF(WAElec09_08!AK59+IDElec12_07!#REF!=0,,WAElec09_08!AK59+IDElec12_07!#REF!)</f>
        <v>#REF!</v>
      </c>
      <c r="AM62" s="74" t="e">
        <f>IF(WAElec09_08!#REF!+IDElec12_07!#REF!=0,,WAElec09_08!#REF!+IDElec12_07!#REF!)</f>
        <v>#REF!</v>
      </c>
      <c r="AN62" s="74" t="e">
        <f>IF(WAElec09_08!#REF!+IDElec12_07!#REF!=0,,WAElec09_08!#REF!+IDElec12_07!#REF!)</f>
        <v>#REF!</v>
      </c>
      <c r="AO62" s="74">
        <f>IF(WAElec09_08!AM59+IDElec12_07!AL59=0,,WAElec09_08!AM59+IDElec12_07!AL59)</f>
        <v>26515</v>
      </c>
      <c r="AP62" s="74">
        <f>IF(WAElec09_08!AN59+IDElec12_07!AM59=0,,WAElec09_08!AN59+IDElec12_07!AM59)</f>
        <v>29017</v>
      </c>
      <c r="AQ62" s="74">
        <f>IF(WAElec09_08!BC59+IDElec12_07!AO59=0,,WAElec09_08!BC59+IDElec12_07!AO59)</f>
        <v>0</v>
      </c>
      <c r="AR62" s="74">
        <f>IF(WAElec09_08!BD59+IDElec12_07!AP59=0,,WAElec09_08!BD59+IDElec12_07!AP59)</f>
        <v>607308</v>
      </c>
      <c r="AS62" s="74"/>
      <c r="AT62" s="74" t="e">
        <f>IF(WAElec09_08!BG59+IDElec12_07!#REF!=0,,WAElec09_08!BG59+IDElec12_07!#REF!)</f>
        <v>#REF!</v>
      </c>
    </row>
    <row r="63" spans="1:47" s="34" customFormat="1">
      <c r="A63" s="32">
        <v>32</v>
      </c>
      <c r="C63" s="34" t="s">
        <v>119</v>
      </c>
      <c r="E63" s="75">
        <f>IF(WAElec09_08!E60+IDElec12_07!E60=0,,WAElec09_08!E60+IDElec12_07!E60)</f>
        <v>137854</v>
      </c>
      <c r="F63" s="75">
        <f>IF(WAElec09_08!F60+IDElec12_07!F60=0,,WAElec09_08!F60+IDElec12_07!F60)</f>
        <v>0</v>
      </c>
      <c r="G63" s="75">
        <f>IF(WAElec09_08!G60+IDElec12_07!G60=0,,WAElec09_08!G60+IDElec12_07!G60)</f>
        <v>0</v>
      </c>
      <c r="H63" s="75">
        <f>IF(WAElec09_08!H60+IDElec12_07!H60=0,,WAElec09_08!H60+IDElec12_07!H60)</f>
        <v>0</v>
      </c>
      <c r="I63" s="75">
        <f>IF(WAElec09_08!I60+IDElec12_07!I60=0,,WAElec09_08!I60+IDElec12_07!I60)</f>
        <v>0</v>
      </c>
      <c r="J63" s="75">
        <f>IF(WAElec09_08!J60+IDElec12_07!J60=0,,WAElec09_08!J60+IDElec12_07!J60)</f>
        <v>0</v>
      </c>
      <c r="K63" s="75">
        <f>IF(WAElec09_08!K60+IDElec12_07!K60=0,,WAElec09_08!K60+IDElec12_07!K60)</f>
        <v>0</v>
      </c>
      <c r="L63" s="75">
        <f>IF(WAElec09_08!L60+IDElec12_07!L60=0,,WAElec09_08!L60+IDElec12_07!L60)</f>
        <v>0</v>
      </c>
      <c r="M63" s="75">
        <f>IF(WAElec09_08!M60+IDElec12_07!M60=0,,WAElec09_08!M60+IDElec12_07!M60)</f>
        <v>0</v>
      </c>
      <c r="N63" s="75" t="e">
        <f>IF(WAElec09_08!#REF!+IDElec12_07!#REF!=0,,WAElec09_08!#REF!+IDElec12_07!#REF!)</f>
        <v>#REF!</v>
      </c>
      <c r="O63" s="75">
        <f>IF(WAElec09_08!N60+IDElec12_07!N60=0,,WAElec09_08!N60+IDElec12_07!N60)</f>
        <v>137854</v>
      </c>
      <c r="P63" s="75" t="e">
        <f>IF(WAElec09_08!#REF!+IDElec12_07!#REF!=0,,WAElec09_08!#REF!+IDElec12_07!#REF!)</f>
        <v>#REF!</v>
      </c>
      <c r="Q63" s="75">
        <f>IF(WAElec09_08!O60+IDElec12_07!P60=0,,WAElec09_08!O60+IDElec12_07!P60)</f>
        <v>0</v>
      </c>
      <c r="R63" s="75">
        <f>IF(WAElec09_08!P60+IDElec12_07!Q60=0,,WAElec09_08!P60+IDElec12_07!Q60)</f>
        <v>0</v>
      </c>
      <c r="S63" s="75">
        <f>IF(WAElec09_08!Q60+IDElec12_07!R60=0,,WAElec09_08!Q60+IDElec12_07!R60)</f>
        <v>0</v>
      </c>
      <c r="T63" s="75">
        <f>IF(WAElec09_08!R60+IDElec12_07!S60=0,,WAElec09_08!R60+IDElec12_07!S60)</f>
        <v>0</v>
      </c>
      <c r="U63" s="75">
        <f>IF(WAElec09_08!S60+IDElec12_07!T60=0,,WAElec09_08!S60+IDElec12_07!T60)</f>
        <v>0</v>
      </c>
      <c r="V63" s="75">
        <f>IF(WAElec09_08!T60+IDElec12_07!U60=0,,WAElec09_08!T60+IDElec12_07!U60)</f>
        <v>0</v>
      </c>
      <c r="W63" s="75">
        <f>IF(WAElec09_08!AC60+IDElec12_07!AA60=0,,WAElec09_08!AC60+IDElec12_07!AA60)</f>
        <v>0</v>
      </c>
      <c r="X63" s="75">
        <f>IF(WAElec09_08!U60+IDElec12_07!V60=0,,WAElec09_08!U60+IDElec12_07!V60)</f>
        <v>0</v>
      </c>
      <c r="Y63" s="75">
        <f>IF(WAElec09_08!AD60+IDElec12_07!W60=0,,WAElec09_08!AD60+IDElec12_07!W60)</f>
        <v>0</v>
      </c>
      <c r="Z63" s="75" t="e">
        <f>IF(WAElec09_08!AE60+IDElec12_07!#REF!=0,,WAElec09_08!AE60+IDElec12_07!#REF!)</f>
        <v>#REF!</v>
      </c>
      <c r="AA63" s="75" t="e">
        <f>IF(WAElec09_08!#REF!+IDElec12_07!#REF!=0,,WAElec09_08!#REF!+IDElec12_07!#REF!)</f>
        <v>#REF!</v>
      </c>
      <c r="AB63" s="75" t="e">
        <f>IF(WAElec09_08!#REF!+IDElec12_07!#REF!=0,,WAElec09_08!#REF!+IDElec12_07!#REF!)</f>
        <v>#REF!</v>
      </c>
      <c r="AC63" s="75" t="e">
        <f>IF(WAElec09_08!#REF!+IDElec12_07!Y60=0,,WAElec09_08!#REF!+IDElec12_07!Y60)</f>
        <v>#REF!</v>
      </c>
      <c r="AD63" s="75" t="e">
        <f>IF(WAElec09_08!#REF!+IDElec12_07!#REF!=0,,WAElec09_08!#REF!+IDElec12_07!#REF!)</f>
        <v>#REF!</v>
      </c>
      <c r="AE63" s="75" t="e">
        <f>IF(WAElec09_08!#REF!+IDElec12_07!AB60=0,,WAElec09_08!#REF!+IDElec12_07!AB60)</f>
        <v>#REF!</v>
      </c>
      <c r="AF63" s="75">
        <f>IF(WAElec09_08!AG60+IDElec12_07!AG60=0,,WAElec09_08!AG60+IDElec12_07!AG60)</f>
        <v>137854</v>
      </c>
      <c r="AG63" s="75" t="e">
        <f>IF(WAElec09_08!#REF!+IDElec12_07!#REF!=0,,WAElec09_08!#REF!+IDElec12_07!#REF!)</f>
        <v>#REF!</v>
      </c>
      <c r="AH63" s="75" t="e">
        <f>IF(WAElec09_08!AH60+IDElec12_07!#REF!=0,,WAElec09_08!AH60+IDElec12_07!#REF!)</f>
        <v>#REF!</v>
      </c>
      <c r="AI63" s="75" t="e">
        <f>IF(WAElec09_08!#REF!+IDElec12_07!#REF!=0,,WAElec09_08!#REF!+IDElec12_07!#REF!)</f>
        <v>#REF!</v>
      </c>
      <c r="AJ63" s="75" t="e">
        <f>IF(WAElec09_08!AA60+IDElec12_07!#REF!=0,,WAElec09_08!AA60+IDElec12_07!#REF!)</f>
        <v>#REF!</v>
      </c>
      <c r="AK63" s="75" t="e">
        <f>IF(WAElec09_08!AJ60+IDElec12_07!#REF!=0,,WAElec09_08!AJ60+IDElec12_07!#REF!)</f>
        <v>#REF!</v>
      </c>
      <c r="AL63" s="75" t="e">
        <f>IF(WAElec09_08!AK60+IDElec12_07!#REF!=0,,WAElec09_08!AK60+IDElec12_07!#REF!)</f>
        <v>#REF!</v>
      </c>
      <c r="AM63" s="75" t="e">
        <f>IF(WAElec09_08!#REF!+IDElec12_07!#REF!=0,,WAElec09_08!#REF!+IDElec12_07!#REF!)</f>
        <v>#REF!</v>
      </c>
      <c r="AN63" s="75" t="e">
        <f>IF(WAElec09_08!#REF!+IDElec12_07!#REF!=0,,WAElec09_08!#REF!+IDElec12_07!#REF!)</f>
        <v>#REF!</v>
      </c>
      <c r="AO63" s="75">
        <f>IF(WAElec09_08!AM60+IDElec12_07!AL60=0,,WAElec09_08!AM60+IDElec12_07!AL60)</f>
        <v>9697</v>
      </c>
      <c r="AP63" s="75">
        <f>IF(WAElec09_08!AN60+IDElec12_07!AM60=0,,WAElec09_08!AN60+IDElec12_07!AM60)</f>
        <v>11865</v>
      </c>
      <c r="AQ63" s="75">
        <f>IF(WAElec09_08!BC60+IDElec12_07!AO60=0,,WAElec09_08!BC60+IDElec12_07!AO60)</f>
        <v>0</v>
      </c>
      <c r="AR63" s="75">
        <f>IF(WAElec09_08!BD60+IDElec12_07!AP60=0,,WAElec09_08!BD60+IDElec12_07!AP60)</f>
        <v>109598</v>
      </c>
      <c r="AS63" s="75"/>
      <c r="AT63" s="75" t="e">
        <f>IF(WAElec09_08!BG60+IDElec12_07!#REF!=0,,WAElec09_08!BG60+IDElec12_07!#REF!)</f>
        <v>#REF!</v>
      </c>
    </row>
    <row r="64" spans="1:47" s="34" customFormat="1">
      <c r="A64" s="32">
        <v>33</v>
      </c>
      <c r="D64" s="34" t="s">
        <v>120</v>
      </c>
      <c r="E64" s="74">
        <f>IF(WAElec09_08!E61+IDElec12_07!E61=0,,WAElec09_08!E61+IDElec12_07!E61)</f>
        <v>2523695</v>
      </c>
      <c r="F64" s="74">
        <f>IF(WAElec09_08!F61+IDElec12_07!F61=0,,WAElec09_08!F61+IDElec12_07!F61)</f>
        <v>0</v>
      </c>
      <c r="G64" s="74">
        <f>IF(WAElec09_08!G61+IDElec12_07!G61=0,,WAElec09_08!G61+IDElec12_07!G61)</f>
        <v>0</v>
      </c>
      <c r="H64" s="74">
        <f>IF(WAElec09_08!H61+IDElec12_07!H61=0,,WAElec09_08!H61+IDElec12_07!H61)</f>
        <v>-7452</v>
      </c>
      <c r="I64" s="74">
        <f>IF(WAElec09_08!I61+IDElec12_07!I61=0,,WAElec09_08!I61+IDElec12_07!I61)</f>
        <v>436</v>
      </c>
      <c r="J64" s="74">
        <f>IF(WAElec09_08!J61+IDElec12_07!J61=0,,WAElec09_08!J61+IDElec12_07!J61)</f>
        <v>-5248</v>
      </c>
      <c r="K64" s="74">
        <f>IF(WAElec09_08!K61+IDElec12_07!K61=0,,WAElec09_08!K61+IDElec12_07!K61)</f>
        <v>-231</v>
      </c>
      <c r="L64" s="74">
        <f>IF(WAElec09_08!L61+IDElec12_07!L61=0,,WAElec09_08!L61+IDElec12_07!L61)</f>
        <v>2630</v>
      </c>
      <c r="M64" s="74">
        <f>IF(WAElec09_08!M61+IDElec12_07!M61=0,,WAElec09_08!M61+IDElec12_07!M61)</f>
        <v>79626</v>
      </c>
      <c r="N64" s="74" t="e">
        <f>IF(WAElec09_08!#REF!+IDElec12_07!#REF!=0,,WAElec09_08!#REF!+IDElec12_07!#REF!)</f>
        <v>#REF!</v>
      </c>
      <c r="O64" s="74">
        <f>IF(WAElec09_08!N61+IDElec12_07!N61=0,,WAElec09_08!N61+IDElec12_07!N61)</f>
        <v>2593456</v>
      </c>
      <c r="P64" s="74" t="e">
        <f>IF(WAElec09_08!#REF!+IDElec12_07!#REF!=0,,WAElec09_08!#REF!+IDElec12_07!#REF!)</f>
        <v>#REF!</v>
      </c>
      <c r="Q64" s="74">
        <f>IF(WAElec09_08!O61+IDElec12_07!P61=0,,WAElec09_08!O61+IDElec12_07!P61)</f>
        <v>0</v>
      </c>
      <c r="R64" s="74">
        <f>IF(WAElec09_08!P61+IDElec12_07!Q61=0,,WAElec09_08!P61+IDElec12_07!Q61)</f>
        <v>0</v>
      </c>
      <c r="S64" s="74">
        <f>IF(WAElec09_08!Q61+IDElec12_07!R61=0,,WAElec09_08!Q61+IDElec12_07!R61)</f>
        <v>0</v>
      </c>
      <c r="T64" s="74">
        <f>IF(WAElec09_08!R61+IDElec12_07!S61=0,,WAElec09_08!R61+IDElec12_07!S61)</f>
        <v>0</v>
      </c>
      <c r="U64" s="74">
        <f>IF(WAElec09_08!S61+IDElec12_07!T61=0,,WAElec09_08!S61+IDElec12_07!T61)</f>
        <v>0</v>
      </c>
      <c r="V64" s="74">
        <f>IF(WAElec09_08!T61+IDElec12_07!U61=0,,WAElec09_08!T61+IDElec12_07!U61)</f>
        <v>0</v>
      </c>
      <c r="W64" s="74">
        <f>IF(WAElec09_08!AC61+IDElec12_07!AA61=0,,WAElec09_08!AC61+IDElec12_07!AA61)</f>
        <v>0</v>
      </c>
      <c r="X64" s="74">
        <f>IF(WAElec09_08!U61+IDElec12_07!V61=0,,WAElec09_08!U61+IDElec12_07!V61)</f>
        <v>0</v>
      </c>
      <c r="Y64" s="74">
        <f>IF(WAElec09_08!AD61+IDElec12_07!W61=0,,WAElec09_08!AD61+IDElec12_07!W61)</f>
        <v>0</v>
      </c>
      <c r="Z64" s="74" t="e">
        <f>IF(WAElec09_08!AE61+IDElec12_07!#REF!=0,,WAElec09_08!AE61+IDElec12_07!#REF!)</f>
        <v>#REF!</v>
      </c>
      <c r="AA64" s="74" t="e">
        <f>IF(WAElec09_08!#REF!+IDElec12_07!#REF!=0,,WAElec09_08!#REF!+IDElec12_07!#REF!)</f>
        <v>#REF!</v>
      </c>
      <c r="AB64" s="74" t="e">
        <f>IF(WAElec09_08!#REF!+IDElec12_07!#REF!=0,,WAElec09_08!#REF!+IDElec12_07!#REF!)</f>
        <v>#REF!</v>
      </c>
      <c r="AC64" s="74" t="e">
        <f>IF(WAElec09_08!#REF!+IDElec12_07!Y61=0,,WAElec09_08!#REF!+IDElec12_07!Y61)</f>
        <v>#REF!</v>
      </c>
      <c r="AD64" s="74" t="e">
        <f>IF(WAElec09_08!#REF!+IDElec12_07!#REF!=0,,WAElec09_08!#REF!+IDElec12_07!#REF!)</f>
        <v>#REF!</v>
      </c>
      <c r="AE64" s="74" t="e">
        <f>IF(WAElec09_08!#REF!+IDElec12_07!AB61=0,,WAElec09_08!#REF!+IDElec12_07!AB61)</f>
        <v>#REF!</v>
      </c>
      <c r="AF64" s="74">
        <f>IF(WAElec09_08!AG61+IDElec12_07!AG61=0,,WAElec09_08!AG61+IDElec12_07!AG61)</f>
        <v>2593456</v>
      </c>
      <c r="AG64" s="74" t="e">
        <f>IF(WAElec09_08!#REF!+IDElec12_07!#REF!=0,,WAElec09_08!#REF!+IDElec12_07!#REF!)</f>
        <v>#REF!</v>
      </c>
      <c r="AH64" s="74" t="e">
        <f>IF(WAElec09_08!AH61+IDElec12_07!#REF!=0,,WAElec09_08!AH61+IDElec12_07!#REF!)</f>
        <v>#REF!</v>
      </c>
      <c r="AI64" s="74" t="e">
        <f>IF(WAElec09_08!#REF!+IDElec12_07!#REF!=0,,WAElec09_08!#REF!+IDElec12_07!#REF!)</f>
        <v>#REF!</v>
      </c>
      <c r="AJ64" s="74" t="e">
        <f>IF(WAElec09_08!AA61+IDElec12_07!#REF!=0,,WAElec09_08!AA61+IDElec12_07!#REF!)</f>
        <v>#REF!</v>
      </c>
      <c r="AK64" s="74" t="e">
        <f>IF(WAElec09_08!AJ61+IDElec12_07!#REF!=0,,WAElec09_08!AJ61+IDElec12_07!#REF!)</f>
        <v>#REF!</v>
      </c>
      <c r="AL64" s="74" t="e">
        <f>IF(WAElec09_08!AK61+IDElec12_07!#REF!=0,,WAElec09_08!AK61+IDElec12_07!#REF!)</f>
        <v>#REF!</v>
      </c>
      <c r="AM64" s="74" t="e">
        <f>IF(WAElec09_08!#REF!+IDElec12_07!#REF!=0,,WAElec09_08!#REF!+IDElec12_07!#REF!)</f>
        <v>#REF!</v>
      </c>
      <c r="AN64" s="74" t="e">
        <f>IF(WAElec09_08!#REF!+IDElec12_07!#REF!=0,,WAElec09_08!#REF!+IDElec12_07!#REF!)</f>
        <v>#REF!</v>
      </c>
      <c r="AO64" s="74">
        <f>IF(WAElec09_08!AM61+IDElec12_07!AL61=0,,WAElec09_08!AM61+IDElec12_07!AL61)</f>
        <v>63833</v>
      </c>
      <c r="AP64" s="74">
        <f>IF(WAElec09_08!AN61+IDElec12_07!AM61=0,,WAElec09_08!AN61+IDElec12_07!AM61)</f>
        <v>78450</v>
      </c>
      <c r="AQ64" s="74">
        <f>IF(WAElec09_08!BC61+IDElec12_07!AO61=0,,WAElec09_08!BC61+IDElec12_07!AO61)</f>
        <v>0</v>
      </c>
      <c r="AR64" s="74">
        <f>IF(WAElec09_08!BD61+IDElec12_07!AP61=0,,WAElec09_08!BD61+IDElec12_07!AP61)</f>
        <v>1853919</v>
      </c>
      <c r="AS64" s="74"/>
      <c r="AT64" s="74" t="e">
        <f>IF(WAElec09_08!BG61+IDElec12_07!#REF!=0,,WAElec09_08!BG61+IDElec12_07!#REF!)</f>
        <v>#REF!</v>
      </c>
    </row>
    <row r="65" spans="1:47" s="34" customFormat="1">
      <c r="A65" s="32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</row>
    <row r="66" spans="1:47" s="34" customFormat="1">
      <c r="A66" s="32">
        <v>34</v>
      </c>
      <c r="B66" s="34" t="s">
        <v>121</v>
      </c>
      <c r="E66" s="74">
        <f>IF(WAElec09_08!E62+IDElec12_07!E62=0,,WAElec09_08!E62+IDElec12_07!E62)</f>
        <v>854139</v>
      </c>
      <c r="F66" s="74">
        <f>IF(WAElec09_08!F62+IDElec12_07!F62=0,,WAElec09_08!F62+IDElec12_07!F62)</f>
        <v>0</v>
      </c>
      <c r="G66" s="74">
        <f>IF(WAElec09_08!G62+IDElec12_07!G62=0,,WAElec09_08!G62+IDElec12_07!G62)</f>
        <v>0</v>
      </c>
      <c r="H66" s="74">
        <f>IF(WAElec09_08!H62+IDElec12_07!H62=0,,WAElec09_08!H62+IDElec12_07!H62)</f>
        <v>-5496</v>
      </c>
      <c r="I66" s="74">
        <f>IF(WAElec09_08!I62+IDElec12_07!I62=0,,WAElec09_08!I62+IDElec12_07!I62)</f>
        <v>0</v>
      </c>
      <c r="J66" s="74">
        <f>IF(WAElec09_08!J62+IDElec12_07!J62=0,,WAElec09_08!J62+IDElec12_07!J62)</f>
        <v>-3796</v>
      </c>
      <c r="K66" s="74">
        <f>IF(WAElec09_08!K62+IDElec12_07!K62=0,,WAElec09_08!K62+IDElec12_07!K62)</f>
        <v>0</v>
      </c>
      <c r="L66" s="74">
        <f>IF(WAElec09_08!L62+IDElec12_07!L62=0,,WAElec09_08!L62+IDElec12_07!L62)</f>
        <v>0</v>
      </c>
      <c r="M66" s="74">
        <f>IF(WAElec09_08!M62+IDElec12_07!M62=0,,WAElec09_08!M62+IDElec12_07!M62)</f>
        <v>0</v>
      </c>
      <c r="N66" s="74" t="e">
        <f>IF(WAElec09_08!#REF!+IDElec12_07!#REF!=0,,WAElec09_08!#REF!+IDElec12_07!#REF!)</f>
        <v>#REF!</v>
      </c>
      <c r="O66" s="74">
        <f>IF(WAElec09_08!N62+IDElec12_07!N62=0,,WAElec09_08!N62+IDElec12_07!N62)</f>
        <v>844847</v>
      </c>
      <c r="P66" s="74" t="e">
        <f>IF(WAElec09_08!#REF!+IDElec12_07!#REF!=0,,WAElec09_08!#REF!+IDElec12_07!#REF!)</f>
        <v>#REF!</v>
      </c>
      <c r="Q66" s="74">
        <f>IF(WAElec09_08!O62+IDElec12_07!P62=0,,WAElec09_08!O62+IDElec12_07!P62)</f>
        <v>0</v>
      </c>
      <c r="R66" s="74">
        <f>IF(WAElec09_08!P62+IDElec12_07!Q62=0,,WAElec09_08!P62+IDElec12_07!Q62)</f>
        <v>0</v>
      </c>
      <c r="S66" s="74">
        <f>IF(WAElec09_08!Q62+IDElec12_07!R62=0,,WAElec09_08!Q62+IDElec12_07!R62)</f>
        <v>0</v>
      </c>
      <c r="T66" s="74">
        <f>IF(WAElec09_08!R62+IDElec12_07!S62=0,,WAElec09_08!R62+IDElec12_07!S62)</f>
        <v>0</v>
      </c>
      <c r="U66" s="74">
        <f>IF(WAElec09_08!S62+IDElec12_07!T62=0,,WAElec09_08!S62+IDElec12_07!T62)</f>
        <v>0</v>
      </c>
      <c r="V66" s="74">
        <f>IF(WAElec09_08!T62+IDElec12_07!U62=0,,WAElec09_08!T62+IDElec12_07!U62)</f>
        <v>0</v>
      </c>
      <c r="W66" s="74">
        <f>IF(WAElec09_08!AC62+IDElec12_07!AA62=0,,WAElec09_08!AC62+IDElec12_07!AA62)</f>
        <v>0</v>
      </c>
      <c r="X66" s="74">
        <f>IF(WAElec09_08!U62+IDElec12_07!V62=0,,WAElec09_08!U62+IDElec12_07!V62)</f>
        <v>0</v>
      </c>
      <c r="Y66" s="74">
        <f>IF(WAElec09_08!AD62+IDElec12_07!W62=0,,WAElec09_08!AD62+IDElec12_07!W62)</f>
        <v>0</v>
      </c>
      <c r="Z66" s="74" t="e">
        <f>IF(WAElec09_08!AE62+IDElec12_07!#REF!=0,,WAElec09_08!AE62+IDElec12_07!#REF!)</f>
        <v>#REF!</v>
      </c>
      <c r="AA66" s="74" t="e">
        <f>IF(WAElec09_08!#REF!+IDElec12_07!#REF!=0,,WAElec09_08!#REF!+IDElec12_07!#REF!)</f>
        <v>#REF!</v>
      </c>
      <c r="AB66" s="74" t="e">
        <f>IF(WAElec09_08!#REF!+IDElec12_07!#REF!=0,,WAElec09_08!#REF!+IDElec12_07!#REF!)</f>
        <v>#REF!</v>
      </c>
      <c r="AC66" s="74" t="e">
        <f>IF(WAElec09_08!#REF!+IDElec12_07!Y62=0,,WAElec09_08!#REF!+IDElec12_07!Y62)</f>
        <v>#REF!</v>
      </c>
      <c r="AD66" s="74" t="e">
        <f>IF(WAElec09_08!#REF!+IDElec12_07!#REF!=0,,WAElec09_08!#REF!+IDElec12_07!#REF!)</f>
        <v>#REF!</v>
      </c>
      <c r="AE66" s="74" t="e">
        <f>IF(WAElec09_08!#REF!+IDElec12_07!AB62=0,,WAElec09_08!#REF!+IDElec12_07!AB62)</f>
        <v>#REF!</v>
      </c>
      <c r="AF66" s="74">
        <f>IF(WAElec09_08!AG62+IDElec12_07!AG62=0,,WAElec09_08!AG62+IDElec12_07!AG62)</f>
        <v>844847</v>
      </c>
      <c r="AG66" s="74" t="e">
        <f>IF(WAElec09_08!#REF!+IDElec12_07!#REF!=0,,WAElec09_08!#REF!+IDElec12_07!#REF!)</f>
        <v>#REF!</v>
      </c>
      <c r="AH66" s="74" t="e">
        <f>IF(WAElec09_08!AH62+IDElec12_07!#REF!=0,,WAElec09_08!AH62+IDElec12_07!#REF!)</f>
        <v>#REF!</v>
      </c>
      <c r="AI66" s="74" t="e">
        <f>IF(WAElec09_08!#REF!+IDElec12_07!#REF!=0,,WAElec09_08!#REF!+IDElec12_07!#REF!)</f>
        <v>#REF!</v>
      </c>
      <c r="AJ66" s="74" t="e">
        <f>IF(WAElec09_08!AA62+IDElec12_07!#REF!=0,,WAElec09_08!AA62+IDElec12_07!#REF!)</f>
        <v>#REF!</v>
      </c>
      <c r="AK66" s="74" t="e">
        <f>IF(WAElec09_08!AJ62+IDElec12_07!#REF!=0,,WAElec09_08!AJ62+IDElec12_07!#REF!)</f>
        <v>#REF!</v>
      </c>
      <c r="AL66" s="74" t="e">
        <f>IF(WAElec09_08!AK62+IDElec12_07!#REF!=0,,WAElec09_08!AK62+IDElec12_07!#REF!)</f>
        <v>#REF!</v>
      </c>
      <c r="AM66" s="74" t="e">
        <f>IF(WAElec09_08!#REF!+IDElec12_07!#REF!=0,,WAElec09_08!#REF!+IDElec12_07!#REF!)</f>
        <v>#REF!</v>
      </c>
      <c r="AN66" s="74" t="e">
        <f>IF(WAElec09_08!#REF!+IDElec12_07!#REF!=0,,WAElec09_08!#REF!+IDElec12_07!#REF!)</f>
        <v>#REF!</v>
      </c>
      <c r="AO66" s="74">
        <f>IF(WAElec09_08!AM62+IDElec12_07!AL62=0,,WAElec09_08!AM62+IDElec12_07!AL62)</f>
        <v>35387</v>
      </c>
      <c r="AP66" s="74">
        <f>IF(WAElec09_08!AN62+IDElec12_07!AM62=0,,WAElec09_08!AN62+IDElec12_07!AM62)</f>
        <v>47867</v>
      </c>
      <c r="AQ66" s="74">
        <f>IF(WAElec09_08!BC62+IDElec12_07!AO62=0,,WAElec09_08!BC62+IDElec12_07!AO62)</f>
        <v>0</v>
      </c>
      <c r="AR66" s="74">
        <f>IF(WAElec09_08!BD62+IDElec12_07!AP62=0,,WAElec09_08!BD62+IDElec12_07!AP62)</f>
        <v>610941</v>
      </c>
      <c r="AS66" s="74"/>
      <c r="AT66" s="74" t="e">
        <f>IF(WAElec09_08!BG62+IDElec12_07!#REF!=0,,WAElec09_08!BG62+IDElec12_07!#REF!)</f>
        <v>#REF!</v>
      </c>
    </row>
    <row r="67" spans="1:47" s="34" customFormat="1">
      <c r="A67" s="32">
        <v>35</v>
      </c>
      <c r="B67" s="34" t="s">
        <v>122</v>
      </c>
      <c r="E67" s="75">
        <f>IF(WAElec09_08!E63+IDElec12_07!E63=0,,WAElec09_08!E63+IDElec12_07!E63)</f>
        <v>10571</v>
      </c>
      <c r="F67" s="75">
        <f>IF(WAElec09_08!F63+IDElec12_07!F63=0,,WAElec09_08!F63+IDElec12_07!F63)</f>
        <v>0</v>
      </c>
      <c r="G67" s="75">
        <f>IF(WAElec09_08!G63+IDElec12_07!G63=0,,WAElec09_08!G63+IDElec12_07!G63)</f>
        <v>0</v>
      </c>
      <c r="H67" s="75">
        <f>IF(WAElec09_08!H63+IDElec12_07!H63=0,,WAElec09_08!H63+IDElec12_07!H63)</f>
        <v>0</v>
      </c>
      <c r="I67" s="75">
        <f>IF(WAElec09_08!I63+IDElec12_07!I63=0,,WAElec09_08!I63+IDElec12_07!I63)</f>
        <v>0</v>
      </c>
      <c r="J67" s="75">
        <f>IF(WAElec09_08!J63+IDElec12_07!J63=0,,WAElec09_08!J63+IDElec12_07!J63)</f>
        <v>0</v>
      </c>
      <c r="K67" s="75">
        <f>IF(WAElec09_08!K63+IDElec12_07!K63=0,,WAElec09_08!K63+IDElec12_07!K63)</f>
        <v>0</v>
      </c>
      <c r="L67" s="75">
        <f>IF(WAElec09_08!L63+IDElec12_07!L63=0,,WAElec09_08!L63+IDElec12_07!L63)</f>
        <v>0</v>
      </c>
      <c r="M67" s="75">
        <f>IF(WAElec09_08!M63+IDElec12_07!M63=0,,WAElec09_08!M63+IDElec12_07!M63)</f>
        <v>57168</v>
      </c>
      <c r="N67" s="75" t="e">
        <f>IF(WAElec09_08!#REF!+IDElec12_07!#REF!=0,,WAElec09_08!#REF!+IDElec12_07!#REF!)</f>
        <v>#REF!</v>
      </c>
      <c r="O67" s="75">
        <f>IF(WAElec09_08!N63+IDElec12_07!N63=0,,WAElec09_08!N63+IDElec12_07!N63)</f>
        <v>67739</v>
      </c>
      <c r="P67" s="75" t="e">
        <f>IF(WAElec09_08!#REF!+IDElec12_07!#REF!=0,,WAElec09_08!#REF!+IDElec12_07!#REF!)</f>
        <v>#REF!</v>
      </c>
      <c r="Q67" s="75">
        <f>IF(WAElec09_08!O63+IDElec12_07!P63=0,,WAElec09_08!O63+IDElec12_07!P63)</f>
        <v>0</v>
      </c>
      <c r="R67" s="75">
        <f>IF(WAElec09_08!P63+IDElec12_07!Q63=0,,WAElec09_08!P63+IDElec12_07!Q63)</f>
        <v>0</v>
      </c>
      <c r="S67" s="75">
        <f>IF(WAElec09_08!Q63+IDElec12_07!R63=0,,WAElec09_08!Q63+IDElec12_07!R63)</f>
        <v>0</v>
      </c>
      <c r="T67" s="75">
        <f>IF(WAElec09_08!R63+IDElec12_07!S63=0,,WAElec09_08!R63+IDElec12_07!S63)</f>
        <v>0</v>
      </c>
      <c r="U67" s="75">
        <f>IF(WAElec09_08!S63+IDElec12_07!T63=0,,WAElec09_08!S63+IDElec12_07!T63)</f>
        <v>0</v>
      </c>
      <c r="V67" s="75">
        <f>IF(WAElec09_08!T63+IDElec12_07!U63=0,,WAElec09_08!T63+IDElec12_07!U63)</f>
        <v>0</v>
      </c>
      <c r="W67" s="75">
        <f>IF(WAElec09_08!AC63+IDElec12_07!AA63=0,,WAElec09_08!AC63+IDElec12_07!AA63)</f>
        <v>0</v>
      </c>
      <c r="X67" s="75">
        <f>IF(WAElec09_08!U63+IDElec12_07!V63=0,,WAElec09_08!U63+IDElec12_07!V63)</f>
        <v>0</v>
      </c>
      <c r="Y67" s="75">
        <f>IF(WAElec09_08!AD63+IDElec12_07!W63=0,,WAElec09_08!AD63+IDElec12_07!W63)</f>
        <v>0</v>
      </c>
      <c r="Z67" s="75" t="e">
        <f>IF(WAElec09_08!AE63+IDElec12_07!#REF!=0,,WAElec09_08!AE63+IDElec12_07!#REF!)</f>
        <v>#REF!</v>
      </c>
      <c r="AA67" s="75" t="e">
        <f>IF(WAElec09_08!#REF!+IDElec12_07!#REF!=0,,WAElec09_08!#REF!+IDElec12_07!#REF!)</f>
        <v>#REF!</v>
      </c>
      <c r="AB67" s="75" t="e">
        <f>IF(WAElec09_08!#REF!+IDElec12_07!#REF!=0,,WAElec09_08!#REF!+IDElec12_07!#REF!)</f>
        <v>#REF!</v>
      </c>
      <c r="AC67" s="75" t="e">
        <f>IF(WAElec09_08!#REF!+IDElec12_07!Y63=0,,WAElec09_08!#REF!+IDElec12_07!Y63)</f>
        <v>#REF!</v>
      </c>
      <c r="AD67" s="75" t="e">
        <f>IF(WAElec09_08!#REF!+IDElec12_07!#REF!=0,,WAElec09_08!#REF!+IDElec12_07!#REF!)</f>
        <v>#REF!</v>
      </c>
      <c r="AE67" s="75" t="e">
        <f>IF(WAElec09_08!#REF!+IDElec12_07!AB63=0,,WAElec09_08!#REF!+IDElec12_07!AB63)</f>
        <v>#REF!</v>
      </c>
      <c r="AF67" s="75">
        <f>IF(WAElec09_08!AG63+IDElec12_07!AG63=0,,WAElec09_08!AG63+IDElec12_07!AG63)</f>
        <v>67739</v>
      </c>
      <c r="AG67" s="75" t="e">
        <f>IF(WAElec09_08!#REF!+IDElec12_07!#REF!=0,,WAElec09_08!#REF!+IDElec12_07!#REF!)</f>
        <v>#REF!</v>
      </c>
      <c r="AH67" s="75" t="e">
        <f>IF(WAElec09_08!AH63+IDElec12_07!#REF!=0,,WAElec09_08!AH63+IDElec12_07!#REF!)</f>
        <v>#REF!</v>
      </c>
      <c r="AI67" s="75" t="e">
        <f>IF(WAElec09_08!#REF!+IDElec12_07!#REF!=0,,WAElec09_08!#REF!+IDElec12_07!#REF!)</f>
        <v>#REF!</v>
      </c>
      <c r="AJ67" s="75" t="e">
        <f>IF(WAElec09_08!AA63+IDElec12_07!#REF!=0,,WAElec09_08!AA63+IDElec12_07!#REF!)</f>
        <v>#REF!</v>
      </c>
      <c r="AK67" s="75" t="e">
        <f>IF(WAElec09_08!AJ63+IDElec12_07!#REF!=0,,WAElec09_08!AJ63+IDElec12_07!#REF!)</f>
        <v>#REF!</v>
      </c>
      <c r="AL67" s="75" t="e">
        <f>IF(WAElec09_08!AK63+IDElec12_07!#REF!=0,,WAElec09_08!AK63+IDElec12_07!#REF!)</f>
        <v>#REF!</v>
      </c>
      <c r="AM67" s="75" t="e">
        <f>IF(WAElec09_08!#REF!+IDElec12_07!#REF!=0,,WAElec09_08!#REF!+IDElec12_07!#REF!)</f>
        <v>#REF!</v>
      </c>
      <c r="AN67" s="75" t="e">
        <f>IF(WAElec09_08!#REF!+IDElec12_07!#REF!=0,,WAElec09_08!#REF!+IDElec12_07!#REF!)</f>
        <v>#REF!</v>
      </c>
      <c r="AO67" s="75">
        <f>IF(WAElec09_08!AM63+IDElec12_07!AL63=0,,WAElec09_08!AM63+IDElec12_07!AL63)</f>
        <v>0</v>
      </c>
      <c r="AP67" s="75">
        <f>IF(WAElec09_08!AN63+IDElec12_07!AM63=0,,WAElec09_08!AN63+IDElec12_07!AM63)</f>
        <v>0</v>
      </c>
      <c r="AQ67" s="75">
        <f>IF(WAElec09_08!BC63+IDElec12_07!AO63=0,,WAElec09_08!BC63+IDElec12_07!AO63)</f>
        <v>0</v>
      </c>
      <c r="AR67" s="75">
        <f>IF(WAElec09_08!BD63+IDElec12_07!AP63=0,,WAElec09_08!BD63+IDElec12_07!AP63)</f>
        <v>64635</v>
      </c>
      <c r="AS67" s="75"/>
      <c r="AT67" s="75" t="e">
        <f>IF(WAElec09_08!BG63+IDElec12_07!#REF!=0,,WAElec09_08!BG63+IDElec12_07!#REF!)</f>
        <v>#REF!</v>
      </c>
    </row>
    <row r="68" spans="1:47" s="34" customFormat="1">
      <c r="A68" s="32">
        <v>36</v>
      </c>
      <c r="C68" s="34" t="s">
        <v>123</v>
      </c>
      <c r="E68" s="74">
        <f>IF(WAElec09_08!E64+IDElec12_07!E64=0,,WAElec09_08!E64+IDElec12_07!E64)</f>
        <v>864710</v>
      </c>
      <c r="F68" s="74">
        <f>IF(WAElec09_08!F64+IDElec12_07!F64=0,,WAElec09_08!F64+IDElec12_07!F64)</f>
        <v>0</v>
      </c>
      <c r="G68" s="74">
        <f>IF(WAElec09_08!G64+IDElec12_07!G64=0,,WAElec09_08!G64+IDElec12_07!G64)</f>
        <v>0</v>
      </c>
      <c r="H68" s="74">
        <f>IF(WAElec09_08!H64+IDElec12_07!H64=0,,WAElec09_08!H64+IDElec12_07!H64)</f>
        <v>-5496</v>
      </c>
      <c r="I68" s="74">
        <f>IF(WAElec09_08!I64+IDElec12_07!I64=0,,WAElec09_08!I64+IDElec12_07!I64)</f>
        <v>0</v>
      </c>
      <c r="J68" s="74">
        <f>IF(WAElec09_08!J64+IDElec12_07!J64=0,,WAElec09_08!J64+IDElec12_07!J64)</f>
        <v>-3796</v>
      </c>
      <c r="K68" s="74">
        <f>IF(WAElec09_08!K64+IDElec12_07!K64=0,,WAElec09_08!K64+IDElec12_07!K64)</f>
        <v>0</v>
      </c>
      <c r="L68" s="74">
        <f>IF(WAElec09_08!L64+IDElec12_07!L64=0,,WAElec09_08!L64+IDElec12_07!L64)</f>
        <v>0</v>
      </c>
      <c r="M68" s="74">
        <f>IF(WAElec09_08!M64+IDElec12_07!M64=0,,WAElec09_08!M64+IDElec12_07!M64)</f>
        <v>57168</v>
      </c>
      <c r="N68" s="74" t="e">
        <f>IF(WAElec09_08!#REF!+IDElec12_07!#REF!=0,,WAElec09_08!#REF!+IDElec12_07!#REF!)</f>
        <v>#REF!</v>
      </c>
      <c r="O68" s="74">
        <f>IF(WAElec09_08!N64+IDElec12_07!N64=0,,WAElec09_08!N64+IDElec12_07!N64)</f>
        <v>912586</v>
      </c>
      <c r="P68" s="74" t="e">
        <f>IF(WAElec09_08!#REF!+IDElec12_07!#REF!=0,,WAElec09_08!#REF!+IDElec12_07!#REF!)</f>
        <v>#REF!</v>
      </c>
      <c r="Q68" s="74">
        <f>IF(WAElec09_08!O64+IDElec12_07!P64=0,,WAElec09_08!O64+IDElec12_07!P64)</f>
        <v>0</v>
      </c>
      <c r="R68" s="74">
        <f>IF(WAElec09_08!P64+IDElec12_07!Q64=0,,WAElec09_08!P64+IDElec12_07!Q64)</f>
        <v>0</v>
      </c>
      <c r="S68" s="74">
        <f>IF(WAElec09_08!Q64+IDElec12_07!R64=0,,WAElec09_08!Q64+IDElec12_07!R64)</f>
        <v>0</v>
      </c>
      <c r="T68" s="74">
        <f>IF(WAElec09_08!R64+IDElec12_07!S64=0,,WAElec09_08!R64+IDElec12_07!S64)</f>
        <v>0</v>
      </c>
      <c r="U68" s="74">
        <f>IF(WAElec09_08!S64+IDElec12_07!T64=0,,WAElec09_08!S64+IDElec12_07!T64)</f>
        <v>0</v>
      </c>
      <c r="V68" s="74">
        <f>IF(WAElec09_08!T64+IDElec12_07!U64=0,,WAElec09_08!T64+IDElec12_07!U64)</f>
        <v>0</v>
      </c>
      <c r="W68" s="74">
        <f>IF(WAElec09_08!AC64+IDElec12_07!AA64=0,,WAElec09_08!AC64+IDElec12_07!AA64)</f>
        <v>0</v>
      </c>
      <c r="X68" s="74">
        <f>IF(WAElec09_08!U64+IDElec12_07!V64=0,,WAElec09_08!U64+IDElec12_07!V64)</f>
        <v>0</v>
      </c>
      <c r="Y68" s="74">
        <f>IF(WAElec09_08!AD64+IDElec12_07!W64=0,,WAElec09_08!AD64+IDElec12_07!W64)</f>
        <v>0</v>
      </c>
      <c r="Z68" s="74" t="e">
        <f>IF(WAElec09_08!AE64+IDElec12_07!#REF!=0,,WAElec09_08!AE64+IDElec12_07!#REF!)</f>
        <v>#REF!</v>
      </c>
      <c r="AA68" s="74" t="e">
        <f>IF(WAElec09_08!#REF!+IDElec12_07!#REF!=0,,WAElec09_08!#REF!+IDElec12_07!#REF!)</f>
        <v>#REF!</v>
      </c>
      <c r="AB68" s="74" t="e">
        <f>IF(WAElec09_08!#REF!+IDElec12_07!#REF!=0,,WAElec09_08!#REF!+IDElec12_07!#REF!)</f>
        <v>#REF!</v>
      </c>
      <c r="AC68" s="74" t="e">
        <f>IF(WAElec09_08!#REF!+IDElec12_07!Y64=0,,WAElec09_08!#REF!+IDElec12_07!Y64)</f>
        <v>#REF!</v>
      </c>
      <c r="AD68" s="74" t="e">
        <f>IF(WAElec09_08!#REF!+IDElec12_07!#REF!=0,,WAElec09_08!#REF!+IDElec12_07!#REF!)</f>
        <v>#REF!</v>
      </c>
      <c r="AE68" s="74" t="e">
        <f>IF(WAElec09_08!#REF!+IDElec12_07!AB64=0,,WAElec09_08!#REF!+IDElec12_07!AB64)</f>
        <v>#REF!</v>
      </c>
      <c r="AF68" s="74">
        <f>IF(WAElec09_08!AG64+IDElec12_07!AG64=0,,WAElec09_08!AG64+IDElec12_07!AG64)</f>
        <v>912586</v>
      </c>
      <c r="AG68" s="74" t="e">
        <f>IF(WAElec09_08!#REF!+IDElec12_07!#REF!=0,,WAElec09_08!#REF!+IDElec12_07!#REF!)</f>
        <v>#REF!</v>
      </c>
      <c r="AH68" s="74" t="e">
        <f>IF(WAElec09_08!AH64+IDElec12_07!#REF!=0,,WAElec09_08!AH64+IDElec12_07!#REF!)</f>
        <v>#REF!</v>
      </c>
      <c r="AI68" s="74" t="e">
        <f>IF(WAElec09_08!#REF!+IDElec12_07!#REF!=0,,WAElec09_08!#REF!+IDElec12_07!#REF!)</f>
        <v>#REF!</v>
      </c>
      <c r="AJ68" s="74" t="e">
        <f>IF(WAElec09_08!AA64+IDElec12_07!#REF!=0,,WAElec09_08!AA64+IDElec12_07!#REF!)</f>
        <v>#REF!</v>
      </c>
      <c r="AK68" s="74" t="e">
        <f>IF(WAElec09_08!AJ64+IDElec12_07!#REF!=0,,WAElec09_08!AJ64+IDElec12_07!#REF!)</f>
        <v>#REF!</v>
      </c>
      <c r="AL68" s="74" t="e">
        <f>IF(WAElec09_08!AK64+IDElec12_07!#REF!=0,,WAElec09_08!AK64+IDElec12_07!#REF!)</f>
        <v>#REF!</v>
      </c>
      <c r="AM68" s="74" t="e">
        <f>IF(WAElec09_08!#REF!+IDElec12_07!#REF!=0,,WAElec09_08!#REF!+IDElec12_07!#REF!)</f>
        <v>#REF!</v>
      </c>
      <c r="AN68" s="74" t="e">
        <f>IF(WAElec09_08!#REF!+IDElec12_07!#REF!=0,,WAElec09_08!#REF!+IDElec12_07!#REF!)</f>
        <v>#REF!</v>
      </c>
      <c r="AO68" s="74">
        <f>IF(WAElec09_08!AM64+IDElec12_07!AL64=0,,WAElec09_08!AM64+IDElec12_07!AL64)</f>
        <v>35387</v>
      </c>
      <c r="AP68" s="74">
        <f>IF(WAElec09_08!AN64+IDElec12_07!AM64=0,,WAElec09_08!AN64+IDElec12_07!AM64)</f>
        <v>47867</v>
      </c>
      <c r="AQ68" s="74">
        <f>IF(WAElec09_08!BC64+IDElec12_07!AO64=0,,WAElec09_08!BC64+IDElec12_07!AO64)</f>
        <v>0</v>
      </c>
      <c r="AR68" s="74">
        <f>IF(WAElec09_08!BD64+IDElec12_07!AP64=0,,WAElec09_08!BD64+IDElec12_07!AP64)</f>
        <v>675576</v>
      </c>
      <c r="AS68" s="74"/>
      <c r="AT68" s="74" t="e">
        <f>IF(WAElec09_08!BG64+IDElec12_07!#REF!=0,,WAElec09_08!BG64+IDElec12_07!#REF!)</f>
        <v>#REF!</v>
      </c>
    </row>
    <row r="69" spans="1:47" s="34" customFormat="1">
      <c r="A69" s="32">
        <v>37</v>
      </c>
      <c r="B69" s="34" t="s">
        <v>124</v>
      </c>
      <c r="E69" s="74">
        <f>IF(WAElec09_08!E65+IDElec12_07!E65=0,,WAElec09_08!E65+IDElec12_07!E65)</f>
        <v>0</v>
      </c>
      <c r="F69" s="74">
        <f>IF(WAElec09_08!F65+IDElec12_07!F65=0,,WAElec09_08!F65+IDElec12_07!F65)</f>
        <v>0</v>
      </c>
      <c r="G69" s="74">
        <f>IF(WAElec09_08!G65+IDElec12_07!G65=0,,WAElec09_08!G65+IDElec12_07!G65)</f>
        <v>-194</v>
      </c>
      <c r="H69" s="74">
        <f>IF(WAElec09_08!H65+IDElec12_07!H65=0,,WAElec09_08!H65+IDElec12_07!H65)</f>
        <v>0</v>
      </c>
      <c r="I69" s="74">
        <f>IF(WAElec09_08!I65+IDElec12_07!I65=0,,WAElec09_08!I65+IDElec12_07!I65)</f>
        <v>0</v>
      </c>
      <c r="J69" s="74">
        <f>IF(WAElec09_08!J65+IDElec12_07!J65=0,,WAElec09_08!J65+IDElec12_07!J65)</f>
        <v>0</v>
      </c>
      <c r="K69" s="74">
        <f>IF(WAElec09_08!K65+IDElec12_07!K65=0,,WAElec09_08!K65+IDElec12_07!K65)</f>
        <v>0</v>
      </c>
      <c r="L69" s="74">
        <f>IF(WAElec09_08!L65+IDElec12_07!L65=0,,WAElec09_08!L65+IDElec12_07!L65)</f>
        <v>0</v>
      </c>
      <c r="M69" s="74">
        <f>IF(WAElec09_08!M65+IDElec12_07!M65=0,,WAElec09_08!M65+IDElec12_07!M65)</f>
        <v>0</v>
      </c>
      <c r="N69" s="74" t="e">
        <f>IF(WAElec09_08!#REF!+IDElec12_07!#REF!=0,,WAElec09_08!#REF!+IDElec12_07!#REF!)</f>
        <v>#REF!</v>
      </c>
      <c r="O69" s="74">
        <f>IF(WAElec09_08!N65+IDElec12_07!N65=0,,WAElec09_08!N65+IDElec12_07!N65)</f>
        <v>-194</v>
      </c>
      <c r="P69" s="74" t="e">
        <f>IF(WAElec09_08!#REF!+IDElec12_07!#REF!=0,,WAElec09_08!#REF!+IDElec12_07!#REF!)</f>
        <v>#REF!</v>
      </c>
      <c r="Q69" s="74">
        <f>IF(WAElec09_08!O65+IDElec12_07!P65=0,,WAElec09_08!O65+IDElec12_07!P65)</f>
        <v>0</v>
      </c>
      <c r="R69" s="74">
        <f>IF(WAElec09_08!P65+IDElec12_07!Q65=0,,WAElec09_08!P65+IDElec12_07!Q65)</f>
        <v>0</v>
      </c>
      <c r="S69" s="74">
        <f>IF(WAElec09_08!Q65+IDElec12_07!R65=0,,WAElec09_08!Q65+IDElec12_07!R65)</f>
        <v>0</v>
      </c>
      <c r="T69" s="74">
        <f>IF(WAElec09_08!R65+IDElec12_07!S65=0,,WAElec09_08!R65+IDElec12_07!S65)</f>
        <v>0</v>
      </c>
      <c r="U69" s="74">
        <f>IF(WAElec09_08!S65+IDElec12_07!T65=0,,WAElec09_08!S65+IDElec12_07!T65)</f>
        <v>0</v>
      </c>
      <c r="V69" s="74">
        <f>IF(WAElec09_08!T65+IDElec12_07!U65=0,,WAElec09_08!T65+IDElec12_07!U65)</f>
        <v>0</v>
      </c>
      <c r="W69" s="74">
        <f>IF(WAElec09_08!AC65+IDElec12_07!AA65=0,,WAElec09_08!AC65+IDElec12_07!AA65)</f>
        <v>0</v>
      </c>
      <c r="X69" s="74">
        <f>IF(WAElec09_08!U65+IDElec12_07!V65=0,,WAElec09_08!U65+IDElec12_07!V65)</f>
        <v>0</v>
      </c>
      <c r="Y69" s="74">
        <f>IF(WAElec09_08!AD65+IDElec12_07!W65=0,,WAElec09_08!AD65+IDElec12_07!W65)</f>
        <v>0</v>
      </c>
      <c r="Z69" s="74" t="e">
        <f>IF(WAElec09_08!AE65+IDElec12_07!#REF!=0,,WAElec09_08!AE65+IDElec12_07!#REF!)</f>
        <v>#REF!</v>
      </c>
      <c r="AA69" s="74" t="e">
        <f>IF(WAElec09_08!#REF!+IDElec12_07!#REF!=0,,WAElec09_08!#REF!+IDElec12_07!#REF!)</f>
        <v>#REF!</v>
      </c>
      <c r="AB69" s="74" t="e">
        <f>IF(WAElec09_08!#REF!+IDElec12_07!#REF!=0,,WAElec09_08!#REF!+IDElec12_07!#REF!)</f>
        <v>#REF!</v>
      </c>
      <c r="AC69" s="74" t="e">
        <f>IF(WAElec09_08!#REF!+IDElec12_07!Y65=0,,WAElec09_08!#REF!+IDElec12_07!Y65)</f>
        <v>#REF!</v>
      </c>
      <c r="AD69" s="74" t="e">
        <f>IF(WAElec09_08!#REF!+IDElec12_07!#REF!=0,,WAElec09_08!#REF!+IDElec12_07!#REF!)</f>
        <v>#REF!</v>
      </c>
      <c r="AE69" s="74" t="e">
        <f>IF(WAElec09_08!#REF!+IDElec12_07!AB65=0,,WAElec09_08!#REF!+IDElec12_07!AB65)</f>
        <v>#REF!</v>
      </c>
      <c r="AF69" s="74">
        <f>IF(WAElec09_08!AG65+IDElec12_07!AG65=0,,WAElec09_08!AG65+IDElec12_07!AG65)</f>
        <v>-194</v>
      </c>
      <c r="AG69" s="74" t="e">
        <f>IF(WAElec09_08!#REF!+IDElec12_07!#REF!=0,,WAElec09_08!#REF!+IDElec12_07!#REF!)</f>
        <v>#REF!</v>
      </c>
      <c r="AH69" s="74" t="e">
        <f>IF(WAElec09_08!AH65+IDElec12_07!#REF!=0,,WAElec09_08!AH65+IDElec12_07!#REF!)</f>
        <v>#REF!</v>
      </c>
      <c r="AI69" s="74" t="e">
        <f>IF(WAElec09_08!#REF!+IDElec12_07!#REF!=0,,WAElec09_08!#REF!+IDElec12_07!#REF!)</f>
        <v>#REF!</v>
      </c>
      <c r="AJ69" s="74" t="e">
        <f>IF(WAElec09_08!AA65+IDElec12_07!#REF!=0,,WAElec09_08!AA65+IDElec12_07!#REF!)</f>
        <v>#REF!</v>
      </c>
      <c r="AK69" s="74" t="e">
        <f>IF(WAElec09_08!AJ65+IDElec12_07!#REF!=0,,WAElec09_08!AJ65+IDElec12_07!#REF!)</f>
        <v>#REF!</v>
      </c>
      <c r="AL69" s="74" t="e">
        <f>IF(WAElec09_08!AK65+IDElec12_07!#REF!=0,,WAElec09_08!AK65+IDElec12_07!#REF!)</f>
        <v>#REF!</v>
      </c>
      <c r="AM69" s="74" t="e">
        <f>IF(WAElec09_08!#REF!+IDElec12_07!#REF!=0,,WAElec09_08!#REF!+IDElec12_07!#REF!)</f>
        <v>#REF!</v>
      </c>
      <c r="AN69" s="74" t="e">
        <f>IF(WAElec09_08!#REF!+IDElec12_07!#REF!=0,,WAElec09_08!#REF!+IDElec12_07!#REF!)</f>
        <v>#REF!</v>
      </c>
      <c r="AO69" s="74">
        <f>IF(WAElec09_08!AM65+IDElec12_07!AL65=0,,WAElec09_08!AM65+IDElec12_07!AL65)</f>
        <v>0</v>
      </c>
      <c r="AP69" s="74">
        <f>IF(WAElec09_08!AN65+IDElec12_07!AM65=0,,WAElec09_08!AN65+IDElec12_07!AM65)</f>
        <v>0</v>
      </c>
      <c r="AQ69" s="74">
        <f>IF(WAElec09_08!BC65+IDElec12_07!AO65=0,,WAElec09_08!BC65+IDElec12_07!AO65)</f>
        <v>0</v>
      </c>
      <c r="AR69" s="74">
        <f>IF(WAElec09_08!BD65+IDElec12_07!AP65=0,,WAElec09_08!BD65+IDElec12_07!AP65)</f>
        <v>-194</v>
      </c>
      <c r="AS69" s="74"/>
      <c r="AT69" s="74" t="e">
        <f>IF(WAElec09_08!BG65+IDElec12_07!#REF!=0,,WAElec09_08!BG65+IDElec12_07!#REF!)</f>
        <v>#REF!</v>
      </c>
    </row>
    <row r="70" spans="1:47" s="34" customFormat="1">
      <c r="A70" s="32">
        <v>38</v>
      </c>
      <c r="B70" s="34" t="s">
        <v>125</v>
      </c>
      <c r="E70" s="75">
        <f>IF(WAElec09_08!E66+IDElec12_07!E66=0,,WAElec09_08!E66+IDElec12_07!E66)</f>
        <v>0</v>
      </c>
      <c r="F70" s="75">
        <f>IF(WAElec09_08!F66+IDElec12_07!F66=0,,WAElec09_08!F66+IDElec12_07!F66)</f>
        <v>-225120</v>
      </c>
      <c r="G70" s="75">
        <f>IF(WAElec09_08!G66+IDElec12_07!G66=0,,WAElec09_08!G66+IDElec12_07!G66)</f>
        <v>68</v>
      </c>
      <c r="H70" s="75">
        <f>IF(WAElec09_08!H66+IDElec12_07!H66=0,,WAElec09_08!H66+IDElec12_07!H66)</f>
        <v>0</v>
      </c>
      <c r="I70" s="75">
        <f>IF(WAElec09_08!I66+IDElec12_07!I66=0,,WAElec09_08!I66+IDElec12_07!I66)</f>
        <v>0</v>
      </c>
      <c r="J70" s="75">
        <f>IF(WAElec09_08!J66+IDElec12_07!J66=0,,WAElec09_08!J66+IDElec12_07!J66)</f>
        <v>598</v>
      </c>
      <c r="K70" s="75">
        <f>IF(WAElec09_08!K66+IDElec12_07!K66=0,,WAElec09_08!K66+IDElec12_07!K66)</f>
        <v>0</v>
      </c>
      <c r="L70" s="75">
        <f>IF(WAElec09_08!L66+IDElec12_07!L66=0,,WAElec09_08!L66+IDElec12_07!L66)</f>
        <v>0</v>
      </c>
      <c r="M70" s="75">
        <f>IF(WAElec09_08!M66+IDElec12_07!M66=0,,WAElec09_08!M66+IDElec12_07!M66)</f>
        <v>-4036</v>
      </c>
      <c r="N70" s="75" t="e">
        <f>IF(WAElec09_08!#REF!+IDElec12_07!#REF!=0,,WAElec09_08!#REF!+IDElec12_07!#REF!)</f>
        <v>#REF!</v>
      </c>
      <c r="O70" s="75">
        <f>IF(WAElec09_08!N66+IDElec12_07!N66=0,,WAElec09_08!N66+IDElec12_07!N66)</f>
        <v>-228490</v>
      </c>
      <c r="P70" s="75" t="e">
        <f>IF(WAElec09_08!#REF!+IDElec12_07!#REF!=0,,WAElec09_08!#REF!+IDElec12_07!#REF!)</f>
        <v>#REF!</v>
      </c>
      <c r="Q70" s="75">
        <f>IF(WAElec09_08!O66+IDElec12_07!P66=0,,WAElec09_08!O66+IDElec12_07!P66)</f>
        <v>0</v>
      </c>
      <c r="R70" s="75">
        <f>IF(WAElec09_08!P66+IDElec12_07!Q66=0,,WAElec09_08!P66+IDElec12_07!Q66)</f>
        <v>0</v>
      </c>
      <c r="S70" s="75">
        <f>IF(WAElec09_08!Q66+IDElec12_07!R66=0,,WAElec09_08!Q66+IDElec12_07!R66)</f>
        <v>0</v>
      </c>
      <c r="T70" s="75">
        <f>IF(WAElec09_08!R66+IDElec12_07!S66=0,,WAElec09_08!R66+IDElec12_07!S66)</f>
        <v>0</v>
      </c>
      <c r="U70" s="75">
        <f>IF(WAElec09_08!S66+IDElec12_07!T66=0,,WAElec09_08!S66+IDElec12_07!T66)</f>
        <v>0</v>
      </c>
      <c r="V70" s="75">
        <f>IF(WAElec09_08!T66+IDElec12_07!U66=0,,WAElec09_08!T66+IDElec12_07!U66)</f>
        <v>0</v>
      </c>
      <c r="W70" s="75">
        <f>IF(WAElec09_08!AC66+IDElec12_07!AA66=0,,WAElec09_08!AC66+IDElec12_07!AA66)</f>
        <v>0</v>
      </c>
      <c r="X70" s="75">
        <f>IF(WAElec09_08!U66+IDElec12_07!V66=0,,WAElec09_08!U66+IDElec12_07!V66)</f>
        <v>0</v>
      </c>
      <c r="Y70" s="75">
        <f>IF(WAElec09_08!AD66+IDElec12_07!W66=0,,WAElec09_08!AD66+IDElec12_07!W66)</f>
        <v>0</v>
      </c>
      <c r="Z70" s="75" t="e">
        <f>IF(WAElec09_08!AE66+IDElec12_07!#REF!=0,,WAElec09_08!AE66+IDElec12_07!#REF!)</f>
        <v>#REF!</v>
      </c>
      <c r="AA70" s="75" t="e">
        <f>IF(WAElec09_08!#REF!+IDElec12_07!#REF!=0,,WAElec09_08!#REF!+IDElec12_07!#REF!)</f>
        <v>#REF!</v>
      </c>
      <c r="AB70" s="75" t="e">
        <f>IF(WAElec09_08!#REF!+IDElec12_07!#REF!=0,,WAElec09_08!#REF!+IDElec12_07!#REF!)</f>
        <v>#REF!</v>
      </c>
      <c r="AC70" s="75" t="e">
        <f>IF(WAElec09_08!#REF!+IDElec12_07!Y66=0,,WAElec09_08!#REF!+IDElec12_07!Y66)</f>
        <v>#REF!</v>
      </c>
      <c r="AD70" s="75" t="e">
        <f>IF(WAElec09_08!#REF!+IDElec12_07!#REF!=0,,WAElec09_08!#REF!+IDElec12_07!#REF!)</f>
        <v>#REF!</v>
      </c>
      <c r="AE70" s="75" t="e">
        <f>IF(WAElec09_08!#REF!+IDElec12_07!AB66=0,,WAElec09_08!#REF!+IDElec12_07!AB66)</f>
        <v>#REF!</v>
      </c>
      <c r="AF70" s="75">
        <f>IF(WAElec09_08!AG66+IDElec12_07!AG66=0,,WAElec09_08!AG66+IDElec12_07!AG66)</f>
        <v>-228490</v>
      </c>
      <c r="AG70" s="75" t="e">
        <f>IF(WAElec09_08!#REF!+IDElec12_07!#REF!=0,,WAElec09_08!#REF!+IDElec12_07!#REF!)</f>
        <v>#REF!</v>
      </c>
      <c r="AH70" s="75" t="e">
        <f>IF(WAElec09_08!AH66+IDElec12_07!#REF!=0,,WAElec09_08!AH66+IDElec12_07!#REF!)</f>
        <v>#REF!</v>
      </c>
      <c r="AI70" s="75" t="e">
        <f>IF(WAElec09_08!#REF!+IDElec12_07!#REF!=0,,WAElec09_08!#REF!+IDElec12_07!#REF!)</f>
        <v>#REF!</v>
      </c>
      <c r="AJ70" s="75" t="e">
        <f>IF(WAElec09_08!AA66+IDElec12_07!#REF!=0,,WAElec09_08!AA66+IDElec12_07!#REF!)</f>
        <v>#REF!</v>
      </c>
      <c r="AK70" s="75" t="e">
        <f>IF(WAElec09_08!AJ66+IDElec12_07!#REF!=0,,WAElec09_08!AJ66+IDElec12_07!#REF!)</f>
        <v>#REF!</v>
      </c>
      <c r="AL70" s="75" t="e">
        <f>IF(WAElec09_08!AK66+IDElec12_07!#REF!=0,,WAElec09_08!AK66+IDElec12_07!#REF!)</f>
        <v>#REF!</v>
      </c>
      <c r="AM70" s="75" t="e">
        <f>IF(WAElec09_08!#REF!+IDElec12_07!#REF!=0,,WAElec09_08!#REF!+IDElec12_07!#REF!)</f>
        <v>#REF!</v>
      </c>
      <c r="AN70" s="75" t="e">
        <f>IF(WAElec09_08!#REF!+IDElec12_07!#REF!=0,,WAElec09_08!#REF!+IDElec12_07!#REF!)</f>
        <v>#REF!</v>
      </c>
      <c r="AO70" s="75">
        <f>IF(WAElec09_08!AM66+IDElec12_07!AL66=0,,WAElec09_08!AM66+IDElec12_07!AL66)</f>
        <v>-7001</v>
      </c>
      <c r="AP70" s="75">
        <f>IF(WAElec09_08!AN66+IDElec12_07!AM66=0,,WAElec09_08!AN66+IDElec12_07!AM66)</f>
        <v>-7647</v>
      </c>
      <c r="AQ70" s="75">
        <f>IF(WAElec09_08!BC66+IDElec12_07!AO66=0,,WAElec09_08!BC66+IDElec12_07!AO66)</f>
        <v>0</v>
      </c>
      <c r="AR70" s="75">
        <f>IF(WAElec09_08!BD66+IDElec12_07!AP66=0,,WAElec09_08!BD66+IDElec12_07!AP66)</f>
        <v>-171073</v>
      </c>
      <c r="AS70" s="75"/>
      <c r="AT70" s="75" t="e">
        <f>IF(WAElec09_08!BG66+IDElec12_07!#REF!=0,,WAElec09_08!BG66+IDElec12_07!#REF!)</f>
        <v>#REF!</v>
      </c>
    </row>
    <row r="71" spans="1:47" s="34" customFormat="1">
      <c r="A71" s="32"/>
      <c r="E71" s="74">
        <f>IF(WAElec09_08!E67+IDElec12_07!E67=0,,WAElec09_08!E67+IDElec12_07!E67)</f>
        <v>0</v>
      </c>
      <c r="F71" s="74">
        <f>IF(WAElec09_08!F67+IDElec12_07!F67=0,,WAElec09_08!F67+IDElec12_07!F67)</f>
        <v>0</v>
      </c>
      <c r="G71" s="74">
        <f>IF(WAElec09_08!G67+IDElec12_07!G67=0,,WAElec09_08!G67+IDElec12_07!G67)</f>
        <v>0</v>
      </c>
      <c r="H71" s="74">
        <f>IF(WAElec09_08!H67+IDElec12_07!H67=0,,WAElec09_08!H67+IDElec12_07!H67)</f>
        <v>0</v>
      </c>
      <c r="I71" s="74">
        <f>IF(WAElec09_08!I67+IDElec12_07!I67=0,,WAElec09_08!I67+IDElec12_07!I67)</f>
        <v>0</v>
      </c>
      <c r="J71" s="74">
        <f>IF(WAElec09_08!J67+IDElec12_07!J67=0,,WAElec09_08!J67+IDElec12_07!J67)</f>
        <v>0</v>
      </c>
      <c r="K71" s="74">
        <f>IF(WAElec09_08!K67+IDElec12_07!K67=0,,WAElec09_08!K67+IDElec12_07!K67)</f>
        <v>0</v>
      </c>
      <c r="L71" s="74">
        <f>IF(WAElec09_08!L67+IDElec12_07!L67=0,,WAElec09_08!L67+IDElec12_07!L67)</f>
        <v>0</v>
      </c>
      <c r="M71" s="74">
        <f>IF(WAElec09_08!M67+IDElec12_07!M67=0,,WAElec09_08!M67+IDElec12_07!M67)</f>
        <v>0</v>
      </c>
      <c r="N71" s="74" t="e">
        <f>IF(WAElec09_08!#REF!+IDElec12_07!#REF!=0,,WAElec09_08!#REF!+IDElec12_07!#REF!)</f>
        <v>#REF!</v>
      </c>
      <c r="O71" s="74">
        <f>IF(WAElec09_08!N67+IDElec12_07!N67=0,,WAElec09_08!N67+IDElec12_07!N67)</f>
        <v>0</v>
      </c>
      <c r="P71" s="74" t="e">
        <f>IF(WAElec09_08!#REF!+IDElec12_07!#REF!=0,,WAElec09_08!#REF!+IDElec12_07!#REF!)</f>
        <v>#REF!</v>
      </c>
      <c r="Q71" s="74">
        <f>IF(WAElec09_08!O67+IDElec12_07!P67=0,,WAElec09_08!O67+IDElec12_07!P67)</f>
        <v>0</v>
      </c>
      <c r="R71" s="74">
        <f>IF(WAElec09_08!P67+IDElec12_07!Q67=0,,WAElec09_08!P67+IDElec12_07!Q67)</f>
        <v>0</v>
      </c>
      <c r="S71" s="74">
        <f>IF(WAElec09_08!Q67+IDElec12_07!R67=0,,WAElec09_08!Q67+IDElec12_07!R67)</f>
        <v>0</v>
      </c>
      <c r="T71" s="74">
        <f>IF(WAElec09_08!R67+IDElec12_07!S67=0,,WAElec09_08!R67+IDElec12_07!S67)</f>
        <v>0</v>
      </c>
      <c r="U71" s="74">
        <f>IF(WAElec09_08!S67+IDElec12_07!T67=0,,WAElec09_08!S67+IDElec12_07!T67)</f>
        <v>0</v>
      </c>
      <c r="V71" s="74">
        <f>IF(WAElec09_08!T67+IDElec12_07!U67=0,,WAElec09_08!T67+IDElec12_07!U67)</f>
        <v>0</v>
      </c>
      <c r="W71" s="74">
        <f>IF(WAElec09_08!AC67+IDElec12_07!AA67=0,,WAElec09_08!AC67+IDElec12_07!AA67)</f>
        <v>0</v>
      </c>
      <c r="X71" s="74">
        <f>IF(WAElec09_08!U67+IDElec12_07!V67=0,,WAElec09_08!U67+IDElec12_07!V67)</f>
        <v>0</v>
      </c>
      <c r="Y71" s="74">
        <f>IF(WAElec09_08!AD67+IDElec12_07!W67=0,,WAElec09_08!AD67+IDElec12_07!W67)</f>
        <v>0</v>
      </c>
      <c r="Z71" s="74" t="e">
        <f>IF(WAElec09_08!AE67+IDElec12_07!#REF!=0,,WAElec09_08!AE67+IDElec12_07!#REF!)</f>
        <v>#REF!</v>
      </c>
      <c r="AA71" s="74" t="e">
        <f>IF(WAElec09_08!#REF!+IDElec12_07!#REF!=0,,WAElec09_08!#REF!+IDElec12_07!#REF!)</f>
        <v>#REF!</v>
      </c>
      <c r="AB71" s="74" t="e">
        <f>IF(WAElec09_08!#REF!+IDElec12_07!#REF!=0,,WAElec09_08!#REF!+IDElec12_07!#REF!)</f>
        <v>#REF!</v>
      </c>
      <c r="AC71" s="74" t="e">
        <f>IF(WAElec09_08!#REF!+IDElec12_07!Y67=0,,WAElec09_08!#REF!+IDElec12_07!Y67)</f>
        <v>#REF!</v>
      </c>
      <c r="AD71" s="74" t="e">
        <f>IF(WAElec09_08!#REF!+IDElec12_07!#REF!=0,,WAElec09_08!#REF!+IDElec12_07!#REF!)</f>
        <v>#REF!</v>
      </c>
      <c r="AE71" s="74" t="e">
        <f>IF(WAElec09_08!#REF!+IDElec12_07!AB67=0,,WAElec09_08!#REF!+IDElec12_07!AB67)</f>
        <v>#REF!</v>
      </c>
      <c r="AF71" s="74">
        <f>IF(WAElec09_08!AG67+IDElec12_07!AG67=0,,WAElec09_08!AG67+IDElec12_07!AG67)</f>
        <v>0</v>
      </c>
      <c r="AG71" s="74" t="e">
        <f>IF(WAElec09_08!#REF!+IDElec12_07!#REF!=0,,WAElec09_08!#REF!+IDElec12_07!#REF!)</f>
        <v>#REF!</v>
      </c>
      <c r="AH71" s="74" t="e">
        <f>IF(WAElec09_08!AH67+IDElec12_07!#REF!=0,,WAElec09_08!AH67+IDElec12_07!#REF!)</f>
        <v>#REF!</v>
      </c>
      <c r="AI71" s="74" t="e">
        <f>IF(WAElec09_08!#REF!+IDElec12_07!#REF!=0,,WAElec09_08!#REF!+IDElec12_07!#REF!)</f>
        <v>#REF!</v>
      </c>
      <c r="AJ71" s="74" t="e">
        <f>IF(WAElec09_08!AA67+IDElec12_07!#REF!=0,,WAElec09_08!AA67+IDElec12_07!#REF!)</f>
        <v>#REF!</v>
      </c>
      <c r="AK71" s="74" t="e">
        <f>IF(WAElec09_08!AJ67+IDElec12_07!#REF!=0,,WAElec09_08!AJ67+IDElec12_07!#REF!)</f>
        <v>#REF!</v>
      </c>
      <c r="AL71" s="74" t="e">
        <f>IF(WAElec09_08!AK67+IDElec12_07!#REF!=0,,WAElec09_08!AK67+IDElec12_07!#REF!)</f>
        <v>#REF!</v>
      </c>
      <c r="AM71" s="74" t="e">
        <f>IF(WAElec09_08!#REF!+IDElec12_07!#REF!=0,,WAElec09_08!#REF!+IDElec12_07!#REF!)</f>
        <v>#REF!</v>
      </c>
      <c r="AN71" s="74" t="e">
        <f>IF(WAElec09_08!#REF!+IDElec12_07!#REF!=0,,WAElec09_08!#REF!+IDElec12_07!#REF!)</f>
        <v>#REF!</v>
      </c>
      <c r="AO71" s="74">
        <f>IF(WAElec09_08!AM67+IDElec12_07!AL67=0,,WAElec09_08!AM67+IDElec12_07!AL67)</f>
        <v>0</v>
      </c>
      <c r="AP71" s="74">
        <f>IF(WAElec09_08!AN67+IDElec12_07!AM67=0,,WAElec09_08!AN67+IDElec12_07!AM67)</f>
        <v>0</v>
      </c>
      <c r="AQ71" s="74">
        <f>IF(WAElec09_08!BC67+IDElec12_07!AO67=0,,WAElec09_08!BC67+IDElec12_07!AO67)</f>
        <v>0</v>
      </c>
      <c r="AR71" s="74">
        <f>IF(WAElec09_08!BD67+IDElec12_07!AP67=0,,WAElec09_08!BD67+IDElec12_07!AP67)</f>
        <v>0</v>
      </c>
      <c r="AS71" s="74"/>
      <c r="AT71" s="74" t="e">
        <f>IF(WAElec09_08!BG67+IDElec12_07!#REF!=0,,WAElec09_08!BG67+IDElec12_07!#REF!)</f>
        <v>#REF!</v>
      </c>
    </row>
    <row r="72" spans="1:47" s="33" customFormat="1" ht="12.75" thickBot="1">
      <c r="A72" s="35">
        <v>39</v>
      </c>
      <c r="B72" s="33" t="s">
        <v>126</v>
      </c>
      <c r="E72" s="77">
        <f>IF(WAElec09_08!E68+IDElec12_07!E68=0,,WAElec09_08!E68+IDElec12_07!E68)</f>
        <v>1658985</v>
      </c>
      <c r="F72" s="77">
        <f>IF(WAElec09_08!F68+IDElec12_07!F68=0,,WAElec09_08!F68+IDElec12_07!F68)</f>
        <v>-225120</v>
      </c>
      <c r="G72" s="77">
        <f>IF(WAElec09_08!G68+IDElec12_07!G68=0,,WAElec09_08!G68+IDElec12_07!G68)</f>
        <v>-126</v>
      </c>
      <c r="H72" s="77">
        <f>IF(WAElec09_08!H68+IDElec12_07!H68=0,,WAElec09_08!H68+IDElec12_07!H68)</f>
        <v>-1956</v>
      </c>
      <c r="I72" s="77">
        <f>IF(WAElec09_08!I68+IDElec12_07!I68=0,,WAElec09_08!I68+IDElec12_07!I68)</f>
        <v>436</v>
      </c>
      <c r="J72" s="77">
        <f>IF(WAElec09_08!J68+IDElec12_07!J68=0,,WAElec09_08!J68+IDElec12_07!J68)</f>
        <v>-854</v>
      </c>
      <c r="K72" s="77">
        <f>IF(WAElec09_08!K68+IDElec12_07!K68=0,,WAElec09_08!K68+IDElec12_07!K68)</f>
        <v>-231</v>
      </c>
      <c r="L72" s="77">
        <f>IF(WAElec09_08!L68+IDElec12_07!L68=0,,WAElec09_08!L68+IDElec12_07!L68)</f>
        <v>2630</v>
      </c>
      <c r="M72" s="77">
        <f>IF(WAElec09_08!M68+IDElec12_07!M68=0,,WAElec09_08!M68+IDElec12_07!M68)</f>
        <v>18422</v>
      </c>
      <c r="N72" s="77" t="e">
        <f>IF(WAElec09_08!#REF!+IDElec12_07!#REF!=0,,WAElec09_08!#REF!+IDElec12_07!#REF!)</f>
        <v>#REF!</v>
      </c>
      <c r="O72" s="77">
        <f>IF(WAElec09_08!N68+IDElec12_07!N68=0,,WAElec09_08!N68+IDElec12_07!N68)</f>
        <v>1452186</v>
      </c>
      <c r="P72" s="77" t="e">
        <f>IF(WAElec09_08!#REF!+IDElec12_07!#REF!=0,,WAElec09_08!#REF!+IDElec12_07!#REF!)</f>
        <v>#REF!</v>
      </c>
      <c r="Q72" s="77">
        <f>IF(WAElec09_08!O68+IDElec12_07!P68=0,,WAElec09_08!O68+IDElec12_07!P68)</f>
        <v>0</v>
      </c>
      <c r="R72" s="77">
        <f>IF(WAElec09_08!P68+IDElec12_07!Q68=0,,WAElec09_08!P68+IDElec12_07!Q68)</f>
        <v>0</v>
      </c>
      <c r="S72" s="77">
        <f>IF(WAElec09_08!Q68+IDElec12_07!R68=0,,WAElec09_08!Q68+IDElec12_07!R68)</f>
        <v>0</v>
      </c>
      <c r="T72" s="77">
        <f>IF(WAElec09_08!R68+IDElec12_07!S68=0,,WAElec09_08!R68+IDElec12_07!S68)</f>
        <v>0</v>
      </c>
      <c r="U72" s="77">
        <f>IF(WAElec09_08!S68+IDElec12_07!T68=0,,WAElec09_08!S68+IDElec12_07!T68)</f>
        <v>0</v>
      </c>
      <c r="V72" s="77">
        <f>IF(WAElec09_08!T68+IDElec12_07!U68=0,,WAElec09_08!T68+IDElec12_07!U68)</f>
        <v>0</v>
      </c>
      <c r="W72" s="77">
        <f>IF(WAElec09_08!AC68+IDElec12_07!AA68=0,,WAElec09_08!AC68+IDElec12_07!AA68)</f>
        <v>0</v>
      </c>
      <c r="X72" s="77">
        <f>IF(WAElec09_08!U68+IDElec12_07!V68=0,,WAElec09_08!U68+IDElec12_07!V68)</f>
        <v>0</v>
      </c>
      <c r="Y72" s="77">
        <f>IF(WAElec09_08!AD68+IDElec12_07!W68=0,,WAElec09_08!AD68+IDElec12_07!W68)</f>
        <v>0</v>
      </c>
      <c r="Z72" s="77" t="e">
        <f>IF(WAElec09_08!AE68+IDElec12_07!#REF!=0,,WAElec09_08!AE68+IDElec12_07!#REF!)</f>
        <v>#REF!</v>
      </c>
      <c r="AA72" s="77" t="e">
        <f>IF(WAElec09_08!#REF!+IDElec12_07!#REF!=0,,WAElec09_08!#REF!+IDElec12_07!#REF!)</f>
        <v>#REF!</v>
      </c>
      <c r="AB72" s="77" t="e">
        <f>IF(WAElec09_08!#REF!+IDElec12_07!#REF!=0,,WAElec09_08!#REF!+IDElec12_07!#REF!)</f>
        <v>#REF!</v>
      </c>
      <c r="AC72" s="77" t="e">
        <f>IF(WAElec09_08!#REF!+IDElec12_07!Y68=0,,WAElec09_08!#REF!+IDElec12_07!Y68)</f>
        <v>#REF!</v>
      </c>
      <c r="AD72" s="77" t="e">
        <f>IF(WAElec09_08!#REF!+IDElec12_07!#REF!=0,,WAElec09_08!#REF!+IDElec12_07!#REF!)</f>
        <v>#REF!</v>
      </c>
      <c r="AE72" s="77" t="e">
        <f>IF(WAElec09_08!#REF!+IDElec12_07!AB68=0,,WAElec09_08!#REF!+IDElec12_07!AB68)</f>
        <v>#REF!</v>
      </c>
      <c r="AF72" s="77">
        <f>IF(WAElec09_08!AG68+IDElec12_07!AG68=0,,WAElec09_08!AG68+IDElec12_07!AG68)</f>
        <v>1452186</v>
      </c>
      <c r="AG72" s="77" t="e">
        <f>IF(WAElec09_08!#REF!+IDElec12_07!#REF!=0,,WAElec09_08!#REF!+IDElec12_07!#REF!)</f>
        <v>#REF!</v>
      </c>
      <c r="AH72" s="77" t="e">
        <f>IF(WAElec09_08!AH68+IDElec12_07!#REF!=0,,WAElec09_08!AH68+IDElec12_07!#REF!)</f>
        <v>#REF!</v>
      </c>
      <c r="AI72" s="77" t="e">
        <f>IF(WAElec09_08!#REF!+IDElec12_07!#REF!=0,,WAElec09_08!#REF!+IDElec12_07!#REF!)</f>
        <v>#REF!</v>
      </c>
      <c r="AJ72" s="77" t="e">
        <f>IF(WAElec09_08!AA68+IDElec12_07!#REF!=0,,WAElec09_08!AA68+IDElec12_07!#REF!)</f>
        <v>#REF!</v>
      </c>
      <c r="AK72" s="77" t="e">
        <f>IF(WAElec09_08!AJ68+IDElec12_07!#REF!=0,,WAElec09_08!AJ68+IDElec12_07!#REF!)</f>
        <v>#REF!</v>
      </c>
      <c r="AL72" s="77" t="e">
        <f>IF(WAElec09_08!AK68+IDElec12_07!#REF!=0,,WAElec09_08!AK68+IDElec12_07!#REF!)</f>
        <v>#REF!</v>
      </c>
      <c r="AM72" s="77" t="e">
        <f>IF(WAElec09_08!#REF!+IDElec12_07!#REF!=0,,WAElec09_08!#REF!+IDElec12_07!#REF!)</f>
        <v>#REF!</v>
      </c>
      <c r="AN72" s="77" t="e">
        <f>IF(WAElec09_08!#REF!+IDElec12_07!#REF!=0,,WAElec09_08!#REF!+IDElec12_07!#REF!)</f>
        <v>#REF!</v>
      </c>
      <c r="AO72" s="77">
        <f>IF(WAElec09_08!AM68+IDElec12_07!AL68=0,,WAElec09_08!AM68+IDElec12_07!AL68)</f>
        <v>21445</v>
      </c>
      <c r="AP72" s="77">
        <f>IF(WAElec09_08!AN68+IDElec12_07!AM68=0,,WAElec09_08!AN68+IDElec12_07!AM68)</f>
        <v>22936</v>
      </c>
      <c r="AQ72" s="77">
        <f>IF(WAElec09_08!BC68+IDElec12_07!AO68=0,,WAElec09_08!BC68+IDElec12_07!AO68)</f>
        <v>0</v>
      </c>
      <c r="AR72" s="77">
        <f>IF(WAElec09_08!BD68+IDElec12_07!AP68=0,,WAElec09_08!BD68+IDElec12_07!AP68)</f>
        <v>1007076</v>
      </c>
      <c r="AS72" s="77"/>
      <c r="AT72" s="77" t="e">
        <f>IF(WAElec09_08!BG68+IDElec12_07!#REF!=0,,WAElec09_08!BG68+IDElec12_07!#REF!)</f>
        <v>#REF!</v>
      </c>
      <c r="AU72" s="33">
        <f>IDElec12_07!AP68+WAElec09_08!BD68</f>
        <v>1007076</v>
      </c>
    </row>
    <row r="73" spans="1:47" ht="18" customHeight="1" thickTop="1">
      <c r="A73" s="32">
        <v>40</v>
      </c>
      <c r="B73" s="2" t="s">
        <v>127</v>
      </c>
      <c r="E73" s="2"/>
      <c r="AT73" s="37" t="e">
        <f>ROUND(AT55/AT72,4)</f>
        <v>#REF!</v>
      </c>
    </row>
    <row r="74" spans="1:47">
      <c r="E74" s="37">
        <f>ROUND(E55/E72,4)</f>
        <v>6.6799999999999998E-2</v>
      </c>
      <c r="O74" s="37">
        <f>ROUND(O55/O72,4)</f>
        <v>7.6499999999999999E-2</v>
      </c>
      <c r="AF74" s="37">
        <f>ROUND(AF55/AF72,4)</f>
        <v>8.5300000000000001E-2</v>
      </c>
      <c r="AR74" s="37">
        <f>ROUND(AR55/AR72,4)</f>
        <v>6.2399999999999997E-2</v>
      </c>
    </row>
  </sheetData>
  <customSheetViews>
    <customSheetView guid="{A15D1962-B049-11D2-8670-0000832CEEE8}" scale="75" showPageBreaks="1" showGridLines="0" showRuler="0">
      <pane xSplit="4" ySplit="9" topLeftCell="F51" activePane="bottomRight" state="frozenSplit"/>
      <selection pane="bottomRight"/>
      <colBreaks count="3" manualBreakCount="3">
        <brk id="11" min="10" max="72" man="1"/>
        <brk id="18" min="10" max="72" man="1"/>
        <brk id="35" max="1048575" man="1"/>
      </colBreaks>
      <pageMargins left="0.75" right="0.51" top="0.75" bottom="0.5" header="0.5" footer="0.5"/>
      <pageSetup scale="76" orientation="portrait" horizontalDpi="300" verticalDpi="300" r:id="rId1"/>
      <headerFooter alignWithMargins="0">
        <oddHeader>&amp;L&amp;"Times,Regular"&amp;9KM  File: &amp;F&amp;R&amp;"Times,Regular"&amp;9Page &amp;P of &amp;N  &amp;D</oddHeader>
      </headerFooter>
    </customSheetView>
    <customSheetView guid="{6E1B8C45-B07F-11D2-B0DC-0000832CDFF0}" scale="75" showPageBreaks="1" showGridLines="0" printArea="1" hiddenColumns="1" showRuler="0">
      <pane xSplit="4" ySplit="9" topLeftCell="F51" activePane="bottomRight" state="frozenSplit"/>
      <selection pane="bottomRight"/>
      <colBreaks count="4" manualBreakCount="4">
        <brk id="11" min="10" max="72" man="1"/>
        <brk id="18" min="10" max="72" man="1"/>
        <brk id="25" min="10" max="72" man="1"/>
        <brk id="35" max="1048575" man="1"/>
      </colBreaks>
      <pageMargins left="0.75" right="0.51" top="0.75" bottom="0.5" header="0.5" footer="0.5"/>
      <pageSetup scale="76" orientation="portrait" horizontalDpi="300" verticalDpi="300" r:id="rId2"/>
      <headerFooter alignWithMargins="0">
        <oddHeader>&amp;L&amp;"Times,Regular"&amp;9KM  File: &amp;F&amp;R&amp;"Times,Regular"&amp;9Page &amp;P of &amp;N  &amp;D</oddHeader>
      </headerFooter>
    </customSheetView>
  </customSheetViews>
  <phoneticPr fontId="0" type="noConversion"/>
  <printOptions gridLinesSet="0"/>
  <pageMargins left="0.75" right="0.51" top="0.75" bottom="0.5" header="0.5" footer="0.5"/>
  <pageSetup scale="76" orientation="portrait" horizontalDpi="300" verticalDpi="300" r:id="rId3"/>
  <headerFooter alignWithMargins="0">
    <oddHeader>&amp;L&amp;"Times,Regular"&amp;9KM  File: &amp;F&amp;R&amp;"Times,Regular"&amp;9Page &amp;P of &amp;N  &amp;D</oddHeader>
  </headerFooter>
  <colBreaks count="4" manualBreakCount="4">
    <brk id="11" min="10" max="72" man="1"/>
    <brk id="16" min="10" max="72" man="1"/>
    <brk id="23" min="10" max="72" man="1"/>
    <brk id="35" max="1048575" man="1"/>
  </colBreaks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54"/>
  <dimension ref="A1:J112"/>
  <sheetViews>
    <sheetView workbookViewId="0">
      <selection activeCell="D27" sqref="D27"/>
    </sheetView>
  </sheetViews>
  <sheetFormatPr defaultColWidth="12.42578125" defaultRowHeight="12"/>
  <cols>
    <col min="1" max="1" width="5.5703125" style="633" customWidth="1"/>
    <col min="2" max="2" width="26.140625" style="629" customWidth="1"/>
    <col min="3" max="3" width="12.42578125" style="629" customWidth="1"/>
    <col min="4" max="4" width="6.7109375" style="629" customWidth="1"/>
    <col min="5" max="6" width="12.42578125" style="629" customWidth="1"/>
    <col min="7" max="7" width="14.42578125" style="629" customWidth="1"/>
    <col min="8" max="8" width="9.140625" style="629" hidden="1" customWidth="1"/>
    <col min="9" max="16384" width="12.42578125" style="629"/>
  </cols>
  <sheetData>
    <row r="1" spans="1:9">
      <c r="A1" s="627" t="str">
        <f>Inputs!$D$6</f>
        <v>AVISTA UTILITIES</v>
      </c>
      <c r="B1" s="628"/>
      <c r="C1" s="627"/>
    </row>
    <row r="2" spans="1:9">
      <c r="A2" s="627" t="s">
        <v>142</v>
      </c>
      <c r="B2" s="628"/>
      <c r="C2" s="627"/>
      <c r="E2" s="627" t="s">
        <v>253</v>
      </c>
      <c r="F2" s="627"/>
      <c r="G2" s="627"/>
      <c r="H2" s="627"/>
    </row>
    <row r="3" spans="1:9">
      <c r="A3" s="628" t="str">
        <f>WAElec09_08!$A$4</f>
        <v>TWELVE MONTHS ENDED SEPTEMBER 30, 2008</v>
      </c>
      <c r="B3" s="628"/>
      <c r="C3" s="627"/>
      <c r="E3" s="627" t="s">
        <v>254</v>
      </c>
      <c r="F3" s="627"/>
      <c r="G3" s="627"/>
      <c r="H3" s="627"/>
    </row>
    <row r="4" spans="1:9">
      <c r="A4" s="627" t="s">
        <v>1</v>
      </c>
      <c r="B4" s="628"/>
      <c r="C4" s="627"/>
      <c r="E4" s="630" t="s">
        <v>145</v>
      </c>
      <c r="F4" s="630"/>
      <c r="G4" s="631"/>
      <c r="H4" s="632"/>
    </row>
    <row r="5" spans="1:9">
      <c r="A5" s="633" t="s">
        <v>14</v>
      </c>
      <c r="H5" s="634"/>
    </row>
    <row r="6" spans="1:9" s="633" customFormat="1">
      <c r="A6" s="633" t="s">
        <v>146</v>
      </c>
      <c r="B6" s="635" t="s">
        <v>36</v>
      </c>
      <c r="C6" s="635"/>
      <c r="E6" s="635" t="s">
        <v>147</v>
      </c>
      <c r="F6" s="635" t="s">
        <v>148</v>
      </c>
      <c r="G6" s="635" t="s">
        <v>128</v>
      </c>
      <c r="H6" s="636"/>
      <c r="I6" s="637" t="s">
        <v>149</v>
      </c>
    </row>
    <row r="7" spans="1:9">
      <c r="B7" s="638" t="s">
        <v>85</v>
      </c>
      <c r="H7" s="634"/>
    </row>
    <row r="8" spans="1:9" s="641" customFormat="1">
      <c r="A8" s="639">
        <v>1</v>
      </c>
      <c r="B8" s="640" t="s">
        <v>86</v>
      </c>
      <c r="E8" s="642">
        <f>F8+G8+H8</f>
        <v>0</v>
      </c>
      <c r="F8" s="642"/>
      <c r="G8" s="642"/>
      <c r="H8" s="643"/>
      <c r="I8" s="641" t="str">
        <f t="shared" ref="I8:I13" si="0">IF(E8=F8+G8+H8," ","ERROR")</f>
        <v xml:space="preserve"> </v>
      </c>
    </row>
    <row r="9" spans="1:9">
      <c r="A9" s="633">
        <v>2</v>
      </c>
      <c r="B9" s="638" t="s">
        <v>87</v>
      </c>
      <c r="E9" s="644"/>
      <c r="F9" s="644"/>
      <c r="G9" s="644"/>
      <c r="H9" s="645"/>
      <c r="I9" s="641" t="str">
        <f t="shared" si="0"/>
        <v xml:space="preserve"> </v>
      </c>
    </row>
    <row r="10" spans="1:9">
      <c r="A10" s="633">
        <v>3</v>
      </c>
      <c r="B10" s="638" t="s">
        <v>150</v>
      </c>
      <c r="E10" s="644"/>
      <c r="F10" s="644"/>
      <c r="G10" s="644"/>
      <c r="H10" s="645"/>
      <c r="I10" s="641" t="str">
        <f t="shared" si="0"/>
        <v xml:space="preserve"> </v>
      </c>
    </row>
    <row r="11" spans="1:9">
      <c r="A11" s="633">
        <v>4</v>
      </c>
      <c r="B11" s="638" t="s">
        <v>151</v>
      </c>
      <c r="E11" s="646">
        <f>E8+E9+E10</f>
        <v>0</v>
      </c>
      <c r="F11" s="646">
        <f>F8+F9+F10</f>
        <v>0</v>
      </c>
      <c r="G11" s="646">
        <f>G8+G9+G10</f>
        <v>0</v>
      </c>
      <c r="H11" s="647"/>
      <c r="I11" s="641" t="str">
        <f t="shared" si="0"/>
        <v xml:space="preserve"> </v>
      </c>
    </row>
    <row r="12" spans="1:9">
      <c r="A12" s="633">
        <v>5</v>
      </c>
      <c r="B12" s="638" t="s">
        <v>90</v>
      </c>
      <c r="E12" s="644"/>
      <c r="F12" s="644"/>
      <c r="G12" s="644"/>
      <c r="H12" s="645"/>
      <c r="I12" s="641" t="str">
        <f t="shared" si="0"/>
        <v xml:space="preserve"> </v>
      </c>
    </row>
    <row r="13" spans="1:9">
      <c r="A13" s="633">
        <v>6</v>
      </c>
      <c r="B13" s="638" t="s">
        <v>152</v>
      </c>
      <c r="E13" s="646">
        <f>E11+E12</f>
        <v>0</v>
      </c>
      <c r="F13" s="646">
        <f>F11+F12</f>
        <v>0</v>
      </c>
      <c r="G13" s="646">
        <f>G11+G12</f>
        <v>0</v>
      </c>
      <c r="H13" s="647"/>
      <c r="I13" s="641" t="str">
        <f t="shared" si="0"/>
        <v xml:space="preserve"> </v>
      </c>
    </row>
    <row r="14" spans="1:9">
      <c r="E14" s="648"/>
      <c r="F14" s="648"/>
      <c r="G14" s="648"/>
      <c r="H14" s="647"/>
      <c r="I14" s="641"/>
    </row>
    <row r="15" spans="1:9">
      <c r="B15" s="638" t="s">
        <v>92</v>
      </c>
      <c r="E15" s="648"/>
      <c r="F15" s="648"/>
      <c r="G15" s="648"/>
      <c r="H15" s="647"/>
      <c r="I15" s="641"/>
    </row>
    <row r="16" spans="1:9">
      <c r="B16" s="638" t="s">
        <v>93</v>
      </c>
      <c r="E16" s="648"/>
      <c r="F16" s="648"/>
      <c r="G16" s="648"/>
      <c r="H16" s="647"/>
      <c r="I16" s="641"/>
    </row>
    <row r="17" spans="1:9">
      <c r="A17" s="633">
        <v>7</v>
      </c>
      <c r="B17" s="638" t="s">
        <v>153</v>
      </c>
      <c r="E17" s="644"/>
      <c r="F17" s="644"/>
      <c r="G17" s="644"/>
      <c r="H17" s="645"/>
      <c r="I17" s="641" t="str">
        <f>IF(E17=F17+G17+H17," ","ERROR")</f>
        <v xml:space="preserve"> </v>
      </c>
    </row>
    <row r="18" spans="1:9">
      <c r="A18" s="633">
        <v>8</v>
      </c>
      <c r="B18" s="638" t="s">
        <v>154</v>
      </c>
      <c r="E18" s="644"/>
      <c r="F18" s="644"/>
      <c r="G18" s="644"/>
      <c r="H18" s="645"/>
      <c r="I18" s="641" t="str">
        <f>IF(E18=F18+G18+H18," ","ERROR")</f>
        <v xml:space="preserve"> </v>
      </c>
    </row>
    <row r="19" spans="1:9">
      <c r="A19" s="633">
        <v>9</v>
      </c>
      <c r="B19" s="638" t="s">
        <v>155</v>
      </c>
      <c r="E19" s="644"/>
      <c r="F19" s="644"/>
      <c r="G19" s="644"/>
      <c r="H19" s="645"/>
      <c r="I19" s="641" t="str">
        <f>IF(E19=F19+G19+H19," ","ERROR")</f>
        <v xml:space="preserve"> </v>
      </c>
    </row>
    <row r="20" spans="1:9">
      <c r="A20" s="633">
        <v>10</v>
      </c>
      <c r="B20" s="638" t="s">
        <v>156</v>
      </c>
      <c r="E20" s="644"/>
      <c r="F20" s="644"/>
      <c r="G20" s="644"/>
      <c r="H20" s="645"/>
      <c r="I20" s="641" t="str">
        <f>IF(E20=F20+G20+H20," ","ERROR")</f>
        <v xml:space="preserve"> </v>
      </c>
    </row>
    <row r="21" spans="1:9">
      <c r="A21" s="633">
        <v>11</v>
      </c>
      <c r="B21" s="638" t="s">
        <v>157</v>
      </c>
      <c r="E21" s="646">
        <f>E17+E18+E19+E20</f>
        <v>0</v>
      </c>
      <c r="F21" s="646">
        <f>F17+F18+F19+F20</f>
        <v>0</v>
      </c>
      <c r="G21" s="646">
        <f>G17+G18+G19+G20</f>
        <v>0</v>
      </c>
      <c r="H21" s="647"/>
      <c r="I21" s="641" t="str">
        <f>IF(E21=F21+G21+H21," ","ERROR")</f>
        <v xml:space="preserve"> </v>
      </c>
    </row>
    <row r="22" spans="1:9">
      <c r="E22" s="648"/>
      <c r="F22" s="648"/>
      <c r="G22" s="648"/>
      <c r="H22" s="647"/>
      <c r="I22" s="641"/>
    </row>
    <row r="23" spans="1:9">
      <c r="B23" s="638" t="s">
        <v>98</v>
      </c>
      <c r="E23" s="648"/>
      <c r="F23" s="648"/>
      <c r="G23" s="648"/>
      <c r="H23" s="647"/>
      <c r="I23" s="641"/>
    </row>
    <row r="24" spans="1:9">
      <c r="A24" s="633">
        <v>12</v>
      </c>
      <c r="B24" s="638" t="s">
        <v>153</v>
      </c>
      <c r="E24" s="644"/>
      <c r="F24" s="644"/>
      <c r="G24" s="644"/>
      <c r="H24" s="645"/>
      <c r="I24" s="641" t="str">
        <f>IF(E24=F24+G24+H24," ","ERROR")</f>
        <v xml:space="preserve"> </v>
      </c>
    </row>
    <row r="25" spans="1:9">
      <c r="A25" s="633">
        <v>13</v>
      </c>
      <c r="B25" s="638" t="s">
        <v>158</v>
      </c>
      <c r="E25" s="644"/>
      <c r="F25" s="644"/>
      <c r="G25" s="644"/>
      <c r="H25" s="645"/>
      <c r="I25" s="641" t="str">
        <f>IF(E25=F25+G25+H25," ","ERROR")</f>
        <v xml:space="preserve"> </v>
      </c>
    </row>
    <row r="26" spans="1:9">
      <c r="A26" s="633">
        <v>14</v>
      </c>
      <c r="B26" s="638" t="s">
        <v>156</v>
      </c>
      <c r="E26" s="644">
        <f>F26+G26+H26</f>
        <v>0</v>
      </c>
      <c r="F26" s="644"/>
      <c r="G26" s="644">
        <f>G111</f>
        <v>0</v>
      </c>
      <c r="H26" s="645"/>
      <c r="I26" s="641" t="str">
        <f>IF(E26=F26+G26+H26," ","ERROR")</f>
        <v xml:space="preserve"> </v>
      </c>
    </row>
    <row r="27" spans="1:9">
      <c r="A27" s="633">
        <v>15</v>
      </c>
      <c r="B27" s="638" t="s">
        <v>159</v>
      </c>
      <c r="E27" s="646">
        <f>E24+E25+E26</f>
        <v>0</v>
      </c>
      <c r="F27" s="646">
        <f>F24+F25+F26</f>
        <v>0</v>
      </c>
      <c r="G27" s="646">
        <f>G24+G25+G26</f>
        <v>0</v>
      </c>
      <c r="H27" s="647"/>
      <c r="I27" s="641" t="str">
        <f>IF(E27=F27+G27+H27," ","ERROR")</f>
        <v xml:space="preserve"> </v>
      </c>
    </row>
    <row r="28" spans="1:9">
      <c r="E28" s="648"/>
      <c r="F28" s="648"/>
      <c r="G28" s="648"/>
      <c r="H28" s="647"/>
      <c r="I28" s="641"/>
    </row>
    <row r="29" spans="1:9">
      <c r="A29" s="633">
        <v>16</v>
      </c>
      <c r="B29" s="638" t="s">
        <v>101</v>
      </c>
      <c r="E29" s="644"/>
      <c r="F29" s="644"/>
      <c r="G29" s="644"/>
      <c r="H29" s="645"/>
      <c r="I29" s="641" t="str">
        <f>IF(E29=F29+G29+H29," ","ERROR")</f>
        <v xml:space="preserve"> </v>
      </c>
    </row>
    <row r="30" spans="1:9">
      <c r="A30" s="633">
        <v>17</v>
      </c>
      <c r="B30" s="638" t="s">
        <v>102</v>
      </c>
      <c r="E30" s="644"/>
      <c r="F30" s="644"/>
      <c r="G30" s="644"/>
      <c r="H30" s="645"/>
      <c r="I30" s="641" t="str">
        <f>IF(E30=F30+G30+H30," ","ERROR")</f>
        <v xml:space="preserve"> </v>
      </c>
    </row>
    <row r="31" spans="1:9">
      <c r="A31" s="633">
        <v>18</v>
      </c>
      <c r="B31" s="638" t="s">
        <v>160</v>
      </c>
      <c r="E31" s="644"/>
      <c r="F31" s="644"/>
      <c r="G31" s="644"/>
      <c r="H31" s="645"/>
      <c r="I31" s="641" t="str">
        <f>IF(E31=F31+G31+H31," ","ERROR")</f>
        <v xml:space="preserve"> </v>
      </c>
    </row>
    <row r="32" spans="1:9">
      <c r="E32" s="648"/>
      <c r="F32" s="648"/>
      <c r="G32" s="648"/>
      <c r="H32" s="647"/>
      <c r="I32" s="641"/>
    </row>
    <row r="33" spans="1:10">
      <c r="B33" s="638" t="s">
        <v>104</v>
      </c>
      <c r="E33" s="648"/>
      <c r="F33" s="648"/>
      <c r="G33" s="648"/>
      <c r="H33" s="647"/>
      <c r="I33" s="641"/>
    </row>
    <row r="34" spans="1:10">
      <c r="A34" s="633">
        <v>19</v>
      </c>
      <c r="B34" s="638" t="s">
        <v>153</v>
      </c>
      <c r="E34" s="644"/>
      <c r="F34" s="644"/>
      <c r="G34" s="644"/>
      <c r="H34" s="645"/>
      <c r="I34" s="641" t="str">
        <f>IF(E34=F34+G34+H34," ","ERROR")</f>
        <v xml:space="preserve"> </v>
      </c>
    </row>
    <row r="35" spans="1:10">
      <c r="A35" s="633">
        <v>20</v>
      </c>
      <c r="B35" s="638" t="s">
        <v>158</v>
      </c>
      <c r="E35" s="644"/>
      <c r="F35" s="644"/>
      <c r="G35" s="644"/>
      <c r="H35" s="645"/>
      <c r="I35" s="641" t="str">
        <f>IF(E35=F35+G35+H35," ","ERROR")</f>
        <v xml:space="preserve"> </v>
      </c>
    </row>
    <row r="36" spans="1:10">
      <c r="A36" s="633">
        <v>21</v>
      </c>
      <c r="B36" s="638" t="s">
        <v>156</v>
      </c>
      <c r="E36" s="644"/>
      <c r="F36" s="644"/>
      <c r="G36" s="644"/>
      <c r="H36" s="645"/>
      <c r="I36" s="641" t="str">
        <f>IF(E36=F36+G36+H36," ","ERROR")</f>
        <v xml:space="preserve"> </v>
      </c>
    </row>
    <row r="37" spans="1:10">
      <c r="A37" s="633">
        <v>22</v>
      </c>
      <c r="B37" s="638" t="s">
        <v>161</v>
      </c>
      <c r="E37" s="649">
        <f>E34+E35+E36</f>
        <v>0</v>
      </c>
      <c r="F37" s="649">
        <f>F34+F35+F36</f>
        <v>0</v>
      </c>
      <c r="G37" s="649">
        <f>G34+G35+G36</f>
        <v>0</v>
      </c>
      <c r="H37" s="647"/>
      <c r="I37" s="641" t="str">
        <f>IF(E37=F37+G37+H37," ","ERROR")</f>
        <v xml:space="preserve"> </v>
      </c>
    </row>
    <row r="38" spans="1:10">
      <c r="A38" s="633">
        <v>23</v>
      </c>
      <c r="B38" s="638" t="s">
        <v>106</v>
      </c>
      <c r="E38" s="650">
        <f>E21+E27+E29+E30+E31+E37</f>
        <v>0</v>
      </c>
      <c r="F38" s="650">
        <f>F21+F27+F29+F30+F31+F37</f>
        <v>0</v>
      </c>
      <c r="G38" s="650">
        <f>G21+G27+G29+G30+G31+G37</f>
        <v>0</v>
      </c>
      <c r="H38" s="647"/>
      <c r="I38" s="641" t="str">
        <f>IF(E38=F38+G38+H38," ","ERROR")</f>
        <v xml:space="preserve"> </v>
      </c>
    </row>
    <row r="39" spans="1:10">
      <c r="E39" s="648"/>
      <c r="F39" s="648"/>
      <c r="G39" s="648"/>
      <c r="H39" s="647"/>
      <c r="I39" s="641"/>
    </row>
    <row r="40" spans="1:10">
      <c r="A40" s="633">
        <v>24</v>
      </c>
      <c r="B40" s="638" t="s">
        <v>162</v>
      </c>
      <c r="E40" s="648">
        <f>E13-E38</f>
        <v>0</v>
      </c>
      <c r="F40" s="648">
        <f>F13-F38</f>
        <v>0</v>
      </c>
      <c r="G40" s="648">
        <f>G13-G38</f>
        <v>0</v>
      </c>
      <c r="H40" s="647"/>
      <c r="I40" s="641" t="str">
        <f>IF(E40=F40+G40+H40," ","ERROR")</f>
        <v xml:space="preserve"> </v>
      </c>
    </row>
    <row r="41" spans="1:10">
      <c r="B41" s="638"/>
      <c r="E41" s="648"/>
      <c r="F41" s="648"/>
      <c r="G41" s="648"/>
      <c r="H41" s="647"/>
      <c r="I41" s="641"/>
    </row>
    <row r="42" spans="1:10">
      <c r="B42" s="638" t="s">
        <v>163</v>
      </c>
      <c r="E42" s="648"/>
      <c r="F42" s="648"/>
      <c r="G42" s="648"/>
      <c r="H42" s="647"/>
      <c r="I42" s="641"/>
    </row>
    <row r="43" spans="1:10">
      <c r="A43" s="633">
        <v>25</v>
      </c>
      <c r="B43" s="638" t="s">
        <v>222</v>
      </c>
      <c r="E43" s="644" t="e">
        <f>F43+G43+H43</f>
        <v>#REF!</v>
      </c>
      <c r="F43" s="837" t="e">
        <f>#REF!</f>
        <v>#REF!</v>
      </c>
      <c r="G43" s="837" t="e">
        <f>#REF!</f>
        <v>#REF!</v>
      </c>
      <c r="H43" s="645"/>
      <c r="I43" s="641" t="e">
        <f>IF(E43=F43+G43+H43," ","ERROR")</f>
        <v>#REF!</v>
      </c>
      <c r="J43" s="838" t="s">
        <v>417</v>
      </c>
    </row>
    <row r="44" spans="1:10">
      <c r="A44" s="633">
        <v>26</v>
      </c>
      <c r="B44" s="638" t="s">
        <v>237</v>
      </c>
      <c r="E44" s="644"/>
      <c r="F44" s="644"/>
      <c r="G44" s="644"/>
      <c r="H44" s="645"/>
      <c r="I44" s="641" t="str">
        <f>IF(E44=F44+G44+H44," ","ERROR")</f>
        <v xml:space="preserve"> </v>
      </c>
    </row>
    <row r="45" spans="1:10">
      <c r="A45" s="633">
        <v>27</v>
      </c>
      <c r="B45" s="638" t="s">
        <v>166</v>
      </c>
      <c r="E45" s="644"/>
      <c r="F45" s="644"/>
      <c r="G45" s="644"/>
      <c r="H45" s="645"/>
      <c r="I45" s="641" t="str">
        <f>IF(E45=F45+G45+H45," ","ERROR")</f>
        <v xml:space="preserve"> </v>
      </c>
    </row>
    <row r="46" spans="1:10">
      <c r="E46" s="648"/>
      <c r="F46" s="648"/>
      <c r="G46" s="648"/>
      <c r="H46" s="647"/>
      <c r="I46" s="641"/>
    </row>
    <row r="47" spans="1:10">
      <c r="A47" s="633">
        <v>28</v>
      </c>
      <c r="B47" s="638" t="s">
        <v>112</v>
      </c>
      <c r="E47" s="651"/>
      <c r="F47" s="651"/>
      <c r="G47" s="651"/>
      <c r="H47" s="645"/>
      <c r="I47" s="641" t="str">
        <f>IF(E47=F47+G47+H47," ","ERROR")</f>
        <v xml:space="preserve"> </v>
      </c>
    </row>
    <row r="48" spans="1:10">
      <c r="B48" s="638"/>
      <c r="E48" s="648"/>
      <c r="F48" s="648"/>
      <c r="G48" s="648"/>
      <c r="H48" s="647"/>
      <c r="I48" s="641"/>
    </row>
    <row r="49" spans="1:9" s="641" customFormat="1">
      <c r="A49" s="639">
        <v>29</v>
      </c>
      <c r="B49" s="640" t="s">
        <v>113</v>
      </c>
      <c r="E49" s="652" t="e">
        <f>E40-(E42+E43+E44+E45+E47)</f>
        <v>#REF!</v>
      </c>
      <c r="F49" s="652" t="e">
        <f>F40-(F42+F43+F44+F45+F47)</f>
        <v>#REF!</v>
      </c>
      <c r="G49" s="652" t="e">
        <f>G40-(G43+G44+G45+G47)</f>
        <v>#REF!</v>
      </c>
      <c r="H49" s="653"/>
      <c r="I49" s="641" t="e">
        <f>IF(E49=F49+G49+H49," ","ERROR")</f>
        <v>#REF!</v>
      </c>
    </row>
    <row r="50" spans="1:9">
      <c r="H50" s="634"/>
      <c r="I50" s="641"/>
    </row>
    <row r="51" spans="1:9">
      <c r="B51" s="638" t="s">
        <v>114</v>
      </c>
      <c r="H51" s="634"/>
      <c r="I51" s="641"/>
    </row>
    <row r="52" spans="1:9">
      <c r="B52" s="638" t="s">
        <v>115</v>
      </c>
      <c r="H52" s="634"/>
      <c r="I52" s="641"/>
    </row>
    <row r="53" spans="1:9" s="641" customFormat="1">
      <c r="A53" s="639">
        <v>30</v>
      </c>
      <c r="B53" s="640" t="s">
        <v>167</v>
      </c>
      <c r="E53" s="642"/>
      <c r="F53" s="642"/>
      <c r="G53" s="642"/>
      <c r="H53" s="643"/>
      <c r="I53" s="641" t="str">
        <f t="shared" ref="I53:I63" si="1">IF(E53=F53+G53+H53," ","ERROR")</f>
        <v xml:space="preserve"> </v>
      </c>
    </row>
    <row r="54" spans="1:9">
      <c r="A54" s="633">
        <v>31</v>
      </c>
      <c r="B54" s="638" t="s">
        <v>168</v>
      </c>
      <c r="E54" s="644"/>
      <c r="F54" s="644"/>
      <c r="G54" s="644"/>
      <c r="H54" s="645"/>
      <c r="I54" s="641" t="str">
        <f t="shared" si="1"/>
        <v xml:space="preserve"> </v>
      </c>
    </row>
    <row r="55" spans="1:9">
      <c r="A55" s="633">
        <v>32</v>
      </c>
      <c r="B55" s="638" t="s">
        <v>169</v>
      </c>
      <c r="E55" s="644"/>
      <c r="F55" s="644"/>
      <c r="G55" s="644"/>
      <c r="H55" s="645"/>
      <c r="I55" s="641" t="str">
        <f t="shared" si="1"/>
        <v xml:space="preserve"> </v>
      </c>
    </row>
    <row r="56" spans="1:9">
      <c r="A56" s="633">
        <v>33</v>
      </c>
      <c r="B56" s="638" t="s">
        <v>170</v>
      </c>
      <c r="E56" s="644"/>
      <c r="F56" s="644"/>
      <c r="G56" s="644"/>
      <c r="H56" s="645"/>
      <c r="I56" s="641" t="str">
        <f t="shared" si="1"/>
        <v xml:space="preserve"> </v>
      </c>
    </row>
    <row r="57" spans="1:9">
      <c r="A57" s="633">
        <v>34</v>
      </c>
      <c r="B57" s="638" t="s">
        <v>171</v>
      </c>
      <c r="E57" s="651"/>
      <c r="F57" s="651"/>
      <c r="G57" s="651"/>
      <c r="H57" s="645"/>
      <c r="I57" s="641" t="str">
        <f t="shared" si="1"/>
        <v xml:space="preserve"> </v>
      </c>
    </row>
    <row r="58" spans="1:9">
      <c r="A58" s="633">
        <v>35</v>
      </c>
      <c r="B58" s="638" t="s">
        <v>172</v>
      </c>
      <c r="E58" s="648">
        <f>E53+E54+E55+E56+E57</f>
        <v>0</v>
      </c>
      <c r="F58" s="648">
        <f>F53+F54+F55+F56+F57</f>
        <v>0</v>
      </c>
      <c r="G58" s="648">
        <f>G53+G54+G55+G56+G57</f>
        <v>0</v>
      </c>
      <c r="H58" s="647"/>
      <c r="I58" s="641" t="str">
        <f t="shared" si="1"/>
        <v xml:space="preserve"> </v>
      </c>
    </row>
    <row r="59" spans="1:9">
      <c r="A59" s="633">
        <v>36</v>
      </c>
      <c r="B59" s="638" t="s">
        <v>121</v>
      </c>
      <c r="E59" s="644"/>
      <c r="F59" s="644"/>
      <c r="G59" s="644"/>
      <c r="H59" s="645"/>
      <c r="I59" s="641" t="str">
        <f t="shared" si="1"/>
        <v xml:space="preserve"> </v>
      </c>
    </row>
    <row r="60" spans="1:9">
      <c r="A60" s="633">
        <v>37</v>
      </c>
      <c r="B60" s="638" t="s">
        <v>122</v>
      </c>
      <c r="E60" s="651"/>
      <c r="F60" s="651"/>
      <c r="G60" s="651"/>
      <c r="H60" s="645"/>
      <c r="I60" s="641" t="str">
        <f t="shared" si="1"/>
        <v xml:space="preserve"> </v>
      </c>
    </row>
    <row r="61" spans="1:9">
      <c r="A61" s="633">
        <v>38</v>
      </c>
      <c r="B61" s="638" t="s">
        <v>173</v>
      </c>
      <c r="E61" s="648">
        <f>E59+E60</f>
        <v>0</v>
      </c>
      <c r="F61" s="648">
        <f>F59+F60</f>
        <v>0</v>
      </c>
      <c r="G61" s="648">
        <f>G59+G60</f>
        <v>0</v>
      </c>
      <c r="H61" s="647"/>
      <c r="I61" s="641" t="str">
        <f t="shared" si="1"/>
        <v xml:space="preserve"> </v>
      </c>
    </row>
    <row r="62" spans="1:9">
      <c r="A62" s="633">
        <v>39</v>
      </c>
      <c r="B62" s="638" t="s">
        <v>124</v>
      </c>
      <c r="E62" s="644"/>
      <c r="F62" s="644"/>
      <c r="G62" s="644"/>
      <c r="H62" s="645"/>
      <c r="I62" s="641" t="str">
        <f t="shared" si="1"/>
        <v xml:space="preserve"> </v>
      </c>
    </row>
    <row r="63" spans="1:9">
      <c r="A63" s="633">
        <v>40</v>
      </c>
      <c r="B63" s="638" t="s">
        <v>125</v>
      </c>
      <c r="E63" s="651"/>
      <c r="F63" s="651"/>
      <c r="G63" s="651"/>
      <c r="H63" s="645"/>
      <c r="I63" s="641" t="str">
        <f t="shared" si="1"/>
        <v xml:space="preserve"> </v>
      </c>
    </row>
    <row r="64" spans="1:9">
      <c r="H64" s="634"/>
      <c r="I64" s="641"/>
    </row>
    <row r="65" spans="1:9" s="641" customFormat="1" ht="12.75" thickBot="1">
      <c r="A65" s="639">
        <v>41</v>
      </c>
      <c r="B65" s="640" t="s">
        <v>126</v>
      </c>
      <c r="E65" s="654">
        <f>E58-E61+E62+E63</f>
        <v>0</v>
      </c>
      <c r="F65" s="654">
        <f>F58-F61+F62+F63</f>
        <v>0</v>
      </c>
      <c r="G65" s="654">
        <f>G58-G61+G62+G63</f>
        <v>0</v>
      </c>
      <c r="H65" s="653"/>
      <c r="I65" s="641" t="str">
        <f>IF(E65=F65+G65+H65," ","ERROR")</f>
        <v xml:space="preserve"> </v>
      </c>
    </row>
    <row r="66" spans="1:9" ht="12.75" thickTop="1"/>
    <row r="67" spans="1:9">
      <c r="A67" s="627" t="str">
        <f>Inputs!$D$6</f>
        <v>AVISTA UTILITIES</v>
      </c>
      <c r="B67" s="628"/>
      <c r="C67" s="627"/>
      <c r="D67" s="655"/>
      <c r="E67" s="656"/>
      <c r="F67" s="655"/>
      <c r="G67" s="657"/>
      <c r="H67" s="658"/>
      <c r="I67" s="659"/>
    </row>
    <row r="68" spans="1:9">
      <c r="A68" s="628" t="s">
        <v>225</v>
      </c>
      <c r="B68" s="628"/>
      <c r="C68" s="628"/>
      <c r="D68" s="658"/>
      <c r="E68" s="659"/>
      <c r="F68" s="658"/>
      <c r="G68" s="660"/>
      <c r="H68" s="658"/>
      <c r="I68" s="659"/>
    </row>
    <row r="69" spans="1:9">
      <c r="A69" s="628" t="str">
        <f>A3</f>
        <v>TWELVE MONTHS ENDED SEPTEMBER 30, 2008</v>
      </c>
      <c r="B69" s="628"/>
      <c r="C69" s="628"/>
      <c r="D69" s="658"/>
      <c r="E69" s="659"/>
      <c r="F69" s="658"/>
      <c r="G69" s="661" t="str">
        <f>E2</f>
        <v>RESTATE</v>
      </c>
      <c r="H69" s="658"/>
      <c r="I69" s="659"/>
    </row>
    <row r="70" spans="1:9">
      <c r="A70" s="628" t="s">
        <v>226</v>
      </c>
      <c r="B70" s="628"/>
      <c r="C70" s="628"/>
      <c r="D70" s="658"/>
      <c r="E70" s="659"/>
      <c r="F70" s="658"/>
      <c r="G70" s="661" t="str">
        <f>E3</f>
        <v>DEBT INTEREST</v>
      </c>
      <c r="H70" s="658"/>
      <c r="I70" s="659"/>
    </row>
    <row r="71" spans="1:9">
      <c r="B71" s="658"/>
      <c r="C71" s="658"/>
      <c r="D71" s="658"/>
      <c r="E71" s="662"/>
      <c r="F71" s="663"/>
      <c r="G71" s="664" t="str">
        <f>E4</f>
        <v>ELECTRIC</v>
      </c>
      <c r="H71" s="663"/>
      <c r="I71" s="665"/>
    </row>
    <row r="72" spans="1:9">
      <c r="B72" s="658"/>
      <c r="C72" s="658"/>
      <c r="D72" s="658"/>
      <c r="E72" s="659"/>
      <c r="F72" s="658"/>
      <c r="G72" s="661"/>
      <c r="H72" s="658"/>
      <c r="I72" s="659"/>
    </row>
    <row r="73" spans="1:9">
      <c r="B73" s="666" t="s">
        <v>134</v>
      </c>
      <c r="C73" s="663"/>
      <c r="D73" s="658"/>
      <c r="E73" s="659"/>
      <c r="F73" s="658"/>
      <c r="G73" s="664" t="s">
        <v>128</v>
      </c>
      <c r="H73" s="658"/>
      <c r="I73" s="659"/>
    </row>
    <row r="74" spans="1:9">
      <c r="B74" s="638" t="s">
        <v>85</v>
      </c>
      <c r="C74" s="658"/>
      <c r="D74" s="658"/>
      <c r="E74" s="658"/>
      <c r="F74" s="658"/>
      <c r="G74" s="660"/>
      <c r="H74" s="658"/>
      <c r="I74" s="658"/>
    </row>
    <row r="75" spans="1:9">
      <c r="B75" s="640" t="s">
        <v>86</v>
      </c>
      <c r="C75" s="658"/>
      <c r="D75" s="658"/>
      <c r="E75" s="658"/>
      <c r="F75" s="658"/>
      <c r="G75" s="652">
        <f>G8</f>
        <v>0</v>
      </c>
      <c r="H75" s="658"/>
      <c r="I75" s="658"/>
    </row>
    <row r="76" spans="1:9">
      <c r="B76" s="638" t="s">
        <v>87</v>
      </c>
      <c r="C76" s="658"/>
      <c r="D76" s="658"/>
      <c r="E76" s="658"/>
      <c r="F76" s="658"/>
      <c r="G76" s="648">
        <f>G9</f>
        <v>0</v>
      </c>
      <c r="H76" s="658"/>
      <c r="I76" s="658"/>
    </row>
    <row r="77" spans="1:9">
      <c r="B77" s="638" t="s">
        <v>150</v>
      </c>
      <c r="C77" s="658"/>
      <c r="D77" s="658"/>
      <c r="E77" s="658"/>
      <c r="F77" s="658"/>
      <c r="G77" s="650">
        <f>G10</f>
        <v>0</v>
      </c>
      <c r="H77" s="658"/>
      <c r="I77" s="658"/>
    </row>
    <row r="78" spans="1:9">
      <c r="B78" s="638" t="s">
        <v>151</v>
      </c>
      <c r="C78" s="658"/>
      <c r="D78" s="658"/>
      <c r="E78" s="658"/>
      <c r="F78" s="658"/>
      <c r="G78" s="648">
        <f>SUM(G75:G77)</f>
        <v>0</v>
      </c>
      <c r="H78" s="658"/>
      <c r="I78" s="658"/>
    </row>
    <row r="79" spans="1:9">
      <c r="B79" s="638" t="s">
        <v>90</v>
      </c>
      <c r="C79" s="658"/>
      <c r="D79" s="658"/>
      <c r="E79" s="658"/>
      <c r="F79" s="658"/>
      <c r="G79" s="650">
        <f>G12</f>
        <v>0</v>
      </c>
      <c r="H79" s="658"/>
      <c r="I79" s="658"/>
    </row>
    <row r="80" spans="1:9">
      <c r="B80" s="638" t="s">
        <v>152</v>
      </c>
      <c r="C80" s="658"/>
      <c r="D80" s="658"/>
      <c r="E80" s="658"/>
      <c r="F80" s="658"/>
      <c r="G80" s="648">
        <f>G78+G79</f>
        <v>0</v>
      </c>
      <c r="H80" s="658"/>
      <c r="I80" s="658"/>
    </row>
    <row r="81" spans="1:9">
      <c r="C81" s="658"/>
      <c r="D81" s="658"/>
      <c r="E81" s="658"/>
      <c r="F81" s="658"/>
      <c r="G81" s="648"/>
      <c r="H81" s="658"/>
      <c r="I81" s="658"/>
    </row>
    <row r="82" spans="1:9">
      <c r="B82" s="638" t="s">
        <v>92</v>
      </c>
      <c r="C82" s="658"/>
      <c r="D82" s="658"/>
      <c r="E82" s="658"/>
      <c r="F82" s="658"/>
      <c r="G82" s="648"/>
      <c r="H82" s="658"/>
      <c r="I82" s="658"/>
    </row>
    <row r="83" spans="1:9">
      <c r="B83" s="638" t="s">
        <v>93</v>
      </c>
      <c r="C83" s="658"/>
      <c r="D83" s="658"/>
      <c r="E83" s="658"/>
      <c r="F83" s="658"/>
      <c r="G83" s="648"/>
      <c r="H83" s="658"/>
      <c r="I83" s="658"/>
    </row>
    <row r="84" spans="1:9">
      <c r="B84" s="638" t="s">
        <v>153</v>
      </c>
      <c r="C84" s="658"/>
      <c r="D84" s="658"/>
      <c r="E84" s="658"/>
      <c r="F84" s="658"/>
      <c r="G84" s="648">
        <f>G17</f>
        <v>0</v>
      </c>
      <c r="H84" s="658"/>
      <c r="I84" s="658"/>
    </row>
    <row r="85" spans="1:9">
      <c r="B85" s="638" t="s">
        <v>154</v>
      </c>
      <c r="C85" s="658"/>
      <c r="D85" s="658"/>
      <c r="E85" s="658"/>
      <c r="F85" s="658"/>
      <c r="G85" s="648">
        <f>G18</f>
        <v>0</v>
      </c>
      <c r="H85" s="658"/>
      <c r="I85" s="658"/>
    </row>
    <row r="86" spans="1:9">
      <c r="B86" s="638" t="s">
        <v>155</v>
      </c>
      <c r="C86" s="658"/>
      <c r="D86" s="658"/>
      <c r="E86" s="658"/>
      <c r="F86" s="658"/>
      <c r="G86" s="648">
        <f>G19</f>
        <v>0</v>
      </c>
      <c r="H86" s="658"/>
      <c r="I86" s="658"/>
    </row>
    <row r="87" spans="1:9">
      <c r="B87" s="638" t="s">
        <v>156</v>
      </c>
      <c r="C87" s="658"/>
      <c r="D87" s="658"/>
      <c r="E87" s="658"/>
      <c r="F87" s="658"/>
      <c r="G87" s="650">
        <f>G20</f>
        <v>0</v>
      </c>
      <c r="H87" s="658"/>
      <c r="I87" s="658"/>
    </row>
    <row r="88" spans="1:9">
      <c r="B88" s="638" t="s">
        <v>157</v>
      </c>
      <c r="C88" s="658"/>
      <c r="D88" s="658"/>
      <c r="E88" s="658"/>
      <c r="F88" s="658"/>
      <c r="G88" s="648">
        <f>SUM(G84:G87)</f>
        <v>0</v>
      </c>
      <c r="H88" s="658"/>
      <c r="I88" s="658"/>
    </row>
    <row r="89" spans="1:9">
      <c r="C89" s="658"/>
      <c r="D89" s="658"/>
      <c r="E89" s="658"/>
      <c r="F89" s="658"/>
      <c r="G89" s="648"/>
      <c r="H89" s="658"/>
      <c r="I89" s="658"/>
    </row>
    <row r="90" spans="1:9">
      <c r="B90" s="638" t="s">
        <v>98</v>
      </c>
      <c r="C90" s="658"/>
      <c r="D90" s="658"/>
      <c r="E90" s="658"/>
      <c r="F90" s="658"/>
      <c r="G90" s="648"/>
      <c r="H90" s="658"/>
      <c r="I90" s="658"/>
    </row>
    <row r="91" spans="1:9">
      <c r="B91" s="638" t="s">
        <v>153</v>
      </c>
      <c r="C91" s="658"/>
      <c r="D91" s="658"/>
      <c r="E91" s="658"/>
      <c r="F91" s="658"/>
      <c r="G91" s="648">
        <f>G24</f>
        <v>0</v>
      </c>
      <c r="H91" s="658"/>
      <c r="I91" s="658"/>
    </row>
    <row r="92" spans="1:9">
      <c r="B92" s="638" t="s">
        <v>158</v>
      </c>
      <c r="C92" s="658"/>
      <c r="D92" s="658"/>
      <c r="E92" s="658"/>
      <c r="F92" s="658"/>
      <c r="G92" s="648">
        <f>G25</f>
        <v>0</v>
      </c>
      <c r="H92" s="658"/>
      <c r="I92" s="658"/>
    </row>
    <row r="93" spans="1:9">
      <c r="A93" s="629"/>
      <c r="B93" s="638" t="s">
        <v>156</v>
      </c>
      <c r="C93" s="658"/>
      <c r="D93" s="658"/>
      <c r="E93" s="658"/>
      <c r="F93" s="658"/>
      <c r="G93" s="648"/>
      <c r="H93" s="658"/>
      <c r="I93" s="658"/>
    </row>
    <row r="94" spans="1:9">
      <c r="A94" s="629"/>
      <c r="B94" s="638" t="s">
        <v>159</v>
      </c>
      <c r="C94" s="658"/>
      <c r="D94" s="658"/>
      <c r="E94" s="658"/>
      <c r="F94" s="658"/>
      <c r="G94" s="646">
        <f>SUM(G91:G93)</f>
        <v>0</v>
      </c>
      <c r="H94" s="658"/>
      <c r="I94" s="658"/>
    </row>
    <row r="95" spans="1:9">
      <c r="A95" s="629"/>
      <c r="C95" s="658"/>
      <c r="D95" s="658"/>
      <c r="E95" s="658"/>
      <c r="F95" s="658"/>
      <c r="G95" s="648"/>
      <c r="H95" s="658"/>
      <c r="I95" s="658"/>
    </row>
    <row r="96" spans="1:9">
      <c r="A96" s="629"/>
      <c r="B96" s="638" t="s">
        <v>101</v>
      </c>
      <c r="C96" s="658"/>
      <c r="D96" s="658"/>
      <c r="E96" s="658"/>
      <c r="F96" s="658"/>
      <c r="G96" s="648">
        <f>G29</f>
        <v>0</v>
      </c>
      <c r="H96" s="658"/>
      <c r="I96" s="658"/>
    </row>
    <row r="97" spans="1:9">
      <c r="A97" s="629"/>
      <c r="B97" s="638" t="s">
        <v>102</v>
      </c>
      <c r="C97" s="658"/>
      <c r="D97" s="658"/>
      <c r="E97" s="658"/>
      <c r="F97" s="658"/>
      <c r="G97" s="648">
        <f>G30</f>
        <v>0</v>
      </c>
      <c r="H97" s="658"/>
      <c r="I97" s="658"/>
    </row>
    <row r="98" spans="1:9">
      <c r="A98" s="629"/>
      <c r="B98" s="638" t="s">
        <v>160</v>
      </c>
      <c r="C98" s="658"/>
      <c r="D98" s="658"/>
      <c r="E98" s="658"/>
      <c r="F98" s="658"/>
      <c r="G98" s="648">
        <f>G31</f>
        <v>0</v>
      </c>
      <c r="H98" s="658"/>
      <c r="I98" s="658"/>
    </row>
    <row r="99" spans="1:9">
      <c r="A99" s="629"/>
      <c r="C99" s="658"/>
      <c r="D99" s="658"/>
      <c r="E99" s="658"/>
      <c r="F99" s="658"/>
      <c r="G99" s="648"/>
      <c r="H99" s="658"/>
      <c r="I99" s="658"/>
    </row>
    <row r="100" spans="1:9">
      <c r="A100" s="629"/>
      <c r="B100" s="638" t="s">
        <v>104</v>
      </c>
      <c r="C100" s="658"/>
      <c r="D100" s="658"/>
      <c r="E100" s="658"/>
      <c r="F100" s="658"/>
      <c r="G100" s="648"/>
      <c r="H100" s="658"/>
      <c r="I100" s="658"/>
    </row>
    <row r="101" spans="1:9">
      <c r="A101" s="629"/>
      <c r="B101" s="638" t="s">
        <v>153</v>
      </c>
      <c r="C101" s="658"/>
      <c r="D101" s="658"/>
      <c r="E101" s="658"/>
      <c r="F101" s="658"/>
      <c r="G101" s="648">
        <f>G34</f>
        <v>0</v>
      </c>
      <c r="H101" s="658"/>
      <c r="I101" s="658"/>
    </row>
    <row r="102" spans="1:9">
      <c r="A102" s="629"/>
      <c r="B102" s="638" t="s">
        <v>158</v>
      </c>
      <c r="C102" s="658"/>
      <c r="D102" s="658"/>
      <c r="E102" s="658"/>
      <c r="F102" s="658"/>
      <c r="G102" s="648">
        <f>G35</f>
        <v>0</v>
      </c>
      <c r="H102" s="658"/>
      <c r="I102" s="658"/>
    </row>
    <row r="103" spans="1:9">
      <c r="A103" s="629"/>
      <c r="B103" s="638" t="s">
        <v>156</v>
      </c>
      <c r="C103" s="658"/>
      <c r="D103" s="658"/>
      <c r="E103" s="658"/>
      <c r="F103" s="658"/>
      <c r="G103" s="650">
        <f>G36</f>
        <v>0</v>
      </c>
      <c r="H103" s="658"/>
      <c r="I103" s="658"/>
    </row>
    <row r="104" spans="1:9">
      <c r="A104" s="629"/>
      <c r="B104" s="638" t="s">
        <v>161</v>
      </c>
      <c r="C104" s="658"/>
      <c r="D104" s="658"/>
      <c r="E104" s="658"/>
      <c r="F104" s="658"/>
      <c r="G104" s="648">
        <f>G101+G102+G103</f>
        <v>0</v>
      </c>
      <c r="H104" s="658"/>
      <c r="I104" s="658"/>
    </row>
    <row r="105" spans="1:9">
      <c r="A105" s="629"/>
      <c r="B105" s="658"/>
      <c r="C105" s="658"/>
      <c r="D105" s="658"/>
      <c r="E105" s="658"/>
      <c r="F105" s="658"/>
      <c r="G105" s="648"/>
      <c r="H105" s="658"/>
      <c r="I105" s="658"/>
    </row>
    <row r="106" spans="1:9">
      <c r="A106" s="629"/>
      <c r="B106" s="658" t="s">
        <v>106</v>
      </c>
      <c r="C106" s="658"/>
      <c r="D106" s="658"/>
      <c r="E106" s="658"/>
      <c r="F106" s="658"/>
      <c r="G106" s="649">
        <f>G88+G94+G96+G97+G98+G104</f>
        <v>0</v>
      </c>
      <c r="H106" s="658"/>
      <c r="I106" s="658"/>
    </row>
    <row r="107" spans="1:9">
      <c r="A107" s="629"/>
      <c r="B107" s="658"/>
      <c r="C107" s="658"/>
      <c r="D107" s="658"/>
      <c r="E107" s="658"/>
      <c r="F107" s="658"/>
      <c r="G107" s="648"/>
      <c r="H107" s="658"/>
      <c r="I107" s="658"/>
    </row>
    <row r="108" spans="1:9">
      <c r="A108" s="629"/>
      <c r="B108" s="658" t="s">
        <v>227</v>
      </c>
      <c r="C108" s="658"/>
      <c r="D108" s="658"/>
      <c r="E108" s="658"/>
      <c r="F108" s="658"/>
      <c r="G108" s="650">
        <f>G80-G106</f>
        <v>0</v>
      </c>
      <c r="H108" s="658"/>
      <c r="I108" s="658"/>
    </row>
    <row r="109" spans="1:9">
      <c r="A109" s="629"/>
      <c r="B109" s="658"/>
      <c r="C109" s="658"/>
      <c r="D109" s="658"/>
      <c r="E109" s="658"/>
      <c r="F109" s="658"/>
      <c r="G109" s="648"/>
      <c r="H109" s="658"/>
      <c r="I109" s="658"/>
    </row>
    <row r="110" spans="1:9">
      <c r="A110" s="629"/>
      <c r="B110" s="658" t="s">
        <v>228</v>
      </c>
      <c r="C110" s="658"/>
      <c r="D110" s="658"/>
      <c r="E110" s="659"/>
      <c r="F110" s="658"/>
      <c r="G110" s="648"/>
      <c r="H110" s="658"/>
      <c r="I110" s="658"/>
    </row>
    <row r="111" spans="1:9" ht="12.75" thickBot="1">
      <c r="A111" s="629"/>
      <c r="B111" s="667" t="s">
        <v>229</v>
      </c>
      <c r="C111" s="668">
        <f>Inputs!$D$4</f>
        <v>1.2215999999999999E-2</v>
      </c>
      <c r="D111" s="658"/>
      <c r="E111" s="659"/>
      <c r="F111" s="658"/>
      <c r="G111" s="654">
        <f>ROUND(G108*C111,0)</f>
        <v>0</v>
      </c>
      <c r="H111" s="658"/>
      <c r="I111" s="658"/>
    </row>
    <row r="112" spans="1:9" ht="12.75" thickTop="1">
      <c r="A112" s="629"/>
      <c r="B112" s="658"/>
      <c r="C112" s="658"/>
      <c r="D112" s="658"/>
      <c r="E112" s="659"/>
      <c r="F112" s="658"/>
      <c r="G112" s="660"/>
      <c r="H112" s="658"/>
      <c r="I112" s="658"/>
    </row>
  </sheetData>
  <phoneticPr fontId="0" type="noConversion"/>
  <pageMargins left="1" right="0.75" top="0.75" bottom="0.5" header="0.5" footer="0.5"/>
  <pageSetup scale="90" orientation="portrait" horizontalDpi="300" verticalDpi="300" r:id="rId1"/>
  <headerFooter alignWithMargins="0"/>
  <rowBreaks count="1" manualBreakCount="1">
    <brk id="65" max="65535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L131"/>
  <sheetViews>
    <sheetView workbookViewId="0">
      <pane xSplit="1" ySplit="6" topLeftCell="B79" activePane="bottomRight" state="frozen"/>
      <selection pane="topRight" activeCell="B1" sqref="B1"/>
      <selection pane="bottomLeft" activeCell="A7" sqref="A7"/>
      <selection pane="bottomRight" activeCell="G119" sqref="G119"/>
    </sheetView>
  </sheetViews>
  <sheetFormatPr defaultColWidth="12.42578125" defaultRowHeight="12"/>
  <cols>
    <col min="1" max="1" width="5.5703125" style="47" customWidth="1"/>
    <col min="2" max="2" width="26.140625" style="44" customWidth="1"/>
    <col min="3" max="3" width="12.42578125" style="44" customWidth="1"/>
    <col min="4" max="4" width="5.42578125" style="44" bestFit="1" customWidth="1"/>
    <col min="5" max="5" width="14.7109375" style="44" customWidth="1"/>
    <col min="6" max="8" width="12.42578125" style="44" customWidth="1"/>
    <col min="9" max="9" width="14.7109375" style="44" hidden="1" customWidth="1"/>
    <col min="10" max="11" width="12.42578125" style="44" hidden="1" customWidth="1"/>
    <col min="12" max="16384" width="12.42578125" style="44"/>
  </cols>
  <sheetData>
    <row r="1" spans="1:11">
      <c r="A1" s="42" t="str">
        <f>Inputs!$D$6</f>
        <v>AVISTA UTILITIES</v>
      </c>
      <c r="B1" s="43"/>
      <c r="C1" s="42"/>
    </row>
    <row r="2" spans="1:11">
      <c r="A2" s="42" t="s">
        <v>142</v>
      </c>
      <c r="B2" s="43"/>
      <c r="C2" s="42"/>
      <c r="E2" s="42" t="s">
        <v>143</v>
      </c>
      <c r="F2" s="42"/>
      <c r="G2" s="42"/>
      <c r="I2" s="42"/>
      <c r="J2" s="47" t="s">
        <v>297</v>
      </c>
      <c r="K2" s="42"/>
    </row>
    <row r="3" spans="1:11">
      <c r="A3" s="43" t="str">
        <f>WAElec09_08!$A$4</f>
        <v>TWELVE MONTHS ENDED SEPTEMBER 30, 2008</v>
      </c>
      <c r="B3" s="43"/>
      <c r="C3" s="42"/>
      <c r="E3" s="42" t="s">
        <v>144</v>
      </c>
      <c r="F3" s="42"/>
      <c r="G3" s="42"/>
      <c r="I3" s="42" t="s">
        <v>298</v>
      </c>
      <c r="J3" s="42"/>
      <c r="K3" s="42"/>
    </row>
    <row r="4" spans="1:11">
      <c r="A4" s="42" t="s">
        <v>1</v>
      </c>
      <c r="B4" s="43"/>
      <c r="C4" s="42"/>
      <c r="E4" s="45" t="s">
        <v>145</v>
      </c>
      <c r="F4" s="45"/>
      <c r="G4" s="46"/>
      <c r="I4" s="45" t="s">
        <v>145</v>
      </c>
      <c r="J4" s="45"/>
      <c r="K4" s="46"/>
    </row>
    <row r="5" spans="1:11">
      <c r="A5" s="47" t="s">
        <v>14</v>
      </c>
    </row>
    <row r="6" spans="1:11" s="47" customFormat="1">
      <c r="A6" s="47" t="s">
        <v>146</v>
      </c>
      <c r="B6" s="48" t="s">
        <v>36</v>
      </c>
      <c r="C6" s="48"/>
      <c r="E6" s="48" t="s">
        <v>147</v>
      </c>
      <c r="F6" s="48" t="s">
        <v>148</v>
      </c>
      <c r="G6" s="48" t="s">
        <v>128</v>
      </c>
      <c r="H6" s="49" t="s">
        <v>149</v>
      </c>
      <c r="I6" s="48" t="s">
        <v>147</v>
      </c>
      <c r="J6" s="48" t="s">
        <v>148</v>
      </c>
      <c r="K6" s="48"/>
    </row>
    <row r="7" spans="1:11">
      <c r="B7" s="50" t="s">
        <v>85</v>
      </c>
    </row>
    <row r="8" spans="1:11" s="53" customFormat="1">
      <c r="A8" s="51">
        <v>1</v>
      </c>
      <c r="B8" s="52" t="s">
        <v>86</v>
      </c>
      <c r="E8" s="54">
        <f>F8+G8</f>
        <v>618817</v>
      </c>
      <c r="F8" s="54">
        <f t="shared" ref="F8:G10" si="0">F71</f>
        <v>407849</v>
      </c>
      <c r="G8" s="54">
        <f t="shared" si="0"/>
        <v>210968</v>
      </c>
      <c r="H8" s="53" t="str">
        <f t="shared" ref="H8:H13" si="1">IF(E8=F8+G8," ","ERROR")</f>
        <v xml:space="preserve"> </v>
      </c>
      <c r="I8" s="54">
        <f>J8+K8</f>
        <v>252300</v>
      </c>
      <c r="J8" s="54">
        <f>J71</f>
        <v>252300</v>
      </c>
      <c r="K8" s="54"/>
    </row>
    <row r="9" spans="1:11">
      <c r="A9" s="47">
        <v>2</v>
      </c>
      <c r="B9" s="50" t="s">
        <v>87</v>
      </c>
      <c r="E9" s="55">
        <f>F9+G9</f>
        <v>945</v>
      </c>
      <c r="F9" s="55">
        <f t="shared" si="0"/>
        <v>800</v>
      </c>
      <c r="G9" s="55">
        <f t="shared" si="0"/>
        <v>145</v>
      </c>
      <c r="H9" s="53" t="str">
        <f t="shared" si="1"/>
        <v xml:space="preserve"> </v>
      </c>
      <c r="I9" s="55">
        <f>J9+K9</f>
        <v>0</v>
      </c>
      <c r="J9" s="55">
        <f>J72</f>
        <v>0</v>
      </c>
      <c r="K9" s="55"/>
    </row>
    <row r="10" spans="1:11">
      <c r="A10" s="47">
        <v>3</v>
      </c>
      <c r="B10" s="50" t="s">
        <v>150</v>
      </c>
      <c r="E10" s="55">
        <f>F10+G10</f>
        <v>195819</v>
      </c>
      <c r="F10" s="55">
        <f t="shared" si="0"/>
        <v>126479</v>
      </c>
      <c r="G10" s="55">
        <f t="shared" si="0"/>
        <v>69340</v>
      </c>
      <c r="H10" s="53" t="str">
        <f t="shared" si="1"/>
        <v xml:space="preserve"> </v>
      </c>
      <c r="I10" s="55">
        <f>J10+K10</f>
        <v>85288</v>
      </c>
      <c r="J10" s="55">
        <f>J73</f>
        <v>85288</v>
      </c>
      <c r="K10" s="55"/>
    </row>
    <row r="11" spans="1:11">
      <c r="A11" s="47">
        <v>4</v>
      </c>
      <c r="B11" s="50" t="s">
        <v>151</v>
      </c>
      <c r="E11" s="56">
        <f>E8+E9+E10</f>
        <v>815581</v>
      </c>
      <c r="F11" s="56">
        <f>F8+F9+F10</f>
        <v>535128</v>
      </c>
      <c r="G11" s="56">
        <f>G8+G9+G10</f>
        <v>280453</v>
      </c>
      <c r="H11" s="53" t="str">
        <f t="shared" si="1"/>
        <v xml:space="preserve"> </v>
      </c>
      <c r="I11" s="56">
        <f>I8+I9+I10</f>
        <v>337588</v>
      </c>
      <c r="J11" s="56">
        <f>J8+J9+J10</f>
        <v>337588</v>
      </c>
      <c r="K11" s="56"/>
    </row>
    <row r="12" spans="1:11">
      <c r="A12" s="47">
        <v>5</v>
      </c>
      <c r="B12" s="50" t="s">
        <v>90</v>
      </c>
      <c r="E12" s="57">
        <f>F12+G12</f>
        <v>56326</v>
      </c>
      <c r="F12" s="55">
        <f>F74</f>
        <v>36572</v>
      </c>
      <c r="G12" s="55">
        <f>G74</f>
        <v>19754</v>
      </c>
      <c r="H12" s="53" t="str">
        <f t="shared" si="1"/>
        <v xml:space="preserve"> </v>
      </c>
      <c r="I12" s="57">
        <f>J12+K12</f>
        <v>12128</v>
      </c>
      <c r="J12" s="55">
        <f>J74</f>
        <v>12128</v>
      </c>
      <c r="K12" s="55"/>
    </row>
    <row r="13" spans="1:11">
      <c r="A13" s="47">
        <v>6</v>
      </c>
      <c r="B13" s="50" t="s">
        <v>152</v>
      </c>
      <c r="E13" s="56">
        <f>E11+E12</f>
        <v>871907</v>
      </c>
      <c r="F13" s="56">
        <f>F11+F12</f>
        <v>571700</v>
      </c>
      <c r="G13" s="56">
        <f>G11+G12</f>
        <v>300207</v>
      </c>
      <c r="H13" s="53" t="str">
        <f t="shared" si="1"/>
        <v xml:space="preserve"> </v>
      </c>
      <c r="I13" s="56">
        <f>I11+I12</f>
        <v>349716</v>
      </c>
      <c r="J13" s="56">
        <f>J11+J12</f>
        <v>349716</v>
      </c>
      <c r="K13" s="56"/>
    </row>
    <row r="14" spans="1:11">
      <c r="E14" s="58"/>
      <c r="F14" s="58"/>
      <c r="G14" s="58"/>
      <c r="H14" s="53"/>
      <c r="I14" s="58"/>
      <c r="J14" s="58"/>
      <c r="K14" s="58"/>
    </row>
    <row r="15" spans="1:11">
      <c r="B15" s="50" t="s">
        <v>92</v>
      </c>
      <c r="E15" s="58"/>
      <c r="F15" s="58"/>
      <c r="G15" s="58"/>
      <c r="H15" s="53"/>
      <c r="I15" s="58"/>
      <c r="J15" s="58"/>
      <c r="K15" s="58"/>
    </row>
    <row r="16" spans="1:11">
      <c r="B16" s="50" t="s">
        <v>93</v>
      </c>
      <c r="E16" s="58"/>
      <c r="F16" s="58"/>
      <c r="G16" s="58"/>
      <c r="H16" s="53"/>
      <c r="I16" s="58"/>
      <c r="J16" s="58"/>
      <c r="K16" s="58"/>
    </row>
    <row r="17" spans="1:11">
      <c r="A17" s="47">
        <v>7</v>
      </c>
      <c r="B17" s="50" t="s">
        <v>153</v>
      </c>
      <c r="E17" s="55">
        <f>F17+G17</f>
        <v>256659</v>
      </c>
      <c r="F17" s="55">
        <f>F78+F79+F80+F81+F85</f>
        <v>175800</v>
      </c>
      <c r="G17" s="55">
        <f>G78+G79+G80+G81+G85</f>
        <v>80859</v>
      </c>
      <c r="H17" s="53" t="str">
        <f>IF(E17=F17+G17," ","ERROR")</f>
        <v xml:space="preserve"> </v>
      </c>
      <c r="I17" s="55">
        <f>J17+K17</f>
        <v>45281</v>
      </c>
      <c r="J17" s="55">
        <f>J78+J79+J80+J81+J85</f>
        <v>45281</v>
      </c>
      <c r="K17" s="55"/>
    </row>
    <row r="18" spans="1:11">
      <c r="A18" s="47">
        <v>8</v>
      </c>
      <c r="B18" s="50" t="s">
        <v>154</v>
      </c>
      <c r="E18" s="55">
        <f>F18+G18</f>
        <v>246147</v>
      </c>
      <c r="F18" s="55">
        <f>F82</f>
        <v>147076</v>
      </c>
      <c r="G18" s="55">
        <f>G82</f>
        <v>99071</v>
      </c>
      <c r="H18" s="53" t="str">
        <f>IF(E18=F18+G18," ","ERROR")</f>
        <v xml:space="preserve"> </v>
      </c>
      <c r="I18" s="55">
        <f>J18+K18</f>
        <v>131281</v>
      </c>
      <c r="J18" s="55">
        <f>J82</f>
        <v>131281</v>
      </c>
      <c r="K18" s="55"/>
    </row>
    <row r="19" spans="1:11">
      <c r="A19" s="47">
        <v>9</v>
      </c>
      <c r="B19" s="50" t="s">
        <v>155</v>
      </c>
      <c r="E19" s="55">
        <f>F19+G19</f>
        <v>35050</v>
      </c>
      <c r="F19" s="55">
        <f>F86</f>
        <v>23675</v>
      </c>
      <c r="G19" s="55">
        <f>G86</f>
        <v>11375</v>
      </c>
      <c r="H19" s="53" t="str">
        <f>IF(E19=F19+G19," ","ERROR")</f>
        <v xml:space="preserve"> </v>
      </c>
      <c r="I19" s="55">
        <f>J19+K19</f>
        <v>9264</v>
      </c>
      <c r="J19" s="55">
        <f>J86</f>
        <v>9264</v>
      </c>
      <c r="K19" s="55"/>
    </row>
    <row r="20" spans="1:11">
      <c r="A20" s="47">
        <v>10</v>
      </c>
      <c r="B20" s="50" t="s">
        <v>156</v>
      </c>
      <c r="E20" s="59">
        <f>F20+G20</f>
        <v>13833</v>
      </c>
      <c r="F20" s="55">
        <f>F87</f>
        <v>8935</v>
      </c>
      <c r="G20" s="55">
        <f>G87</f>
        <v>4898</v>
      </c>
      <c r="H20" s="53" t="str">
        <f>IF(E20=F20+G20," ","ERROR")</f>
        <v xml:space="preserve"> </v>
      </c>
      <c r="I20" s="59">
        <f>J20+K20</f>
        <v>10056</v>
      </c>
      <c r="J20" s="55">
        <f>J87</f>
        <v>10056</v>
      </c>
      <c r="K20" s="55"/>
    </row>
    <row r="21" spans="1:11">
      <c r="A21" s="47">
        <v>11</v>
      </c>
      <c r="B21" s="50" t="s">
        <v>157</v>
      </c>
      <c r="E21" s="55">
        <f>E17+E18+E19+E20</f>
        <v>551689</v>
      </c>
      <c r="F21" s="56">
        <f>F17+F18+F19+F20</f>
        <v>355486</v>
      </c>
      <c r="G21" s="56">
        <f>G17+G18+G19+G20</f>
        <v>196203</v>
      </c>
      <c r="H21" s="53" t="str">
        <f>IF(E21=F21+G21," ","ERROR")</f>
        <v xml:space="preserve"> </v>
      </c>
      <c r="I21" s="55">
        <f>I17+I18+I19+I20</f>
        <v>195882</v>
      </c>
      <c r="J21" s="56">
        <f>J17+J18+J19+J20</f>
        <v>195882</v>
      </c>
      <c r="K21" s="56"/>
    </row>
    <row r="22" spans="1:11">
      <c r="E22" s="55"/>
      <c r="F22" s="58"/>
      <c r="G22" s="58"/>
      <c r="H22" s="53"/>
      <c r="I22" s="55"/>
      <c r="J22" s="58"/>
      <c r="K22" s="58"/>
    </row>
    <row r="23" spans="1:11">
      <c r="B23" s="50" t="s">
        <v>98</v>
      </c>
      <c r="E23" s="55"/>
      <c r="F23" s="58"/>
      <c r="G23" s="58"/>
      <c r="H23" s="53"/>
      <c r="I23" s="55"/>
      <c r="J23" s="58"/>
      <c r="K23" s="58"/>
    </row>
    <row r="24" spans="1:11">
      <c r="A24" s="47">
        <v>12</v>
      </c>
      <c r="B24" s="50" t="s">
        <v>153</v>
      </c>
      <c r="E24" s="55">
        <f>F24+G24</f>
        <v>25859</v>
      </c>
      <c r="F24" s="55">
        <f t="shared" ref="F24:G26" si="2">F90</f>
        <v>17279</v>
      </c>
      <c r="G24" s="55">
        <f t="shared" si="2"/>
        <v>8580</v>
      </c>
      <c r="H24" s="53" t="str">
        <f>IF(E24=F24+G24," ","ERROR")</f>
        <v xml:space="preserve"> </v>
      </c>
      <c r="I24" s="55">
        <f>J24+K24</f>
        <v>10889</v>
      </c>
      <c r="J24" s="55">
        <f>J90</f>
        <v>10889</v>
      </c>
      <c r="K24" s="55"/>
    </row>
    <row r="25" spans="1:11">
      <c r="A25" s="47">
        <v>13</v>
      </c>
      <c r="B25" s="50" t="s">
        <v>158</v>
      </c>
      <c r="E25" s="55">
        <f>F25+G25</f>
        <v>22950</v>
      </c>
      <c r="F25" s="55">
        <f t="shared" si="2"/>
        <v>14599</v>
      </c>
      <c r="G25" s="55">
        <f t="shared" si="2"/>
        <v>8351</v>
      </c>
      <c r="H25" s="53" t="str">
        <f>IF(E25=F25+G25," ","ERROR")</f>
        <v xml:space="preserve"> </v>
      </c>
      <c r="I25" s="55">
        <f>J25+K25</f>
        <v>7820</v>
      </c>
      <c r="J25" s="55">
        <f>J91</f>
        <v>7820</v>
      </c>
      <c r="K25" s="55"/>
    </row>
    <row r="26" spans="1:11">
      <c r="A26" s="47">
        <v>14</v>
      </c>
      <c r="B26" s="50" t="s">
        <v>156</v>
      </c>
      <c r="E26" s="59">
        <f>F26+G26</f>
        <v>37353</v>
      </c>
      <c r="F26" s="55">
        <f t="shared" si="2"/>
        <v>33186</v>
      </c>
      <c r="G26" s="55">
        <f t="shared" si="2"/>
        <v>4167</v>
      </c>
      <c r="H26" s="53" t="str">
        <f>IF(E26=F26+G26," ","ERROR")</f>
        <v xml:space="preserve"> </v>
      </c>
      <c r="I26" s="59">
        <f>J26+K26</f>
        <v>13769</v>
      </c>
      <c r="J26" s="55">
        <f>J92</f>
        <v>13769</v>
      </c>
      <c r="K26" s="55"/>
    </row>
    <row r="27" spans="1:11">
      <c r="A27" s="47">
        <v>15</v>
      </c>
      <c r="B27" s="50" t="s">
        <v>159</v>
      </c>
      <c r="E27" s="55">
        <f>E24+E25+E26</f>
        <v>86162</v>
      </c>
      <c r="F27" s="56">
        <f>F24+F25+F26</f>
        <v>65064</v>
      </c>
      <c r="G27" s="56">
        <f>G24+G25+G26</f>
        <v>21098</v>
      </c>
      <c r="H27" s="53" t="str">
        <f>IF(E27=F27+G27," ","ERROR")</f>
        <v xml:space="preserve"> </v>
      </c>
      <c r="I27" s="55">
        <f>I24+I25+I26</f>
        <v>32478</v>
      </c>
      <c r="J27" s="56">
        <f>J24+J25+J26</f>
        <v>32478</v>
      </c>
      <c r="K27" s="56"/>
    </row>
    <row r="28" spans="1:11">
      <c r="E28" s="58"/>
      <c r="F28" s="58"/>
      <c r="G28" s="58"/>
      <c r="H28" s="53"/>
      <c r="I28" s="58"/>
      <c r="J28" s="58"/>
      <c r="K28" s="58"/>
    </row>
    <row r="29" spans="1:11">
      <c r="A29" s="47">
        <v>16</v>
      </c>
      <c r="B29" s="50" t="s">
        <v>101</v>
      </c>
      <c r="E29" s="55">
        <f>F29+G29</f>
        <v>12202</v>
      </c>
      <c r="F29" s="55">
        <f t="shared" ref="F29:G31" si="3">F94</f>
        <v>8559</v>
      </c>
      <c r="G29" s="55">
        <f t="shared" si="3"/>
        <v>3643</v>
      </c>
      <c r="H29" s="53" t="str">
        <f>IF(E29=F29+G29," ","ERROR")</f>
        <v xml:space="preserve"> </v>
      </c>
      <c r="I29" s="55">
        <f>J29+K29</f>
        <v>5886</v>
      </c>
      <c r="J29" s="55">
        <f>J94</f>
        <v>5886</v>
      </c>
      <c r="K29" s="55"/>
    </row>
    <row r="30" spans="1:11">
      <c r="A30" s="47">
        <v>17</v>
      </c>
      <c r="B30" s="50" t="s">
        <v>102</v>
      </c>
      <c r="E30" s="55">
        <f>F30+G30</f>
        <v>15319</v>
      </c>
      <c r="F30" s="55">
        <f t="shared" si="3"/>
        <v>11359</v>
      </c>
      <c r="G30" s="55">
        <f t="shared" si="3"/>
        <v>3960</v>
      </c>
      <c r="H30" s="53" t="str">
        <f>IF(E30=F30+G30," ","ERROR")</f>
        <v xml:space="preserve"> </v>
      </c>
      <c r="I30" s="55">
        <f>J30+K30</f>
        <v>3733</v>
      </c>
      <c r="J30" s="55">
        <f>J95</f>
        <v>3733</v>
      </c>
      <c r="K30" s="55"/>
    </row>
    <row r="31" spans="1:11">
      <c r="A31" s="47">
        <v>18</v>
      </c>
      <c r="B31" s="50" t="s">
        <v>160</v>
      </c>
      <c r="E31" s="55">
        <f>F31+G31</f>
        <v>957</v>
      </c>
      <c r="F31" s="55">
        <f t="shared" si="3"/>
        <v>696</v>
      </c>
      <c r="G31" s="55">
        <f t="shared" si="3"/>
        <v>261</v>
      </c>
      <c r="H31" s="53" t="str">
        <f>IF(E31=F31+G31," ","ERROR")</f>
        <v xml:space="preserve"> </v>
      </c>
      <c r="I31" s="55">
        <f>J31+K31</f>
        <v>310</v>
      </c>
      <c r="J31" s="55">
        <f>J96</f>
        <v>310</v>
      </c>
      <c r="K31" s="55"/>
    </row>
    <row r="32" spans="1:11">
      <c r="E32" s="58"/>
      <c r="F32" s="58"/>
      <c r="G32" s="58"/>
      <c r="H32" s="53"/>
      <c r="I32" s="58"/>
      <c r="J32" s="58"/>
      <c r="K32" s="58"/>
    </row>
    <row r="33" spans="1:11">
      <c r="B33" s="50" t="s">
        <v>104</v>
      </c>
      <c r="E33" s="58"/>
      <c r="F33" s="58"/>
      <c r="G33" s="58"/>
      <c r="H33" s="53"/>
      <c r="I33" s="58"/>
      <c r="J33" s="58"/>
      <c r="K33" s="58"/>
    </row>
    <row r="34" spans="1:11">
      <c r="A34" s="47">
        <v>19</v>
      </c>
      <c r="B34" s="50" t="s">
        <v>153</v>
      </c>
      <c r="E34" s="55">
        <f>F34+G34</f>
        <v>54408</v>
      </c>
      <c r="F34" s="55">
        <f t="shared" ref="F34:G36" si="4">F98</f>
        <v>35147</v>
      </c>
      <c r="G34" s="55">
        <f t="shared" si="4"/>
        <v>19261</v>
      </c>
      <c r="H34" s="53" t="str">
        <f>IF(E34=F34+G34," ","ERROR")</f>
        <v xml:space="preserve"> </v>
      </c>
      <c r="I34" s="55">
        <f>J34+K34</f>
        <v>28545</v>
      </c>
      <c r="J34" s="55">
        <f>J98</f>
        <v>28545</v>
      </c>
      <c r="K34" s="55"/>
    </row>
    <row r="35" spans="1:11">
      <c r="A35" s="47">
        <v>20</v>
      </c>
      <c r="B35" s="50" t="s">
        <v>158</v>
      </c>
      <c r="E35" s="55">
        <f>F35+G35</f>
        <v>10882</v>
      </c>
      <c r="F35" s="55">
        <f t="shared" si="4"/>
        <v>7022</v>
      </c>
      <c r="G35" s="55">
        <f t="shared" si="4"/>
        <v>3860</v>
      </c>
      <c r="H35" s="53" t="str">
        <f>IF(E35=F35+G35," ","ERROR")</f>
        <v xml:space="preserve"> </v>
      </c>
      <c r="I35" s="55">
        <f>J35+K35</f>
        <v>3749</v>
      </c>
      <c r="J35" s="55">
        <f>J99</f>
        <v>3749</v>
      </c>
      <c r="K35" s="55"/>
    </row>
    <row r="36" spans="1:11">
      <c r="A36" s="47">
        <v>21</v>
      </c>
      <c r="B36" s="50" t="s">
        <v>156</v>
      </c>
      <c r="E36" s="55">
        <f>F36+G36</f>
        <v>0</v>
      </c>
      <c r="F36" s="55">
        <f t="shared" si="4"/>
        <v>0</v>
      </c>
      <c r="G36" s="55">
        <f t="shared" si="4"/>
        <v>0</v>
      </c>
      <c r="H36" s="53" t="str">
        <f>IF(E36=F36+G36," ","ERROR")</f>
        <v xml:space="preserve"> </v>
      </c>
      <c r="I36" s="55">
        <f>J36+K36</f>
        <v>74</v>
      </c>
      <c r="J36" s="55">
        <f>J100</f>
        <v>74</v>
      </c>
      <c r="K36" s="55"/>
    </row>
    <row r="37" spans="1:11">
      <c r="A37" s="47">
        <v>22</v>
      </c>
      <c r="B37" s="50" t="s">
        <v>161</v>
      </c>
      <c r="E37" s="60">
        <f>E34+E35+E36</f>
        <v>65290</v>
      </c>
      <c r="F37" s="60">
        <f>F34+F35+F36</f>
        <v>42169</v>
      </c>
      <c r="G37" s="60">
        <f>G34+G35+G36</f>
        <v>23121</v>
      </c>
      <c r="H37" s="53" t="str">
        <f>IF(E37=F37+G37," ","ERROR")</f>
        <v xml:space="preserve"> </v>
      </c>
      <c r="I37" s="60">
        <f>I34+I35+I36</f>
        <v>32368</v>
      </c>
      <c r="J37" s="60">
        <f>J34+J35+J36</f>
        <v>32368</v>
      </c>
      <c r="K37" s="60"/>
    </row>
    <row r="38" spans="1:11">
      <c r="A38" s="47">
        <v>23</v>
      </c>
      <c r="B38" s="50" t="s">
        <v>106</v>
      </c>
      <c r="E38" s="61">
        <f>E21+E27+E29+E30+E31+E37</f>
        <v>731619</v>
      </c>
      <c r="F38" s="61">
        <f>F21+F27+F29+F30+F31+F37</f>
        <v>483333</v>
      </c>
      <c r="G38" s="61">
        <f>G21+G27+G29+G30+G31+G37</f>
        <v>248286</v>
      </c>
      <c r="H38" s="53" t="str">
        <f>IF(E38=F38+G38," ","ERROR")</f>
        <v xml:space="preserve"> </v>
      </c>
      <c r="I38" s="61">
        <f>I21+I27+I29+I30+I31+I37</f>
        <v>270657</v>
      </c>
      <c r="J38" s="61">
        <f>J21+J27+J29+J30+J31+J37</f>
        <v>270657</v>
      </c>
      <c r="K38" s="61"/>
    </row>
    <row r="39" spans="1:11">
      <c r="E39" s="58"/>
      <c r="F39" s="58"/>
      <c r="G39" s="58"/>
      <c r="H39" s="53"/>
      <c r="I39" s="58"/>
      <c r="J39" s="58"/>
      <c r="K39" s="58"/>
    </row>
    <row r="40" spans="1:11">
      <c r="A40" s="47">
        <v>24</v>
      </c>
      <c r="B40" s="50" t="s">
        <v>162</v>
      </c>
      <c r="E40" s="58">
        <f>E13-E38</f>
        <v>140288</v>
      </c>
      <c r="F40" s="58">
        <f>F13-F38</f>
        <v>88367</v>
      </c>
      <c r="G40" s="58">
        <f>G13-G38</f>
        <v>51921</v>
      </c>
      <c r="H40" s="53" t="str">
        <f>IF(E40=F40+G40," ","ERROR")</f>
        <v xml:space="preserve"> </v>
      </c>
      <c r="I40" s="58">
        <f>I13-I38</f>
        <v>79059</v>
      </c>
      <c r="J40" s="58">
        <f>J13-J38</f>
        <v>79059</v>
      </c>
      <c r="K40" s="58"/>
    </row>
    <row r="41" spans="1:11">
      <c r="B41" s="50"/>
      <c r="E41" s="58"/>
      <c r="F41" s="58"/>
      <c r="G41" s="58"/>
      <c r="H41" s="53"/>
      <c r="I41" s="58"/>
      <c r="J41" s="58"/>
      <c r="K41" s="58"/>
    </row>
    <row r="42" spans="1:11">
      <c r="B42" s="50" t="s">
        <v>163</v>
      </c>
      <c r="E42" s="58"/>
      <c r="F42" s="58"/>
      <c r="G42" s="58"/>
      <c r="H42" s="53"/>
      <c r="I42" s="58"/>
      <c r="J42" s="58"/>
      <c r="K42" s="58"/>
    </row>
    <row r="43" spans="1:11">
      <c r="A43" s="47">
        <v>25</v>
      </c>
      <c r="B43" s="50" t="s">
        <v>164</v>
      </c>
      <c r="D43" s="62">
        <v>0.35</v>
      </c>
      <c r="E43" s="55">
        <f>F43+G43</f>
        <v>18789</v>
      </c>
      <c r="F43" s="55">
        <f t="shared" ref="F43:G45" si="5">F107</f>
        <v>16759</v>
      </c>
      <c r="G43" s="55">
        <f t="shared" si="5"/>
        <v>2030</v>
      </c>
      <c r="H43" s="53" t="str">
        <f>IF(E43=F43+G43," ","ERROR")</f>
        <v xml:space="preserve"> </v>
      </c>
      <c r="I43" s="55">
        <f>J43+K43</f>
        <v>18828</v>
      </c>
      <c r="J43" s="55">
        <f>J107</f>
        <v>18828</v>
      </c>
      <c r="K43" s="55"/>
    </row>
    <row r="44" spans="1:11">
      <c r="A44" s="47">
        <v>26</v>
      </c>
      <c r="B44" s="50" t="s">
        <v>165</v>
      </c>
      <c r="E44" s="55">
        <f>F44+G44</f>
        <v>10648</v>
      </c>
      <c r="F44" s="55">
        <f t="shared" si="5"/>
        <v>3070</v>
      </c>
      <c r="G44" s="55">
        <f t="shared" si="5"/>
        <v>7578</v>
      </c>
      <c r="H44" s="53" t="str">
        <f>IF(E44=F44+G44," ","ERROR")</f>
        <v xml:space="preserve"> </v>
      </c>
      <c r="I44" s="55">
        <f>J44+K44</f>
        <v>3120</v>
      </c>
      <c r="J44" s="55">
        <f>J108</f>
        <v>3120</v>
      </c>
      <c r="K44" s="55"/>
    </row>
    <row r="45" spans="1:11">
      <c r="B45" s="50" t="s">
        <v>166</v>
      </c>
      <c r="E45" s="55">
        <f>F45+G45</f>
        <v>0</v>
      </c>
      <c r="F45" s="55">
        <f t="shared" si="5"/>
        <v>0</v>
      </c>
      <c r="G45" s="55">
        <f t="shared" si="5"/>
        <v>0</v>
      </c>
      <c r="H45" s="53" t="str">
        <f>IF(E45=F45+G45," ","ERROR")</f>
        <v xml:space="preserve"> </v>
      </c>
      <c r="I45" s="55">
        <f>J45+K45</f>
        <v>-26</v>
      </c>
      <c r="J45" s="55">
        <f>J109</f>
        <v>-26</v>
      </c>
      <c r="K45" s="55"/>
    </row>
    <row r="46" spans="1:11">
      <c r="B46" s="914" t="s">
        <v>112</v>
      </c>
      <c r="E46" s="59"/>
      <c r="F46" s="59"/>
      <c r="G46" s="59"/>
      <c r="H46" s="53" t="str">
        <f>IF(E46=F46+G46," ","ERROR")</f>
        <v xml:space="preserve"> </v>
      </c>
      <c r="I46" s="59">
        <f>J46+K46</f>
        <v>5402</v>
      </c>
      <c r="J46" s="59">
        <v>5402</v>
      </c>
      <c r="K46" s="59"/>
    </row>
    <row r="47" spans="1:11" s="53" customFormat="1" ht="12.75" thickBot="1">
      <c r="A47" s="51">
        <v>27</v>
      </c>
      <c r="B47" s="52" t="s">
        <v>113</v>
      </c>
      <c r="E47" s="63">
        <f>E40-(E42+E43+E44+E45+E46)</f>
        <v>110851</v>
      </c>
      <c r="F47" s="63">
        <f>F40-(F42+F43+F44+F45+F46)</f>
        <v>68538</v>
      </c>
      <c r="G47" s="63">
        <f>G40-(G42+G43+G44+G45+G46)</f>
        <v>42313</v>
      </c>
      <c r="H47" s="53" t="str">
        <f>IF(E47=F47+G47," ","ERROR")</f>
        <v xml:space="preserve"> </v>
      </c>
      <c r="I47" s="63">
        <f>I40-(I42+I43+I44+I45+I46)</f>
        <v>51735</v>
      </c>
      <c r="J47" s="63">
        <f>J40-(J42+J43+J44+J45+J46)</f>
        <v>51735</v>
      </c>
      <c r="K47" s="63"/>
    </row>
    <row r="48" spans="1:11" ht="12.75" thickTop="1">
      <c r="H48" s="53"/>
    </row>
    <row r="49" spans="1:11">
      <c r="B49" s="50" t="s">
        <v>114</v>
      </c>
      <c r="H49" s="53"/>
    </row>
    <row r="50" spans="1:11">
      <c r="B50" s="50" t="s">
        <v>115</v>
      </c>
      <c r="H50" s="53"/>
    </row>
    <row r="51" spans="1:11" s="53" customFormat="1">
      <c r="A51" s="51">
        <v>28</v>
      </c>
      <c r="B51" s="52" t="s">
        <v>167</v>
      </c>
      <c r="E51" s="54">
        <f>F51+G51</f>
        <v>34522</v>
      </c>
      <c r="F51" s="54">
        <f>F116</f>
        <v>22439</v>
      </c>
      <c r="G51" s="54">
        <f>G116</f>
        <v>12083</v>
      </c>
      <c r="H51" s="53" t="str">
        <f t="shared" ref="H51:H61" si="6">IF(E51=F51+G51," ","ERROR")</f>
        <v xml:space="preserve"> </v>
      </c>
      <c r="I51" s="54">
        <f>J51+K51</f>
        <v>12705</v>
      </c>
      <c r="J51" s="54">
        <f>J116</f>
        <v>12705</v>
      </c>
      <c r="K51" s="54"/>
    </row>
    <row r="52" spans="1:11">
      <c r="A52" s="47">
        <v>29</v>
      </c>
      <c r="B52" s="50" t="s">
        <v>168</v>
      </c>
      <c r="E52" s="55">
        <f>F52+G52</f>
        <v>1015757</v>
      </c>
      <c r="F52" s="55">
        <f t="shared" ref="F52:G55" si="7">F121</f>
        <v>656077</v>
      </c>
      <c r="G52" s="55">
        <f t="shared" si="7"/>
        <v>359680</v>
      </c>
      <c r="H52" s="53" t="str">
        <f t="shared" si="6"/>
        <v xml:space="preserve"> </v>
      </c>
      <c r="I52" s="55">
        <f>J52+K52</f>
        <v>424393</v>
      </c>
      <c r="J52" s="55">
        <f>J121</f>
        <v>424393</v>
      </c>
      <c r="K52" s="55"/>
    </row>
    <row r="53" spans="1:11">
      <c r="A53" s="47">
        <v>30</v>
      </c>
      <c r="B53" s="50" t="s">
        <v>169</v>
      </c>
      <c r="E53" s="55">
        <f>F53+G53</f>
        <v>442422</v>
      </c>
      <c r="F53" s="55">
        <f t="shared" si="7"/>
        <v>285760</v>
      </c>
      <c r="G53" s="55">
        <f t="shared" si="7"/>
        <v>156662</v>
      </c>
      <c r="H53" s="53" t="str">
        <f t="shared" si="6"/>
        <v xml:space="preserve"> </v>
      </c>
      <c r="I53" s="55">
        <f>J53+K53</f>
        <v>176294</v>
      </c>
      <c r="J53" s="55">
        <f>J122</f>
        <v>176294</v>
      </c>
      <c r="K53" s="55"/>
    </row>
    <row r="54" spans="1:11">
      <c r="A54" s="47">
        <v>31</v>
      </c>
      <c r="B54" s="50" t="s">
        <v>170</v>
      </c>
      <c r="E54" s="55">
        <f>F54+G54</f>
        <v>893140</v>
      </c>
      <c r="F54" s="55">
        <f t="shared" si="7"/>
        <v>552007</v>
      </c>
      <c r="G54" s="55">
        <f t="shared" si="7"/>
        <v>341133</v>
      </c>
      <c r="H54" s="53" t="str">
        <f t="shared" si="6"/>
        <v xml:space="preserve"> </v>
      </c>
      <c r="I54" s="55">
        <f>J54+K54</f>
        <v>364352</v>
      </c>
      <c r="J54" s="55">
        <f>J123</f>
        <v>364352</v>
      </c>
      <c r="K54" s="55"/>
    </row>
    <row r="55" spans="1:11">
      <c r="A55" s="47">
        <v>32</v>
      </c>
      <c r="B55" s="50" t="s">
        <v>171</v>
      </c>
      <c r="E55" s="59">
        <f>F55+G55</f>
        <v>137854</v>
      </c>
      <c r="F55" s="59">
        <f t="shared" si="7"/>
        <v>88036</v>
      </c>
      <c r="G55" s="59">
        <f t="shared" si="7"/>
        <v>49818</v>
      </c>
      <c r="H55" s="53" t="str">
        <f t="shared" si="6"/>
        <v xml:space="preserve"> </v>
      </c>
      <c r="I55" s="59">
        <f>J55+K55</f>
        <v>54525</v>
      </c>
      <c r="J55" s="59">
        <f>J124</f>
        <v>54525</v>
      </c>
      <c r="K55" s="59"/>
    </row>
    <row r="56" spans="1:11">
      <c r="A56" s="47">
        <v>33</v>
      </c>
      <c r="B56" s="50" t="s">
        <v>172</v>
      </c>
      <c r="E56" s="58">
        <f>E51+E52+E53+E54+E55</f>
        <v>2523695</v>
      </c>
      <c r="F56" s="58">
        <f>F51+F52+F53+F54+F55</f>
        <v>1604319</v>
      </c>
      <c r="G56" s="58">
        <f>G51+G52+G53+G54+G55</f>
        <v>919376</v>
      </c>
      <c r="H56" s="53" t="str">
        <f t="shared" si="6"/>
        <v xml:space="preserve"> </v>
      </c>
      <c r="I56" s="58">
        <f>I51+I52+I53+I54+I55</f>
        <v>1032269</v>
      </c>
      <c r="J56" s="58">
        <f>J51+J52+J53+J54+J55</f>
        <v>1032269</v>
      </c>
      <c r="K56" s="58"/>
    </row>
    <row r="57" spans="1:11">
      <c r="A57" s="47">
        <v>34</v>
      </c>
      <c r="B57" s="50" t="s">
        <v>121</v>
      </c>
      <c r="E57" s="55">
        <f>F57+G57</f>
        <v>854139</v>
      </c>
      <c r="F57" s="55">
        <f>F127</f>
        <v>543584</v>
      </c>
      <c r="G57" s="55">
        <f>G127</f>
        <v>310555</v>
      </c>
      <c r="H57" s="53" t="str">
        <f t="shared" si="6"/>
        <v xml:space="preserve"> </v>
      </c>
      <c r="I57" s="55">
        <f>J57+K57</f>
        <v>304658</v>
      </c>
      <c r="J57" s="55">
        <f>J127</f>
        <v>304658</v>
      </c>
      <c r="K57" s="55"/>
    </row>
    <row r="58" spans="1:11">
      <c r="A58" s="47">
        <v>35</v>
      </c>
      <c r="B58" s="50" t="s">
        <v>122</v>
      </c>
      <c r="E58" s="59">
        <f>F58+G58</f>
        <v>10571</v>
      </c>
      <c r="F58" s="59">
        <f>F128</f>
        <v>6907</v>
      </c>
      <c r="G58" s="59">
        <f>G128</f>
        <v>3664</v>
      </c>
      <c r="H58" s="53" t="str">
        <f t="shared" si="6"/>
        <v xml:space="preserve"> </v>
      </c>
      <c r="I58" s="59">
        <f>J58+K58</f>
        <v>1694</v>
      </c>
      <c r="J58" s="59">
        <f>J128</f>
        <v>1694</v>
      </c>
      <c r="K58" s="59"/>
    </row>
    <row r="59" spans="1:11">
      <c r="A59" s="47">
        <v>36</v>
      </c>
      <c r="B59" s="50" t="s">
        <v>173</v>
      </c>
      <c r="E59" s="58">
        <f>E57+E58</f>
        <v>864710</v>
      </c>
      <c r="F59" s="58">
        <f>F57+F58</f>
        <v>550491</v>
      </c>
      <c r="G59" s="58">
        <f>G57+G58</f>
        <v>314219</v>
      </c>
      <c r="H59" s="53" t="str">
        <f t="shared" si="6"/>
        <v xml:space="preserve"> </v>
      </c>
      <c r="I59" s="58">
        <f>I57+I58</f>
        <v>306352</v>
      </c>
      <c r="J59" s="58">
        <f>J57+J58</f>
        <v>306352</v>
      </c>
      <c r="K59" s="58"/>
    </row>
    <row r="60" spans="1:11">
      <c r="A60" s="47">
        <v>37</v>
      </c>
      <c r="B60" s="50" t="s">
        <v>124</v>
      </c>
      <c r="E60" s="55"/>
      <c r="F60" s="55"/>
      <c r="G60" s="55"/>
      <c r="H60" s="53" t="str">
        <f t="shared" si="6"/>
        <v xml:space="preserve"> </v>
      </c>
      <c r="I60" s="55"/>
      <c r="J60" s="55"/>
      <c r="K60" s="55"/>
    </row>
    <row r="61" spans="1:11">
      <c r="A61" s="47">
        <v>38</v>
      </c>
      <c r="B61" s="50" t="s">
        <v>125</v>
      </c>
      <c r="E61" s="59"/>
      <c r="F61" s="59"/>
      <c r="G61" s="59"/>
      <c r="H61" s="53" t="str">
        <f t="shared" si="6"/>
        <v xml:space="preserve"> </v>
      </c>
      <c r="I61" s="59"/>
      <c r="J61" s="59"/>
      <c r="K61" s="59"/>
    </row>
    <row r="62" spans="1:11" ht="9" customHeight="1">
      <c r="H62" s="53"/>
    </row>
    <row r="63" spans="1:11" s="53" customFormat="1" ht="12.75" thickBot="1">
      <c r="A63" s="51">
        <v>39</v>
      </c>
      <c r="B63" s="52" t="s">
        <v>126</v>
      </c>
      <c r="E63" s="63">
        <f>F63+G63</f>
        <v>1658985</v>
      </c>
      <c r="F63" s="63">
        <f>F56-F59+F60+F61</f>
        <v>1053828</v>
      </c>
      <c r="G63" s="63">
        <f>G56-G59+G60+G61</f>
        <v>605157</v>
      </c>
      <c r="H63" s="53" t="str">
        <f>IF(E63=F63+G63," ","ERROR")</f>
        <v xml:space="preserve"> </v>
      </c>
      <c r="I63" s="63">
        <f>J63+K63</f>
        <v>725917</v>
      </c>
      <c r="J63" s="63">
        <f>J56-J59+J60+J61</f>
        <v>725917</v>
      </c>
      <c r="K63" s="63"/>
    </row>
    <row r="64" spans="1:11" s="697" customFormat="1" ht="14.25" customHeight="1" thickTop="1">
      <c r="E64" s="36">
        <f>E47/E63</f>
        <v>6.6818566774262581E-2</v>
      </c>
      <c r="F64" s="36">
        <f>F47/F63</f>
        <v>6.5037178742641116E-2</v>
      </c>
      <c r="G64" s="36">
        <f>G47/G63</f>
        <v>6.9920698265078324E-2</v>
      </c>
      <c r="I64" s="36">
        <f>I47/I63</f>
        <v>7.1268478352208314E-2</v>
      </c>
      <c r="J64" s="36">
        <f>J47/J63</f>
        <v>7.1268478352208314E-2</v>
      </c>
      <c r="K64" s="36"/>
    </row>
    <row r="65" spans="2:11">
      <c r="B65" s="243" t="s">
        <v>174</v>
      </c>
      <c r="C65" s="244"/>
      <c r="D65" s="244"/>
      <c r="E65" s="244"/>
      <c r="F65" s="244"/>
      <c r="G65" s="245"/>
      <c r="I65" s="244"/>
      <c r="J65" s="244"/>
      <c r="K65" s="245"/>
    </row>
    <row r="66" spans="2:11">
      <c r="B66" s="44" t="s">
        <v>113</v>
      </c>
      <c r="E66" s="64">
        <f>F66+G66</f>
        <v>110851</v>
      </c>
      <c r="F66" s="44">
        <v>68538</v>
      </c>
      <c r="G66" s="742">
        <v>42313</v>
      </c>
      <c r="I66" s="64">
        <f>J66+K66</f>
        <v>51735</v>
      </c>
      <c r="J66" s="44">
        <v>51735</v>
      </c>
    </row>
    <row r="67" spans="2:11">
      <c r="B67" s="44" t="s">
        <v>175</v>
      </c>
      <c r="E67" s="44">
        <f>F67+G67</f>
        <v>1658985</v>
      </c>
      <c r="F67" s="44">
        <v>1053828</v>
      </c>
      <c r="G67" s="44">
        <v>605157</v>
      </c>
      <c r="I67" s="44">
        <f>J67+K67</f>
        <v>553316</v>
      </c>
      <c r="J67" s="44">
        <v>553316</v>
      </c>
    </row>
    <row r="69" spans="2:11">
      <c r="B69" s="65" t="s">
        <v>176</v>
      </c>
    </row>
    <row r="70" spans="2:11">
      <c r="B70" s="66" t="s">
        <v>85</v>
      </c>
      <c r="C70" s="66"/>
      <c r="D70" s="66"/>
      <c r="E70" s="67"/>
      <c r="I70" s="67"/>
    </row>
    <row r="71" spans="2:11">
      <c r="B71" s="66" t="s">
        <v>177</v>
      </c>
      <c r="C71" s="66"/>
      <c r="D71" s="66"/>
      <c r="E71" s="64">
        <f>F71+G71</f>
        <v>618817</v>
      </c>
      <c r="F71" s="64">
        <f>408649-F72</f>
        <v>407849</v>
      </c>
      <c r="G71" s="64">
        <f>211113-G72</f>
        <v>210968</v>
      </c>
      <c r="I71" s="64">
        <f>J71+K71</f>
        <v>252300</v>
      </c>
      <c r="J71" s="64">
        <v>252300</v>
      </c>
      <c r="K71" s="64"/>
    </row>
    <row r="72" spans="2:11">
      <c r="B72" s="66" t="s">
        <v>178</v>
      </c>
      <c r="C72" s="66"/>
      <c r="D72" s="66"/>
      <c r="E72" s="64">
        <f>F72+G72</f>
        <v>945</v>
      </c>
      <c r="F72" s="64">
        <v>800</v>
      </c>
      <c r="G72" s="64">
        <v>145</v>
      </c>
      <c r="I72" s="64">
        <f>J72+K72</f>
        <v>0</v>
      </c>
      <c r="J72" s="64">
        <v>0</v>
      </c>
      <c r="K72" s="64"/>
    </row>
    <row r="73" spans="2:11">
      <c r="B73" s="66" t="s">
        <v>88</v>
      </c>
      <c r="C73" s="66"/>
      <c r="D73" s="66"/>
      <c r="E73" s="64">
        <f>F73+G73</f>
        <v>195819</v>
      </c>
      <c r="F73" s="64">
        <v>126479</v>
      </c>
      <c r="G73" s="64">
        <v>69340</v>
      </c>
      <c r="I73" s="64">
        <f>J73+K73</f>
        <v>85288</v>
      </c>
      <c r="J73" s="64">
        <v>85288</v>
      </c>
      <c r="K73" s="64"/>
    </row>
    <row r="74" spans="2:11">
      <c r="B74" s="66" t="s">
        <v>179</v>
      </c>
      <c r="C74" s="66"/>
      <c r="D74" s="66"/>
      <c r="E74" s="68">
        <f>F74+G74</f>
        <v>56326</v>
      </c>
      <c r="F74" s="68">
        <v>36572</v>
      </c>
      <c r="G74" s="68">
        <v>19754</v>
      </c>
      <c r="I74" s="68">
        <f>J74+K74</f>
        <v>12128</v>
      </c>
      <c r="J74" s="68">
        <v>12128</v>
      </c>
      <c r="K74" s="68"/>
    </row>
    <row r="75" spans="2:11">
      <c r="B75" s="66" t="s">
        <v>180</v>
      </c>
      <c r="C75" s="66"/>
      <c r="D75" s="66"/>
      <c r="E75" s="994">
        <f>SUM(E71:E74)</f>
        <v>871907</v>
      </c>
      <c r="F75" s="68">
        <f>SUM(F71:F74)</f>
        <v>571700</v>
      </c>
      <c r="G75" s="68">
        <f>SUM(G71:G74)</f>
        <v>300207</v>
      </c>
      <c r="I75" s="68">
        <f>SUM(I71:I74)</f>
        <v>349716</v>
      </c>
      <c r="J75" s="68">
        <f>SUM(J71:J74)</f>
        <v>349716</v>
      </c>
      <c r="K75" s="68"/>
    </row>
    <row r="76" spans="2:11">
      <c r="B76" s="66"/>
      <c r="C76" s="66"/>
      <c r="D76" s="66"/>
      <c r="E76" s="64"/>
      <c r="F76" s="64"/>
      <c r="G76" s="64"/>
      <c r="I76" s="64"/>
      <c r="J76" s="64"/>
      <c r="K76" s="64"/>
    </row>
    <row r="77" spans="2:11">
      <c r="B77" s="66" t="s">
        <v>181</v>
      </c>
      <c r="C77" s="66"/>
      <c r="D77" s="66"/>
      <c r="E77" s="64"/>
      <c r="F77" s="64"/>
      <c r="G77" s="64"/>
      <c r="I77" s="64"/>
      <c r="J77" s="64"/>
      <c r="K77" s="64"/>
    </row>
    <row r="78" spans="2:11">
      <c r="B78" s="66" t="s">
        <v>182</v>
      </c>
      <c r="C78" s="66"/>
      <c r="D78" s="66"/>
      <c r="E78" s="64">
        <f>F78+G78</f>
        <v>38706</v>
      </c>
      <c r="F78" s="64">
        <v>25000</v>
      </c>
      <c r="G78" s="64">
        <v>13706</v>
      </c>
      <c r="I78" s="64">
        <f>J78+K78</f>
        <v>15193</v>
      </c>
      <c r="J78" s="64">
        <v>15193</v>
      </c>
      <c r="K78" s="64"/>
    </row>
    <row r="79" spans="2:11">
      <c r="B79" s="66" t="s">
        <v>183</v>
      </c>
      <c r="C79" s="66"/>
      <c r="D79" s="66"/>
      <c r="E79" s="64">
        <f>F79+G79</f>
        <v>15962</v>
      </c>
      <c r="F79" s="64">
        <v>10556</v>
      </c>
      <c r="G79" s="64">
        <v>5406</v>
      </c>
      <c r="I79" s="64">
        <f>J79+K79</f>
        <v>6561</v>
      </c>
      <c r="J79" s="64">
        <v>6561</v>
      </c>
      <c r="K79" s="64"/>
    </row>
    <row r="80" spans="2:11">
      <c r="B80" s="66" t="s">
        <v>184</v>
      </c>
      <c r="C80" s="66"/>
      <c r="D80" s="66"/>
      <c r="E80" s="64">
        <f>F80+G80</f>
        <v>117350</v>
      </c>
      <c r="F80" s="64">
        <v>75796</v>
      </c>
      <c r="G80" s="64">
        <v>41554</v>
      </c>
      <c r="I80" s="64">
        <f>J80+K80</f>
        <v>8247</v>
      </c>
      <c r="J80" s="64">
        <v>8247</v>
      </c>
      <c r="K80" s="64"/>
    </row>
    <row r="81" spans="2:12">
      <c r="B81" s="66" t="s">
        <v>185</v>
      </c>
      <c r="C81" s="66"/>
      <c r="D81" s="66"/>
      <c r="E81" s="64">
        <f>F81+G81</f>
        <v>61204</v>
      </c>
      <c r="F81" s="64">
        <f>196376-F82</f>
        <v>49300</v>
      </c>
      <c r="G81" s="64">
        <f>110975-G82</f>
        <v>11904</v>
      </c>
      <c r="I81" s="64">
        <f>J81+K81</f>
        <v>5467</v>
      </c>
      <c r="J81" s="64">
        <v>5467</v>
      </c>
      <c r="K81" s="64"/>
    </row>
    <row r="82" spans="2:12">
      <c r="B82" s="66" t="s">
        <v>95</v>
      </c>
      <c r="C82" s="66"/>
      <c r="D82" s="66"/>
      <c r="E82" s="68">
        <f>F82+G82</f>
        <v>246147</v>
      </c>
      <c r="F82" s="68">
        <v>147076</v>
      </c>
      <c r="G82" s="68">
        <v>99071</v>
      </c>
      <c r="I82" s="68">
        <f>J82+K82</f>
        <v>131281</v>
      </c>
      <c r="J82" s="68">
        <v>131281</v>
      </c>
      <c r="K82" s="68"/>
    </row>
    <row r="83" spans="2:12">
      <c r="B83" s="66" t="s">
        <v>186</v>
      </c>
      <c r="C83" s="69"/>
      <c r="D83" s="66"/>
      <c r="E83" s="68">
        <f>SUM(E78:E82)</f>
        <v>479369</v>
      </c>
      <c r="F83" s="68">
        <f>SUM(F78:F82)</f>
        <v>307728</v>
      </c>
      <c r="G83" s="68">
        <f>SUM(G78:G82)</f>
        <v>171641</v>
      </c>
      <c r="I83" s="68">
        <f>SUM(I78:I82)</f>
        <v>166749</v>
      </c>
      <c r="J83" s="68">
        <f>SUM(J78:J82)</f>
        <v>166749</v>
      </c>
      <c r="K83" s="68"/>
    </row>
    <row r="84" spans="2:12">
      <c r="B84" s="66" t="s">
        <v>187</v>
      </c>
      <c r="C84" s="66"/>
      <c r="D84" s="66"/>
      <c r="E84" s="880"/>
      <c r="F84" s="64"/>
      <c r="G84" s="64"/>
      <c r="I84" s="64"/>
      <c r="J84" s="64"/>
      <c r="K84" s="64"/>
    </row>
    <row r="85" spans="2:12">
      <c r="B85" s="66" t="s">
        <v>188</v>
      </c>
      <c r="C85" s="66"/>
      <c r="D85" s="66"/>
      <c r="E85" s="64">
        <f>F85+G85</f>
        <v>23437</v>
      </c>
      <c r="F85" s="720">
        <v>15148</v>
      </c>
      <c r="G85" s="64">
        <v>8289</v>
      </c>
      <c r="I85" s="64">
        <f>J85+K85</f>
        <v>9813</v>
      </c>
      <c r="J85" s="720">
        <v>9813</v>
      </c>
      <c r="K85" s="64"/>
    </row>
    <row r="86" spans="2:12">
      <c r="B86" s="66" t="s">
        <v>189</v>
      </c>
      <c r="C86" s="66"/>
      <c r="D86" s="66"/>
      <c r="E86" s="64">
        <f>F86+G86</f>
        <v>35050</v>
      </c>
      <c r="F86" s="64">
        <f>32610-F87</f>
        <v>23675</v>
      </c>
      <c r="G86" s="64">
        <f>16273-G87</f>
        <v>11375</v>
      </c>
      <c r="I86" s="64">
        <f>J86+K86</f>
        <v>9264</v>
      </c>
      <c r="J86" s="64">
        <f>9544+4157-4437</f>
        <v>9264</v>
      </c>
      <c r="K86" s="64"/>
      <c r="L86" s="742" t="s">
        <v>591</v>
      </c>
    </row>
    <row r="87" spans="2:12">
      <c r="B87" s="66" t="s">
        <v>190</v>
      </c>
      <c r="C87" s="66"/>
      <c r="D87" s="66"/>
      <c r="E87" s="68">
        <f>F87+G87</f>
        <v>13833</v>
      </c>
      <c r="F87" s="68">
        <v>8935</v>
      </c>
      <c r="G87" s="68">
        <v>4898</v>
      </c>
      <c r="I87" s="68">
        <f>J87+K87</f>
        <v>10056</v>
      </c>
      <c r="J87" s="68">
        <f>8997+1059</f>
        <v>10056</v>
      </c>
      <c r="K87" s="68"/>
    </row>
    <row r="88" spans="2:12">
      <c r="B88" s="66" t="s">
        <v>191</v>
      </c>
      <c r="C88" s="66"/>
      <c r="D88" s="69"/>
      <c r="E88" s="68">
        <f>E83+E85+E86+E87</f>
        <v>551689</v>
      </c>
      <c r="F88" s="68">
        <f>F83+F85+F86+F87</f>
        <v>355486</v>
      </c>
      <c r="G88" s="68">
        <f>G83+G85+G86+G87</f>
        <v>196203</v>
      </c>
      <c r="I88" s="68">
        <f>I83+I85+I86+I87</f>
        <v>195882</v>
      </c>
      <c r="J88" s="68">
        <f>J83+J85+J86+J87</f>
        <v>195882</v>
      </c>
      <c r="K88" s="68"/>
    </row>
    <row r="89" spans="2:12">
      <c r="B89" s="66" t="s">
        <v>192</v>
      </c>
      <c r="C89" s="66"/>
      <c r="D89" s="66"/>
      <c r="E89" s="64"/>
      <c r="F89" s="64"/>
      <c r="G89" s="64"/>
      <c r="I89" s="64"/>
      <c r="J89" s="64"/>
      <c r="K89" s="64"/>
    </row>
    <row r="90" spans="2:12">
      <c r="B90" s="66" t="s">
        <v>193</v>
      </c>
      <c r="C90" s="66"/>
      <c r="D90" s="66"/>
      <c r="E90" s="64">
        <f>F90+G90</f>
        <v>25859</v>
      </c>
      <c r="F90" s="64">
        <v>17279</v>
      </c>
      <c r="G90" s="64">
        <v>8580</v>
      </c>
      <c r="I90" s="64">
        <f>J90+K90</f>
        <v>10889</v>
      </c>
      <c r="J90" s="64">
        <v>10889</v>
      </c>
      <c r="K90" s="64"/>
    </row>
    <row r="91" spans="2:12">
      <c r="B91" s="66" t="s">
        <v>189</v>
      </c>
      <c r="C91" s="66"/>
      <c r="D91" s="66"/>
      <c r="E91" s="64">
        <f>F91+G91</f>
        <v>22950</v>
      </c>
      <c r="F91" s="64">
        <v>14599</v>
      </c>
      <c r="G91" s="64">
        <v>8351</v>
      </c>
      <c r="I91" s="64">
        <f>J91+K91</f>
        <v>7820</v>
      </c>
      <c r="J91" s="64">
        <v>7820</v>
      </c>
      <c r="K91" s="64"/>
      <c r="L91" s="742"/>
    </row>
    <row r="92" spans="2:12">
      <c r="B92" s="66" t="s">
        <v>190</v>
      </c>
      <c r="C92" s="66"/>
      <c r="D92" s="66"/>
      <c r="E92" s="68">
        <f>F92+G92</f>
        <v>37353</v>
      </c>
      <c r="F92" s="68">
        <v>33186</v>
      </c>
      <c r="G92" s="68">
        <v>4167</v>
      </c>
      <c r="I92" s="68">
        <f>J92+K92</f>
        <v>13769</v>
      </c>
      <c r="J92" s="68">
        <f>3971+9798</f>
        <v>13769</v>
      </c>
      <c r="K92" s="68"/>
      <c r="L92" s="742"/>
    </row>
    <row r="93" spans="2:12">
      <c r="B93" s="66" t="s">
        <v>194</v>
      </c>
      <c r="C93" s="69"/>
      <c r="D93" s="66"/>
      <c r="E93" s="68">
        <f>SUM(E90:E92)</f>
        <v>86162</v>
      </c>
      <c r="F93" s="68">
        <f>SUM(F90:F92)</f>
        <v>65064</v>
      </c>
      <c r="G93" s="68">
        <f>SUM(G90:G92)</f>
        <v>21098</v>
      </c>
      <c r="I93" s="68">
        <f>SUM(I90:I92)</f>
        <v>32478</v>
      </c>
      <c r="J93" s="68">
        <f>SUM(J90:J92)</f>
        <v>32478</v>
      </c>
      <c r="K93" s="68"/>
    </row>
    <row r="94" spans="2:12">
      <c r="B94" s="66" t="s">
        <v>195</v>
      </c>
      <c r="C94" s="66"/>
      <c r="D94" s="66"/>
      <c r="E94" s="64">
        <f>F94+G94</f>
        <v>12202</v>
      </c>
      <c r="F94" s="64">
        <v>8559</v>
      </c>
      <c r="G94" s="64">
        <v>3643</v>
      </c>
      <c r="I94" s="64">
        <f>J94+K94</f>
        <v>5886</v>
      </c>
      <c r="J94" s="64">
        <v>5886</v>
      </c>
      <c r="K94" s="64"/>
    </row>
    <row r="95" spans="2:12">
      <c r="B95" s="66" t="s">
        <v>196</v>
      </c>
      <c r="C95" s="66"/>
      <c r="D95" s="66"/>
      <c r="E95" s="64">
        <f>F95+G95</f>
        <v>15319</v>
      </c>
      <c r="F95" s="64">
        <v>11359</v>
      </c>
      <c r="G95" s="64">
        <v>3960</v>
      </c>
      <c r="I95" s="64">
        <f>J95+K95</f>
        <v>3733</v>
      </c>
      <c r="J95" s="64">
        <v>3733</v>
      </c>
      <c r="K95" s="64"/>
    </row>
    <row r="96" spans="2:12">
      <c r="B96" s="66" t="s">
        <v>197</v>
      </c>
      <c r="C96" s="66"/>
      <c r="D96" s="66"/>
      <c r="E96" s="64">
        <f>F96+G96</f>
        <v>957</v>
      </c>
      <c r="F96" s="64">
        <v>696</v>
      </c>
      <c r="G96" s="64">
        <v>261</v>
      </c>
      <c r="I96" s="64">
        <f>J96+K96</f>
        <v>310</v>
      </c>
      <c r="J96" s="64">
        <v>310</v>
      </c>
      <c r="K96" s="64"/>
    </row>
    <row r="97" spans="1:12">
      <c r="B97" s="66" t="s">
        <v>198</v>
      </c>
      <c r="C97" s="66"/>
      <c r="D97" s="66"/>
      <c r="E97" s="64"/>
      <c r="F97" s="64"/>
      <c r="G97" s="64"/>
      <c r="I97" s="64"/>
      <c r="J97" s="64"/>
      <c r="K97" s="64"/>
    </row>
    <row r="98" spans="1:12">
      <c r="B98" s="66" t="s">
        <v>199</v>
      </c>
      <c r="C98" s="66"/>
      <c r="D98" s="66"/>
      <c r="E98" s="64">
        <f>F98+G98</f>
        <v>54408</v>
      </c>
      <c r="F98" s="64">
        <v>35147</v>
      </c>
      <c r="G98" s="64">
        <v>19261</v>
      </c>
      <c r="I98" s="64">
        <f>J98+K98</f>
        <v>28545</v>
      </c>
      <c r="J98" s="64">
        <v>28545</v>
      </c>
      <c r="K98" s="64"/>
    </row>
    <row r="99" spans="1:12">
      <c r="B99" s="66" t="s">
        <v>189</v>
      </c>
      <c r="C99" s="66"/>
      <c r="D99" s="66"/>
      <c r="E99" s="64">
        <f>F99+G99</f>
        <v>10882</v>
      </c>
      <c r="F99" s="64">
        <f>ROUND((4837073+2179656+4826)/1000,0)</f>
        <v>7022</v>
      </c>
      <c r="G99" s="64">
        <f>ROUND((2689127+1168664+2588)/1000,0)</f>
        <v>3860</v>
      </c>
      <c r="I99" s="64">
        <f>J99+K99</f>
        <v>3749</v>
      </c>
      <c r="J99" s="64">
        <v>3749</v>
      </c>
      <c r="K99" s="64"/>
      <c r="L99" s="742" t="s">
        <v>592</v>
      </c>
    </row>
    <row r="100" spans="1:12">
      <c r="B100" s="66" t="s">
        <v>190</v>
      </c>
      <c r="C100" s="66"/>
      <c r="D100" s="66"/>
      <c r="E100" s="68">
        <f>F100+G100</f>
        <v>0</v>
      </c>
      <c r="F100" s="68">
        <v>0</v>
      </c>
      <c r="G100" s="68">
        <v>0</v>
      </c>
      <c r="I100" s="68">
        <f>J100+K100</f>
        <v>74</v>
      </c>
      <c r="J100" s="68">
        <v>74</v>
      </c>
      <c r="K100" s="68"/>
      <c r="L100" s="742"/>
    </row>
    <row r="101" spans="1:12">
      <c r="B101" s="66" t="s">
        <v>200</v>
      </c>
      <c r="C101" s="69"/>
      <c r="D101" s="66"/>
      <c r="E101" s="68">
        <f>SUM(E98:E100)</f>
        <v>65290</v>
      </c>
      <c r="F101" s="68">
        <f>SUM(F98:F100)</f>
        <v>42169</v>
      </c>
      <c r="G101" s="68">
        <f>SUM(G98:G100)</f>
        <v>23121</v>
      </c>
      <c r="I101" s="68">
        <f>SUM(I98:I100)</f>
        <v>32368</v>
      </c>
      <c r="J101" s="68">
        <f>SUM(J98:J100)</f>
        <v>32368</v>
      </c>
      <c r="K101" s="68"/>
    </row>
    <row r="102" spans="1:12">
      <c r="B102" s="66"/>
      <c r="C102" s="66"/>
      <c r="D102" s="66"/>
      <c r="E102" s="64"/>
      <c r="F102" s="64"/>
      <c r="G102" s="64"/>
      <c r="I102" s="64"/>
      <c r="J102" s="64"/>
      <c r="K102" s="64"/>
    </row>
    <row r="103" spans="1:12">
      <c r="B103" s="66" t="s">
        <v>201</v>
      </c>
      <c r="C103" s="66"/>
      <c r="D103" s="66"/>
      <c r="E103" s="70">
        <f>E88+E93+E94+E95+E96+E101</f>
        <v>731619</v>
      </c>
      <c r="F103" s="70">
        <f>F88+F93+F94+F95+F96+F101</f>
        <v>483333</v>
      </c>
      <c r="G103" s="70">
        <f>G88+G93+G94+G95+G96+G101</f>
        <v>248286</v>
      </c>
      <c r="I103" s="70">
        <f>I88+I93+I94+I95+I96+I101</f>
        <v>270657</v>
      </c>
      <c r="J103" s="70">
        <f>J88+J93+J94+J95+J96+J101</f>
        <v>270657</v>
      </c>
      <c r="K103" s="70"/>
    </row>
    <row r="104" spans="1:12">
      <c r="B104" s="66"/>
      <c r="C104" s="66"/>
      <c r="D104" s="66"/>
      <c r="E104" s="64"/>
      <c r="F104" s="64"/>
      <c r="G104" s="64"/>
      <c r="I104" s="64"/>
      <c r="J104" s="64"/>
      <c r="K104" s="64"/>
    </row>
    <row r="105" spans="1:12">
      <c r="B105" s="66" t="s">
        <v>202</v>
      </c>
      <c r="C105" s="66"/>
      <c r="D105" s="66"/>
      <c r="E105" s="68">
        <f>E75-E103</f>
        <v>140288</v>
      </c>
      <c r="F105" s="68">
        <f>F75-F103</f>
        <v>88367</v>
      </c>
      <c r="G105" s="68">
        <f>G75-G103</f>
        <v>51921</v>
      </c>
      <c r="I105" s="68">
        <f>I75-I103</f>
        <v>79059</v>
      </c>
      <c r="J105" s="68">
        <f>J75-J103</f>
        <v>79059</v>
      </c>
      <c r="K105" s="68"/>
    </row>
    <row r="106" spans="1:12">
      <c r="B106" s="66"/>
      <c r="C106" s="66"/>
      <c r="D106" s="66"/>
      <c r="E106" s="64"/>
      <c r="F106" s="64"/>
      <c r="G106" s="64"/>
      <c r="I106" s="64"/>
      <c r="J106" s="64"/>
      <c r="K106" s="64"/>
    </row>
    <row r="107" spans="1:12">
      <c r="B107" s="66" t="s">
        <v>203</v>
      </c>
      <c r="C107" s="66"/>
      <c r="D107" s="66"/>
      <c r="E107" s="64">
        <f>F107+G107</f>
        <v>18789</v>
      </c>
      <c r="F107" s="64">
        <v>16759</v>
      </c>
      <c r="G107" s="64">
        <v>2030</v>
      </c>
      <c r="I107" s="64">
        <f>J107+K107</f>
        <v>18828</v>
      </c>
      <c r="J107" s="64">
        <f>18828</f>
        <v>18828</v>
      </c>
      <c r="K107" s="64"/>
    </row>
    <row r="108" spans="1:12">
      <c r="B108" s="66" t="s">
        <v>204</v>
      </c>
      <c r="C108" s="66"/>
      <c r="D108" s="66"/>
      <c r="E108" s="64">
        <f>F108+G108</f>
        <v>10648</v>
      </c>
      <c r="F108" s="64">
        <v>3070</v>
      </c>
      <c r="G108" s="1225">
        <v>7578</v>
      </c>
      <c r="I108" s="64">
        <f>J108+K108</f>
        <v>3120</v>
      </c>
      <c r="J108" s="64">
        <v>3120</v>
      </c>
      <c r="K108" s="64"/>
    </row>
    <row r="109" spans="1:12">
      <c r="B109" s="66" t="s">
        <v>205</v>
      </c>
      <c r="C109" s="66"/>
      <c r="D109" s="66"/>
      <c r="E109" s="68">
        <f>F109+G109</f>
        <v>0</v>
      </c>
      <c r="F109" s="68">
        <v>0</v>
      </c>
      <c r="G109" s="68">
        <v>0</v>
      </c>
      <c r="I109" s="68">
        <f>J109+K109</f>
        <v>-26</v>
      </c>
      <c r="J109" s="68">
        <v>-26</v>
      </c>
      <c r="K109" s="68"/>
    </row>
    <row r="110" spans="1:12">
      <c r="B110" s="66" t="s">
        <v>206</v>
      </c>
      <c r="C110" s="69"/>
      <c r="D110" s="66"/>
      <c r="E110" s="68">
        <f>E107+E108+E109</f>
        <v>29437</v>
      </c>
      <c r="F110" s="68">
        <f>F107+F108+F109</f>
        <v>19829</v>
      </c>
      <c r="G110" s="68">
        <f>G107+G108+G109</f>
        <v>9608</v>
      </c>
      <c r="I110" s="68">
        <f>I107+I108+I109</f>
        <v>21922</v>
      </c>
      <c r="J110" s="68">
        <f>J107+J108+J109</f>
        <v>21922</v>
      </c>
      <c r="K110" s="68"/>
    </row>
    <row r="111" spans="1:12">
      <c r="A111" s="50" t="s">
        <v>112</v>
      </c>
      <c r="B111" s="66"/>
      <c r="C111" s="66"/>
      <c r="D111" s="66"/>
      <c r="E111" s="64"/>
      <c r="F111" s="64"/>
      <c r="G111" s="64"/>
      <c r="I111" s="64"/>
      <c r="J111" s="64">
        <v>-5402</v>
      </c>
      <c r="K111" s="64"/>
    </row>
    <row r="112" spans="1:12">
      <c r="B112" s="66" t="s">
        <v>113</v>
      </c>
      <c r="C112" s="66"/>
      <c r="D112" s="71"/>
      <c r="E112" s="72">
        <f>E105-E110</f>
        <v>110851</v>
      </c>
      <c r="F112" s="72">
        <f>F105-F110</f>
        <v>68538</v>
      </c>
      <c r="G112" s="72">
        <f>G105-G110</f>
        <v>42313</v>
      </c>
      <c r="I112" s="72">
        <f>I105-I110</f>
        <v>57137</v>
      </c>
      <c r="J112" s="72">
        <f>J105-J110+J111</f>
        <v>51735</v>
      </c>
      <c r="K112" s="72"/>
    </row>
    <row r="113" spans="2:11">
      <c r="B113" s="66"/>
      <c r="C113" s="66"/>
      <c r="D113" s="66"/>
      <c r="E113" s="73"/>
      <c r="F113" s="73" t="str">
        <f>IF(F112=F66,"O.K.","Error")</f>
        <v>O.K.</v>
      </c>
      <c r="G113" s="73" t="str">
        <f>IF(G112=G66,"O.K.","Error")</f>
        <v>O.K.</v>
      </c>
      <c r="I113" s="73"/>
      <c r="J113" s="73" t="str">
        <f>IF(J112=J66,"O.K.","Error")</f>
        <v>O.K.</v>
      </c>
      <c r="K113" s="73"/>
    </row>
    <row r="114" spans="2:11">
      <c r="B114" s="66"/>
      <c r="C114" s="66"/>
      <c r="D114" s="66"/>
      <c r="E114" s="64"/>
      <c r="F114" s="64"/>
      <c r="G114" s="64"/>
      <c r="I114" s="64"/>
      <c r="J114" s="64"/>
      <c r="K114" s="64"/>
    </row>
    <row r="115" spans="2:11">
      <c r="B115" s="65" t="s">
        <v>207</v>
      </c>
      <c r="C115" s="69"/>
      <c r="D115" s="65"/>
      <c r="E115" s="64"/>
      <c r="F115" s="64"/>
      <c r="G115" s="64"/>
      <c r="I115" s="64"/>
      <c r="J115" s="64"/>
      <c r="K115" s="64"/>
    </row>
    <row r="116" spans="2:11">
      <c r="B116" s="66" t="s">
        <v>208</v>
      </c>
      <c r="C116" s="66"/>
      <c r="D116" s="66"/>
      <c r="E116" s="64">
        <f>F116+G116</f>
        <v>34522</v>
      </c>
      <c r="F116" s="64">
        <v>22439</v>
      </c>
      <c r="G116" s="64">
        <v>12083</v>
      </c>
      <c r="I116" s="64">
        <f>J116+K116</f>
        <v>12705</v>
      </c>
      <c r="J116" s="64">
        <v>12705</v>
      </c>
      <c r="K116" s="64"/>
    </row>
    <row r="117" spans="2:11">
      <c r="B117" s="66" t="s">
        <v>209</v>
      </c>
      <c r="C117" s="66"/>
      <c r="D117" s="66"/>
      <c r="E117" s="64"/>
      <c r="F117" s="64"/>
      <c r="G117" s="64"/>
      <c r="I117" s="64"/>
      <c r="J117" s="64"/>
      <c r="K117" s="64"/>
    </row>
    <row r="118" spans="2:11">
      <c r="B118" s="66" t="s">
        <v>210</v>
      </c>
      <c r="C118" s="66"/>
      <c r="D118" s="66"/>
      <c r="E118" s="64">
        <f>F118+G118</f>
        <v>379133</v>
      </c>
      <c r="F118" s="64">
        <v>244882</v>
      </c>
      <c r="G118" s="64">
        <v>134251</v>
      </c>
      <c r="I118" s="64">
        <f>J118+K118</f>
        <v>230971</v>
      </c>
      <c r="J118" s="64">
        <v>230971</v>
      </c>
      <c r="K118" s="64"/>
    </row>
    <row r="119" spans="2:11">
      <c r="B119" s="66" t="s">
        <v>211</v>
      </c>
      <c r="C119" s="66"/>
      <c r="D119" s="66"/>
      <c r="E119" s="64">
        <f>F119+G119</f>
        <v>363848</v>
      </c>
      <c r="F119" s="64">
        <v>235009</v>
      </c>
      <c r="G119" s="64">
        <v>128839</v>
      </c>
      <c r="I119" s="64">
        <f>J119+K119</f>
        <v>184890</v>
      </c>
      <c r="J119" s="64">
        <v>184890</v>
      </c>
      <c r="K119" s="64"/>
    </row>
    <row r="120" spans="2:11">
      <c r="B120" s="66" t="s">
        <v>212</v>
      </c>
      <c r="C120" s="66"/>
      <c r="D120" s="66"/>
      <c r="E120" s="68">
        <f>F120+G120</f>
        <v>272776</v>
      </c>
      <c r="F120" s="68">
        <v>176186</v>
      </c>
      <c r="G120" s="68">
        <v>96590</v>
      </c>
      <c r="I120" s="68">
        <f>J120+K120</f>
        <v>8532</v>
      </c>
      <c r="J120" s="68">
        <v>8532</v>
      </c>
      <c r="K120" s="68"/>
    </row>
    <row r="121" spans="2:11">
      <c r="B121" s="66" t="s">
        <v>213</v>
      </c>
      <c r="C121" s="66"/>
      <c r="D121" s="66"/>
      <c r="E121" s="68">
        <f>SUM(E118:E120)</f>
        <v>1015757</v>
      </c>
      <c r="F121" s="68">
        <f>SUM(F118:F120)</f>
        <v>656077</v>
      </c>
      <c r="G121" s="68">
        <f>SUM(G118:G120)</f>
        <v>359680</v>
      </c>
      <c r="I121" s="68">
        <f>SUM(I118:I120)</f>
        <v>424393</v>
      </c>
      <c r="J121" s="68">
        <f>SUM(J118:J120)</f>
        <v>424393</v>
      </c>
      <c r="K121" s="68"/>
    </row>
    <row r="122" spans="2:11">
      <c r="B122" s="66" t="s">
        <v>214</v>
      </c>
      <c r="C122" s="66"/>
      <c r="D122" s="66"/>
      <c r="E122" s="64">
        <f>F122+G122</f>
        <v>442422</v>
      </c>
      <c r="F122" s="64">
        <v>285760</v>
      </c>
      <c r="G122" s="64">
        <v>156662</v>
      </c>
      <c r="I122" s="64">
        <f>J122+K122</f>
        <v>176294</v>
      </c>
      <c r="J122" s="64">
        <v>176294</v>
      </c>
      <c r="K122" s="64"/>
    </row>
    <row r="123" spans="2:11">
      <c r="B123" s="66" t="s">
        <v>215</v>
      </c>
      <c r="C123" s="66"/>
      <c r="D123" s="66"/>
      <c r="E123" s="64">
        <f>F123+G123</f>
        <v>893140</v>
      </c>
      <c r="F123" s="64">
        <v>552007</v>
      </c>
      <c r="G123" s="64">
        <v>341133</v>
      </c>
      <c r="I123" s="64">
        <f>J123+K123</f>
        <v>364352</v>
      </c>
      <c r="J123" s="64">
        <v>364352</v>
      </c>
      <c r="K123" s="64"/>
    </row>
    <row r="124" spans="2:11">
      <c r="B124" s="66" t="s">
        <v>216</v>
      </c>
      <c r="C124" s="66"/>
      <c r="D124" s="66"/>
      <c r="E124" s="68">
        <f>F124+G124</f>
        <v>137854</v>
      </c>
      <c r="F124" s="68">
        <v>88036</v>
      </c>
      <c r="G124" s="68">
        <v>49818</v>
      </c>
      <c r="I124" s="68">
        <f>J124+K124</f>
        <v>54525</v>
      </c>
      <c r="J124" s="68">
        <v>54525</v>
      </c>
      <c r="K124" s="68"/>
    </row>
    <row r="125" spans="2:11">
      <c r="B125" s="66"/>
      <c r="C125" s="66" t="s">
        <v>217</v>
      </c>
      <c r="D125" s="66"/>
      <c r="E125" s="68">
        <f>E116+SUM(E121:E124)</f>
        <v>2523695</v>
      </c>
      <c r="F125" s="68">
        <f>F116+SUM(F121:F124)</f>
        <v>1604319</v>
      </c>
      <c r="G125" s="68">
        <f>G116+SUM(G121:G124)</f>
        <v>919376</v>
      </c>
      <c r="I125" s="68">
        <f>I116+SUM(I121:I124)</f>
        <v>1032269</v>
      </c>
      <c r="J125" s="68">
        <f>J116+SUM(J121:J124)</f>
        <v>1032269</v>
      </c>
      <c r="K125" s="68"/>
    </row>
    <row r="126" spans="2:11">
      <c r="B126" s="66"/>
      <c r="C126" s="66"/>
      <c r="D126" s="66"/>
      <c r="E126" s="64"/>
      <c r="F126" s="64"/>
      <c r="G126" s="64"/>
      <c r="I126" s="64"/>
      <c r="J126" s="64"/>
      <c r="K126" s="64"/>
    </row>
    <row r="127" spans="2:11">
      <c r="B127" s="66" t="s">
        <v>121</v>
      </c>
      <c r="C127" s="66"/>
      <c r="D127" s="66"/>
      <c r="E127" s="64">
        <f>F127+G127</f>
        <v>854139</v>
      </c>
      <c r="F127" s="64">
        <v>543584</v>
      </c>
      <c r="G127" s="64">
        <v>310555</v>
      </c>
      <c r="I127" s="64">
        <f>J127+K127</f>
        <v>304658</v>
      </c>
      <c r="J127" s="64">
        <v>304658</v>
      </c>
      <c r="K127" s="64"/>
    </row>
    <row r="128" spans="2:11">
      <c r="B128" s="66" t="s">
        <v>218</v>
      </c>
      <c r="C128" s="66"/>
      <c r="D128" s="66"/>
      <c r="E128" s="64">
        <f>F128+G128</f>
        <v>10571</v>
      </c>
      <c r="F128" s="64">
        <v>6907</v>
      </c>
      <c r="G128" s="64">
        <v>3664</v>
      </c>
      <c r="I128" s="64">
        <f>J128+K128</f>
        <v>1694</v>
      </c>
      <c r="J128" s="64">
        <v>1694</v>
      </c>
      <c r="K128" s="64"/>
    </row>
    <row r="129" spans="2:11">
      <c r="B129" s="66"/>
      <c r="C129" s="66"/>
      <c r="D129" s="66"/>
      <c r="E129" s="68"/>
      <c r="F129" s="68"/>
      <c r="G129" s="68"/>
      <c r="I129" s="68"/>
      <c r="J129" s="68"/>
      <c r="K129" s="68"/>
    </row>
    <row r="130" spans="2:11">
      <c r="B130" s="66" t="s">
        <v>219</v>
      </c>
      <c r="C130" s="66"/>
      <c r="D130" s="66"/>
      <c r="E130" s="72">
        <f>E125-E127-E128</f>
        <v>1658985</v>
      </c>
      <c r="F130" s="246">
        <f>F125-F127-F128</f>
        <v>1053828</v>
      </c>
      <c r="G130" s="246">
        <f>G125-G127-G128</f>
        <v>605157</v>
      </c>
      <c r="I130" s="72">
        <f>I125-I127-I128</f>
        <v>725917</v>
      </c>
      <c r="J130" s="246">
        <f>J125-J127-J128</f>
        <v>725917</v>
      </c>
      <c r="K130" s="246"/>
    </row>
    <row r="131" spans="2:11">
      <c r="B131" s="66"/>
      <c r="C131" s="66"/>
      <c r="D131" s="66"/>
      <c r="E131" s="69"/>
      <c r="F131" s="73" t="str">
        <f>IF(F130=F67,"O.K.","Error")</f>
        <v>O.K.</v>
      </c>
      <c r="G131" s="73" t="str">
        <f>IF(G130=G67,"O.K.","Error")</f>
        <v>O.K.</v>
      </c>
      <c r="I131" s="69"/>
      <c r="J131" s="73" t="str">
        <f>IF(J130=J67,"O.K.","Error")</f>
        <v>Error</v>
      </c>
      <c r="K131" s="73"/>
    </row>
  </sheetData>
  <customSheetViews>
    <customSheetView guid="{A15D1962-B049-11D2-8670-0000832CEEE8}" scale="75" showPageBreaks="1" showRuler="0">
      <pageMargins left="1" right="1" top="0.5" bottom="0.5" header="0.5" footer="0.5"/>
      <printOptions horizontalCentered="1"/>
      <pageSetup scale="89" orientation="portrait" horizontalDpi="300" verticalDpi="300" r:id="rId1"/>
      <headerFooter alignWithMargins="0"/>
    </customSheetView>
    <customSheetView guid="{6E1B8C45-B07F-11D2-B0DC-0000832CDFF0}" scale="75" showPageBreaks="1" printArea="1" showRuler="0">
      <pageMargins left="1" right="1" top="0.5" bottom="0.5" header="0.5" footer="0.5"/>
      <printOptions horizontalCentered="1"/>
      <pageSetup scale="90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1" top="0.5" bottom="0.5" header="0.5" footer="0.5"/>
  <pageSetup scale="90" orientation="portrait" horizontalDpi="300" verticalDpi="300" r:id="rId3"/>
  <headerFooter alignWithMargins="0"/>
  <legacyDrawing r:id="rId4"/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59"/>
  <dimension ref="A1:H110"/>
  <sheetViews>
    <sheetView topLeftCell="A11" workbookViewId="0">
      <selection activeCell="G17" sqref="G17"/>
    </sheetView>
  </sheetViews>
  <sheetFormatPr defaultColWidth="12.42578125" defaultRowHeight="12"/>
  <cols>
    <col min="1" max="1" width="5.5703125" style="424" customWidth="1"/>
    <col min="2" max="2" width="26.140625" style="421" customWidth="1"/>
    <col min="3" max="3" width="12.42578125" style="421" customWidth="1"/>
    <col min="4" max="4" width="6.7109375" style="421" customWidth="1"/>
    <col min="5" max="16384" width="12.42578125" style="421"/>
  </cols>
  <sheetData>
    <row r="1" spans="1:8">
      <c r="A1" s="419" t="str">
        <f>Inputs!$D$6</f>
        <v>AVISTA UTILITIES</v>
      </c>
      <c r="B1" s="420"/>
      <c r="C1" s="419"/>
      <c r="E1" s="79" t="s">
        <v>299</v>
      </c>
      <c r="F1" s="79"/>
      <c r="G1" s="419"/>
    </row>
    <row r="2" spans="1:8">
      <c r="A2" s="419" t="s">
        <v>142</v>
      </c>
      <c r="B2" s="420"/>
      <c r="C2" s="419"/>
      <c r="E2" s="419" t="s">
        <v>241</v>
      </c>
      <c r="F2" s="419"/>
      <c r="G2" s="419"/>
    </row>
    <row r="3" spans="1:8">
      <c r="A3" s="420" t="str">
        <f>WAElec09_08!$A$4</f>
        <v>TWELVE MONTHS ENDED SEPTEMBER 30, 2008</v>
      </c>
      <c r="B3" s="420"/>
      <c r="C3" s="419"/>
      <c r="E3" s="419" t="s">
        <v>242</v>
      </c>
      <c r="F3" s="419"/>
      <c r="G3" s="419"/>
    </row>
    <row r="4" spans="1:8">
      <c r="A4" s="419" t="s">
        <v>1</v>
      </c>
      <c r="B4" s="420"/>
      <c r="C4" s="419"/>
      <c r="E4" s="422" t="s">
        <v>145</v>
      </c>
      <c r="F4" s="422"/>
      <c r="G4" s="423"/>
    </row>
    <row r="5" spans="1:8">
      <c r="A5" s="424" t="s">
        <v>14</v>
      </c>
    </row>
    <row r="6" spans="1:8" s="424" customFormat="1">
      <c r="A6" s="424" t="s">
        <v>146</v>
      </c>
      <c r="B6" s="425" t="s">
        <v>36</v>
      </c>
      <c r="C6" s="425"/>
      <c r="E6" s="425" t="s">
        <v>147</v>
      </c>
      <c r="F6" s="425" t="s">
        <v>148</v>
      </c>
      <c r="G6" s="425" t="s">
        <v>128</v>
      </c>
      <c r="H6" s="426" t="s">
        <v>149</v>
      </c>
    </row>
    <row r="7" spans="1:8">
      <c r="B7" s="427" t="s">
        <v>85</v>
      </c>
    </row>
    <row r="8" spans="1:8" s="430" customFormat="1">
      <c r="A8" s="428">
        <v>1</v>
      </c>
      <c r="B8" s="429" t="s">
        <v>86</v>
      </c>
      <c r="E8" s="431">
        <f>F8+G8</f>
        <v>0</v>
      </c>
      <c r="F8" s="431"/>
      <c r="G8" s="431"/>
      <c r="H8" s="430" t="str">
        <f t="shared" ref="H8:H13" si="0">IF(E8=F8+G8," ","ERROR")</f>
        <v xml:space="preserve"> </v>
      </c>
    </row>
    <row r="9" spans="1:8">
      <c r="A9" s="424">
        <v>2</v>
      </c>
      <c r="B9" s="427" t="s">
        <v>87</v>
      </c>
      <c r="E9" s="432"/>
      <c r="F9" s="432"/>
      <c r="G9" s="432"/>
      <c r="H9" s="430" t="str">
        <f t="shared" si="0"/>
        <v xml:space="preserve"> </v>
      </c>
    </row>
    <row r="10" spans="1:8">
      <c r="A10" s="424">
        <v>3</v>
      </c>
      <c r="B10" s="427" t="s">
        <v>150</v>
      </c>
      <c r="E10" s="432">
        <f>SUM(F10:G10)</f>
        <v>-20920</v>
      </c>
      <c r="F10" s="432"/>
      <c r="G10" s="432">
        <v>-20920</v>
      </c>
      <c r="H10" s="430" t="str">
        <f t="shared" si="0"/>
        <v xml:space="preserve"> </v>
      </c>
    </row>
    <row r="11" spans="1:8">
      <c r="A11" s="424">
        <v>4</v>
      </c>
      <c r="B11" s="427" t="s">
        <v>151</v>
      </c>
      <c r="E11" s="433">
        <f>E8+E9+E10</f>
        <v>-20920</v>
      </c>
      <c r="F11" s="433">
        <f>F8+F9+F10</f>
        <v>0</v>
      </c>
      <c r="G11" s="433">
        <f>G8+G9+G10</f>
        <v>-20920</v>
      </c>
      <c r="H11" s="430" t="str">
        <f t="shared" si="0"/>
        <v xml:space="preserve"> </v>
      </c>
    </row>
    <row r="12" spans="1:8">
      <c r="A12" s="424">
        <v>5</v>
      </c>
      <c r="B12" s="427" t="s">
        <v>90</v>
      </c>
      <c r="E12" s="432">
        <f>SUM(F12:G12)</f>
        <v>-4624</v>
      </c>
      <c r="F12" s="432"/>
      <c r="G12" s="432">
        <f>-7+1-4618</f>
        <v>-4624</v>
      </c>
      <c r="H12" s="430" t="str">
        <f t="shared" si="0"/>
        <v xml:space="preserve"> </v>
      </c>
    </row>
    <row r="13" spans="1:8">
      <c r="A13" s="424">
        <v>6</v>
      </c>
      <c r="B13" s="427" t="s">
        <v>152</v>
      </c>
      <c r="E13" s="433">
        <f>E11+E12</f>
        <v>-25544</v>
      </c>
      <c r="F13" s="433">
        <f>F11+F12</f>
        <v>0</v>
      </c>
      <c r="G13" s="433">
        <f>G11+G12</f>
        <v>-25544</v>
      </c>
      <c r="H13" s="430" t="str">
        <f t="shared" si="0"/>
        <v xml:space="preserve"> </v>
      </c>
    </row>
    <row r="14" spans="1:8">
      <c r="E14" s="434"/>
      <c r="F14" s="434"/>
      <c r="G14" s="434"/>
      <c r="H14" s="430"/>
    </row>
    <row r="15" spans="1:8">
      <c r="B15" s="427" t="s">
        <v>92</v>
      </c>
      <c r="E15" s="434"/>
      <c r="F15" s="434"/>
      <c r="G15" s="434"/>
      <c r="H15" s="430"/>
    </row>
    <row r="16" spans="1:8">
      <c r="B16" s="427" t="s">
        <v>93</v>
      </c>
      <c r="E16" s="434"/>
      <c r="F16" s="434"/>
      <c r="G16" s="434"/>
      <c r="H16" s="430"/>
    </row>
    <row r="17" spans="1:8">
      <c r="A17" s="424">
        <v>7</v>
      </c>
      <c r="B17" s="427" t="s">
        <v>153</v>
      </c>
      <c r="E17" s="432">
        <f>SUM(F17:G17)</f>
        <v>-10719</v>
      </c>
      <c r="F17" s="432"/>
      <c r="G17" s="432">
        <f>2210-7243+3+2-5860+169</f>
        <v>-10719</v>
      </c>
      <c r="H17" s="430" t="str">
        <f>IF(E17=F17+G17," ","ERROR")</f>
        <v xml:space="preserve"> </v>
      </c>
    </row>
    <row r="18" spans="1:8">
      <c r="A18" s="424">
        <v>8</v>
      </c>
      <c r="B18" s="427" t="s">
        <v>154</v>
      </c>
      <c r="E18" s="432">
        <f>SUM(F18:G18)</f>
        <v>-14480</v>
      </c>
      <c r="F18" s="432"/>
      <c r="G18" s="432">
        <f>-14480</f>
        <v>-14480</v>
      </c>
      <c r="H18" s="430" t="str">
        <f>IF(E18=F18+G18," ","ERROR")</f>
        <v xml:space="preserve"> </v>
      </c>
    </row>
    <row r="19" spans="1:8">
      <c r="A19" s="424">
        <v>9</v>
      </c>
      <c r="B19" s="427" t="s">
        <v>155</v>
      </c>
      <c r="E19" s="432"/>
      <c r="F19" s="432"/>
      <c r="G19" s="432"/>
      <c r="H19" s="430" t="str">
        <f>IF(E19=F19+G19," ","ERROR")</f>
        <v xml:space="preserve"> </v>
      </c>
    </row>
    <row r="20" spans="1:8">
      <c r="A20" s="424">
        <v>10</v>
      </c>
      <c r="B20" s="427" t="s">
        <v>156</v>
      </c>
      <c r="E20" s="432"/>
      <c r="F20" s="432"/>
      <c r="G20" s="432"/>
      <c r="H20" s="430" t="str">
        <f>IF(E20=F20+G20," ","ERROR")</f>
        <v xml:space="preserve"> </v>
      </c>
    </row>
    <row r="21" spans="1:8">
      <c r="A21" s="424">
        <v>11</v>
      </c>
      <c r="B21" s="427" t="s">
        <v>157</v>
      </c>
      <c r="E21" s="433">
        <f>E17+E18+E19+E20</f>
        <v>-25199</v>
      </c>
      <c r="F21" s="433">
        <f>F17+F18+F19+F20</f>
        <v>0</v>
      </c>
      <c r="G21" s="433">
        <f>G17+G18+G19+G20</f>
        <v>-25199</v>
      </c>
      <c r="H21" s="430" t="str">
        <f>IF(E21=F21+G21," ","ERROR")</f>
        <v xml:space="preserve"> </v>
      </c>
    </row>
    <row r="22" spans="1:8">
      <c r="E22" s="434"/>
      <c r="F22" s="434"/>
      <c r="G22" s="434"/>
      <c r="H22" s="430"/>
    </row>
    <row r="23" spans="1:8">
      <c r="B23" s="427" t="s">
        <v>98</v>
      </c>
      <c r="E23" s="434"/>
      <c r="F23" s="434"/>
      <c r="G23" s="434"/>
      <c r="H23" s="430"/>
    </row>
    <row r="24" spans="1:8">
      <c r="A24" s="424">
        <v>12</v>
      </c>
      <c r="B24" s="427" t="s">
        <v>153</v>
      </c>
      <c r="E24" s="432"/>
      <c r="F24" s="432"/>
      <c r="G24" s="432"/>
      <c r="H24" s="430" t="str">
        <f>IF(E24=F24+G24," ","ERROR")</f>
        <v xml:space="preserve"> </v>
      </c>
    </row>
    <row r="25" spans="1:8">
      <c r="A25" s="424">
        <v>13</v>
      </c>
      <c r="B25" s="427" t="s">
        <v>158</v>
      </c>
      <c r="E25" s="432"/>
      <c r="F25" s="432"/>
      <c r="G25" s="432"/>
      <c r="H25" s="430" t="str">
        <f>IF(E25=F25+G25," ","ERROR")</f>
        <v xml:space="preserve"> </v>
      </c>
    </row>
    <row r="26" spans="1:8">
      <c r="A26" s="424">
        <v>14</v>
      </c>
      <c r="B26" s="427" t="s">
        <v>156</v>
      </c>
      <c r="E26" s="432">
        <f>F26+G26</f>
        <v>-4</v>
      </c>
      <c r="F26" s="432"/>
      <c r="G26" s="916">
        <f>F109</f>
        <v>-4</v>
      </c>
      <c r="H26" s="430" t="str">
        <f>IF(E26=F26+G26," ","ERROR")</f>
        <v xml:space="preserve"> </v>
      </c>
    </row>
    <row r="27" spans="1:8">
      <c r="A27" s="424">
        <v>15</v>
      </c>
      <c r="B27" s="427" t="s">
        <v>159</v>
      </c>
      <c r="E27" s="433">
        <f>E24+E25+E26</f>
        <v>-4</v>
      </c>
      <c r="F27" s="433">
        <f>F24+F25+F26</f>
        <v>0</v>
      </c>
      <c r="G27" s="433">
        <f>G24+G25+G26</f>
        <v>-4</v>
      </c>
      <c r="H27" s="430" t="str">
        <f>IF(E27=F27+G27," ","ERROR")</f>
        <v xml:space="preserve"> </v>
      </c>
    </row>
    <row r="28" spans="1:8">
      <c r="E28" s="434"/>
      <c r="F28" s="434"/>
      <c r="G28" s="434"/>
      <c r="H28" s="430"/>
    </row>
    <row r="29" spans="1:8">
      <c r="A29" s="424">
        <v>16</v>
      </c>
      <c r="B29" s="427" t="s">
        <v>101</v>
      </c>
      <c r="E29" s="432"/>
      <c r="F29" s="432"/>
      <c r="G29" s="432"/>
      <c r="H29" s="430" t="str">
        <f>IF(E29=F29+G29," ","ERROR")</f>
        <v xml:space="preserve"> </v>
      </c>
    </row>
    <row r="30" spans="1:8">
      <c r="A30" s="424">
        <v>17</v>
      </c>
      <c r="B30" s="427" t="s">
        <v>102</v>
      </c>
      <c r="E30" s="432"/>
      <c r="F30" s="432"/>
      <c r="G30" s="432"/>
      <c r="H30" s="430" t="str">
        <f>IF(E30=F30+G30," ","ERROR")</f>
        <v xml:space="preserve"> </v>
      </c>
    </row>
    <row r="31" spans="1:8">
      <c r="A31" s="424">
        <v>18</v>
      </c>
      <c r="B31" s="427" t="s">
        <v>160</v>
      </c>
      <c r="E31" s="432"/>
      <c r="F31" s="432"/>
      <c r="G31" s="432"/>
      <c r="H31" s="430" t="str">
        <f>IF(E31=F31+G31," ","ERROR")</f>
        <v xml:space="preserve"> </v>
      </c>
    </row>
    <row r="32" spans="1:8">
      <c r="E32" s="434"/>
      <c r="F32" s="434"/>
      <c r="G32" s="434"/>
      <c r="H32" s="430"/>
    </row>
    <row r="33" spans="1:8">
      <c r="B33" s="427" t="s">
        <v>104</v>
      </c>
      <c r="E33" s="434"/>
      <c r="F33" s="434"/>
      <c r="G33" s="434"/>
      <c r="H33" s="841"/>
    </row>
    <row r="34" spans="1:8">
      <c r="A34" s="424">
        <v>19</v>
      </c>
      <c r="B34" s="427" t="s">
        <v>153</v>
      </c>
      <c r="E34" s="432">
        <f>F34+G34</f>
        <v>0</v>
      </c>
      <c r="F34" s="432"/>
      <c r="G34" s="432">
        <v>0</v>
      </c>
      <c r="H34" s="430" t="str">
        <f>IF(E34=F34+G34," ","ERROR")</f>
        <v xml:space="preserve"> </v>
      </c>
    </row>
    <row r="35" spans="1:8">
      <c r="A35" s="424">
        <v>20</v>
      </c>
      <c r="B35" s="427" t="s">
        <v>158</v>
      </c>
      <c r="E35" s="432"/>
      <c r="F35" s="432"/>
      <c r="G35" s="432"/>
      <c r="H35" s="430" t="str">
        <f>IF(E35=F35+G35," ","ERROR")</f>
        <v xml:space="preserve"> </v>
      </c>
    </row>
    <row r="36" spans="1:8">
      <c r="A36" s="424">
        <v>21</v>
      </c>
      <c r="B36" s="427" t="s">
        <v>156</v>
      </c>
      <c r="E36" s="432"/>
      <c r="F36" s="432"/>
      <c r="G36" s="432"/>
      <c r="H36" s="430" t="str">
        <f>IF(E36=F36+G36," ","ERROR")</f>
        <v xml:space="preserve"> </v>
      </c>
    </row>
    <row r="37" spans="1:8">
      <c r="A37" s="424">
        <v>22</v>
      </c>
      <c r="B37" s="427" t="s">
        <v>161</v>
      </c>
      <c r="E37" s="435">
        <f>E34+E35+E36</f>
        <v>0</v>
      </c>
      <c r="F37" s="435">
        <f>F34+F35+F36</f>
        <v>0</v>
      </c>
      <c r="G37" s="435">
        <f>G34+G35+G36</f>
        <v>0</v>
      </c>
      <c r="H37" s="430" t="str">
        <f>IF(E37=F37+G37," ","ERROR")</f>
        <v xml:space="preserve"> </v>
      </c>
    </row>
    <row r="38" spans="1:8">
      <c r="A38" s="424">
        <v>23</v>
      </c>
      <c r="B38" s="427" t="s">
        <v>106</v>
      </c>
      <c r="E38" s="436">
        <f>E21+E27+E29+E30+E31+E37</f>
        <v>-25203</v>
      </c>
      <c r="F38" s="436">
        <f>F21+F27+F29+F30+F31+F37</f>
        <v>0</v>
      </c>
      <c r="G38" s="436">
        <f>G21+G27+G29+G30+G31+G37</f>
        <v>-25203</v>
      </c>
      <c r="H38" s="430" t="str">
        <f>IF(E38=F38+G38," ","ERROR")</f>
        <v xml:space="preserve"> </v>
      </c>
    </row>
    <row r="39" spans="1:8">
      <c r="E39" s="434"/>
      <c r="F39" s="434"/>
      <c r="G39" s="434"/>
      <c r="H39" s="430"/>
    </row>
    <row r="40" spans="1:8">
      <c r="A40" s="424">
        <v>24</v>
      </c>
      <c r="B40" s="427" t="s">
        <v>162</v>
      </c>
      <c r="E40" s="434">
        <f>E13-E38</f>
        <v>-341</v>
      </c>
      <c r="F40" s="434">
        <f>F13-F38</f>
        <v>0</v>
      </c>
      <c r="G40" s="434">
        <f>G13-G38</f>
        <v>-341</v>
      </c>
      <c r="H40" s="430" t="str">
        <f>IF(E40=F40+G40," ","ERROR")</f>
        <v xml:space="preserve"> </v>
      </c>
    </row>
    <row r="41" spans="1:8">
      <c r="B41" s="427"/>
      <c r="E41" s="434"/>
      <c r="F41" s="434"/>
      <c r="G41" s="434"/>
      <c r="H41" s="430"/>
    </row>
    <row r="42" spans="1:8">
      <c r="B42" s="427" t="s">
        <v>163</v>
      </c>
      <c r="E42" s="434"/>
      <c r="F42" s="434"/>
      <c r="G42" s="434"/>
      <c r="H42" s="430"/>
    </row>
    <row r="43" spans="1:8">
      <c r="A43" s="424">
        <v>25</v>
      </c>
      <c r="B43" s="427" t="s">
        <v>164</v>
      </c>
      <c r="D43" s="437">
        <v>0.35</v>
      </c>
      <c r="E43" s="432">
        <f>F43+G43</f>
        <v>-119</v>
      </c>
      <c r="F43" s="432">
        <f>ROUND(F40*$D$43,0)</f>
        <v>0</v>
      </c>
      <c r="G43" s="432">
        <f>ROUND(G40*$D$43,0)</f>
        <v>-119</v>
      </c>
      <c r="H43" s="430" t="str">
        <f>IF(E43=F43+G43," ","ERROR")</f>
        <v xml:space="preserve"> </v>
      </c>
    </row>
    <row r="44" spans="1:8">
      <c r="A44" s="424">
        <v>26</v>
      </c>
      <c r="B44" s="427" t="s">
        <v>165</v>
      </c>
      <c r="E44" s="432"/>
      <c r="F44" s="432"/>
      <c r="G44" s="432"/>
      <c r="H44" s="430" t="str">
        <f>IF(E44=F44+G44," ","ERROR")</f>
        <v xml:space="preserve"> </v>
      </c>
    </row>
    <row r="45" spans="1:8" ht="12.75">
      <c r="A45"/>
      <c r="B45"/>
      <c r="C45"/>
      <c r="D45"/>
      <c r="E45" s="913"/>
      <c r="F45" s="913"/>
      <c r="G45" s="913"/>
      <c r="H45" s="430" t="str">
        <f>IF(E45=F45+G45," ","ERROR")</f>
        <v xml:space="preserve"> </v>
      </c>
    </row>
    <row r="46" spans="1:8">
      <c r="A46" s="259"/>
      <c r="B46" s="262"/>
      <c r="C46" s="256"/>
      <c r="D46" s="256"/>
      <c r="E46" s="269"/>
      <c r="F46" s="269"/>
      <c r="G46" s="269"/>
      <c r="H46" s="430"/>
    </row>
    <row r="47" spans="1:8" s="430" customFormat="1">
      <c r="A47" s="263">
        <v>27</v>
      </c>
      <c r="B47" s="264" t="s">
        <v>113</v>
      </c>
      <c r="C47" s="265"/>
      <c r="D47" s="265"/>
      <c r="E47" s="273">
        <f>E40-SUM(E43:E44)</f>
        <v>-222</v>
      </c>
      <c r="F47" s="273">
        <f>F40-SUM(F43:F44)</f>
        <v>0</v>
      </c>
      <c r="G47" s="273">
        <f>G40-SUM(G43:G44)</f>
        <v>-222</v>
      </c>
      <c r="H47" s="430" t="str">
        <f>IF(E47=F47+G47," ","ERROR")</f>
        <v xml:space="preserve"> </v>
      </c>
    </row>
    <row r="48" spans="1:8">
      <c r="A48" s="259"/>
      <c r="H48" s="430"/>
    </row>
    <row r="49" spans="1:8">
      <c r="A49" s="259"/>
      <c r="B49" s="427" t="s">
        <v>114</v>
      </c>
      <c r="H49" s="430"/>
    </row>
    <row r="50" spans="1:8">
      <c r="A50" s="259"/>
      <c r="B50" s="427" t="s">
        <v>115</v>
      </c>
      <c r="H50" s="430"/>
    </row>
    <row r="51" spans="1:8" s="430" customFormat="1">
      <c r="A51" s="263">
        <v>28</v>
      </c>
      <c r="B51" s="429" t="s">
        <v>167</v>
      </c>
      <c r="E51" s="431"/>
      <c r="F51" s="431"/>
      <c r="G51" s="431"/>
      <c r="H51" s="430" t="str">
        <f t="shared" ref="H51:H61" si="1">IF(E51=F51+G51," ","ERROR")</f>
        <v xml:space="preserve"> </v>
      </c>
    </row>
    <row r="52" spans="1:8">
      <c r="A52" s="259">
        <v>29</v>
      </c>
      <c r="B52" s="427" t="s">
        <v>168</v>
      </c>
      <c r="E52" s="432"/>
      <c r="F52" s="432"/>
      <c r="G52" s="432"/>
      <c r="H52" s="430" t="str">
        <f t="shared" si="1"/>
        <v xml:space="preserve"> </v>
      </c>
    </row>
    <row r="53" spans="1:8">
      <c r="A53" s="259">
        <v>30</v>
      </c>
      <c r="B53" s="427" t="s">
        <v>169</v>
      </c>
      <c r="E53" s="432"/>
      <c r="F53" s="432"/>
      <c r="G53" s="432"/>
      <c r="H53" s="430" t="str">
        <f t="shared" si="1"/>
        <v xml:space="preserve"> </v>
      </c>
    </row>
    <row r="54" spans="1:8">
      <c r="A54" s="259">
        <v>31</v>
      </c>
      <c r="B54" s="427" t="s">
        <v>170</v>
      </c>
      <c r="E54" s="432"/>
      <c r="F54" s="432"/>
      <c r="G54" s="432"/>
      <c r="H54" s="430" t="str">
        <f t="shared" si="1"/>
        <v xml:space="preserve"> </v>
      </c>
    </row>
    <row r="55" spans="1:8">
      <c r="A55" s="259">
        <v>32</v>
      </c>
      <c r="B55" s="427" t="s">
        <v>171</v>
      </c>
      <c r="E55" s="438"/>
      <c r="F55" s="438"/>
      <c r="G55" s="438"/>
      <c r="H55" s="430" t="str">
        <f t="shared" si="1"/>
        <v xml:space="preserve"> </v>
      </c>
    </row>
    <row r="56" spans="1:8">
      <c r="A56" s="259">
        <v>33</v>
      </c>
      <c r="B56" s="427" t="s">
        <v>172</v>
      </c>
      <c r="E56" s="434">
        <f>E51+E52+E53+E54+E55</f>
        <v>0</v>
      </c>
      <c r="F56" s="434">
        <f>F51+F52+F53+F54+F55</f>
        <v>0</v>
      </c>
      <c r="G56" s="434">
        <f>G51+G52+G53+G54+G55</f>
        <v>0</v>
      </c>
      <c r="H56" s="430" t="str">
        <f t="shared" si="1"/>
        <v xml:space="preserve"> </v>
      </c>
    </row>
    <row r="57" spans="1:8">
      <c r="A57" s="259">
        <v>34</v>
      </c>
      <c r="B57" s="427" t="s">
        <v>121</v>
      </c>
      <c r="E57" s="432"/>
      <c r="F57" s="432"/>
      <c r="G57" s="432"/>
      <c r="H57" s="430" t="str">
        <f t="shared" si="1"/>
        <v xml:space="preserve"> </v>
      </c>
    </row>
    <row r="58" spans="1:8">
      <c r="A58" s="259">
        <v>35</v>
      </c>
      <c r="B58" s="427" t="s">
        <v>122</v>
      </c>
      <c r="E58" s="438"/>
      <c r="F58" s="438"/>
      <c r="G58" s="438"/>
      <c r="H58" s="430" t="str">
        <f t="shared" si="1"/>
        <v xml:space="preserve"> </v>
      </c>
    </row>
    <row r="59" spans="1:8">
      <c r="A59" s="259">
        <v>36</v>
      </c>
      <c r="B59" s="427" t="s">
        <v>173</v>
      </c>
      <c r="E59" s="434">
        <f>E57+E58</f>
        <v>0</v>
      </c>
      <c r="F59" s="434">
        <f>F57+F58</f>
        <v>0</v>
      </c>
      <c r="G59" s="434">
        <f>G57+G58</f>
        <v>0</v>
      </c>
      <c r="H59" s="430" t="str">
        <f t="shared" si="1"/>
        <v xml:space="preserve"> </v>
      </c>
    </row>
    <row r="60" spans="1:8">
      <c r="A60" s="259">
        <v>37</v>
      </c>
      <c r="B60" s="427" t="s">
        <v>124</v>
      </c>
      <c r="E60" s="432"/>
      <c r="F60" s="432"/>
      <c r="G60" s="432"/>
      <c r="H60" s="430" t="str">
        <f t="shared" si="1"/>
        <v xml:space="preserve"> </v>
      </c>
    </row>
    <row r="61" spans="1:8">
      <c r="A61" s="259">
        <v>38</v>
      </c>
      <c r="B61" s="427" t="s">
        <v>125</v>
      </c>
      <c r="E61" s="438"/>
      <c r="F61" s="438"/>
      <c r="G61" s="438"/>
      <c r="H61" s="430" t="str">
        <f t="shared" si="1"/>
        <v xml:space="preserve"> </v>
      </c>
    </row>
    <row r="62" spans="1:8" ht="9" customHeight="1">
      <c r="A62" s="259"/>
      <c r="H62" s="430"/>
    </row>
    <row r="63" spans="1:8" s="430" customFormat="1" ht="12.75" thickBot="1">
      <c r="A63" s="263">
        <v>39</v>
      </c>
      <c r="B63" s="429" t="s">
        <v>126</v>
      </c>
      <c r="E63" s="439">
        <f>E56-E59+E60+E61</f>
        <v>0</v>
      </c>
      <c r="F63" s="439">
        <f>F56-F59+F60+F61</f>
        <v>0</v>
      </c>
      <c r="G63" s="439">
        <f>G56-G59+G60+G61</f>
        <v>0</v>
      </c>
      <c r="H63" s="430" t="str">
        <f>IF(E63=F63+G63," ","ERROR")</f>
        <v xml:space="preserve"> </v>
      </c>
    </row>
    <row r="64" spans="1:8" ht="12.75" thickTop="1"/>
    <row r="65" spans="1:8">
      <c r="A65" s="420" t="str">
        <f>Inputs!$D$6</f>
        <v>AVISTA UTILITIES</v>
      </c>
      <c r="B65" s="420"/>
      <c r="C65" s="420"/>
      <c r="D65" s="440"/>
      <c r="E65" s="441"/>
      <c r="F65" s="440"/>
      <c r="G65" s="442"/>
      <c r="H65" s="441"/>
    </row>
    <row r="66" spans="1:8">
      <c r="A66" s="420" t="s">
        <v>225</v>
      </c>
      <c r="B66" s="420"/>
      <c r="C66" s="420"/>
      <c r="D66" s="440"/>
      <c r="E66" s="79"/>
      <c r="F66" s="443" t="str">
        <f>E1</f>
        <v>PRO FORMA</v>
      </c>
      <c r="G66" s="442"/>
      <c r="H66" s="441"/>
    </row>
    <row r="67" spans="1:8">
      <c r="A67" s="420" t="str">
        <f>A3</f>
        <v>TWELVE MONTHS ENDED SEPTEMBER 30, 2008</v>
      </c>
      <c r="B67" s="420"/>
      <c r="C67" s="420"/>
      <c r="D67" s="440"/>
      <c r="E67" s="441"/>
      <c r="F67" s="443" t="str">
        <f>E2</f>
        <v>POWER SUPPLY</v>
      </c>
      <c r="G67" s="440"/>
      <c r="H67" s="441"/>
    </row>
    <row r="68" spans="1:8">
      <c r="A68" s="420" t="s">
        <v>226</v>
      </c>
      <c r="B68" s="420"/>
      <c r="C68" s="420"/>
      <c r="D68" s="440"/>
      <c r="E68" s="441"/>
      <c r="F68" s="443" t="str">
        <f>E3</f>
        <v>ADJUSTMENT</v>
      </c>
      <c r="G68" s="440"/>
      <c r="H68" s="441"/>
    </row>
    <row r="69" spans="1:8">
      <c r="B69" s="440"/>
      <c r="C69" s="440"/>
      <c r="D69" s="440"/>
      <c r="E69" s="444"/>
      <c r="F69" s="445" t="str">
        <f>E4</f>
        <v>ELECTRIC</v>
      </c>
      <c r="G69" s="440"/>
      <c r="H69" s="446"/>
    </row>
    <row r="70" spans="1:8">
      <c r="B70" s="440"/>
      <c r="C70" s="440"/>
      <c r="D70" s="440"/>
      <c r="E70" s="441"/>
      <c r="F70" s="443"/>
      <c r="G70" s="447"/>
      <c r="H70" s="441"/>
    </row>
    <row r="71" spans="1:8">
      <c r="B71" s="448" t="s">
        <v>134</v>
      </c>
      <c r="C71" s="449"/>
      <c r="D71" s="440"/>
      <c r="E71" s="441"/>
      <c r="F71" s="445" t="s">
        <v>128</v>
      </c>
      <c r="G71" s="440"/>
      <c r="H71" s="441"/>
    </row>
    <row r="72" spans="1:8">
      <c r="B72" s="427" t="s">
        <v>85</v>
      </c>
      <c r="C72" s="440"/>
      <c r="D72" s="440"/>
      <c r="E72" s="440"/>
      <c r="F72" s="442"/>
      <c r="G72" s="440"/>
      <c r="H72" s="440"/>
    </row>
    <row r="73" spans="1:8">
      <c r="B73" s="429" t="s">
        <v>86</v>
      </c>
      <c r="C73" s="440"/>
      <c r="D73" s="440"/>
      <c r="E73" s="440"/>
      <c r="F73" s="450">
        <f>G8</f>
        <v>0</v>
      </c>
      <c r="G73" s="440"/>
      <c r="H73" s="440"/>
    </row>
    <row r="74" spans="1:8">
      <c r="B74" s="427" t="s">
        <v>87</v>
      </c>
      <c r="C74" s="440"/>
      <c r="D74" s="440"/>
      <c r="E74" s="440"/>
      <c r="F74" s="434">
        <f>G9</f>
        <v>0</v>
      </c>
      <c r="G74" s="440"/>
      <c r="H74" s="440"/>
    </row>
    <row r="75" spans="1:8">
      <c r="B75" s="427" t="s">
        <v>150</v>
      </c>
      <c r="C75" s="440"/>
      <c r="D75" s="440"/>
      <c r="E75" s="440"/>
      <c r="F75" s="436">
        <f>G10</f>
        <v>-20920</v>
      </c>
      <c r="G75" s="440"/>
      <c r="H75" s="440"/>
    </row>
    <row r="76" spans="1:8">
      <c r="B76" s="427" t="s">
        <v>151</v>
      </c>
      <c r="C76" s="440"/>
      <c r="D76" s="440"/>
      <c r="E76" s="440"/>
      <c r="F76" s="434">
        <f>SUM(F73:F75)</f>
        <v>-20920</v>
      </c>
      <c r="G76" s="440"/>
      <c r="H76" s="440"/>
    </row>
    <row r="77" spans="1:8">
      <c r="B77" s="427" t="s">
        <v>90</v>
      </c>
      <c r="C77" s="440"/>
      <c r="D77" s="440"/>
      <c r="E77" s="440"/>
      <c r="F77" s="436">
        <f>G12</f>
        <v>-4624</v>
      </c>
      <c r="G77" s="440"/>
      <c r="H77" s="440"/>
    </row>
    <row r="78" spans="1:8">
      <c r="B78" s="427" t="s">
        <v>152</v>
      </c>
      <c r="C78" s="440"/>
      <c r="D78" s="440"/>
      <c r="E78" s="440"/>
      <c r="F78" s="434">
        <f>F76+F77</f>
        <v>-25544</v>
      </c>
      <c r="G78" s="440"/>
      <c r="H78" s="440"/>
    </row>
    <row r="79" spans="1:8">
      <c r="C79" s="440"/>
      <c r="D79" s="440"/>
      <c r="E79" s="440"/>
      <c r="F79" s="434"/>
      <c r="G79" s="440"/>
      <c r="H79" s="440"/>
    </row>
    <row r="80" spans="1:8">
      <c r="B80" s="427" t="s">
        <v>92</v>
      </c>
      <c r="C80" s="440"/>
      <c r="D80" s="440"/>
      <c r="E80" s="440"/>
      <c r="F80" s="434"/>
      <c r="G80" s="440"/>
      <c r="H80" s="440"/>
    </row>
    <row r="81" spans="1:8">
      <c r="B81" s="427" t="s">
        <v>93</v>
      </c>
      <c r="C81" s="440"/>
      <c r="D81" s="440"/>
      <c r="E81" s="440"/>
      <c r="F81" s="434"/>
      <c r="G81" s="440"/>
      <c r="H81" s="440"/>
    </row>
    <row r="82" spans="1:8">
      <c r="B82" s="427" t="s">
        <v>153</v>
      </c>
      <c r="C82" s="440"/>
      <c r="D82" s="440"/>
      <c r="E82" s="440"/>
      <c r="F82" s="434">
        <f>G17</f>
        <v>-10719</v>
      </c>
      <c r="G82" s="440"/>
      <c r="H82" s="440"/>
    </row>
    <row r="83" spans="1:8">
      <c r="B83" s="427" t="s">
        <v>154</v>
      </c>
      <c r="C83" s="440"/>
      <c r="D83" s="440"/>
      <c r="E83" s="440"/>
      <c r="F83" s="434">
        <f>G18</f>
        <v>-14480</v>
      </c>
      <c r="G83" s="440"/>
      <c r="H83" s="440"/>
    </row>
    <row r="84" spans="1:8">
      <c r="B84" s="427" t="s">
        <v>155</v>
      </c>
      <c r="C84" s="440"/>
      <c r="D84" s="440"/>
      <c r="E84" s="440"/>
      <c r="F84" s="434">
        <f>G19</f>
        <v>0</v>
      </c>
      <c r="G84" s="440"/>
      <c r="H84" s="440"/>
    </row>
    <row r="85" spans="1:8">
      <c r="B85" s="427" t="s">
        <v>156</v>
      </c>
      <c r="C85" s="440"/>
      <c r="D85" s="440"/>
      <c r="E85" s="440"/>
      <c r="F85" s="436">
        <f>G20</f>
        <v>0</v>
      </c>
      <c r="G85" s="440"/>
      <c r="H85" s="440"/>
    </row>
    <row r="86" spans="1:8">
      <c r="B86" s="427" t="s">
        <v>157</v>
      </c>
      <c r="C86" s="440"/>
      <c r="D86" s="440"/>
      <c r="E86" s="440"/>
      <c r="F86" s="434">
        <f>SUM(F82:F85)</f>
        <v>-25199</v>
      </c>
      <c r="G86" s="440"/>
      <c r="H86" s="440"/>
    </row>
    <row r="87" spans="1:8">
      <c r="C87" s="440"/>
      <c r="D87" s="440"/>
      <c r="E87" s="440"/>
      <c r="F87" s="434"/>
      <c r="G87" s="440"/>
      <c r="H87" s="440"/>
    </row>
    <row r="88" spans="1:8">
      <c r="B88" s="427" t="s">
        <v>98</v>
      </c>
      <c r="C88" s="440"/>
      <c r="D88" s="440"/>
      <c r="E88" s="440"/>
      <c r="F88" s="434"/>
      <c r="G88" s="440"/>
      <c r="H88" s="440"/>
    </row>
    <row r="89" spans="1:8">
      <c r="B89" s="427" t="s">
        <v>153</v>
      </c>
      <c r="C89" s="440"/>
      <c r="D89" s="440"/>
      <c r="E89" s="440"/>
      <c r="F89" s="434">
        <f>G24</f>
        <v>0</v>
      </c>
      <c r="G89" s="440"/>
      <c r="H89" s="440"/>
    </row>
    <row r="90" spans="1:8">
      <c r="B90" s="427" t="s">
        <v>158</v>
      </c>
      <c r="C90" s="440"/>
      <c r="D90" s="440"/>
      <c r="E90" s="440"/>
      <c r="F90" s="434">
        <f>G25</f>
        <v>0</v>
      </c>
      <c r="G90" s="440"/>
      <c r="H90" s="440"/>
    </row>
    <row r="91" spans="1:8">
      <c r="A91" s="421"/>
      <c r="B91" s="427" t="s">
        <v>156</v>
      </c>
      <c r="C91" s="440"/>
      <c r="D91" s="440"/>
      <c r="E91" s="440"/>
      <c r="F91" s="434"/>
      <c r="G91" s="440"/>
      <c r="H91" s="440"/>
    </row>
    <row r="92" spans="1:8">
      <c r="A92" s="421"/>
      <c r="B92" s="427" t="s">
        <v>159</v>
      </c>
      <c r="C92" s="440"/>
      <c r="D92" s="440"/>
      <c r="E92" s="440"/>
      <c r="F92" s="433">
        <f>SUM(F89:F91)</f>
        <v>0</v>
      </c>
      <c r="G92" s="440"/>
      <c r="H92" s="440"/>
    </row>
    <row r="93" spans="1:8">
      <c r="A93" s="421"/>
      <c r="C93" s="440"/>
      <c r="D93" s="440"/>
      <c r="E93" s="440"/>
      <c r="F93" s="434"/>
      <c r="G93" s="440"/>
      <c r="H93" s="440"/>
    </row>
    <row r="94" spans="1:8">
      <c r="A94" s="421"/>
      <c r="B94" s="427" t="s">
        <v>101</v>
      </c>
      <c r="C94" s="440"/>
      <c r="D94" s="440"/>
      <c r="E94" s="440"/>
      <c r="F94" s="434">
        <f>G29</f>
        <v>0</v>
      </c>
      <c r="G94" s="440"/>
      <c r="H94" s="440"/>
    </row>
    <row r="95" spans="1:8">
      <c r="A95" s="421"/>
      <c r="B95" s="427" t="s">
        <v>102</v>
      </c>
      <c r="C95" s="440"/>
      <c r="D95" s="440"/>
      <c r="E95" s="440"/>
      <c r="F95" s="434">
        <f>G30</f>
        <v>0</v>
      </c>
      <c r="G95" s="440"/>
      <c r="H95" s="440"/>
    </row>
    <row r="96" spans="1:8">
      <c r="A96" s="421"/>
      <c r="B96" s="427" t="s">
        <v>160</v>
      </c>
      <c r="C96" s="440"/>
      <c r="D96" s="440"/>
      <c r="E96" s="440"/>
      <c r="F96" s="434">
        <f>G31</f>
        <v>0</v>
      </c>
      <c r="G96" s="440"/>
      <c r="H96" s="440"/>
    </row>
    <row r="97" spans="1:8">
      <c r="A97" s="421"/>
      <c r="C97" s="440"/>
      <c r="D97" s="440"/>
      <c r="E97" s="440"/>
      <c r="F97" s="434"/>
      <c r="G97" s="440"/>
      <c r="H97" s="440"/>
    </row>
    <row r="98" spans="1:8">
      <c r="A98" s="421"/>
      <c r="B98" s="427" t="s">
        <v>104</v>
      </c>
      <c r="C98" s="440"/>
      <c r="D98" s="440"/>
      <c r="E98" s="440"/>
      <c r="F98" s="434"/>
      <c r="G98" s="440"/>
      <c r="H98" s="440"/>
    </row>
    <row r="99" spans="1:8">
      <c r="A99" s="421"/>
      <c r="B99" s="427" t="s">
        <v>153</v>
      </c>
      <c r="C99" s="440"/>
      <c r="D99" s="440"/>
      <c r="E99" s="440"/>
      <c r="F99" s="434">
        <f>G34</f>
        <v>0</v>
      </c>
      <c r="G99" s="440"/>
      <c r="H99" s="440"/>
    </row>
    <row r="100" spans="1:8">
      <c r="A100" s="421"/>
      <c r="B100" s="427" t="s">
        <v>158</v>
      </c>
      <c r="C100" s="440"/>
      <c r="D100" s="440"/>
      <c r="E100" s="440"/>
      <c r="F100" s="434">
        <f>G35</f>
        <v>0</v>
      </c>
      <c r="G100" s="440"/>
      <c r="H100" s="440"/>
    </row>
    <row r="101" spans="1:8">
      <c r="A101" s="421"/>
      <c r="B101" s="427" t="s">
        <v>156</v>
      </c>
      <c r="C101" s="440"/>
      <c r="D101" s="440"/>
      <c r="E101" s="440"/>
      <c r="F101" s="436">
        <f>G36</f>
        <v>0</v>
      </c>
      <c r="G101" s="440"/>
      <c r="H101" s="440"/>
    </row>
    <row r="102" spans="1:8">
      <c r="A102" s="421"/>
      <c r="B102" s="427" t="s">
        <v>161</v>
      </c>
      <c r="C102" s="440"/>
      <c r="D102" s="440"/>
      <c r="E102" s="440"/>
      <c r="F102" s="434">
        <f>F99+F100+F101</f>
        <v>0</v>
      </c>
      <c r="G102" s="440"/>
      <c r="H102" s="440"/>
    </row>
    <row r="103" spans="1:8">
      <c r="A103" s="421"/>
      <c r="B103" s="440"/>
      <c r="C103" s="440"/>
      <c r="D103" s="440"/>
      <c r="E103" s="440"/>
      <c r="F103" s="434"/>
      <c r="G103" s="440"/>
      <c r="H103" s="440"/>
    </row>
    <row r="104" spans="1:8">
      <c r="A104" s="421"/>
      <c r="B104" s="440" t="s">
        <v>106</v>
      </c>
      <c r="C104" s="440"/>
      <c r="D104" s="440"/>
      <c r="E104" s="440"/>
      <c r="F104" s="435">
        <f>F86+F92+F94+F95+F96+F102</f>
        <v>-25199</v>
      </c>
      <c r="G104" s="440"/>
      <c r="H104" s="440"/>
    </row>
    <row r="105" spans="1:8">
      <c r="A105" s="421"/>
      <c r="B105" s="440"/>
      <c r="C105" s="440"/>
      <c r="D105" s="440"/>
      <c r="E105" s="440"/>
      <c r="F105" s="434"/>
      <c r="G105" s="440"/>
      <c r="H105" s="440"/>
    </row>
    <row r="106" spans="1:8">
      <c r="A106" s="421"/>
      <c r="B106" s="440" t="s">
        <v>227</v>
      </c>
      <c r="C106" s="440"/>
      <c r="D106" s="440"/>
      <c r="E106" s="440"/>
      <c r="F106" s="436">
        <f>F78-F104</f>
        <v>-345</v>
      </c>
      <c r="G106" s="440"/>
      <c r="H106" s="440"/>
    </row>
    <row r="107" spans="1:8">
      <c r="A107" s="421"/>
      <c r="B107" s="440"/>
      <c r="C107" s="440"/>
      <c r="D107" s="440"/>
      <c r="E107" s="440"/>
      <c r="F107" s="434"/>
      <c r="G107" s="440"/>
      <c r="H107" s="440"/>
    </row>
    <row r="108" spans="1:8">
      <c r="A108" s="421"/>
      <c r="B108" s="440" t="s">
        <v>228</v>
      </c>
      <c r="C108" s="440"/>
      <c r="D108" s="440"/>
      <c r="E108" s="441"/>
      <c r="F108" s="434"/>
      <c r="G108" s="440"/>
      <c r="H108" s="440"/>
    </row>
    <row r="109" spans="1:8" ht="12.75" thickBot="1">
      <c r="A109" s="421"/>
      <c r="B109" s="451" t="s">
        <v>229</v>
      </c>
      <c r="C109" s="452">
        <f>Inputs!$D$4</f>
        <v>1.2215999999999999E-2</v>
      </c>
      <c r="D109" s="440"/>
      <c r="E109" s="441"/>
      <c r="F109" s="439">
        <f>ROUND(F106*C109,0)</f>
        <v>-4</v>
      </c>
      <c r="G109" s="440"/>
      <c r="H109" s="440"/>
    </row>
    <row r="110" spans="1:8" ht="12.75" thickTop="1">
      <c r="A110" s="421"/>
      <c r="B110" s="440"/>
      <c r="C110" s="440"/>
      <c r="D110" s="440"/>
      <c r="E110" s="441"/>
      <c r="F110" s="442"/>
      <c r="G110" s="440"/>
      <c r="H110" s="440"/>
    </row>
  </sheetData>
  <phoneticPr fontId="0" type="noConversion"/>
  <printOptions horizontalCentered="1"/>
  <pageMargins left="1" right="1" top="0.5" bottom="0.5" header="0.5" footer="0.5"/>
  <pageSetup scale="90" fitToHeight="2" orientation="portrait" horizontalDpi="300" verticalDpi="300" r:id="rId1"/>
  <headerFooter alignWithMargins="0"/>
  <rowBreaks count="1" manualBreakCount="1">
    <brk id="65" max="65535" man="1"/>
  </rowBreaks>
  <colBreaks count="3" manualBreakCount="3">
    <brk id="7" max="1048575" man="1"/>
    <brk id="15" max="1048575" man="1"/>
    <brk id="23" max="1048575" man="1"/>
  </colBreaks>
</worksheet>
</file>

<file path=xl/worksheets/sheet61.xml><?xml version="1.0" encoding="utf-8"?>
<worksheet xmlns="http://schemas.openxmlformats.org/spreadsheetml/2006/main" xmlns:r="http://schemas.openxmlformats.org/officeDocument/2006/relationships">
  <sheetPr codeName="Sheet44"/>
  <dimension ref="A1:H65"/>
  <sheetViews>
    <sheetView topLeftCell="A32" workbookViewId="0">
      <selection activeCell="G17" sqref="G17"/>
    </sheetView>
  </sheetViews>
  <sheetFormatPr defaultColWidth="12.42578125" defaultRowHeight="12"/>
  <cols>
    <col min="1" max="1" width="5.5703125" style="424" customWidth="1"/>
    <col min="2" max="2" width="26.140625" style="421" customWidth="1"/>
    <col min="3" max="3" width="12.42578125" style="421" customWidth="1"/>
    <col min="4" max="4" width="6.7109375" style="421" customWidth="1"/>
    <col min="5" max="16384" width="12.42578125" style="421"/>
  </cols>
  <sheetData>
    <row r="1" spans="1:8">
      <c r="A1" s="419" t="str">
        <f>Inputs!$D$6</f>
        <v>AVISTA UTILITIES</v>
      </c>
      <c r="B1" s="420"/>
      <c r="C1" s="419"/>
      <c r="E1" s="79" t="s">
        <v>299</v>
      </c>
      <c r="F1" s="419"/>
      <c r="G1" s="419"/>
    </row>
    <row r="2" spans="1:8">
      <c r="A2" s="419" t="s">
        <v>142</v>
      </c>
      <c r="B2" s="420"/>
      <c r="C2" s="419"/>
      <c r="E2" s="419" t="s">
        <v>549</v>
      </c>
      <c r="F2" s="419"/>
      <c r="G2" s="419"/>
    </row>
    <row r="3" spans="1:8">
      <c r="A3" s="420" t="str">
        <f>WAElec09_08!$A$4</f>
        <v>TWELVE MONTHS ENDED SEPTEMBER 30, 2008</v>
      </c>
      <c r="B3" s="420"/>
      <c r="C3" s="419"/>
      <c r="E3" s="419" t="s">
        <v>242</v>
      </c>
      <c r="F3" s="419"/>
      <c r="G3" s="419"/>
    </row>
    <row r="4" spans="1:8">
      <c r="A4" s="419" t="s">
        <v>1</v>
      </c>
      <c r="B4" s="420"/>
      <c r="C4" s="419"/>
      <c r="E4" s="422" t="s">
        <v>145</v>
      </c>
      <c r="F4" s="422"/>
      <c r="G4" s="423"/>
    </row>
    <row r="5" spans="1:8">
      <c r="A5" s="424" t="s">
        <v>14</v>
      </c>
    </row>
    <row r="6" spans="1:8" s="424" customFormat="1">
      <c r="A6" s="424" t="s">
        <v>146</v>
      </c>
      <c r="B6" s="425" t="s">
        <v>36</v>
      </c>
      <c r="C6" s="425"/>
      <c r="E6" s="425" t="s">
        <v>147</v>
      </c>
      <c r="F6" s="425" t="s">
        <v>148</v>
      </c>
      <c r="G6" s="425" t="s">
        <v>128</v>
      </c>
      <c r="H6" s="426" t="s">
        <v>149</v>
      </c>
    </row>
    <row r="7" spans="1:8">
      <c r="B7" s="427" t="s">
        <v>85</v>
      </c>
    </row>
    <row r="8" spans="1:8" s="430" customFormat="1">
      <c r="A8" s="428">
        <v>1</v>
      </c>
      <c r="B8" s="429" t="s">
        <v>86</v>
      </c>
      <c r="E8" s="431">
        <f>F8+G8</f>
        <v>0</v>
      </c>
      <c r="F8" s="431"/>
      <c r="G8" s="431"/>
      <c r="H8" s="430" t="str">
        <f t="shared" ref="H8:H13" si="0">IF(E8=F8+G8," ","ERROR")</f>
        <v xml:space="preserve"> </v>
      </c>
    </row>
    <row r="9" spans="1:8">
      <c r="A9" s="424">
        <v>2</v>
      </c>
      <c r="B9" s="427" t="s">
        <v>87</v>
      </c>
      <c r="E9" s="432"/>
      <c r="F9" s="432"/>
      <c r="G9" s="432"/>
      <c r="H9" s="430" t="str">
        <f t="shared" si="0"/>
        <v xml:space="preserve"> </v>
      </c>
    </row>
    <row r="10" spans="1:8">
      <c r="A10" s="424">
        <v>3</v>
      </c>
      <c r="B10" s="427" t="s">
        <v>150</v>
      </c>
      <c r="E10" s="432">
        <f>SUM(F10:G10)</f>
        <v>0</v>
      </c>
      <c r="F10" s="432"/>
      <c r="G10" s="432"/>
      <c r="H10" s="430" t="str">
        <f t="shared" si="0"/>
        <v xml:space="preserve"> </v>
      </c>
    </row>
    <row r="11" spans="1:8">
      <c r="A11" s="424">
        <v>4</v>
      </c>
      <c r="B11" s="427" t="s">
        <v>151</v>
      </c>
      <c r="E11" s="433">
        <f>E8+E9+E10</f>
        <v>0</v>
      </c>
      <c r="F11" s="433">
        <f>F8+F9+F10</f>
        <v>0</v>
      </c>
      <c r="G11" s="433">
        <f>G8+G9+G10</f>
        <v>0</v>
      </c>
      <c r="H11" s="430" t="str">
        <f t="shared" si="0"/>
        <v xml:space="preserve"> </v>
      </c>
    </row>
    <row r="12" spans="1:8">
      <c r="A12" s="424">
        <v>5</v>
      </c>
      <c r="B12" s="427" t="s">
        <v>90</v>
      </c>
      <c r="E12" s="432">
        <f>SUM(F12:G12)</f>
        <v>-2568</v>
      </c>
      <c r="F12" s="432"/>
      <c r="G12" s="432">
        <f>'ProdFctrCalc-ID'!E67</f>
        <v>-2568</v>
      </c>
      <c r="H12" s="430" t="str">
        <f t="shared" si="0"/>
        <v xml:space="preserve"> </v>
      </c>
    </row>
    <row r="13" spans="1:8">
      <c r="A13" s="424">
        <v>6</v>
      </c>
      <c r="B13" s="427" t="s">
        <v>152</v>
      </c>
      <c r="E13" s="433">
        <f>E11+E12</f>
        <v>-2568</v>
      </c>
      <c r="F13" s="433">
        <f>F11+F12</f>
        <v>0</v>
      </c>
      <c r="G13" s="433">
        <f>G11+G12</f>
        <v>-2568</v>
      </c>
      <c r="H13" s="430" t="str">
        <f t="shared" si="0"/>
        <v xml:space="preserve"> </v>
      </c>
    </row>
    <row r="14" spans="1:8">
      <c r="E14" s="434"/>
      <c r="F14" s="434"/>
      <c r="G14" s="434"/>
      <c r="H14" s="430"/>
    </row>
    <row r="15" spans="1:8">
      <c r="B15" s="427" t="s">
        <v>92</v>
      </c>
      <c r="E15" s="434"/>
      <c r="F15" s="434"/>
      <c r="G15" s="434"/>
      <c r="H15" s="430"/>
    </row>
    <row r="16" spans="1:8">
      <c r="B16" s="427" t="s">
        <v>93</v>
      </c>
      <c r="E16" s="434"/>
      <c r="F16" s="434"/>
      <c r="G16" s="434"/>
      <c r="H16" s="430"/>
    </row>
    <row r="17" spans="1:8">
      <c r="A17" s="424">
        <v>7</v>
      </c>
      <c r="B17" s="427" t="s">
        <v>153</v>
      </c>
      <c r="E17" s="432">
        <f>SUM(F17:G17)</f>
        <v>-8447</v>
      </c>
      <c r="F17" s="432"/>
      <c r="G17" s="432">
        <f>'ProdFctrCalc-ID'!F67</f>
        <v>-8447</v>
      </c>
      <c r="H17" s="430" t="str">
        <f>IF(E17=F17+G17," ","ERROR")</f>
        <v xml:space="preserve"> </v>
      </c>
    </row>
    <row r="18" spans="1:8">
      <c r="A18" s="424">
        <v>8</v>
      </c>
      <c r="B18" s="427" t="s">
        <v>154</v>
      </c>
      <c r="E18" s="432">
        <f>SUM(F18:G18)</f>
        <v>0</v>
      </c>
      <c r="F18" s="432"/>
      <c r="G18" s="432"/>
      <c r="H18" s="430" t="str">
        <f>IF(E18=F18+G18," ","ERROR")</f>
        <v xml:space="preserve"> </v>
      </c>
    </row>
    <row r="19" spans="1:8">
      <c r="A19" s="424">
        <v>9</v>
      </c>
      <c r="B19" s="427" t="s">
        <v>155</v>
      </c>
      <c r="E19" s="432"/>
      <c r="F19" s="432"/>
      <c r="G19" s="432"/>
      <c r="H19" s="430" t="str">
        <f>IF(E19=F19+G19," ","ERROR")</f>
        <v xml:space="preserve"> </v>
      </c>
    </row>
    <row r="20" spans="1:8">
      <c r="A20" s="424">
        <v>10</v>
      </c>
      <c r="B20" s="427" t="s">
        <v>156</v>
      </c>
      <c r="E20" s="432"/>
      <c r="F20" s="432"/>
      <c r="G20" s="432"/>
      <c r="H20" s="430" t="str">
        <f>IF(E20=F20+G20," ","ERROR")</f>
        <v xml:space="preserve"> </v>
      </c>
    </row>
    <row r="21" spans="1:8">
      <c r="A21" s="424">
        <v>11</v>
      </c>
      <c r="B21" s="427" t="s">
        <v>157</v>
      </c>
      <c r="E21" s="433">
        <f>E17+E18+E19+E20</f>
        <v>-8447</v>
      </c>
      <c r="F21" s="433">
        <f>F17+F18+F19+F20</f>
        <v>0</v>
      </c>
      <c r="G21" s="433">
        <f>G17+G18+G19+G20</f>
        <v>-8447</v>
      </c>
      <c r="H21" s="430" t="str">
        <f>IF(E21=F21+G21," ","ERROR")</f>
        <v xml:space="preserve"> </v>
      </c>
    </row>
    <row r="22" spans="1:8">
      <c r="E22" s="434"/>
      <c r="F22" s="434"/>
      <c r="G22" s="434"/>
      <c r="H22" s="430"/>
    </row>
    <row r="23" spans="1:8">
      <c r="B23" s="427" t="s">
        <v>98</v>
      </c>
      <c r="E23" s="434"/>
      <c r="F23" s="434"/>
      <c r="G23" s="434"/>
      <c r="H23" s="430"/>
    </row>
    <row r="24" spans="1:8">
      <c r="A24" s="424">
        <v>12</v>
      </c>
      <c r="B24" s="427" t="s">
        <v>153</v>
      </c>
      <c r="E24" s="432"/>
      <c r="F24" s="432"/>
      <c r="G24" s="432"/>
      <c r="H24" s="430" t="str">
        <f>IF(E24=F24+G24," ","ERROR")</f>
        <v xml:space="preserve"> </v>
      </c>
    </row>
    <row r="25" spans="1:8">
      <c r="A25" s="424">
        <v>13</v>
      </c>
      <c r="B25" s="427" t="s">
        <v>158</v>
      </c>
      <c r="E25" s="432"/>
      <c r="F25" s="432"/>
      <c r="G25" s="432"/>
      <c r="H25" s="430" t="str">
        <f>IF(E25=F25+G25," ","ERROR")</f>
        <v xml:space="preserve"> </v>
      </c>
    </row>
    <row r="26" spans="1:8">
      <c r="A26" s="424">
        <v>14</v>
      </c>
      <c r="B26" s="427" t="s">
        <v>156</v>
      </c>
      <c r="E26" s="432">
        <f>F26+G26</f>
        <v>0</v>
      </c>
      <c r="F26" s="432"/>
      <c r="G26" s="842"/>
      <c r="H26" s="430" t="str">
        <f>IF(E26=F26+G26," ","ERROR")</f>
        <v xml:space="preserve"> </v>
      </c>
    </row>
    <row r="27" spans="1:8">
      <c r="A27" s="424">
        <v>15</v>
      </c>
      <c r="B27" s="427" t="s">
        <v>159</v>
      </c>
      <c r="E27" s="433">
        <f>E24+E25+E26</f>
        <v>0</v>
      </c>
      <c r="F27" s="433">
        <f>F24+F25+F26</f>
        <v>0</v>
      </c>
      <c r="G27" s="433">
        <f>G24+G25+G26</f>
        <v>0</v>
      </c>
      <c r="H27" s="430" t="str">
        <f>IF(E27=F27+G27," ","ERROR")</f>
        <v xml:space="preserve"> </v>
      </c>
    </row>
    <row r="28" spans="1:8">
      <c r="E28" s="434"/>
      <c r="F28" s="434"/>
      <c r="G28" s="434"/>
      <c r="H28" s="430"/>
    </row>
    <row r="29" spans="1:8">
      <c r="A29" s="424">
        <v>16</v>
      </c>
      <c r="B29" s="427" t="s">
        <v>101</v>
      </c>
      <c r="E29" s="432"/>
      <c r="F29" s="432"/>
      <c r="G29" s="432"/>
      <c r="H29" s="430" t="str">
        <f>IF(E29=F29+G29," ","ERROR")</f>
        <v xml:space="preserve"> </v>
      </c>
    </row>
    <row r="30" spans="1:8">
      <c r="A30" s="424">
        <v>17</v>
      </c>
      <c r="B30" s="427" t="s">
        <v>102</v>
      </c>
      <c r="E30" s="432"/>
      <c r="F30" s="432"/>
      <c r="G30" s="432"/>
      <c r="H30" s="430" t="str">
        <f>IF(E30=F30+G30," ","ERROR")</f>
        <v xml:space="preserve"> </v>
      </c>
    </row>
    <row r="31" spans="1:8">
      <c r="A31" s="424">
        <v>18</v>
      </c>
      <c r="B31" s="427" t="s">
        <v>160</v>
      </c>
      <c r="E31" s="432"/>
      <c r="F31" s="432"/>
      <c r="G31" s="432"/>
      <c r="H31" s="430" t="str">
        <f>IF(E31=F31+G31," ","ERROR")</f>
        <v xml:space="preserve"> </v>
      </c>
    </row>
    <row r="32" spans="1:8">
      <c r="E32" s="434"/>
      <c r="F32" s="434"/>
      <c r="G32" s="434"/>
      <c r="H32" s="430"/>
    </row>
    <row r="33" spans="1:8">
      <c r="B33" s="427" t="s">
        <v>104</v>
      </c>
      <c r="E33" s="434"/>
      <c r="F33" s="434"/>
      <c r="G33" s="434"/>
      <c r="H33" s="841"/>
    </row>
    <row r="34" spans="1:8">
      <c r="A34" s="424">
        <v>19</v>
      </c>
      <c r="B34" s="427" t="s">
        <v>153</v>
      </c>
      <c r="E34" s="432">
        <f>F34+G34</f>
        <v>0</v>
      </c>
      <c r="F34" s="432"/>
      <c r="G34" s="432"/>
      <c r="H34" s="430" t="str">
        <f>IF(E34=F34+G34," ","ERROR")</f>
        <v xml:space="preserve"> </v>
      </c>
    </row>
    <row r="35" spans="1:8">
      <c r="A35" s="424">
        <v>20</v>
      </c>
      <c r="B35" s="427" t="s">
        <v>158</v>
      </c>
      <c r="E35" s="432"/>
      <c r="F35" s="432"/>
      <c r="G35" s="432"/>
      <c r="H35" s="430" t="str">
        <f>IF(E35=F35+G35," ","ERROR")</f>
        <v xml:space="preserve"> </v>
      </c>
    </row>
    <row r="36" spans="1:8">
      <c r="A36" s="424">
        <v>21</v>
      </c>
      <c r="B36" s="427" t="s">
        <v>156</v>
      </c>
      <c r="E36" s="432"/>
      <c r="F36" s="432"/>
      <c r="G36" s="432"/>
      <c r="H36" s="430" t="str">
        <f>IF(E36=F36+G36," ","ERROR")</f>
        <v xml:space="preserve"> </v>
      </c>
    </row>
    <row r="37" spans="1:8">
      <c r="A37" s="424">
        <v>22</v>
      </c>
      <c r="B37" s="427" t="s">
        <v>161</v>
      </c>
      <c r="E37" s="435">
        <f>E34+E35+E36</f>
        <v>0</v>
      </c>
      <c r="F37" s="435">
        <f>F34+F35+F36</f>
        <v>0</v>
      </c>
      <c r="G37" s="435">
        <f>G34+G35+G36</f>
        <v>0</v>
      </c>
      <c r="H37" s="430" t="str">
        <f>IF(E37=F37+G37," ","ERROR")</f>
        <v xml:space="preserve"> </v>
      </c>
    </row>
    <row r="38" spans="1:8">
      <c r="A38" s="424">
        <v>23</v>
      </c>
      <c r="B38" s="427" t="s">
        <v>106</v>
      </c>
      <c r="E38" s="436">
        <f>E21+E27+E29+E30+E31+E37</f>
        <v>-8447</v>
      </c>
      <c r="F38" s="436">
        <f>F21+F27+F29+F30+F31+F37</f>
        <v>0</v>
      </c>
      <c r="G38" s="436">
        <f>G21+G27+G29+G30+G31+G37</f>
        <v>-8447</v>
      </c>
      <c r="H38" s="430" t="str">
        <f>IF(E38=F38+G38," ","ERROR")</f>
        <v xml:space="preserve"> </v>
      </c>
    </row>
    <row r="39" spans="1:8">
      <c r="E39" s="434"/>
      <c r="F39" s="434"/>
      <c r="G39" s="434"/>
      <c r="H39" s="430"/>
    </row>
    <row r="40" spans="1:8">
      <c r="A40" s="424">
        <v>24</v>
      </c>
      <c r="B40" s="427" t="s">
        <v>162</v>
      </c>
      <c r="E40" s="434">
        <f>E13-E38</f>
        <v>5879</v>
      </c>
      <c r="F40" s="434">
        <f>F13-F38</f>
        <v>0</v>
      </c>
      <c r="G40" s="434">
        <f>G13-G38</f>
        <v>5879</v>
      </c>
      <c r="H40" s="430" t="str">
        <f>IF(E40=F40+G40," ","ERROR")</f>
        <v xml:space="preserve"> </v>
      </c>
    </row>
    <row r="41" spans="1:8">
      <c r="B41" s="427"/>
      <c r="E41" s="434"/>
      <c r="F41" s="434"/>
      <c r="G41" s="434"/>
      <c r="H41" s="430"/>
    </row>
    <row r="42" spans="1:8">
      <c r="B42" s="427" t="s">
        <v>163</v>
      </c>
      <c r="E42" s="434"/>
      <c r="F42" s="434"/>
      <c r="G42" s="434"/>
      <c r="H42" s="430"/>
    </row>
    <row r="43" spans="1:8">
      <c r="A43" s="424">
        <v>25</v>
      </c>
      <c r="B43" s="427" t="s">
        <v>164</v>
      </c>
      <c r="D43" s="437">
        <v>0.35</v>
      </c>
      <c r="E43" s="432">
        <f>F43+G43</f>
        <v>2058</v>
      </c>
      <c r="F43" s="432">
        <f>ROUND(F40*$D$43,0)</f>
        <v>0</v>
      </c>
      <c r="G43" s="432">
        <f>ROUND(G40*$D$43,0)</f>
        <v>2058</v>
      </c>
      <c r="H43" s="430" t="str">
        <f>IF(E43=F43+G43," ","ERROR")</f>
        <v xml:space="preserve"> </v>
      </c>
    </row>
    <row r="44" spans="1:8">
      <c r="A44" s="424">
        <v>26</v>
      </c>
      <c r="B44" s="427" t="s">
        <v>165</v>
      </c>
      <c r="E44" s="432"/>
      <c r="F44" s="432"/>
      <c r="G44" s="432"/>
      <c r="H44" s="430" t="str">
        <f>IF(E44=F44+G44," ","ERROR")</f>
        <v xml:space="preserve"> </v>
      </c>
    </row>
    <row r="45" spans="1:8" ht="12.75">
      <c r="A45"/>
      <c r="B45"/>
      <c r="C45"/>
      <c r="D45"/>
      <c r="E45" s="913"/>
      <c r="F45" s="913"/>
      <c r="G45" s="913"/>
      <c r="H45" s="430" t="str">
        <f>IF(E45=F45+G45," ","ERROR")</f>
        <v xml:space="preserve"> </v>
      </c>
    </row>
    <row r="46" spans="1:8">
      <c r="A46" s="259"/>
      <c r="B46" s="262"/>
      <c r="C46" s="256"/>
      <c r="D46" s="256"/>
      <c r="E46" s="269"/>
      <c r="F46" s="269"/>
      <c r="G46" s="269"/>
      <c r="H46" s="430"/>
    </row>
    <row r="47" spans="1:8" s="430" customFormat="1">
      <c r="A47" s="263">
        <v>27</v>
      </c>
      <c r="B47" s="264" t="s">
        <v>113</v>
      </c>
      <c r="C47" s="265"/>
      <c r="D47" s="265"/>
      <c r="E47" s="273">
        <f>E40-SUM(E43:E44)</f>
        <v>3821</v>
      </c>
      <c r="F47" s="273">
        <f>F40-SUM(F43:F44)</f>
        <v>0</v>
      </c>
      <c r="G47" s="273">
        <f>G40-SUM(G43:G44)</f>
        <v>3821</v>
      </c>
      <c r="H47" s="430" t="str">
        <f>IF(E47=F47+G47," ","ERROR")</f>
        <v xml:space="preserve"> </v>
      </c>
    </row>
    <row r="48" spans="1:8">
      <c r="A48" s="259"/>
      <c r="H48" s="430"/>
    </row>
    <row r="49" spans="1:8">
      <c r="A49" s="259"/>
      <c r="B49" s="427" t="s">
        <v>114</v>
      </c>
      <c r="H49" s="430"/>
    </row>
    <row r="50" spans="1:8">
      <c r="A50" s="259"/>
      <c r="B50" s="427" t="s">
        <v>115</v>
      </c>
      <c r="H50" s="430"/>
    </row>
    <row r="51" spans="1:8" s="430" customFormat="1">
      <c r="A51" s="263">
        <v>28</v>
      </c>
      <c r="B51" s="429" t="s">
        <v>167</v>
      </c>
      <c r="E51" s="431"/>
      <c r="F51" s="431"/>
      <c r="G51" s="431"/>
      <c r="H51" s="430" t="str">
        <f t="shared" ref="H51:H61" si="1">IF(E51=F51+G51," ","ERROR")</f>
        <v xml:space="preserve"> </v>
      </c>
    </row>
    <row r="52" spans="1:8">
      <c r="A52" s="259">
        <v>29</v>
      </c>
      <c r="B52" s="427" t="s">
        <v>168</v>
      </c>
      <c r="E52" s="432" t="e">
        <f>F52+G52</f>
        <v>#DIV/0!</v>
      </c>
      <c r="F52" s="432"/>
      <c r="G52" s="432" t="e">
        <f>'ProdFctrCalc-ID'!G67</f>
        <v>#DIV/0!</v>
      </c>
      <c r="H52" s="430" t="e">
        <f t="shared" si="1"/>
        <v>#DIV/0!</v>
      </c>
    </row>
    <row r="53" spans="1:8">
      <c r="A53" s="259">
        <v>30</v>
      </c>
      <c r="B53" s="427" t="s">
        <v>169</v>
      </c>
      <c r="E53" s="432"/>
      <c r="F53" s="432"/>
      <c r="G53" s="432"/>
      <c r="H53" s="430" t="str">
        <f t="shared" si="1"/>
        <v xml:space="preserve"> </v>
      </c>
    </row>
    <row r="54" spans="1:8">
      <c r="A54" s="259">
        <v>31</v>
      </c>
      <c r="B54" s="427" t="s">
        <v>170</v>
      </c>
      <c r="E54" s="432"/>
      <c r="F54" s="432"/>
      <c r="G54" s="432"/>
      <c r="H54" s="430" t="str">
        <f t="shared" si="1"/>
        <v xml:space="preserve"> </v>
      </c>
    </row>
    <row r="55" spans="1:8">
      <c r="A55" s="259">
        <v>32</v>
      </c>
      <c r="B55" s="427" t="s">
        <v>171</v>
      </c>
      <c r="E55" s="438"/>
      <c r="F55" s="438"/>
      <c r="G55" s="438"/>
      <c r="H55" s="430" t="str">
        <f t="shared" si="1"/>
        <v xml:space="preserve"> </v>
      </c>
    </row>
    <row r="56" spans="1:8">
      <c r="A56" s="259">
        <v>33</v>
      </c>
      <c r="B56" s="427" t="s">
        <v>172</v>
      </c>
      <c r="E56" s="434" t="e">
        <f>E51+E52+E53+E54+E55</f>
        <v>#DIV/0!</v>
      </c>
      <c r="F56" s="434">
        <f>F51+F52+F53+F54+F55</f>
        <v>0</v>
      </c>
      <c r="G56" s="434" t="e">
        <f>G51+G52+G53+G54+G55</f>
        <v>#DIV/0!</v>
      </c>
      <c r="H56" s="430" t="e">
        <f t="shared" si="1"/>
        <v>#DIV/0!</v>
      </c>
    </row>
    <row r="57" spans="1:8">
      <c r="A57" s="259">
        <v>34</v>
      </c>
      <c r="B57" s="427" t="s">
        <v>121</v>
      </c>
      <c r="E57" s="432"/>
      <c r="F57" s="432"/>
      <c r="G57" s="432"/>
      <c r="H57" s="430" t="str">
        <f t="shared" si="1"/>
        <v xml:space="preserve"> </v>
      </c>
    </row>
    <row r="58" spans="1:8">
      <c r="A58" s="259">
        <v>35</v>
      </c>
      <c r="B58" s="427" t="s">
        <v>122</v>
      </c>
      <c r="E58" s="438"/>
      <c r="F58" s="438"/>
      <c r="G58" s="438"/>
      <c r="H58" s="430" t="str">
        <f t="shared" si="1"/>
        <v xml:space="preserve"> </v>
      </c>
    </row>
    <row r="59" spans="1:8">
      <c r="A59" s="259">
        <v>36</v>
      </c>
      <c r="B59" s="427" t="s">
        <v>173</v>
      </c>
      <c r="E59" s="434">
        <f>E57+E58</f>
        <v>0</v>
      </c>
      <c r="F59" s="434">
        <f>F57+F58</f>
        <v>0</v>
      </c>
      <c r="G59" s="434">
        <f>G57+G58</f>
        <v>0</v>
      </c>
      <c r="H59" s="430" t="str">
        <f t="shared" si="1"/>
        <v xml:space="preserve"> </v>
      </c>
    </row>
    <row r="60" spans="1:8">
      <c r="A60" s="259">
        <v>37</v>
      </c>
      <c r="B60" s="427" t="s">
        <v>124</v>
      </c>
      <c r="E60" s="432"/>
      <c r="F60" s="432"/>
      <c r="G60" s="432"/>
      <c r="H60" s="430" t="str">
        <f t="shared" si="1"/>
        <v xml:space="preserve"> </v>
      </c>
    </row>
    <row r="61" spans="1:8">
      <c r="A61" s="259">
        <v>38</v>
      </c>
      <c r="B61" s="427" t="s">
        <v>125</v>
      </c>
      <c r="E61" s="438"/>
      <c r="F61" s="438"/>
      <c r="G61" s="438"/>
      <c r="H61" s="430" t="str">
        <f t="shared" si="1"/>
        <v xml:space="preserve"> </v>
      </c>
    </row>
    <row r="62" spans="1:8" ht="9" customHeight="1">
      <c r="A62" s="259"/>
      <c r="H62" s="430"/>
    </row>
    <row r="63" spans="1:8" s="430" customFormat="1" ht="12.75" thickBot="1">
      <c r="A63" s="263">
        <v>39</v>
      </c>
      <c r="B63" s="429" t="s">
        <v>126</v>
      </c>
      <c r="E63" s="439" t="e">
        <f>E56-E59+E60+E61</f>
        <v>#DIV/0!</v>
      </c>
      <c r="F63" s="439">
        <f>F56-F59+F60+F61</f>
        <v>0</v>
      </c>
      <c r="G63" s="439" t="e">
        <f>G56-G59+G60+G61</f>
        <v>#DIV/0!</v>
      </c>
      <c r="H63" s="430" t="e">
        <f>IF(E63=F63+G63," ","ERROR")</f>
        <v>#DIV/0!</v>
      </c>
    </row>
    <row r="64" spans="1:8" ht="12.75" thickTop="1"/>
    <row r="65" spans="1:8">
      <c r="A65" s="421"/>
      <c r="B65" s="440"/>
      <c r="C65" s="440"/>
      <c r="D65" s="440"/>
      <c r="E65" s="441"/>
      <c r="F65" s="442"/>
      <c r="G65" s="440"/>
      <c r="H65" s="440"/>
    </row>
  </sheetData>
  <phoneticPr fontId="0" type="noConversion"/>
  <printOptions horizontalCentered="1"/>
  <pageMargins left="1" right="1" top="0.5" bottom="0.5" header="0.5" footer="0.5"/>
  <pageSetup scale="90" fitToHeight="2" orientation="portrait" horizontalDpi="300" verticalDpi="300" r:id="rId1"/>
  <headerFooter alignWithMargins="0"/>
  <rowBreaks count="1" manualBreakCount="1">
    <brk id="65" max="65535" man="1"/>
  </rowBreaks>
  <colBreaks count="3" manualBreakCount="3">
    <brk id="7" max="1048575" man="1"/>
    <brk id="15" max="1048575" man="1"/>
    <brk id="23" max="1048575" man="1"/>
  </colBreaks>
</worksheet>
</file>

<file path=xl/worksheets/sheet62.xml><?xml version="1.0" encoding="utf-8"?>
<worksheet xmlns="http://schemas.openxmlformats.org/spreadsheetml/2006/main" xmlns:r="http://schemas.openxmlformats.org/officeDocument/2006/relationships">
  <sheetPr codeName="Sheet14"/>
  <dimension ref="A1:R118"/>
  <sheetViews>
    <sheetView topLeftCell="A31" zoomScaleNormal="100" zoomScaleSheetLayoutView="75" workbookViewId="0">
      <selection activeCell="G17" sqref="G17"/>
    </sheetView>
  </sheetViews>
  <sheetFormatPr defaultColWidth="11.42578125" defaultRowHeight="12.75"/>
  <cols>
    <col min="1" max="1" width="6.42578125" style="669" customWidth="1"/>
    <col min="2" max="2" width="12.85546875" style="669" customWidth="1"/>
    <col min="3" max="3" width="16.7109375" style="669" customWidth="1"/>
    <col min="4" max="4" width="13.5703125" style="669" customWidth="1"/>
    <col min="5" max="5" width="11.42578125" style="669" customWidth="1"/>
    <col min="6" max="6" width="12" style="669" customWidth="1"/>
    <col min="7" max="7" width="11.42578125" style="669" customWidth="1"/>
    <col min="8" max="8" width="8" style="743" customWidth="1"/>
    <col min="9" max="9" width="7" style="677" customWidth="1"/>
    <col min="10" max="10" width="10.7109375" style="964" customWidth="1"/>
    <col min="11" max="11" width="32" style="669" customWidth="1"/>
    <col min="12" max="12" width="11.42578125" style="669" customWidth="1"/>
    <col min="13" max="13" width="5.85546875" style="669" customWidth="1"/>
    <col min="14" max="14" width="9" style="669" customWidth="1"/>
    <col min="15" max="17" width="11.42578125" style="669" customWidth="1"/>
    <col min="18" max="18" width="3" style="669" customWidth="1"/>
    <col min="19" max="16384" width="11.42578125" style="669"/>
  </cols>
  <sheetData>
    <row r="1" spans="1:18">
      <c r="A1" s="669" t="s">
        <v>130</v>
      </c>
      <c r="D1" s="674" t="s">
        <v>261</v>
      </c>
      <c r="J1" s="986"/>
      <c r="K1" s="675"/>
      <c r="L1" s="675"/>
      <c r="M1" s="676"/>
      <c r="N1" s="675"/>
      <c r="O1" s="675"/>
      <c r="P1" s="675"/>
      <c r="Q1" s="675"/>
      <c r="R1" s="674"/>
    </row>
    <row r="2" spans="1:18">
      <c r="D2" s="677"/>
      <c r="J2" s="986"/>
      <c r="K2" s="675"/>
      <c r="L2" s="675"/>
      <c r="M2" s="678"/>
      <c r="N2" s="675"/>
      <c r="O2" s="675"/>
      <c r="P2" s="675"/>
      <c r="Q2" s="675"/>
      <c r="R2" s="674"/>
    </row>
    <row r="3" spans="1:18">
      <c r="D3" s="677" t="s">
        <v>550</v>
      </c>
      <c r="J3" s="986"/>
      <c r="K3" s="675"/>
      <c r="L3" s="675"/>
      <c r="M3" s="678"/>
      <c r="N3" s="675"/>
      <c r="O3" s="675"/>
      <c r="P3" s="675"/>
      <c r="Q3" s="675"/>
      <c r="R3" s="674"/>
    </row>
    <row r="4" spans="1:18">
      <c r="D4" s="677" t="s">
        <v>139</v>
      </c>
      <c r="J4" s="986"/>
      <c r="K4" s="675"/>
      <c r="L4" s="675"/>
      <c r="M4" s="678"/>
      <c r="N4" s="675"/>
      <c r="O4" s="675"/>
      <c r="P4" s="675"/>
      <c r="Q4" s="675"/>
      <c r="R4" s="674"/>
    </row>
    <row r="5" spans="1:18">
      <c r="D5" s="679" t="s">
        <v>555</v>
      </c>
      <c r="J5" s="986"/>
      <c r="K5" s="675"/>
      <c r="L5" s="675"/>
      <c r="M5" s="680"/>
      <c r="N5" s="675"/>
      <c r="O5" s="675"/>
      <c r="P5" s="675"/>
      <c r="Q5" s="675"/>
      <c r="R5" s="674"/>
    </row>
    <row r="6" spans="1:18">
      <c r="J6" s="986"/>
      <c r="K6" s="675"/>
      <c r="L6" s="675"/>
      <c r="M6" s="675"/>
      <c r="N6" s="675"/>
      <c r="O6" s="675"/>
      <c r="P6" s="675"/>
      <c r="Q6" s="675"/>
      <c r="R6" s="674"/>
    </row>
    <row r="7" spans="1:18">
      <c r="J7" s="986"/>
      <c r="K7" s="675"/>
      <c r="L7" s="675"/>
      <c r="M7" s="675"/>
      <c r="N7" s="675"/>
      <c r="O7" s="675"/>
      <c r="P7" s="675"/>
      <c r="Q7" s="675"/>
      <c r="R7" s="674"/>
    </row>
    <row r="8" spans="1:18">
      <c r="E8" s="1354" t="s">
        <v>479</v>
      </c>
      <c r="F8" s="1354"/>
      <c r="G8" s="1354"/>
      <c r="H8" s="749"/>
      <c r="I8" s="678"/>
      <c r="J8" s="986"/>
      <c r="K8" s="962"/>
      <c r="L8" s="675"/>
      <c r="M8" s="675"/>
      <c r="N8" s="675"/>
      <c r="O8" s="675"/>
      <c r="P8" s="678"/>
      <c r="Q8" s="675"/>
      <c r="R8" s="674"/>
    </row>
    <row r="9" spans="1:18">
      <c r="A9" s="682" t="s">
        <v>133</v>
      </c>
      <c r="B9" s="744" t="s">
        <v>304</v>
      </c>
      <c r="C9" s="682"/>
      <c r="D9" s="677" t="s">
        <v>313</v>
      </c>
      <c r="E9" s="669" t="s">
        <v>486</v>
      </c>
      <c r="F9" s="677" t="s">
        <v>49</v>
      </c>
      <c r="G9" s="678" t="s">
        <v>38</v>
      </c>
      <c r="H9" s="749"/>
      <c r="I9" s="678"/>
      <c r="J9" s="986"/>
      <c r="K9" s="963"/>
      <c r="L9" s="678"/>
      <c r="M9" s="678"/>
      <c r="N9" s="675"/>
      <c r="O9" s="678"/>
      <c r="P9" s="678"/>
      <c r="Q9" s="678"/>
      <c r="R9" s="674"/>
    </row>
    <row r="10" spans="1:18">
      <c r="A10" s="1023" t="str">
        <f>IDElec12_07!E$10</f>
        <v>b</v>
      </c>
      <c r="B10" s="687" t="str">
        <f>TRIM(CONCATENATE(IDElec12_07!E$7," ",IDElec12_07!E$8," ",IDElec12_07!E$9))</f>
        <v>Per Results Report</v>
      </c>
      <c r="C10" s="716"/>
      <c r="D10" s="716"/>
      <c r="E10" s="1005">
        <f>IDElec12_07!E15+19+4638+3714+109</f>
        <v>77820</v>
      </c>
      <c r="F10" s="864">
        <f>IDElec12_07!E$26</f>
        <v>196203</v>
      </c>
      <c r="G10" s="1006">
        <f>IDElec12_07!E57+IDElec12_07!E58+6008-176902</f>
        <v>345448</v>
      </c>
      <c r="H10" s="749"/>
      <c r="I10" s="986"/>
      <c r="J10" s="986"/>
      <c r="K10" s="962"/>
      <c r="L10" s="675"/>
      <c r="M10" s="675"/>
      <c r="N10" s="675"/>
      <c r="O10" s="685"/>
      <c r="P10" s="685"/>
      <c r="Q10" s="675"/>
      <c r="R10" s="674"/>
    </row>
    <row r="11" spans="1:18" s="716" customFormat="1">
      <c r="A11" s="1023" t="str">
        <f>IDElec12_07!F$10</f>
        <v>c</v>
      </c>
      <c r="B11" s="687" t="str">
        <f>TRIM(CONCATENATE(IDElec12_07!F$7," ",IDElec12_07!F$8," ",IDElec12_07!F$9))</f>
        <v>Deferred FIT Rate Base</v>
      </c>
      <c r="F11" s="864">
        <f>IDElec12_07!F$26</f>
        <v>0</v>
      </c>
      <c r="G11" s="1007">
        <f>-32840-13134</f>
        <v>-45974</v>
      </c>
      <c r="H11" s="1008"/>
      <c r="I11" s="983"/>
      <c r="J11" s="986"/>
      <c r="K11" s="962"/>
      <c r="L11" s="983"/>
      <c r="M11" s="983"/>
      <c r="N11" s="983"/>
      <c r="O11" s="886"/>
      <c r="P11" s="886"/>
      <c r="Q11" s="983"/>
      <c r="R11" s="984"/>
    </row>
    <row r="12" spans="1:18" s="716" customFormat="1">
      <c r="A12" s="1023" t="str">
        <f>IDElec12_07!G$10</f>
        <v>d</v>
      </c>
      <c r="B12" s="687" t="str">
        <f>TRIM(CONCATENATE(IDElec12_07!G$7," ",IDElec12_07!G$8," ",IDElec12_07!G$9))</f>
        <v>Deferred Gain on Office Building</v>
      </c>
      <c r="F12" s="864">
        <f>IDElec12_07!G$26</f>
        <v>0</v>
      </c>
      <c r="G12" s="886"/>
      <c r="H12" s="1008"/>
      <c r="I12" s="986"/>
      <c r="J12" s="983"/>
      <c r="K12" s="675"/>
      <c r="L12" s="983"/>
      <c r="M12" s="983"/>
      <c r="N12" s="983"/>
      <c r="O12" s="886"/>
      <c r="P12" s="886"/>
      <c r="Q12" s="983"/>
      <c r="R12" s="984"/>
    </row>
    <row r="13" spans="1:18" s="716" customFormat="1">
      <c r="A13" s="1023" t="str">
        <f>IDElec12_07!H$10</f>
        <v>e</v>
      </c>
      <c r="B13" s="687" t="str">
        <f>TRIM(CONCATENATE(IDElec12_07!H$7," ",IDElec12_07!H$8," ",IDElec12_07!H$9))</f>
        <v>Colstrip 3 AFUDC Elimination</v>
      </c>
      <c r="E13" s="864">
        <f>IDElec12_07!H$18</f>
        <v>0</v>
      </c>
      <c r="F13" s="864">
        <f>IDElec12_07!H$26</f>
        <v>0</v>
      </c>
      <c r="G13" s="864">
        <f>IDElec12_07!H$68</f>
        <v>0</v>
      </c>
      <c r="H13" s="1008"/>
      <c r="I13" s="986"/>
      <c r="J13" s="983"/>
      <c r="K13" s="675"/>
      <c r="L13" s="983"/>
      <c r="M13" s="983"/>
      <c r="N13" s="983"/>
      <c r="O13" s="886"/>
      <c r="P13" s="886"/>
      <c r="Q13" s="983"/>
      <c r="R13" s="984"/>
    </row>
    <row r="14" spans="1:18" s="716" customFormat="1">
      <c r="A14" s="1023" t="str">
        <f>IDElec12_07!I$10</f>
        <v>f</v>
      </c>
      <c r="B14" s="687" t="str">
        <f>TRIM(CONCATENATE(IDElec12_07!I$7," ",IDElec12_07!I$8," ",IDElec12_07!I$9))</f>
        <v>Colstrip Common AFUDC</v>
      </c>
      <c r="E14" s="864">
        <f>IDElec12_07!I$18</f>
        <v>0</v>
      </c>
      <c r="F14" s="864">
        <f>IDElec12_07!I$26</f>
        <v>0</v>
      </c>
      <c r="G14" s="864">
        <f>IDElec12_07!I$68</f>
        <v>0</v>
      </c>
      <c r="H14" s="1008"/>
      <c r="I14" s="986"/>
      <c r="J14" s="983"/>
      <c r="K14" s="675"/>
      <c r="L14" s="983"/>
      <c r="M14" s="983"/>
      <c r="N14" s="983"/>
      <c r="O14" s="886"/>
      <c r="P14" s="886"/>
      <c r="Q14" s="983"/>
      <c r="R14" s="984"/>
    </row>
    <row r="15" spans="1:18" s="716" customFormat="1">
      <c r="A15" s="1023" t="str">
        <f>IDElec12_07!J$10</f>
        <v>g</v>
      </c>
      <c r="B15" s="687" t="str">
        <f>TRIM(CONCATENATE(IDElec12_07!J$7," ",IDElec12_07!J$8," ",IDElec12_07!J$9))</f>
        <v>Kettle Falls &amp; Boulder Park Disallow.</v>
      </c>
      <c r="E15" s="864">
        <f>IDElec12_07!J$18</f>
        <v>0</v>
      </c>
      <c r="F15" s="864">
        <f>IDElec12_07!J$26</f>
        <v>0</v>
      </c>
      <c r="G15" s="864">
        <f>IDElec12_07!J$68</f>
        <v>0</v>
      </c>
      <c r="H15" s="1008"/>
      <c r="I15" s="962"/>
      <c r="J15" s="986"/>
      <c r="K15" s="675"/>
      <c r="L15" s="983"/>
      <c r="M15" s="983"/>
      <c r="N15" s="983"/>
      <c r="O15" s="886"/>
      <c r="P15" s="886"/>
      <c r="Q15" s="983"/>
      <c r="R15" s="984"/>
    </row>
    <row r="16" spans="1:18" s="716" customFormat="1">
      <c r="A16" s="1023" t="str">
        <f>IDElec12_07!K$10</f>
        <v>h</v>
      </c>
      <c r="B16" s="687" t="str">
        <f>TRIM(CONCATENATE(IDElec12_07!K$7," ",IDElec12_07!K$8," ",IDElec12_07!K$9))</f>
        <v>Customer Advances</v>
      </c>
      <c r="F16" s="864">
        <f>IDElec12_07!K$26</f>
        <v>0</v>
      </c>
      <c r="G16" s="686"/>
      <c r="H16" s="1008"/>
      <c r="I16" s="986"/>
      <c r="J16" s="983"/>
      <c r="K16" s="675"/>
      <c r="L16" s="983"/>
      <c r="M16" s="983"/>
      <c r="N16" s="983"/>
      <c r="O16" s="886"/>
      <c r="P16" s="886"/>
      <c r="Q16" s="983"/>
      <c r="R16" s="984"/>
    </row>
    <row r="17" spans="1:18" s="716" customFormat="1">
      <c r="A17" s="1023" t="str">
        <f>IDElec12_07!L$10</f>
        <v>i</v>
      </c>
      <c r="B17" s="687" t="str">
        <f>TRIM(CONCATENATE(IDElec12_07!L$7," ",IDElec12_07!L$8," ",IDElec12_07!L$9))</f>
        <v>Weatherizn and DSM Investment</v>
      </c>
      <c r="E17" s="864">
        <f>IDElec12_07!L$18</f>
        <v>0</v>
      </c>
      <c r="F17" s="864">
        <f>IDElec12_07!L$26</f>
        <v>0</v>
      </c>
      <c r="G17" s="864">
        <f>IDElec12_07!L$68</f>
        <v>2630</v>
      </c>
      <c r="H17" s="983"/>
      <c r="I17" s="986"/>
      <c r="J17" s="983"/>
      <c r="K17" s="675"/>
      <c r="L17" s="983"/>
      <c r="M17" s="983"/>
      <c r="N17" s="983"/>
      <c r="O17" s="886"/>
      <c r="P17" s="886"/>
      <c r="Q17" s="983"/>
      <c r="R17" s="984"/>
    </row>
    <row r="18" spans="1:18" hidden="1">
      <c r="A18" s="683"/>
      <c r="B18" s="687"/>
      <c r="F18" s="858"/>
      <c r="G18" s="685"/>
      <c r="H18" s="749"/>
      <c r="I18" s="678"/>
      <c r="J18" s="986"/>
      <c r="K18" s="675"/>
      <c r="L18" s="675"/>
      <c r="M18" s="675"/>
      <c r="N18" s="675"/>
      <c r="O18" s="686"/>
      <c r="P18" s="686"/>
      <c r="Q18" s="675"/>
      <c r="R18" s="674"/>
    </row>
    <row r="19" spans="1:18">
      <c r="A19" s="684"/>
      <c r="B19" s="669" t="s">
        <v>137</v>
      </c>
      <c r="E19" s="1009">
        <f>SUM(E10:E17)</f>
        <v>77820</v>
      </c>
      <c r="F19" s="1009">
        <f>SUM(F10:F17)</f>
        <v>196203</v>
      </c>
      <c r="G19" s="1009">
        <f>SUM(G10:G17)</f>
        <v>302104</v>
      </c>
      <c r="H19" s="747"/>
      <c r="I19" s="925"/>
      <c r="J19" s="1010"/>
      <c r="K19" s="691"/>
      <c r="L19" s="675"/>
      <c r="M19" s="675"/>
      <c r="N19" s="675"/>
      <c r="O19" s="686"/>
      <c r="P19" s="686"/>
      <c r="Q19" s="675"/>
      <c r="R19" s="674"/>
    </row>
    <row r="20" spans="1:18">
      <c r="A20" s="980"/>
      <c r="F20" s="864"/>
      <c r="G20" s="686"/>
      <c r="H20" s="749"/>
      <c r="I20" s="678"/>
      <c r="J20" s="986"/>
      <c r="K20" s="675"/>
      <c r="L20" s="675"/>
      <c r="M20" s="675"/>
      <c r="N20" s="675"/>
      <c r="O20" s="686"/>
      <c r="P20" s="686"/>
      <c r="Q20" s="691"/>
      <c r="R20" s="674"/>
    </row>
    <row r="21" spans="1:18" s="698" customFormat="1">
      <c r="A21" s="1023" t="str">
        <f>IDElec12_07!N$10</f>
        <v>-</v>
      </c>
      <c r="B21" s="687" t="str">
        <f>TRIM(CONCATENATE(IDElec12_07!N$7," ",IDElec12_07!N$8," ",IDElec12_07!N$9))</f>
        <v>Subtotal Actual</v>
      </c>
      <c r="C21" s="716"/>
      <c r="D21" s="716"/>
      <c r="E21" s="716"/>
      <c r="F21" s="864">
        <f>IDElec12_07!N$26</f>
        <v>196203</v>
      </c>
      <c r="G21" s="886"/>
      <c r="H21" s="749"/>
      <c r="I21" s="986"/>
      <c r="J21" s="700"/>
      <c r="K21" s="675"/>
      <c r="L21" s="700"/>
      <c r="M21" s="700"/>
      <c r="N21" s="700"/>
      <c r="O21" s="703"/>
      <c r="P21" s="703"/>
      <c r="Q21" s="700"/>
      <c r="R21" s="699"/>
    </row>
    <row r="22" spans="1:18" s="716" customFormat="1">
      <c r="A22" s="1196" t="str">
        <f>IDElec12_07!O$10</f>
        <v>j</v>
      </c>
      <c r="B22" s="1197" t="str">
        <f>TRIM(CONCATENATE(IDElec12_07!O$7," ",IDElec12_07!O$8," ",IDElec12_07!O$9))</f>
        <v>Depreciation True-up</v>
      </c>
      <c r="C22" s="1108"/>
      <c r="D22" s="1108"/>
      <c r="E22" s="1198">
        <f>IDElec12_07!O$18</f>
        <v>0</v>
      </c>
      <c r="F22" s="1198">
        <f>IDElec12_07!O$26</f>
        <v>0</v>
      </c>
      <c r="G22" s="1198" t="e">
        <f>IDElec12_07!O$68*(IDElec12_07!O$26/IDElec12_07!O$43)</f>
        <v>#DIV/0!</v>
      </c>
      <c r="H22" s="1008"/>
      <c r="I22" s="986"/>
      <c r="J22" s="983"/>
      <c r="K22" s="675"/>
      <c r="L22" s="983"/>
      <c r="M22" s="983"/>
      <c r="N22" s="983"/>
      <c r="O22" s="886"/>
      <c r="P22" s="886"/>
      <c r="Q22" s="983"/>
      <c r="R22" s="984"/>
    </row>
    <row r="23" spans="1:18" s="698" customFormat="1">
      <c r="A23" s="1023" t="str">
        <f>IDElec12_07!P$10</f>
        <v>k</v>
      </c>
      <c r="B23" s="687" t="str">
        <f>TRIM(CONCATENATE(IDElec12_07!P$7," ",IDElec12_07!P$8," ",IDElec12_07!P$9))</f>
        <v>Eliminate B &amp; O Taxes</v>
      </c>
      <c r="C23" s="716"/>
      <c r="D23" s="716"/>
      <c r="E23" s="716"/>
      <c r="F23" s="864">
        <f>IDElec12_07!P$26</f>
        <v>0</v>
      </c>
      <c r="G23" s="886"/>
      <c r="H23" s="749"/>
      <c r="I23" s="700"/>
      <c r="J23" s="986"/>
      <c r="K23" s="700"/>
      <c r="L23" s="700"/>
      <c r="M23" s="700"/>
      <c r="N23" s="700"/>
      <c r="O23" s="703"/>
      <c r="P23" s="703"/>
      <c r="Q23" s="700"/>
      <c r="R23" s="699"/>
    </row>
    <row r="24" spans="1:18" s="698" customFormat="1">
      <c r="A24" s="1023" t="str">
        <f>IDElec12_07!Q$10</f>
        <v>l</v>
      </c>
      <c r="B24" s="687" t="str">
        <f>TRIM(CONCATENATE(IDElec12_07!Q$7," ",IDElec12_07!Q$8," ",IDElec12_07!Q$9))</f>
        <v>Property Tax</v>
      </c>
      <c r="C24" s="716"/>
      <c r="D24" s="716"/>
      <c r="E24" s="716"/>
      <c r="F24" s="864">
        <f>IDElec12_07!Q$26</f>
        <v>0</v>
      </c>
      <c r="G24" s="886"/>
      <c r="H24" s="749"/>
      <c r="I24" s="986"/>
      <c r="J24" s="700"/>
      <c r="K24" s="700"/>
      <c r="L24" s="700"/>
      <c r="M24" s="700"/>
      <c r="N24" s="700"/>
      <c r="O24" s="703"/>
      <c r="P24" s="703"/>
      <c r="Q24" s="700"/>
      <c r="R24" s="699"/>
    </row>
    <row r="25" spans="1:18" s="698" customFormat="1">
      <c r="A25" s="1023" t="str">
        <f>IDElec12_07!R$10</f>
        <v>m</v>
      </c>
      <c r="B25" s="687" t="str">
        <f>TRIM(CONCATENATE(IDElec12_07!R$7," ",IDElec12_07!R$8," ",IDElec12_07!R$9))</f>
        <v>Uncollect. Expense</v>
      </c>
      <c r="C25" s="716"/>
      <c r="D25" s="716"/>
      <c r="E25" s="716"/>
      <c r="F25" s="864">
        <f>IDElec12_07!R$26</f>
        <v>0</v>
      </c>
      <c r="G25" s="886"/>
      <c r="H25" s="749"/>
      <c r="I25" s="986"/>
      <c r="J25" s="700"/>
      <c r="K25" s="700"/>
      <c r="L25" s="700"/>
      <c r="M25" s="700" t="s">
        <v>499</v>
      </c>
      <c r="N25" s="700"/>
      <c r="O25" s="703"/>
      <c r="P25" s="703"/>
      <c r="Q25" s="700"/>
      <c r="R25" s="699"/>
    </row>
    <row r="26" spans="1:18" s="698" customFormat="1">
      <c r="A26" s="1023" t="str">
        <f>IDElec12_07!S$10</f>
        <v>n</v>
      </c>
      <c r="B26" s="687" t="str">
        <f>TRIM(CONCATENATE(IDElec12_07!S$7," ",IDElec12_07!S$8," ",IDElec12_07!S$9))</f>
        <v>Regulatory Expense</v>
      </c>
      <c r="C26" s="716"/>
      <c r="D26" s="716"/>
      <c r="E26" s="716"/>
      <c r="F26" s="864">
        <f>IDElec12_07!S$26</f>
        <v>0</v>
      </c>
      <c r="G26" s="886"/>
      <c r="H26" s="749"/>
      <c r="I26" s="986"/>
      <c r="J26" s="700"/>
      <c r="K26" s="700"/>
      <c r="L26" s="700"/>
      <c r="M26" s="700"/>
      <c r="N26" s="700"/>
      <c r="O26" s="703"/>
      <c r="P26" s="703"/>
      <c r="Q26" s="700"/>
      <c r="R26" s="699"/>
    </row>
    <row r="27" spans="1:18" s="965" customFormat="1">
      <c r="A27" s="1023" t="str">
        <f>IDElec12_07!T$10</f>
        <v>o</v>
      </c>
      <c r="B27" s="687" t="str">
        <f>TRIM(CONCATENATE(IDElec12_07!T$7," ",IDElec12_07!T$8," ",IDElec12_07!T$9))</f>
        <v>Injuries and Damages</v>
      </c>
      <c r="C27" s="716"/>
      <c r="E27" s="716"/>
      <c r="F27" s="864">
        <f>IDElec12_07!T$26</f>
        <v>0</v>
      </c>
      <c r="G27" s="886"/>
      <c r="H27" s="963"/>
      <c r="I27" s="962"/>
      <c r="J27" s="986"/>
      <c r="K27" s="1011"/>
      <c r="L27" s="962"/>
      <c r="M27" s="962"/>
      <c r="N27" s="962"/>
      <c r="O27" s="967"/>
      <c r="P27" s="967"/>
      <c r="Q27" s="962"/>
      <c r="R27" s="968"/>
    </row>
    <row r="28" spans="1:18" s="698" customFormat="1">
      <c r="A28" s="1023" t="str">
        <f>IDElec12_07!U$10</f>
        <v>p</v>
      </c>
      <c r="B28" s="687" t="str">
        <f>TRIM(CONCATENATE(IDElec12_07!U$7," ",IDElec12_07!U$8," ",IDElec12_07!U$9))</f>
        <v>FIT</v>
      </c>
      <c r="C28" s="716"/>
      <c r="D28" s="716"/>
      <c r="E28" s="716"/>
      <c r="F28" s="864">
        <f>IDElec12_07!U$26</f>
        <v>0</v>
      </c>
      <c r="G28" s="886"/>
      <c r="H28" s="749"/>
      <c r="I28" s="986"/>
      <c r="J28" s="700"/>
      <c r="K28" s="700"/>
      <c r="L28" s="700"/>
      <c r="M28" s="700"/>
      <c r="N28" s="700"/>
      <c r="O28" s="703"/>
      <c r="P28" s="703"/>
      <c r="Q28" s="700"/>
      <c r="R28" s="699"/>
    </row>
    <row r="29" spans="1:18" s="698" customFormat="1">
      <c r="A29" s="1023" t="str">
        <f>IDElec12_07!V$10</f>
        <v>q</v>
      </c>
      <c r="B29" s="687" t="str">
        <f>TRIM(CONCATENATE(IDElec12_07!V$7," ",IDElec12_07!V$8," ",IDElec12_07!V$9))</f>
        <v>Idaho PCA</v>
      </c>
      <c r="C29" s="716"/>
      <c r="D29" s="716"/>
      <c r="E29" s="716"/>
      <c r="F29" s="864">
        <f>IDElec12_07!V$26</f>
        <v>0</v>
      </c>
      <c r="G29" s="886"/>
      <c r="H29" s="749"/>
      <c r="I29" s="986"/>
      <c r="J29" s="700"/>
      <c r="K29" s="700"/>
      <c r="L29" s="700"/>
      <c r="M29" s="700"/>
      <c r="N29" s="700"/>
      <c r="O29" s="703"/>
      <c r="P29" s="703"/>
      <c r="Q29" s="700"/>
      <c r="R29" s="699"/>
    </row>
    <row r="30" spans="1:18" s="965" customFormat="1">
      <c r="A30" s="1023" t="str">
        <f>IDElec12_07!W$10</f>
        <v>r</v>
      </c>
      <c r="B30" s="687" t="str">
        <f>TRIM(CONCATENATE(IDElec12_07!W$7," ",IDElec12_07!W$8," ",IDElec12_07!W$9))</f>
        <v>Nez Perce Settlement Adjustment</v>
      </c>
      <c r="C30" s="716"/>
      <c r="D30" s="716"/>
      <c r="E30" s="716"/>
      <c r="F30" s="864">
        <f>IDElec12_07!W$26</f>
        <v>0</v>
      </c>
      <c r="G30" s="886"/>
      <c r="H30" s="963"/>
      <c r="I30" s="986"/>
      <c r="J30" s="986"/>
      <c r="K30" s="962"/>
      <c r="L30" s="962"/>
      <c r="M30" s="962"/>
      <c r="N30" s="962"/>
      <c r="O30" s="967"/>
      <c r="P30" s="967"/>
      <c r="Q30" s="962"/>
      <c r="R30" s="964"/>
    </row>
    <row r="31" spans="1:18">
      <c r="A31" s="1023" t="str">
        <f>IDElec12_07!Y$10</f>
        <v>t</v>
      </c>
      <c r="B31" s="687" t="str">
        <f>TRIM(CONCATENATE(IDElec12_07!Y$7," ",IDElec12_07!Y$8," ",IDElec12_07!Y$9))</f>
        <v>Clark Fork PM&amp;E</v>
      </c>
      <c r="C31" s="716"/>
      <c r="D31" s="716"/>
      <c r="E31" s="716"/>
      <c r="F31" s="864">
        <f>IDElec12_07!Y$26</f>
        <v>523</v>
      </c>
      <c r="G31" s="886"/>
      <c r="H31" s="749"/>
      <c r="I31" s="986"/>
      <c r="J31" s="986"/>
      <c r="K31" s="675"/>
      <c r="L31" s="675"/>
      <c r="M31" s="675"/>
      <c r="N31" s="675"/>
      <c r="O31" s="686"/>
      <c r="P31" s="686"/>
      <c r="Q31" s="675"/>
      <c r="R31" s="674"/>
    </row>
    <row r="32" spans="1:18" s="965" customFormat="1">
      <c r="A32" s="1023" t="str">
        <f>IDElec12_07!Z$10</f>
        <v>u</v>
      </c>
      <c r="B32" s="687" t="str">
        <f>TRIM(CONCATENATE(IDElec12_07!Z$7," ",IDElec12_07!Z$8," ",IDElec12_07!Z$9))</f>
        <v>Revenue Normalization Adjustment</v>
      </c>
      <c r="C32" s="716"/>
      <c r="D32" s="716"/>
      <c r="E32" s="716"/>
      <c r="F32" s="864">
        <f>IDElec12_07!Z$26</f>
        <v>0</v>
      </c>
      <c r="G32" s="886"/>
      <c r="H32" s="1008"/>
      <c r="I32" s="986"/>
      <c r="J32" s="962"/>
      <c r="K32" s="962"/>
      <c r="L32" s="962"/>
      <c r="M32" s="962"/>
      <c r="N32" s="962"/>
      <c r="O32" s="967"/>
      <c r="P32" s="967"/>
      <c r="Q32" s="962"/>
      <c r="R32" s="968"/>
    </row>
    <row r="33" spans="1:18" s="965" customFormat="1">
      <c r="A33" s="1023" t="str">
        <f>IDElec12_07!AA$10</f>
        <v>v</v>
      </c>
      <c r="B33" s="687" t="str">
        <f>TRIM(CONCATENATE(IDElec12_07!AA$7," ",IDElec12_07!AA$8," ",IDElec12_07!AA$9))</f>
        <v>Restate Debt Interest</v>
      </c>
      <c r="C33" s="716"/>
      <c r="D33" s="716"/>
      <c r="E33" s="716"/>
      <c r="F33" s="864">
        <f>IDElec12_07!AA$26</f>
        <v>0</v>
      </c>
      <c r="G33" s="886"/>
      <c r="H33" s="1008"/>
      <c r="I33" s="986"/>
      <c r="J33" s="962"/>
      <c r="K33" s="962"/>
      <c r="L33" s="962"/>
      <c r="M33" s="962"/>
      <c r="N33" s="962"/>
      <c r="O33" s="967"/>
      <c r="P33" s="967"/>
      <c r="Q33" s="962"/>
      <c r="R33" s="968"/>
    </row>
    <row r="34" spans="1:18">
      <c r="A34" s="1023" t="str">
        <f>IDElec12_07!AB$10</f>
        <v>w</v>
      </c>
      <c r="B34" s="687" t="str">
        <f>TRIM(CONCATENATE(IDElec12_07!AB$7," ",IDElec12_07!AB$8," ",IDElec12_07!AB$9))</f>
        <v>Misc Restating</v>
      </c>
      <c r="C34" s="716"/>
      <c r="D34" s="988"/>
      <c r="E34" s="716"/>
      <c r="F34" s="864">
        <f>IDElec12_07!AB$26</f>
        <v>0</v>
      </c>
      <c r="G34" s="886"/>
      <c r="H34" s="1012"/>
      <c r="I34" s="986"/>
      <c r="J34" s="986"/>
      <c r="K34" s="962"/>
      <c r="L34" s="675"/>
      <c r="M34" s="675"/>
      <c r="N34" s="675"/>
      <c r="O34" s="686"/>
      <c r="P34" s="686"/>
      <c r="Q34" s="675"/>
      <c r="R34" s="674"/>
    </row>
    <row r="35" spans="1:18" s="965" customFormat="1" hidden="1">
      <c r="A35" s="1023">
        <f>IDElec12_07!AD$10</f>
        <v>0</v>
      </c>
      <c r="B35" s="687" t="str">
        <f>TRIM(CONCATENATE(IDElec12_07!AD$7," ",IDElec12_07!AD$8," ",IDElec12_07!AD$9))</f>
        <v/>
      </c>
      <c r="C35" s="716"/>
      <c r="D35" s="716"/>
      <c r="E35" s="716"/>
      <c r="F35" s="864">
        <f>IDElec12_07!AD$26</f>
        <v>0</v>
      </c>
      <c r="G35" s="886"/>
      <c r="H35" s="963"/>
      <c r="I35" s="962"/>
      <c r="J35" s="986"/>
      <c r="K35" s="675"/>
    </row>
    <row r="36" spans="1:18" s="965" customFormat="1" hidden="1">
      <c r="A36" s="1023">
        <f>IDElec12_07!AC$10</f>
        <v>0</v>
      </c>
      <c r="B36" s="687" t="str">
        <f>TRIM(CONCATENATE(IDElec12_07!AC$7," ",IDElec12_07!AC$8," ",IDElec12_07!AC$9))</f>
        <v/>
      </c>
      <c r="C36" s="716"/>
      <c r="E36" s="716"/>
      <c r="F36" s="864">
        <f>IDElec12_07!AC$26</f>
        <v>0</v>
      </c>
      <c r="G36" s="886"/>
      <c r="H36" s="963"/>
      <c r="I36" s="962"/>
      <c r="J36" s="986"/>
      <c r="K36" s="675"/>
      <c r="L36" s="962"/>
      <c r="M36" s="962"/>
      <c r="N36" s="962"/>
      <c r="O36" s="967"/>
      <c r="P36" s="967"/>
      <c r="Q36" s="962"/>
      <c r="R36" s="968"/>
    </row>
    <row r="37" spans="1:18" hidden="1">
      <c r="A37" s="753"/>
      <c r="B37" s="715"/>
      <c r="C37" s="716"/>
      <c r="D37" s="716"/>
      <c r="E37" s="716"/>
      <c r="F37" s="686"/>
      <c r="G37" s="886"/>
      <c r="H37" s="749"/>
      <c r="I37" s="678"/>
      <c r="J37" s="986"/>
      <c r="K37" s="675"/>
      <c r="L37" s="675"/>
      <c r="M37" s="675"/>
      <c r="N37" s="675"/>
      <c r="O37" s="686"/>
      <c r="P37" s="686"/>
      <c r="Q37" s="675"/>
      <c r="R37" s="674"/>
    </row>
    <row r="38" spans="1:18" hidden="1">
      <c r="A38" s="753"/>
      <c r="B38" s="715"/>
      <c r="C38" s="716"/>
      <c r="D38" s="716"/>
      <c r="E38" s="716"/>
      <c r="F38" s="686"/>
      <c r="G38" s="886"/>
      <c r="H38" s="749"/>
      <c r="I38" s="678"/>
      <c r="J38" s="986"/>
      <c r="K38" s="675"/>
      <c r="L38" s="675"/>
      <c r="M38" s="675"/>
      <c r="N38" s="675"/>
      <c r="O38" s="686"/>
      <c r="P38" s="686"/>
      <c r="Q38" s="675"/>
      <c r="R38" s="674"/>
    </row>
    <row r="39" spans="1:18" hidden="1">
      <c r="A39" s="753">
        <f>IDElec12_07!AF$10</f>
        <v>0</v>
      </c>
      <c r="B39" s="715" t="str">
        <f>TRIM(CONCATENATE(IDElec12_07!AF$7," ",IDElec12_07!AF$8," ",IDElec12_07!AF$9))</f>
        <v/>
      </c>
      <c r="C39" s="716"/>
      <c r="D39" s="716"/>
      <c r="E39" s="716"/>
      <c r="F39" s="686"/>
      <c r="G39" s="886"/>
      <c r="H39" s="749"/>
      <c r="I39" s="678"/>
      <c r="J39" s="986"/>
      <c r="K39" s="675"/>
      <c r="L39" s="675"/>
      <c r="M39" s="675"/>
      <c r="N39" s="675"/>
      <c r="O39" s="686"/>
      <c r="P39" s="686"/>
      <c r="Q39" s="675"/>
      <c r="R39" s="674"/>
    </row>
    <row r="40" spans="1:18" hidden="1">
      <c r="A40" s="753"/>
      <c r="B40" s="715"/>
      <c r="C40" s="716"/>
      <c r="D40" s="716"/>
      <c r="E40" s="716"/>
      <c r="F40" s="686"/>
      <c r="G40" s="886"/>
      <c r="H40" s="749"/>
      <c r="I40" s="678"/>
      <c r="J40" s="986"/>
      <c r="K40" s="675"/>
      <c r="L40" s="675"/>
      <c r="M40" s="675"/>
      <c r="N40" s="675"/>
      <c r="O40" s="686"/>
      <c r="P40" s="686"/>
      <c r="Q40" s="675"/>
      <c r="R40" s="674"/>
    </row>
    <row r="41" spans="1:18" s="881" customFormat="1" hidden="1">
      <c r="A41" s="753"/>
      <c r="B41" s="715"/>
      <c r="C41" s="716"/>
      <c r="D41" s="716"/>
      <c r="E41" s="716"/>
      <c r="F41" s="686"/>
      <c r="G41" s="886"/>
      <c r="H41" s="749"/>
      <c r="I41" s="1013"/>
      <c r="J41" s="986"/>
      <c r="K41" s="882"/>
      <c r="L41" s="882"/>
      <c r="M41" s="882"/>
      <c r="N41" s="882"/>
      <c r="O41" s="883"/>
      <c r="P41" s="883"/>
      <c r="Q41" s="882"/>
      <c r="R41" s="884"/>
    </row>
    <row r="42" spans="1:18">
      <c r="A42" s="692"/>
      <c r="B42" s="669" t="s">
        <v>138</v>
      </c>
      <c r="E42" s="1014">
        <f>SUM(E19:E36)</f>
        <v>77820</v>
      </c>
      <c r="F42" s="1014">
        <f>SUM(F21:F36)</f>
        <v>196726</v>
      </c>
      <c r="G42" s="1014" t="e">
        <f>SUM(G19:G36)</f>
        <v>#DIV/0!</v>
      </c>
      <c r="H42" s="912"/>
      <c r="I42" s="926"/>
      <c r="J42" s="986"/>
      <c r="K42" s="691"/>
      <c r="L42" s="675"/>
      <c r="M42" s="675"/>
      <c r="N42" s="675"/>
      <c r="O42" s="686"/>
      <c r="P42" s="686"/>
      <c r="Q42" s="675"/>
      <c r="R42" s="674"/>
    </row>
    <row r="43" spans="1:18">
      <c r="A43" s="692"/>
      <c r="F43" s="911"/>
      <c r="G43" s="685"/>
      <c r="H43" s="747"/>
      <c r="I43" s="925"/>
      <c r="J43" s="986"/>
      <c r="K43" s="675"/>
      <c r="L43" s="675"/>
      <c r="M43" s="675"/>
      <c r="N43" s="675"/>
      <c r="O43" s="686"/>
      <c r="P43" s="686"/>
      <c r="Q43" s="675"/>
      <c r="R43" s="674"/>
    </row>
    <row r="44" spans="1:18">
      <c r="A44" s="1023" t="str">
        <f>IDElec12_07!AH$10</f>
        <v>PF1</v>
      </c>
      <c r="B44" s="687" t="str">
        <f>TRIM(CONCATENATE(IDElec12_07!AH$7," ",IDElec12_07!AH$8," ",IDElec12_07!AH$9))</f>
        <v>Pro Forma Power Supply</v>
      </c>
      <c r="D44" s="716"/>
      <c r="E44" s="864">
        <f>IDElec12_07!AH$18</f>
        <v>-25544</v>
      </c>
      <c r="F44" s="864">
        <f>IDElec12_07!AH$26</f>
        <v>-25199</v>
      </c>
      <c r="G44" s="864">
        <f>IDElec12_07!AH$68</f>
        <v>0</v>
      </c>
      <c r="H44" s="1012"/>
      <c r="I44" s="1015"/>
      <c r="J44" s="986"/>
      <c r="K44" s="675"/>
      <c r="L44" s="675"/>
      <c r="M44" s="675"/>
      <c r="N44" s="675"/>
      <c r="O44" s="686"/>
      <c r="P44" s="686"/>
      <c r="Q44" s="675"/>
      <c r="R44" s="674"/>
    </row>
    <row r="45" spans="1:18">
      <c r="A45" s="1023" t="str">
        <f>IDElec12_07!AI$10</f>
        <v>PF2</v>
      </c>
      <c r="B45" s="687" t="str">
        <f>TRIM(CONCATENATE(IDElec12_07!AI$7," ",IDElec12_07!AI$8," ",IDElec12_07!AI$9))</f>
        <v>Pro Forma Production Factor Adj</v>
      </c>
      <c r="D45" s="716"/>
      <c r="E45" s="1020"/>
      <c r="F45" s="1022"/>
      <c r="G45" s="1021"/>
      <c r="H45" s="1012"/>
      <c r="I45" s="1015"/>
      <c r="J45" s="986"/>
      <c r="K45" s="675"/>
      <c r="L45" s="675"/>
      <c r="M45" s="675"/>
      <c r="N45" s="675"/>
      <c r="O45" s="686"/>
      <c r="P45" s="686"/>
      <c r="Q45" s="675"/>
      <c r="R45" s="674"/>
    </row>
    <row r="46" spans="1:18">
      <c r="A46" s="1023" t="str">
        <f>IDElec12_07!AJ$10</f>
        <v>PF3</v>
      </c>
      <c r="B46" s="687" t="str">
        <f>TRIM(CONCATENATE(IDElec12_07!AJ$7," ",IDElec12_07!AJ$8," ",IDElec12_07!AJ$9))</f>
        <v>Pro Forma Labor Non-Exec</v>
      </c>
      <c r="D46" s="716"/>
      <c r="E46" s="1005"/>
      <c r="F46" s="864">
        <f>IDElec12_07!AJ$26</f>
        <v>399</v>
      </c>
      <c r="G46" s="1006"/>
      <c r="H46" s="749"/>
      <c r="I46" s="986"/>
      <c r="J46" s="986"/>
      <c r="K46" s="675"/>
      <c r="L46" s="675"/>
      <c r="M46" s="675"/>
      <c r="N46" s="675"/>
      <c r="O46" s="686"/>
      <c r="P46" s="686"/>
      <c r="Q46" s="675"/>
      <c r="R46" s="674"/>
    </row>
    <row r="47" spans="1:18">
      <c r="A47" s="1023" t="str">
        <f>IDElec12_07!AK$10</f>
        <v>PF4</v>
      </c>
      <c r="B47" s="687" t="str">
        <f>TRIM(CONCATENATE(IDElec12_07!AK$7," ",IDElec12_07!AK$8," ",IDElec12_07!AK$9))</f>
        <v>Pro Forma Labor Exec</v>
      </c>
      <c r="D47" s="716"/>
      <c r="E47" s="1005"/>
      <c r="F47" s="864">
        <f>IDElec12_07!AK$26</f>
        <v>5</v>
      </c>
      <c r="G47" s="1006"/>
      <c r="H47" s="749"/>
      <c r="I47" s="986"/>
      <c r="J47" s="986"/>
      <c r="K47" s="675"/>
      <c r="L47" s="675"/>
      <c r="M47" s="675"/>
      <c r="N47" s="675"/>
      <c r="O47" s="686"/>
      <c r="P47" s="686"/>
      <c r="Q47" s="675"/>
      <c r="R47" s="674"/>
    </row>
    <row r="48" spans="1:18">
      <c r="A48" s="1023" t="str">
        <f>IDElec12_07!AL$10</f>
        <v>PF5</v>
      </c>
      <c r="B48" s="687" t="str">
        <f>TRIM(CONCATENATE(IDElec12_07!AL$7," ",IDElec12_07!AL$8," ",IDElec12_07!AL$9))</f>
        <v>Pro Forma Transmission Rev/Exp</v>
      </c>
      <c r="D48" s="716"/>
      <c r="E48" s="1005"/>
      <c r="F48" s="864">
        <f>IDElec12_07!AL$26</f>
        <v>0</v>
      </c>
      <c r="G48" s="864">
        <f>IDElec12_07!AJ$68</f>
        <v>0</v>
      </c>
      <c r="H48" s="749"/>
      <c r="I48" s="986"/>
      <c r="J48" s="986"/>
      <c r="K48" s="675"/>
      <c r="L48" s="675"/>
      <c r="M48" s="675"/>
      <c r="N48" s="675"/>
      <c r="O48" s="686"/>
      <c r="P48" s="686"/>
      <c r="Q48" s="675"/>
      <c r="R48" s="674"/>
    </row>
    <row r="49" spans="1:18">
      <c r="A49" s="1023" t="str">
        <f>IDElec12_07!AM$10</f>
        <v>PF6</v>
      </c>
      <c r="B49" s="687" t="str">
        <f>TRIM(CONCATENATE(IDElec12_07!AM$7," ",IDElec12_07!AM$8," ",IDElec12_07!AM$9))</f>
        <v>Pro Forma Capital Add 2007</v>
      </c>
      <c r="D49" s="716"/>
      <c r="E49" s="864">
        <f>IDElec12_07!AM$18</f>
        <v>0</v>
      </c>
      <c r="F49" s="864">
        <f>IDElec12_07!AM$26</f>
        <v>0</v>
      </c>
      <c r="G49" s="1090">
        <f>359+13223-202-809</f>
        <v>12571</v>
      </c>
      <c r="H49" s="749"/>
      <c r="I49" s="678"/>
      <c r="J49" s="986"/>
      <c r="K49" s="675"/>
      <c r="L49" s="675"/>
      <c r="M49" s="675"/>
      <c r="N49" s="675"/>
      <c r="O49" s="686"/>
      <c r="P49" s="686"/>
      <c r="Q49" s="675"/>
      <c r="R49" s="674"/>
    </row>
    <row r="50" spans="1:18">
      <c r="A50" s="1023" t="str">
        <f>IDElec12_07!AN$10</f>
        <v>PF7</v>
      </c>
      <c r="B50" s="687" t="str">
        <f>TRIM(CONCATENATE(IDElec12_07!AN$7," ",IDElec12_07!AN$8," ",IDElec12_07!AN$9))</f>
        <v>Pro Forma Capital Add 2008</v>
      </c>
      <c r="D50" s="716"/>
      <c r="E50" s="864"/>
      <c r="F50" s="864">
        <f>IDElec12_07!AN$26</f>
        <v>0</v>
      </c>
      <c r="G50" s="1090">
        <f>-9205-3207-1536-676+6921+4238-65-41</f>
        <v>-3571</v>
      </c>
      <c r="H50" s="749"/>
      <c r="I50" s="678"/>
      <c r="J50" s="1090">
        <f>-4572-1593-543-239-86-59-44-39+7050+1202-46-14</f>
        <v>1017</v>
      </c>
      <c r="K50" s="675" t="s">
        <v>611</v>
      </c>
    </row>
    <row r="51" spans="1:18">
      <c r="A51" s="1023" t="str">
        <f>IDElec12_07!AO$10</f>
        <v>PF8</v>
      </c>
      <c r="B51" s="687" t="str">
        <f>TRIM(CONCATENATE(IDElec12_07!AO$7," ",IDElec12_07!AO$8," ",IDElec12_07!AO$9))</f>
        <v>Pro Forma Asset Management</v>
      </c>
      <c r="D51" s="716"/>
      <c r="E51" s="864"/>
      <c r="F51" s="864">
        <f>IDElec12_07!AO$26</f>
        <v>0</v>
      </c>
      <c r="G51" s="864">
        <f>IDElec12_07!AO$68</f>
        <v>0</v>
      </c>
      <c r="H51" s="749"/>
      <c r="I51" s="678"/>
      <c r="J51" s="986"/>
      <c r="K51" s="675"/>
    </row>
    <row r="52" spans="1:18">
      <c r="A52" s="1023" t="str">
        <f>IDElec12_07!AP$10</f>
        <v>PF9</v>
      </c>
      <c r="B52" s="687" t="str">
        <f>TRIM(CONCATENATE(IDElec12_07!AP$7," ",IDElec12_07!AP$8," ",IDElec12_07!AP$9))</f>
        <v>Pro Forma Spokane Rvr Relicensing</v>
      </c>
      <c r="D52" s="716"/>
      <c r="E52" s="864"/>
      <c r="F52" s="864">
        <f>IDElec12_07!AP$26</f>
        <v>0</v>
      </c>
      <c r="G52" s="864">
        <f>IDElec12_07!AP$68</f>
        <v>0</v>
      </c>
      <c r="H52" s="749"/>
      <c r="I52" s="986"/>
      <c r="J52" s="986"/>
      <c r="K52" s="675"/>
    </row>
    <row r="53" spans="1:18">
      <c r="A53" s="1023" t="str">
        <f>IDElec12_07!AQ$10</f>
        <v>PF10</v>
      </c>
      <c r="B53" s="687" t="str">
        <f>TRIM(CONCATENATE(IDElec12_07!AQ$7," ",IDElec12_07!AQ$8," ",IDElec12_07!AQ$9))</f>
        <v>Pro Forma CDA Tribe Settlement</v>
      </c>
      <c r="D53" s="716"/>
      <c r="E53" s="864"/>
      <c r="F53" s="864">
        <f>IDElec12_07!AQ$26</f>
        <v>0</v>
      </c>
      <c r="G53" s="864">
        <f>IDElec12_07!AQ$68</f>
        <v>0</v>
      </c>
      <c r="H53" s="749"/>
      <c r="I53" s="678"/>
      <c r="J53" s="986"/>
      <c r="K53" s="675"/>
    </row>
    <row r="54" spans="1:18">
      <c r="A54" s="1023" t="str">
        <f>IDElec12_07!AR$10</f>
        <v>PF11</v>
      </c>
      <c r="B54" s="687" t="str">
        <f>TRIM(CONCATENATE(IDElec12_07!AR$7," ",IDElec12_07!AR$8," ",IDElec12_07!AR$9))</f>
        <v>Pro Forma Montana Lease</v>
      </c>
      <c r="D54" s="716"/>
      <c r="E54" s="864"/>
      <c r="F54" s="864">
        <f>IDElec12_07!AR$26</f>
        <v>0</v>
      </c>
      <c r="G54" s="864">
        <f>IDElec12_07!AR$68</f>
        <v>0</v>
      </c>
      <c r="H54" s="749"/>
      <c r="I54" s="678"/>
      <c r="J54" s="986"/>
      <c r="K54" s="675"/>
    </row>
    <row r="55" spans="1:18">
      <c r="A55" s="1023" t="str">
        <f>IDElec12_07!AS$10</f>
        <v>PF12</v>
      </c>
      <c r="B55" s="687" t="str">
        <f>TRIM(CONCATENATE(IDElec12_07!AS$7," ",IDElec12_07!AS$8," ",IDElec12_07!AS$9))</f>
        <v>Pro Forma Colstrip Mercury Emiss. O&amp;M</v>
      </c>
      <c r="D55" s="716"/>
      <c r="E55" s="864"/>
      <c r="F55" s="864">
        <f>IDElec12_07!AS$26</f>
        <v>0</v>
      </c>
      <c r="G55" s="1006">
        <f>IDElec12_07!AS$68</f>
        <v>0</v>
      </c>
      <c r="H55" s="749"/>
      <c r="I55" s="678"/>
      <c r="J55" s="986"/>
      <c r="K55" s="675"/>
    </row>
    <row r="56" spans="1:18">
      <c r="A56" s="1023" t="str">
        <f>IDElec12_07!AT$10</f>
        <v>PF13</v>
      </c>
      <c r="B56" s="687" t="str">
        <f>TRIM(CONCATENATE(IDElec12_07!AT$7," ",IDElec12_07!AT$8," ",IDElec12_07!AT$9))</f>
        <v>Pro Forma Incentives</v>
      </c>
      <c r="D56" s="716"/>
      <c r="E56" s="864"/>
      <c r="F56" s="864">
        <f>IDElec12_07!AT$26</f>
        <v>0</v>
      </c>
      <c r="G56" s="1006"/>
      <c r="H56" s="749"/>
      <c r="I56" s="678"/>
      <c r="J56" s="986"/>
      <c r="K56" s="675"/>
    </row>
    <row r="57" spans="1:18" ht="1.5" hidden="1" customHeight="1">
      <c r="A57" s="1023" t="str">
        <f>IDElec12_07!AU$10</f>
        <v>PF14</v>
      </c>
      <c r="B57" s="687" t="str">
        <f>TRIM(CONCATENATE(IDElec12_07!AU$7," ",IDElec12_07!AU$8," ",IDElec12_07!AU$9))</f>
        <v>Pro Forma ID AMR</v>
      </c>
      <c r="D57" s="716"/>
      <c r="E57" s="864"/>
      <c r="F57" s="864">
        <f>IDElec12_07!AU$26</f>
        <v>0</v>
      </c>
      <c r="G57" s="1006"/>
      <c r="H57" s="749"/>
      <c r="I57" s="678"/>
      <c r="J57" s="986"/>
      <c r="K57" s="675"/>
    </row>
    <row r="58" spans="1:18">
      <c r="A58" s="677"/>
      <c r="B58" s="839"/>
      <c r="C58" s="675"/>
      <c r="D58" s="675"/>
      <c r="E58" s="693"/>
      <c r="F58" s="686"/>
      <c r="G58" s="686"/>
      <c r="H58" s="749"/>
      <c r="I58" s="678"/>
      <c r="J58" s="986"/>
      <c r="K58" s="675"/>
      <c r="L58" s="675"/>
      <c r="M58" s="675"/>
      <c r="N58" s="675"/>
      <c r="O58" s="686"/>
      <c r="P58" s="686"/>
      <c r="Q58" s="675"/>
      <c r="R58" s="674"/>
    </row>
    <row r="59" spans="1:18">
      <c r="A59" s="677"/>
      <c r="B59" s="675" t="s">
        <v>421</v>
      </c>
      <c r="C59" s="675"/>
      <c r="D59" s="675"/>
      <c r="E59" s="1014">
        <f>SUM(E42:E58)</f>
        <v>52276</v>
      </c>
      <c r="F59" s="1014">
        <f>SUM(F42:F58)</f>
        <v>171931</v>
      </c>
      <c r="G59" s="1014" t="e">
        <f>SUM(G42:G58)</f>
        <v>#DIV/0!</v>
      </c>
      <c r="H59" s="912"/>
      <c r="I59" s="926"/>
      <c r="J59" s="986"/>
      <c r="K59" s="691"/>
      <c r="L59" s="675"/>
      <c r="M59" s="675"/>
      <c r="N59" s="675"/>
      <c r="O59" s="685"/>
      <c r="P59" s="685"/>
      <c r="Q59" s="695"/>
      <c r="R59" s="674"/>
    </row>
    <row r="60" spans="1:18">
      <c r="A60" s="677"/>
      <c r="B60" s="675"/>
      <c r="C60" s="675"/>
      <c r="D60" s="675"/>
      <c r="E60" s="693"/>
      <c r="F60" s="911"/>
      <c r="G60" s="911"/>
      <c r="H60" s="912"/>
      <c r="I60" s="926"/>
      <c r="J60" s="986"/>
      <c r="K60" s="675"/>
      <c r="L60" s="675"/>
      <c r="M60" s="675"/>
      <c r="N60" s="675"/>
      <c r="O60" s="685"/>
      <c r="P60" s="685"/>
      <c r="Q60" s="695"/>
      <c r="R60" s="674"/>
    </row>
    <row r="61" spans="1:18">
      <c r="A61" s="677"/>
      <c r="B61" s="675" t="s">
        <v>615</v>
      </c>
      <c r="C61" s="675"/>
      <c r="D61" s="864">
        <f>3582762623/1000-462755</f>
        <v>3120007.6230000001</v>
      </c>
      <c r="E61" s="693" t="s">
        <v>616</v>
      </c>
      <c r="F61" s="1016"/>
      <c r="G61" s="911"/>
      <c r="H61" s="912"/>
      <c r="I61" s="926"/>
      <c r="J61" s="986"/>
      <c r="K61" s="675"/>
      <c r="L61" s="675"/>
      <c r="M61" s="675"/>
      <c r="N61" s="675"/>
      <c r="O61" s="685"/>
      <c r="P61" s="685"/>
      <c r="Q61" s="695"/>
      <c r="R61" s="674"/>
    </row>
    <row r="62" spans="1:18">
      <c r="B62" s="1017" t="s">
        <v>614</v>
      </c>
      <c r="D62" s="864">
        <f>3429480316/1000-462755</f>
        <v>2966725.3160000001</v>
      </c>
      <c r="E62" s="693" t="s">
        <v>616</v>
      </c>
      <c r="H62" s="669"/>
      <c r="I62" s="669"/>
      <c r="J62" s="669"/>
    </row>
    <row r="63" spans="1:18">
      <c r="C63" s="669" t="s">
        <v>522</v>
      </c>
      <c r="D63" s="669">
        <f>ROUND(D62/D61,6)</f>
        <v>0.95087100000000002</v>
      </c>
      <c r="H63" s="669"/>
      <c r="I63" s="669"/>
      <c r="J63" s="669"/>
    </row>
    <row r="65" spans="1:11">
      <c r="B65" s="669" t="s">
        <v>604</v>
      </c>
      <c r="E65" s="961">
        <f>ROUND(E59*$D$63,0)</f>
        <v>49708</v>
      </c>
      <c r="F65" s="961">
        <f>ROUND(F59*$D$63,0)</f>
        <v>163484</v>
      </c>
      <c r="G65" s="961" t="e">
        <f>ROUND(G59*$D$63,0)</f>
        <v>#DIV/0!</v>
      </c>
      <c r="H65" s="669"/>
      <c r="I65" s="669"/>
      <c r="J65" s="1199">
        <v>0.95721699999999998</v>
      </c>
      <c r="K65" s="1199" t="s">
        <v>617</v>
      </c>
    </row>
    <row r="66" spans="1:11">
      <c r="H66" s="669"/>
      <c r="I66" s="669"/>
      <c r="J66" s="669"/>
    </row>
    <row r="67" spans="1:11">
      <c r="B67" s="669" t="s">
        <v>551</v>
      </c>
      <c r="E67" s="1139">
        <f>E65-E59</f>
        <v>-2568</v>
      </c>
      <c r="F67" s="1139">
        <f>F65-F59</f>
        <v>-8447</v>
      </c>
      <c r="G67" s="1139" t="e">
        <f>G65-G59</f>
        <v>#DIV/0!</v>
      </c>
      <c r="H67" s="669"/>
      <c r="I67" s="669"/>
      <c r="J67" s="669"/>
    </row>
    <row r="68" spans="1:11">
      <c r="H68" s="669"/>
      <c r="I68" s="669"/>
      <c r="J68" s="669"/>
    </row>
    <row r="69" spans="1:11">
      <c r="H69" s="669"/>
      <c r="I69" s="669"/>
      <c r="J69" s="669"/>
    </row>
    <row r="70" spans="1:11">
      <c r="B70" s="669" t="s">
        <v>523</v>
      </c>
      <c r="F70" s="1199" t="s">
        <v>633</v>
      </c>
      <c r="G70" s="1200"/>
      <c r="H70" s="669"/>
      <c r="I70" s="669"/>
      <c r="J70" s="669"/>
    </row>
    <row r="71" spans="1:11">
      <c r="B71" s="669" t="s">
        <v>536</v>
      </c>
      <c r="H71" s="669"/>
      <c r="I71" s="669"/>
      <c r="J71" s="669"/>
    </row>
    <row r="72" spans="1:11">
      <c r="H72" s="669"/>
      <c r="I72" s="669"/>
      <c r="J72" s="669"/>
    </row>
    <row r="73" spans="1:11">
      <c r="E73" s="677">
        <v>2007</v>
      </c>
      <c r="F73" s="677">
        <v>2009</v>
      </c>
      <c r="G73" s="677" t="s">
        <v>524</v>
      </c>
      <c r="H73" s="669"/>
      <c r="I73" s="669"/>
      <c r="J73" s="669"/>
    </row>
    <row r="74" spans="1:11">
      <c r="A74" s="847">
        <v>1</v>
      </c>
      <c r="B74" s="69" t="s">
        <v>535</v>
      </c>
      <c r="C74" s="69" t="s">
        <v>407</v>
      </c>
      <c r="D74" s="69"/>
      <c r="E74" s="673" t="e">
        <f>G65</f>
        <v>#DIV/0!</v>
      </c>
      <c r="F74" s="961" t="e">
        <f>G59</f>
        <v>#DIV/0!</v>
      </c>
      <c r="H74" s="669"/>
      <c r="I74" s="669"/>
      <c r="J74" s="669"/>
    </row>
    <row r="75" spans="1:11">
      <c r="A75" s="847"/>
      <c r="B75" s="69"/>
      <c r="C75" s="69"/>
      <c r="D75" s="69"/>
      <c r="E75" s="673"/>
      <c r="H75" s="669"/>
      <c r="I75" s="669"/>
      <c r="J75" s="669"/>
    </row>
    <row r="76" spans="1:11">
      <c r="A76" s="847">
        <v>2</v>
      </c>
      <c r="B76" s="69"/>
      <c r="C76" s="69" t="s">
        <v>284</v>
      </c>
      <c r="D76" s="69"/>
      <c r="E76" s="1098">
        <f>RevReq_Exh_WA!R25</f>
        <v>8.249999999999999E-2</v>
      </c>
      <c r="F76" s="1098">
        <f>E76</f>
        <v>8.249999999999999E-2</v>
      </c>
      <c r="G76" s="1099">
        <f>RevReq_Exh_WA!S12</f>
        <v>3.5099999999999999E-2</v>
      </c>
      <c r="H76" s="669"/>
      <c r="I76" s="669"/>
      <c r="J76" s="669"/>
    </row>
    <row r="77" spans="1:11">
      <c r="A77" s="847"/>
      <c r="B77" s="69"/>
      <c r="C77" s="69"/>
      <c r="D77" s="69"/>
      <c r="E77" s="848"/>
      <c r="H77" s="669"/>
      <c r="I77" s="669"/>
      <c r="J77" s="669"/>
    </row>
    <row r="78" spans="1:11">
      <c r="A78" s="847">
        <v>3</v>
      </c>
      <c r="B78" s="69" t="s">
        <v>38</v>
      </c>
      <c r="C78" s="69" t="s">
        <v>285</v>
      </c>
      <c r="D78" s="69"/>
      <c r="E78" s="673" t="e">
        <f>E74*E76</f>
        <v>#DIV/0!</v>
      </c>
      <c r="F78" s="673" t="e">
        <f>F74*F76</f>
        <v>#DIV/0!</v>
      </c>
      <c r="H78" s="669"/>
      <c r="I78" s="669"/>
      <c r="J78" s="669"/>
    </row>
    <row r="79" spans="1:11">
      <c r="A79" s="847"/>
      <c r="B79" s="69"/>
      <c r="C79" s="69"/>
      <c r="D79" s="69"/>
      <c r="E79" s="673"/>
      <c r="F79" s="673"/>
      <c r="H79" s="669"/>
      <c r="I79" s="669"/>
      <c r="J79" s="669"/>
    </row>
    <row r="80" spans="1:11">
      <c r="A80" s="847">
        <v>4</v>
      </c>
      <c r="B80" s="69" t="s">
        <v>525</v>
      </c>
      <c r="C80" s="69" t="s">
        <v>285</v>
      </c>
      <c r="D80" s="69"/>
      <c r="E80" s="673" t="e">
        <f>E74*$G$76*-0.35</f>
        <v>#DIV/0!</v>
      </c>
      <c r="F80" s="673" t="e">
        <f>F74*$G$76*-0.35</f>
        <v>#DIV/0!</v>
      </c>
      <c r="H80" s="669"/>
      <c r="I80" s="669"/>
      <c r="J80" s="669"/>
    </row>
    <row r="81" spans="1:10">
      <c r="A81" s="847"/>
      <c r="B81" s="69"/>
      <c r="C81" s="69" t="s">
        <v>526</v>
      </c>
      <c r="D81" s="69"/>
      <c r="E81" s="673"/>
      <c r="F81" s="673"/>
      <c r="H81" s="669"/>
      <c r="I81" s="669"/>
      <c r="J81" s="669"/>
    </row>
    <row r="82" spans="1:10" ht="6" customHeight="1">
      <c r="A82" s="847"/>
      <c r="B82" s="69"/>
      <c r="C82" s="69"/>
      <c r="D82" s="69"/>
      <c r="E82" s="673"/>
      <c r="H82" s="669"/>
      <c r="I82" s="669"/>
      <c r="J82" s="669"/>
    </row>
    <row r="83" spans="1:10">
      <c r="A83" s="847">
        <v>5</v>
      </c>
      <c r="B83" s="69" t="s">
        <v>527</v>
      </c>
      <c r="C83" s="69" t="s">
        <v>285</v>
      </c>
      <c r="D83" s="69"/>
      <c r="E83" s="849">
        <f>-(E65-F65)</f>
        <v>113776</v>
      </c>
      <c r="F83" s="849">
        <f>-(E59-F59)</f>
        <v>119655</v>
      </c>
      <c r="H83" s="669"/>
      <c r="I83" s="669"/>
      <c r="J83" s="669"/>
    </row>
    <row r="84" spans="1:10">
      <c r="A84" s="847"/>
      <c r="B84" s="69"/>
      <c r="C84" s="69" t="s">
        <v>528</v>
      </c>
      <c r="D84" s="69"/>
      <c r="E84" s="849"/>
      <c r="H84" s="669"/>
      <c r="I84" s="669"/>
      <c r="J84" s="669"/>
    </row>
    <row r="85" spans="1:10" ht="6.75" customHeight="1">
      <c r="A85" s="847"/>
      <c r="B85" s="69"/>
      <c r="C85" s="69"/>
      <c r="D85" s="69"/>
      <c r="E85" s="849"/>
      <c r="H85" s="669"/>
      <c r="I85" s="669"/>
      <c r="J85" s="669"/>
    </row>
    <row r="86" spans="1:10">
      <c r="A86" s="847">
        <v>6</v>
      </c>
      <c r="B86" s="69" t="s">
        <v>525</v>
      </c>
      <c r="C86" s="69" t="s">
        <v>285</v>
      </c>
      <c r="D86" s="69"/>
      <c r="E86" s="673">
        <f>E83*-0.35</f>
        <v>-39821.599999999999</v>
      </c>
      <c r="F86" s="673">
        <f>F83*-0.35</f>
        <v>-41879.25</v>
      </c>
      <c r="H86" s="669"/>
      <c r="I86" s="669"/>
      <c r="J86" s="669"/>
    </row>
    <row r="87" spans="1:10">
      <c r="A87" s="847"/>
      <c r="B87" s="69"/>
      <c r="C87" s="69" t="s">
        <v>529</v>
      </c>
      <c r="D87" s="69"/>
      <c r="E87" s="69"/>
      <c r="H87" s="669"/>
      <c r="I87" s="669"/>
      <c r="J87" s="669"/>
    </row>
    <row r="88" spans="1:10" ht="6" customHeight="1">
      <c r="A88" s="847"/>
      <c r="B88" s="69"/>
      <c r="C88" s="69"/>
      <c r="D88" s="69"/>
      <c r="E88" s="69"/>
      <c r="H88" s="669"/>
      <c r="I88" s="669"/>
      <c r="J88" s="669"/>
    </row>
    <row r="89" spans="1:10">
      <c r="A89" s="847">
        <v>7</v>
      </c>
      <c r="B89" s="69" t="s">
        <v>530</v>
      </c>
      <c r="C89" s="69" t="s">
        <v>285</v>
      </c>
      <c r="D89" s="69"/>
      <c r="E89" s="673" t="e">
        <f>SUM(E78:E87)</f>
        <v>#DIV/0!</v>
      </c>
      <c r="F89" s="673" t="e">
        <f>SUM(F78:F87)</f>
        <v>#DIV/0!</v>
      </c>
      <c r="H89" s="669"/>
      <c r="I89" s="669"/>
      <c r="J89" s="669"/>
    </row>
    <row r="90" spans="1:10">
      <c r="A90" s="847"/>
      <c r="B90" s="69"/>
      <c r="C90" s="69"/>
      <c r="D90" s="69"/>
      <c r="E90" s="69"/>
      <c r="H90" s="669"/>
      <c r="I90" s="669"/>
      <c r="J90" s="669"/>
    </row>
    <row r="91" spans="1:10">
      <c r="A91" s="847">
        <v>8</v>
      </c>
      <c r="B91" s="69" t="s">
        <v>534</v>
      </c>
      <c r="C91" s="69" t="s">
        <v>533</v>
      </c>
      <c r="D91" s="69"/>
      <c r="E91" s="69">
        <f>1-0.35</f>
        <v>0.65</v>
      </c>
      <c r="F91" s="69">
        <f>E91</f>
        <v>0.65</v>
      </c>
      <c r="H91" s="669"/>
      <c r="I91" s="669"/>
      <c r="J91" s="669"/>
    </row>
    <row r="92" spans="1:10" ht="13.5" thickBot="1">
      <c r="A92" s="847"/>
      <c r="B92" s="69"/>
      <c r="C92" s="69"/>
      <c r="D92" s="69"/>
      <c r="E92" s="69"/>
      <c r="H92" s="669"/>
      <c r="I92" s="669"/>
      <c r="J92" s="669"/>
    </row>
    <row r="93" spans="1:10" ht="13.5" thickBot="1">
      <c r="A93" s="847">
        <v>9</v>
      </c>
      <c r="B93" s="69" t="s">
        <v>535</v>
      </c>
      <c r="C93" s="69" t="s">
        <v>293</v>
      </c>
      <c r="D93" s="69"/>
      <c r="E93" s="851" t="e">
        <f>E89/E91</f>
        <v>#DIV/0!</v>
      </c>
      <c r="F93" s="851" t="e">
        <f>F89/F91</f>
        <v>#DIV/0!</v>
      </c>
      <c r="G93" s="688" t="e">
        <f>F93-E93</f>
        <v>#DIV/0!</v>
      </c>
      <c r="H93" s="669"/>
      <c r="I93" s="669"/>
      <c r="J93" s="669"/>
    </row>
    <row r="94" spans="1:10">
      <c r="H94" s="669"/>
      <c r="I94" s="669" t="s">
        <v>532</v>
      </c>
      <c r="J94" s="669"/>
    </row>
    <row r="95" spans="1:10">
      <c r="A95" s="847">
        <v>10</v>
      </c>
      <c r="B95" s="669" t="s">
        <v>531</v>
      </c>
      <c r="E95" s="1018" t="e">
        <f>E93/D62</f>
        <v>#DIV/0!</v>
      </c>
      <c r="F95" s="1018" t="e">
        <f>F93/D61</f>
        <v>#DIV/0!</v>
      </c>
      <c r="G95" s="1019" t="e">
        <f>F95*(D61-D62)</f>
        <v>#DIV/0!</v>
      </c>
      <c r="I95" s="669"/>
      <c r="J95" s="669"/>
    </row>
    <row r="96" spans="1:10">
      <c r="H96" s="669"/>
      <c r="I96" s="669"/>
      <c r="J96" s="669"/>
    </row>
    <row r="97" spans="8:10">
      <c r="H97" s="669"/>
      <c r="I97" s="669"/>
      <c r="J97" s="669"/>
    </row>
    <row r="98" spans="8:10">
      <c r="H98" s="669"/>
      <c r="I98" s="669"/>
      <c r="J98" s="669"/>
    </row>
    <row r="99" spans="8:10">
      <c r="H99" s="669"/>
      <c r="I99" s="669"/>
      <c r="J99" s="669"/>
    </row>
    <row r="100" spans="8:10" ht="12" customHeight="1">
      <c r="H100" s="669"/>
      <c r="I100" s="669"/>
      <c r="J100" s="669"/>
    </row>
    <row r="101" spans="8:10" hidden="1">
      <c r="H101" s="669"/>
      <c r="I101" s="669"/>
      <c r="J101" s="669"/>
    </row>
    <row r="102" spans="8:10">
      <c r="H102" s="669"/>
      <c r="I102" s="669"/>
      <c r="J102" s="669"/>
    </row>
    <row r="103" spans="8:10">
      <c r="H103" s="669"/>
      <c r="I103" s="669"/>
      <c r="J103" s="669"/>
    </row>
    <row r="104" spans="8:10">
      <c r="H104" s="669"/>
      <c r="I104" s="669"/>
      <c r="J104" s="669"/>
    </row>
    <row r="105" spans="8:10">
      <c r="H105" s="669"/>
      <c r="I105" s="669"/>
      <c r="J105" s="669"/>
    </row>
    <row r="106" spans="8:10" ht="12.75" customHeight="1">
      <c r="H106" s="669"/>
      <c r="I106" s="669"/>
      <c r="J106" s="669"/>
    </row>
    <row r="107" spans="8:10">
      <c r="H107" s="669"/>
      <c r="I107" s="669"/>
      <c r="J107" s="669"/>
    </row>
    <row r="108" spans="8:10">
      <c r="H108" s="669"/>
      <c r="I108" s="669"/>
      <c r="J108" s="669"/>
    </row>
    <row r="109" spans="8:10">
      <c r="H109" s="669"/>
      <c r="I109" s="669"/>
      <c r="J109" s="669"/>
    </row>
    <row r="110" spans="8:10">
      <c r="H110" s="669"/>
      <c r="I110" s="669"/>
      <c r="J110" s="669"/>
    </row>
    <row r="111" spans="8:10">
      <c r="H111" s="669"/>
      <c r="I111" s="669"/>
      <c r="J111" s="669"/>
    </row>
    <row r="112" spans="8:10">
      <c r="H112" s="669"/>
      <c r="I112" s="669"/>
      <c r="J112" s="669"/>
    </row>
    <row r="113" spans="2:18">
      <c r="H113" s="669"/>
      <c r="I113" s="669"/>
      <c r="J113" s="669"/>
    </row>
    <row r="114" spans="2:18">
      <c r="H114" s="669"/>
      <c r="I114" s="669"/>
      <c r="J114" s="669"/>
    </row>
    <row r="115" spans="2:18">
      <c r="H115" s="669"/>
      <c r="I115" s="669"/>
      <c r="J115" s="669"/>
    </row>
    <row r="116" spans="2:18">
      <c r="B116" s="675"/>
      <c r="C116" s="675"/>
      <c r="D116" s="675"/>
      <c r="E116" s="693"/>
      <c r="F116" s="686"/>
      <c r="G116" s="686"/>
      <c r="H116" s="749"/>
      <c r="I116" s="678"/>
      <c r="K116" s="675"/>
      <c r="L116" s="675"/>
      <c r="M116" s="675"/>
      <c r="N116" s="675"/>
      <c r="O116" s="686"/>
      <c r="P116" s="686"/>
      <c r="Q116" s="675"/>
      <c r="R116" s="674"/>
    </row>
    <row r="117" spans="2:18" ht="0.75" customHeight="1"/>
    <row r="118" spans="2:18" hidden="1"/>
  </sheetData>
  <mergeCells count="1">
    <mergeCell ref="E8:G8"/>
  </mergeCells>
  <phoneticPr fontId="0" type="noConversion"/>
  <pageMargins left="1.1000000000000001" right="0.75" top="1.1299999999999999" bottom="0.75" header="0.5" footer="0.5"/>
  <pageSetup scale="82" orientation="portrait" horizontalDpi="4294967292" r:id="rId1"/>
  <headerFooter alignWithMargins="0">
    <oddHeader xml:space="preserve">&amp;C
</oddHeader>
    <oddFooter xml:space="preserve">&amp;C
</oddFooter>
  </headerFooter>
  <rowBreaks count="1" manualBreakCount="1">
    <brk id="68" max="7" man="1"/>
  </rowBreaks>
  <legacyDrawing r:id="rId2"/>
</worksheet>
</file>

<file path=xl/worksheets/sheet63.xml><?xml version="1.0" encoding="utf-8"?>
<worksheet xmlns="http://schemas.openxmlformats.org/spreadsheetml/2006/main" xmlns:r="http://schemas.openxmlformats.org/officeDocument/2006/relationships">
  <sheetPr codeName="Sheet71"/>
  <dimension ref="A1:AA103"/>
  <sheetViews>
    <sheetView zoomScale="75" zoomScaleNormal="75" workbookViewId="0">
      <pane ySplit="735" topLeftCell="A39" activePane="bottomLeft"/>
      <selection activeCell="E76" activeCellId="1" sqref="M64 E76"/>
      <selection pane="bottomLeft" activeCell="E76" activeCellId="1" sqref="M64 E76"/>
    </sheetView>
  </sheetViews>
  <sheetFormatPr defaultRowHeight="12.75"/>
  <cols>
    <col min="1" max="1" width="6" style="2" customWidth="1"/>
    <col min="2" max="2" width="2.85546875" style="2" customWidth="1"/>
    <col min="3" max="3" width="42.140625" style="2" customWidth="1"/>
    <col min="4" max="4" width="4.7109375" style="2" customWidth="1"/>
    <col min="5" max="5" width="15.140625" style="2" customWidth="1"/>
    <col min="6" max="6" width="21.5703125" style="2" customWidth="1"/>
    <col min="7" max="7" width="11.42578125" style="669" customWidth="1"/>
    <col min="8" max="8" width="10.7109375" style="669" customWidth="1"/>
    <col min="9" max="9" width="9.140625" style="669"/>
    <col min="10" max="10" width="27.42578125" style="669" customWidth="1"/>
    <col min="11" max="11" width="12.140625" style="669" customWidth="1"/>
    <col min="12" max="12" width="11.28515625" style="669" customWidth="1"/>
    <col min="13" max="13" width="8.5703125" style="669" customWidth="1"/>
    <col min="14" max="14" width="10.85546875" style="669" customWidth="1"/>
    <col min="15" max="18" width="9.140625" style="669"/>
    <col min="19" max="19" width="10.42578125" style="669" bestFit="1" customWidth="1"/>
    <col min="20" max="20" width="12.140625" style="669" customWidth="1"/>
    <col min="21" max="16384" width="9.140625" style="669"/>
  </cols>
  <sheetData>
    <row r="1" spans="1:27" s="69" customFormat="1" ht="12">
      <c r="A1" s="843" t="s">
        <v>261</v>
      </c>
      <c r="B1" s="843"/>
      <c r="C1" s="843"/>
      <c r="D1" s="843"/>
      <c r="E1" s="843"/>
      <c r="F1" s="843"/>
    </row>
    <row r="2" spans="1:27" s="69" customFormat="1" ht="12">
      <c r="A2" s="843" t="s">
        <v>409</v>
      </c>
      <c r="B2" s="843"/>
      <c r="C2" s="843"/>
      <c r="D2" s="843"/>
      <c r="E2" s="843"/>
      <c r="F2" s="843"/>
    </row>
    <row r="3" spans="1:27" s="69" customFormat="1" ht="12">
      <c r="A3" s="843" t="s">
        <v>395</v>
      </c>
      <c r="B3" s="843"/>
      <c r="C3" s="843"/>
      <c r="D3" s="843"/>
      <c r="E3" s="843"/>
      <c r="F3" s="843"/>
    </row>
    <row r="4" spans="1:27" s="69" customFormat="1" ht="12">
      <c r="A4" s="843" t="str">
        <f>WAElec09_08!A4</f>
        <v>TWELVE MONTHS ENDED SEPTEMBER 30, 2008</v>
      </c>
      <c r="B4" s="843"/>
      <c r="C4" s="843"/>
      <c r="D4" s="843"/>
      <c r="E4" s="843"/>
      <c r="F4" s="843"/>
    </row>
    <row r="5" spans="1:27">
      <c r="A5" s="69"/>
      <c r="B5" s="69"/>
      <c r="C5" s="69"/>
      <c r="D5" s="69"/>
      <c r="E5" s="844"/>
      <c r="F5" s="844"/>
    </row>
    <row r="6" spans="1:27">
      <c r="A6" s="845" t="s">
        <v>273</v>
      </c>
      <c r="B6" s="845"/>
      <c r="C6" s="845"/>
      <c r="D6" s="845"/>
      <c r="E6" s="845" t="s">
        <v>274</v>
      </c>
      <c r="F6" s="845"/>
    </row>
    <row r="7" spans="1:27">
      <c r="A7" s="846" t="s">
        <v>35</v>
      </c>
      <c r="B7" s="845"/>
      <c r="C7" s="846" t="s">
        <v>134</v>
      </c>
      <c r="D7" s="844"/>
      <c r="E7" s="846" t="s">
        <v>277</v>
      </c>
      <c r="F7" s="844"/>
      <c r="P7" s="1101"/>
      <c r="Q7" s="1044"/>
    </row>
    <row r="8" spans="1:27" ht="13.5">
      <c r="A8" s="69"/>
      <c r="B8" s="69"/>
      <c r="C8" s="69"/>
      <c r="D8" s="69"/>
      <c r="E8" s="669"/>
      <c r="F8" s="669"/>
      <c r="H8" s="724"/>
      <c r="I8" s="724"/>
      <c r="J8" s="724"/>
      <c r="K8" s="724"/>
      <c r="L8" s="725" t="s">
        <v>272</v>
      </c>
      <c r="M8" s="34"/>
      <c r="N8" s="34"/>
      <c r="O8" s="834"/>
      <c r="P8" s="754" t="s">
        <v>309</v>
      </c>
      <c r="Q8" s="34"/>
      <c r="R8" s="726" t="s">
        <v>308</v>
      </c>
      <c r="S8" s="34"/>
      <c r="U8" s="1037" t="s">
        <v>552</v>
      </c>
      <c r="V8" s="834"/>
      <c r="W8" s="754" t="s">
        <v>309</v>
      </c>
      <c r="X8" s="34"/>
      <c r="Y8" s="726" t="s">
        <v>308</v>
      </c>
    </row>
    <row r="9" spans="1:27" ht="13.5">
      <c r="A9" s="847">
        <v>1</v>
      </c>
      <c r="B9" s="69"/>
      <c r="C9" s="69" t="s">
        <v>407</v>
      </c>
      <c r="D9" s="69"/>
      <c r="E9" s="673">
        <f>RevReq_Exh_ID!L12</f>
        <v>1007076</v>
      </c>
      <c r="F9" s="673"/>
      <c r="H9" s="726" t="s">
        <v>273</v>
      </c>
      <c r="I9" s="726"/>
      <c r="J9" s="726"/>
      <c r="K9" s="726"/>
      <c r="L9" s="726" t="s">
        <v>274</v>
      </c>
      <c r="M9" s="34"/>
      <c r="N9" s="726" t="s">
        <v>612</v>
      </c>
      <c r="O9" s="727"/>
      <c r="P9" s="726" t="s">
        <v>275</v>
      </c>
      <c r="Q9" s="726" t="s">
        <v>308</v>
      </c>
      <c r="R9" s="726" t="s">
        <v>276</v>
      </c>
      <c r="S9" s="34"/>
      <c r="U9" s="1038" t="s">
        <v>553</v>
      </c>
      <c r="V9" s="727"/>
      <c r="W9" s="726" t="s">
        <v>275</v>
      </c>
      <c r="X9" s="726" t="s">
        <v>308</v>
      </c>
      <c r="Y9" s="726" t="s">
        <v>276</v>
      </c>
    </row>
    <row r="10" spans="1:27" ht="13.5">
      <c r="A10" s="847"/>
      <c r="B10" s="69"/>
      <c r="C10" s="69"/>
      <c r="D10" s="69"/>
      <c r="E10" s="673"/>
      <c r="F10" s="673"/>
      <c r="H10" s="725" t="s">
        <v>35</v>
      </c>
      <c r="I10" s="726"/>
      <c r="J10" s="725" t="s">
        <v>134</v>
      </c>
      <c r="K10" s="727"/>
      <c r="L10" s="725" t="s">
        <v>277</v>
      </c>
      <c r="M10" s="34"/>
      <c r="N10" s="725" t="s">
        <v>278</v>
      </c>
      <c r="O10" s="727"/>
      <c r="P10" s="725" t="s">
        <v>280</v>
      </c>
      <c r="Q10" s="725" t="s">
        <v>281</v>
      </c>
      <c r="R10" s="725" t="s">
        <v>281</v>
      </c>
      <c r="S10" s="34"/>
      <c r="U10" s="725" t="s">
        <v>278</v>
      </c>
      <c r="V10" s="727"/>
      <c r="W10" s="725" t="s">
        <v>280</v>
      </c>
      <c r="X10" s="725" t="s">
        <v>281</v>
      </c>
      <c r="Y10" s="725" t="s">
        <v>281</v>
      </c>
    </row>
    <row r="11" spans="1:27">
      <c r="A11" s="847">
        <v>2</v>
      </c>
      <c r="B11" s="69"/>
      <c r="C11" s="69" t="s">
        <v>284</v>
      </c>
      <c r="D11" s="69"/>
      <c r="E11" s="1027">
        <f>RevReq_Exh_ID!L13</f>
        <v>8.43E-2</v>
      </c>
      <c r="F11" s="848"/>
      <c r="H11" s="724"/>
      <c r="I11" s="724"/>
      <c r="J11" s="724"/>
      <c r="K11" s="724"/>
      <c r="L11"/>
      <c r="M11" s="34"/>
      <c r="N11" s="34"/>
      <c r="O11" s="834"/>
      <c r="P11" s="34"/>
      <c r="Q11" s="34"/>
      <c r="R11" s="34"/>
      <c r="S11" s="1026" t="s">
        <v>539</v>
      </c>
      <c r="U11" s="34"/>
      <c r="V11" s="834"/>
      <c r="W11" s="34"/>
      <c r="X11" s="34"/>
      <c r="Y11" s="34"/>
    </row>
    <row r="12" spans="1:27">
      <c r="A12" s="847"/>
      <c r="B12" s="69"/>
      <c r="C12" s="69"/>
      <c r="D12" s="69"/>
      <c r="E12" s="848"/>
      <c r="F12" s="848"/>
      <c r="H12" s="728">
        <v>1</v>
      </c>
      <c r="I12" s="724"/>
      <c r="J12" s="724" t="s">
        <v>282</v>
      </c>
      <c r="K12" s="724"/>
      <c r="L12" s="729">
        <f>WAElec09_08!BD68</f>
        <v>1007076</v>
      </c>
      <c r="M12" s="34"/>
      <c r="N12" s="724" t="s">
        <v>554</v>
      </c>
      <c r="O12" s="736"/>
      <c r="P12" s="1052">
        <f>100%-P16-P20</f>
        <v>0.53699999999999992</v>
      </c>
      <c r="Q12" s="1052">
        <v>6.3799999999999996E-2</v>
      </c>
      <c r="R12" s="1052">
        <f>ROUND(P12*Q12,4)</f>
        <v>3.4299999999999997E-2</v>
      </c>
      <c r="S12" s="1025">
        <f>SUM(R12:R16)</f>
        <v>3.4299999999999997E-2</v>
      </c>
      <c r="U12" s="724" t="s">
        <v>283</v>
      </c>
      <c r="V12" s="736"/>
      <c r="W12" s="755">
        <v>0.4415</v>
      </c>
      <c r="X12" s="755">
        <v>7.7499999999999999E-2</v>
      </c>
      <c r="Y12" s="755">
        <f>ROUND(W12*X12,4)</f>
        <v>3.4200000000000001E-2</v>
      </c>
    </row>
    <row r="13" spans="1:27">
      <c r="A13" s="847">
        <v>3</v>
      </c>
      <c r="B13" s="69"/>
      <c r="C13" s="69" t="s">
        <v>285</v>
      </c>
      <c r="D13" s="69"/>
      <c r="E13" s="673">
        <f>RevReq_Exh_ID!L14</f>
        <v>84897</v>
      </c>
      <c r="F13" s="673"/>
      <c r="H13" s="728"/>
      <c r="I13" s="724"/>
      <c r="J13" s="724" t="s">
        <v>284</v>
      </c>
      <c r="K13" s="724"/>
      <c r="L13" s="756">
        <f>R25</f>
        <v>8.43E-2</v>
      </c>
      <c r="M13" s="34"/>
      <c r="N13" s="724"/>
      <c r="O13" s="835"/>
      <c r="P13" s="1052"/>
      <c r="Q13" s="1052"/>
      <c r="R13" s="1052"/>
      <c r="S13" s="34"/>
      <c r="U13" s="724"/>
      <c r="V13" s="835"/>
      <c r="W13" s="755"/>
      <c r="X13" s="755"/>
      <c r="Y13" s="755"/>
    </row>
    <row r="14" spans="1:27" ht="13.5">
      <c r="A14" s="847"/>
      <c r="B14" s="69"/>
      <c r="C14" s="69"/>
      <c r="D14" s="69"/>
      <c r="E14" s="673"/>
      <c r="F14" s="673"/>
      <c r="H14" s="728">
        <v>2</v>
      </c>
      <c r="I14" s="724"/>
      <c r="J14" s="724" t="s">
        <v>285</v>
      </c>
      <c r="K14" s="724"/>
      <c r="L14" s="729">
        <f>ROUND(L12*L13,0)</f>
        <v>84897</v>
      </c>
      <c r="M14" s="34"/>
      <c r="N14" s="991"/>
      <c r="O14" s="992"/>
      <c r="P14" s="1053"/>
      <c r="Q14" s="1053"/>
      <c r="R14" s="1053"/>
      <c r="S14" s="34"/>
      <c r="U14" s="991" t="s">
        <v>286</v>
      </c>
      <c r="V14" s="992"/>
      <c r="W14" s="993">
        <v>3.39E-2</v>
      </c>
      <c r="X14" s="993">
        <v>7.0800000000000002E-2</v>
      </c>
      <c r="Y14" s="993">
        <f>ROUND(W14*X14,4)</f>
        <v>2.3999999999999998E-3</v>
      </c>
    </row>
    <row r="15" spans="1:27">
      <c r="A15" s="847">
        <v>4</v>
      </c>
      <c r="B15" s="69"/>
      <c r="C15" s="69" t="s">
        <v>289</v>
      </c>
      <c r="D15" s="69"/>
      <c r="E15" s="850">
        <f>WAElec09_08!BD52</f>
        <v>62841.878660000002</v>
      </c>
      <c r="F15" s="849"/>
      <c r="H15" s="728"/>
      <c r="I15" s="724"/>
      <c r="J15" s="724"/>
      <c r="K15" s="724"/>
      <c r="L15" s="729"/>
      <c r="M15" s="34"/>
      <c r="N15" s="724"/>
      <c r="O15" s="835"/>
      <c r="P15" s="1052"/>
      <c r="Q15" s="1052"/>
      <c r="R15" s="1052"/>
      <c r="T15" s="1044"/>
      <c r="U15" s="724"/>
      <c r="V15" s="835"/>
      <c r="W15" s="755"/>
      <c r="X15" s="755"/>
      <c r="Y15" s="755"/>
      <c r="Z15" s="1026" t="s">
        <v>539</v>
      </c>
      <c r="AA15" s="1026" t="s">
        <v>540</v>
      </c>
    </row>
    <row r="16" spans="1:27">
      <c r="A16" s="847"/>
      <c r="B16" s="69"/>
      <c r="C16" s="69"/>
      <c r="D16" s="69"/>
      <c r="E16" s="69"/>
      <c r="F16" s="69"/>
      <c r="H16" s="728">
        <v>3</v>
      </c>
      <c r="I16" s="724"/>
      <c r="J16" s="724" t="s">
        <v>289</v>
      </c>
      <c r="K16" s="724"/>
      <c r="L16" s="732">
        <f>WAElec09_08!BD52</f>
        <v>62841.878660000002</v>
      </c>
      <c r="M16" s="34"/>
      <c r="N16" s="724" t="s">
        <v>287</v>
      </c>
      <c r="O16" s="835"/>
      <c r="P16" s="1052">
        <v>0</v>
      </c>
      <c r="Q16" s="1052">
        <v>0</v>
      </c>
      <c r="R16" s="1052">
        <f>ROUND(P16*Q16,4)</f>
        <v>0</v>
      </c>
      <c r="T16" s="1045"/>
      <c r="U16" s="724" t="s">
        <v>287</v>
      </c>
      <c r="V16" s="835"/>
      <c r="W16" s="755">
        <f>P16</f>
        <v>0</v>
      </c>
      <c r="X16" s="755">
        <f>Q16</f>
        <v>0</v>
      </c>
      <c r="Y16" s="755">
        <f>ROUND(W16*X16,4)</f>
        <v>0</v>
      </c>
      <c r="Z16" s="1025">
        <f>SUM(Y12:Y16)</f>
        <v>3.6600000000000001E-2</v>
      </c>
      <c r="AA16" s="1025">
        <f>Y12+Y16</f>
        <v>3.4200000000000001E-2</v>
      </c>
    </row>
    <row r="17" spans="1:27">
      <c r="A17" s="847">
        <v>5</v>
      </c>
      <c r="B17" s="69"/>
      <c r="C17" s="69" t="s">
        <v>290</v>
      </c>
      <c r="D17" s="69"/>
      <c r="E17" s="673">
        <f>E13-E15</f>
        <v>22055.121339999998</v>
      </c>
      <c r="F17" s="673"/>
      <c r="H17" s="728"/>
      <c r="I17" s="724"/>
      <c r="J17" s="724"/>
      <c r="K17" s="724"/>
      <c r="L17" s="724"/>
      <c r="M17" s="34"/>
      <c r="N17" s="724"/>
      <c r="O17" s="835"/>
      <c r="P17" s="1052"/>
      <c r="Q17" s="1052"/>
      <c r="R17" s="1052"/>
      <c r="S17" s="34"/>
      <c r="U17" s="724"/>
      <c r="V17" s="835"/>
      <c r="W17" s="755"/>
      <c r="X17" s="755"/>
      <c r="Y17" s="755"/>
      <c r="AA17" s="1046"/>
    </row>
    <row r="18" spans="1:27">
      <c r="A18" s="847"/>
      <c r="B18" s="69"/>
      <c r="C18" s="69"/>
      <c r="D18" s="69"/>
      <c r="E18" s="69"/>
      <c r="F18" s="69"/>
      <c r="H18" s="728">
        <v>4</v>
      </c>
      <c r="I18" s="724"/>
      <c r="J18" s="724" t="s">
        <v>290</v>
      </c>
      <c r="K18" s="724"/>
      <c r="L18" s="729">
        <f>L14-L16</f>
        <v>22055.121339999998</v>
      </c>
      <c r="M18" s="34"/>
      <c r="N18" s="69" t="s">
        <v>288</v>
      </c>
      <c r="O18" s="835"/>
      <c r="P18" s="1052"/>
      <c r="Q18" s="1052"/>
      <c r="R18" s="1052">
        <v>0</v>
      </c>
      <c r="S18" s="34"/>
      <c r="U18" s="69" t="s">
        <v>288</v>
      </c>
      <c r="V18" s="835"/>
      <c r="W18" s="755"/>
      <c r="X18" s="755"/>
      <c r="Y18" s="755">
        <v>0</v>
      </c>
    </row>
    <row r="19" spans="1:27">
      <c r="A19" s="847">
        <v>6</v>
      </c>
      <c r="B19" s="69"/>
      <c r="C19" s="69" t="s">
        <v>292</v>
      </c>
      <c r="D19" s="69"/>
      <c r="E19" s="69">
        <f>'ConverFac_Exh-WA'!E26</f>
        <v>0.62195249999999991</v>
      </c>
      <c r="F19" s="69"/>
      <c r="H19" s="728"/>
      <c r="I19" s="724"/>
      <c r="J19" s="724"/>
      <c r="K19" s="724"/>
      <c r="L19" s="724"/>
      <c r="M19" s="34"/>
      <c r="N19" s="724"/>
      <c r="O19" s="835"/>
      <c r="P19" s="1052"/>
      <c r="Q19" s="1052"/>
      <c r="R19" s="1052"/>
      <c r="S19" s="34"/>
      <c r="U19" s="724"/>
      <c r="V19" s="835"/>
      <c r="W19" s="755"/>
      <c r="X19" s="755"/>
      <c r="Y19" s="755"/>
    </row>
    <row r="20" spans="1:27" ht="13.5" thickBot="1">
      <c r="A20" s="847"/>
      <c r="B20" s="69"/>
      <c r="C20" s="69"/>
      <c r="D20" s="69"/>
      <c r="E20" s="69"/>
      <c r="F20" s="69"/>
      <c r="H20" s="728">
        <v>5</v>
      </c>
      <c r="I20" s="724"/>
      <c r="J20" s="724" t="s">
        <v>292</v>
      </c>
      <c r="K20" s="724"/>
      <c r="L20" s="1036">
        <f>'ConverFac_Exh-WA'!E26</f>
        <v>0.62195249999999991</v>
      </c>
      <c r="M20" s="34"/>
      <c r="N20" s="724" t="s">
        <v>19</v>
      </c>
      <c r="O20" s="835"/>
      <c r="P20" s="1052">
        <v>0.46300000000000002</v>
      </c>
      <c r="Q20" s="1052">
        <v>0.108</v>
      </c>
      <c r="R20" s="1052">
        <f>ROUND(P20*Q20,4)</f>
        <v>0.05</v>
      </c>
      <c r="S20" s="34"/>
      <c r="U20" s="724" t="s">
        <v>19</v>
      </c>
      <c r="V20" s="835"/>
      <c r="W20" s="755">
        <f>P20</f>
        <v>0.46300000000000002</v>
      </c>
      <c r="X20" s="755">
        <f>Q20</f>
        <v>0.108</v>
      </c>
      <c r="Y20" s="755">
        <f>ROUND(W20*X20,4)</f>
        <v>0.05</v>
      </c>
    </row>
    <row r="21" spans="1:27" ht="13.5" thickBot="1">
      <c r="A21" s="847">
        <v>7</v>
      </c>
      <c r="B21" s="69"/>
      <c r="C21" s="69" t="s">
        <v>293</v>
      </c>
      <c r="D21" s="69"/>
      <c r="E21" s="851">
        <f>ROUND(E17/E19,0)</f>
        <v>35461</v>
      </c>
      <c r="F21" s="849"/>
      <c r="H21" s="728"/>
      <c r="I21" s="724"/>
      <c r="J21" s="724"/>
      <c r="K21" s="724"/>
      <c r="L21" s="724"/>
      <c r="M21" s="34"/>
      <c r="N21" s="724"/>
      <c r="O21" s="835"/>
      <c r="P21" s="730"/>
      <c r="Q21" s="730"/>
      <c r="R21" s="755"/>
      <c r="S21" s="34"/>
      <c r="U21" s="724"/>
      <c r="V21" s="835"/>
      <c r="W21" s="730"/>
      <c r="X21" s="730"/>
      <c r="Y21" s="755"/>
    </row>
    <row r="22" spans="1:27" ht="13.5" thickBot="1">
      <c r="A22" s="847"/>
      <c r="B22" s="34"/>
      <c r="C22" s="69"/>
      <c r="D22" s="69"/>
      <c r="E22" s="69"/>
      <c r="F22" s="69"/>
      <c r="H22" s="728">
        <v>6</v>
      </c>
      <c r="I22" s="724"/>
      <c r="J22" s="724" t="s">
        <v>293</v>
      </c>
      <c r="K22" s="724"/>
      <c r="L22" s="734">
        <f>ROUND(L18/L20,0)</f>
        <v>35461</v>
      </c>
      <c r="M22" s="34"/>
      <c r="N22" s="724"/>
      <c r="O22" s="835"/>
      <c r="P22" s="730"/>
      <c r="Q22" s="730"/>
      <c r="R22" s="755"/>
      <c r="S22" s="34"/>
      <c r="U22" s="724"/>
      <c r="V22" s="835"/>
      <c r="W22" s="730"/>
      <c r="X22" s="730"/>
      <c r="Y22" s="755"/>
    </row>
    <row r="23" spans="1:27">
      <c r="A23" s="847">
        <v>8</v>
      </c>
      <c r="B23" s="34"/>
      <c r="C23" s="69" t="s">
        <v>294</v>
      </c>
      <c r="D23" s="69"/>
      <c r="E23" s="849">
        <f>RevReq_Exh_ID!L24</f>
        <v>390953</v>
      </c>
      <c r="F23" s="849"/>
      <c r="H23" s="728"/>
      <c r="I23" s="724"/>
      <c r="J23" s="724"/>
      <c r="K23" s="724"/>
      <c r="L23" s="724"/>
      <c r="M23" s="34"/>
      <c r="N23" s="724"/>
      <c r="O23" s="835"/>
      <c r="P23" s="730"/>
      <c r="Q23" s="730"/>
      <c r="R23" s="755"/>
      <c r="S23" s="34"/>
      <c r="U23" s="724"/>
      <c r="V23" s="835"/>
      <c r="W23" s="730"/>
      <c r="X23" s="730"/>
      <c r="Y23" s="755"/>
    </row>
    <row r="24" spans="1:27">
      <c r="A24" s="847"/>
      <c r="B24" s="34"/>
      <c r="C24" s="69"/>
      <c r="D24" s="69"/>
      <c r="E24" s="69"/>
      <c r="F24" s="69"/>
      <c r="H24" s="728">
        <v>7</v>
      </c>
      <c r="I24" s="724"/>
      <c r="J24" s="724" t="s">
        <v>294</v>
      </c>
      <c r="K24" s="724"/>
      <c r="L24" s="736">
        <f>WAElec09_08!BD13+WAElec09_08!BD14</f>
        <v>390953</v>
      </c>
      <c r="M24" s="34"/>
      <c r="N24" s="724"/>
      <c r="O24" s="835"/>
      <c r="P24" s="730"/>
      <c r="Q24" s="730"/>
      <c r="R24" s="755"/>
      <c r="S24" s="34"/>
      <c r="U24" s="724"/>
      <c r="V24" s="835"/>
      <c r="W24" s="730"/>
      <c r="X24" s="730"/>
      <c r="Y24" s="755"/>
    </row>
    <row r="25" spans="1:27" ht="13.5" thickBot="1">
      <c r="A25" s="847">
        <v>9</v>
      </c>
      <c r="B25" s="34"/>
      <c r="C25" s="69" t="s">
        <v>295</v>
      </c>
      <c r="D25" s="69"/>
      <c r="E25" s="852">
        <f>ROUND(E21/E23,4)</f>
        <v>9.0700000000000003E-2</v>
      </c>
      <c r="F25" s="853"/>
      <c r="H25" s="724"/>
      <c r="I25" s="724"/>
      <c r="J25" s="724" t="s">
        <v>410</v>
      </c>
      <c r="K25" s="724"/>
      <c r="L25" s="724"/>
      <c r="M25" s="34"/>
      <c r="N25" s="724" t="s">
        <v>291</v>
      </c>
      <c r="O25" s="736"/>
      <c r="P25" s="737">
        <f>SUM(P12:P20)</f>
        <v>1</v>
      </c>
      <c r="Q25" s="730"/>
      <c r="R25" s="737">
        <f>SUM(R12:R20)</f>
        <v>8.43E-2</v>
      </c>
      <c r="S25" s="34"/>
      <c r="U25" s="724" t="s">
        <v>291</v>
      </c>
      <c r="V25" s="736"/>
      <c r="W25" s="737">
        <f>SUM(W12:W20)</f>
        <v>0.93840000000000001</v>
      </c>
      <c r="X25" s="730"/>
      <c r="Y25" s="737">
        <f>SUM(Y12:Y20)</f>
        <v>8.660000000000001E-2</v>
      </c>
    </row>
    <row r="26" spans="1:27" ht="14.25" thickTop="1" thickBot="1">
      <c r="H26" s="728">
        <v>8</v>
      </c>
      <c r="I26" s="724"/>
      <c r="J26" s="724" t="s">
        <v>295</v>
      </c>
      <c r="K26" s="724"/>
      <c r="L26" s="737">
        <f>ROUND(L22/L24,4)</f>
        <v>9.0700000000000003E-2</v>
      </c>
      <c r="M26" s="34"/>
      <c r="N26" s="724"/>
      <c r="O26" s="733"/>
      <c r="P26" s="730"/>
      <c r="Q26" s="733"/>
      <c r="R26" s="34"/>
      <c r="S26" s="34"/>
    </row>
    <row r="27" spans="1:27" ht="13.5" thickTop="1">
      <c r="H27" s="724"/>
      <c r="I27" s="724"/>
      <c r="J27" s="34"/>
      <c r="K27" s="34"/>
      <c r="L27" s="34"/>
      <c r="M27" s="34"/>
      <c r="N27" s="739"/>
      <c r="O27" s="733"/>
      <c r="P27" s="733"/>
      <c r="Q27" s="733"/>
      <c r="R27" s="34"/>
      <c r="S27" s="34"/>
    </row>
    <row r="29" spans="1:27"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8"/>
    </row>
    <row r="30" spans="1:27" ht="13.5">
      <c r="H30" s="723"/>
      <c r="I30" s="723"/>
      <c r="J30" s="723"/>
      <c r="K30" s="723"/>
      <c r="L30" s="723"/>
      <c r="M30" s="33"/>
      <c r="N30" s="33"/>
      <c r="O30" s="33"/>
      <c r="P30" s="33"/>
      <c r="Q30" s="33"/>
      <c r="R30" s="33"/>
      <c r="S30" s="40"/>
    </row>
    <row r="31" spans="1:27" ht="13.5">
      <c r="H31" s="1142"/>
      <c r="I31" s="1142"/>
      <c r="J31" s="1142"/>
      <c r="K31" s="1142"/>
      <c r="L31" s="1143" t="s">
        <v>305</v>
      </c>
      <c r="M31" s="1144"/>
      <c r="N31" s="1164"/>
      <c r="O31" s="1164"/>
      <c r="P31" s="1164"/>
      <c r="Q31" s="1164"/>
      <c r="R31" s="1164"/>
      <c r="S31" s="1173"/>
    </row>
    <row r="32" spans="1:27" ht="13.5">
      <c r="H32" s="1145" t="s">
        <v>273</v>
      </c>
      <c r="I32" s="1145"/>
      <c r="J32" s="1145"/>
      <c r="K32" s="1145"/>
      <c r="L32" s="1145" t="s">
        <v>274</v>
      </c>
      <c r="M32" s="1144"/>
      <c r="N32" s="1165"/>
      <c r="O32" s="1174"/>
      <c r="P32" s="1165" t="s">
        <v>275</v>
      </c>
      <c r="Q32" s="1165"/>
      <c r="R32" s="1165" t="s">
        <v>276</v>
      </c>
      <c r="S32" s="1173"/>
    </row>
    <row r="33" spans="1:19" ht="13.5">
      <c r="A33" s="843" t="s">
        <v>261</v>
      </c>
      <c r="B33" s="843"/>
      <c r="C33" s="843"/>
      <c r="D33" s="843"/>
      <c r="E33" s="843"/>
      <c r="H33" s="1143" t="s">
        <v>35</v>
      </c>
      <c r="I33" s="1145"/>
      <c r="J33" s="1143" t="s">
        <v>134</v>
      </c>
      <c r="K33" s="1146"/>
      <c r="L33" s="1143" t="s">
        <v>277</v>
      </c>
      <c r="M33" s="1144"/>
      <c r="N33" s="1166" t="s">
        <v>278</v>
      </c>
      <c r="O33" s="1174"/>
      <c r="P33" s="1166" t="s">
        <v>280</v>
      </c>
      <c r="Q33" s="1166" t="s">
        <v>281</v>
      </c>
      <c r="R33" s="1166" t="s">
        <v>281</v>
      </c>
      <c r="S33" s="1169"/>
    </row>
    <row r="34" spans="1:19">
      <c r="A34" s="843" t="s">
        <v>409</v>
      </c>
      <c r="B34" s="843"/>
      <c r="C34" s="843"/>
      <c r="D34" s="843"/>
      <c r="E34" s="843"/>
      <c r="H34" s="1142"/>
      <c r="I34" s="1142"/>
      <c r="J34" s="1142"/>
      <c r="K34" s="1142"/>
      <c r="L34" s="1147"/>
      <c r="M34" s="1144"/>
      <c r="N34" s="1164"/>
      <c r="O34" s="1175"/>
      <c r="P34" s="1164"/>
      <c r="Q34" s="1164"/>
      <c r="R34" s="1164"/>
      <c r="S34" s="1026" t="s">
        <v>540</v>
      </c>
    </row>
    <row r="35" spans="1:19" ht="13.5">
      <c r="A35" s="843" t="s">
        <v>627</v>
      </c>
      <c r="B35" s="843"/>
      <c r="C35" s="843"/>
      <c r="D35" s="843"/>
      <c r="E35" s="843"/>
      <c r="H35" s="1149">
        <v>1</v>
      </c>
      <c r="I35" s="1142"/>
      <c r="J35" s="1142" t="s">
        <v>282</v>
      </c>
      <c r="K35" s="1142"/>
      <c r="L35" s="1150" t="e">
        <f>IDElec12_07!BA68</f>
        <v>#DIV/0!</v>
      </c>
      <c r="M35" s="1144"/>
      <c r="N35" s="1176" t="s">
        <v>283</v>
      </c>
      <c r="O35" s="1177"/>
      <c r="P35" s="1178">
        <v>0.52059999999999995</v>
      </c>
      <c r="Q35" s="1178">
        <v>6.8400000000000002E-2</v>
      </c>
      <c r="R35" s="1178">
        <f>ROUND(P35*Q35,4)</f>
        <v>3.56E-2</v>
      </c>
      <c r="S35" s="1025">
        <f>R35</f>
        <v>3.56E-2</v>
      </c>
    </row>
    <row r="36" spans="1:19">
      <c r="A36" s="843"/>
      <c r="B36" s="843"/>
      <c r="C36" s="843" t="str">
        <f>A4</f>
        <v>TWELVE MONTHS ENDED SEPTEMBER 30, 2008</v>
      </c>
      <c r="D36" s="843"/>
      <c r="E36" s="843"/>
      <c r="H36" s="1149"/>
      <c r="I36" s="1142"/>
      <c r="J36" s="1142" t="s">
        <v>284</v>
      </c>
      <c r="K36" s="1142"/>
      <c r="L36" s="1151">
        <f>R44</f>
        <v>8.7400000000000005E-2</v>
      </c>
      <c r="M36" s="1144"/>
      <c r="N36" s="1179"/>
      <c r="O36" s="1180"/>
      <c r="P36" s="1167"/>
      <c r="Q36" s="1167"/>
      <c r="R36" s="1170"/>
      <c r="S36" s="1169"/>
    </row>
    <row r="37" spans="1:19">
      <c r="A37" s="69"/>
      <c r="B37" s="69"/>
      <c r="C37" s="69"/>
      <c r="D37" s="69"/>
      <c r="E37" s="844"/>
      <c r="H37" s="1149">
        <v>2</v>
      </c>
      <c r="I37" s="1142"/>
      <c r="J37" s="1142" t="s">
        <v>285</v>
      </c>
      <c r="K37" s="1142"/>
      <c r="L37" s="1150" t="e">
        <f>ROUND(L35*L36,0)</f>
        <v>#DIV/0!</v>
      </c>
      <c r="M37" s="1144"/>
      <c r="N37" s="1179" t="s">
        <v>286</v>
      </c>
      <c r="O37" s="1181"/>
      <c r="P37" s="1167">
        <f>RevReq_Exh_ID!P14</f>
        <v>0</v>
      </c>
      <c r="Q37" s="1167">
        <f>RevReq_Exh_ID!Q14</f>
        <v>0</v>
      </c>
      <c r="R37" s="1167">
        <f>ROUND(P37*Q37,4)</f>
        <v>0</v>
      </c>
      <c r="S37" s="1173"/>
    </row>
    <row r="38" spans="1:19">
      <c r="A38" s="845" t="s">
        <v>273</v>
      </c>
      <c r="B38" s="845"/>
      <c r="C38" s="845"/>
      <c r="D38" s="845"/>
      <c r="E38" s="845" t="s">
        <v>274</v>
      </c>
      <c r="H38" s="1149"/>
      <c r="I38" s="1142"/>
      <c r="J38" s="1142"/>
      <c r="K38" s="1142"/>
      <c r="L38" s="1150"/>
      <c r="M38" s="1144"/>
      <c r="N38" s="1179" t="s">
        <v>287</v>
      </c>
      <c r="O38" s="1181"/>
      <c r="P38" s="1167">
        <f>RevReq_Exh_ID!P16</f>
        <v>0</v>
      </c>
      <c r="Q38" s="1167">
        <f>RevReq_Exh_ID!Q16</f>
        <v>0</v>
      </c>
      <c r="R38" s="1167">
        <f>ROUND(P38*Q38,4)</f>
        <v>0</v>
      </c>
      <c r="S38" s="1173"/>
    </row>
    <row r="39" spans="1:19">
      <c r="A39" s="846" t="s">
        <v>35</v>
      </c>
      <c r="B39" s="845"/>
      <c r="C39" s="846" t="s">
        <v>134</v>
      </c>
      <c r="D39" s="844"/>
      <c r="E39" s="846" t="s">
        <v>277</v>
      </c>
      <c r="H39" s="1149">
        <v>3</v>
      </c>
      <c r="I39" s="1142"/>
      <c r="J39" s="1142" t="s">
        <v>289</v>
      </c>
      <c r="K39" s="1142"/>
      <c r="L39" s="1153">
        <f>IDElec12_07!BA52</f>
        <v>43971</v>
      </c>
      <c r="M39" s="1144"/>
      <c r="N39" s="1179" t="s">
        <v>288</v>
      </c>
      <c r="O39" s="1181"/>
      <c r="P39" s="1167">
        <f>RevReq_Exh_ID!P17</f>
        <v>0</v>
      </c>
      <c r="Q39" s="1167">
        <f>RevReq_Exh_ID!Q17</f>
        <v>0</v>
      </c>
      <c r="R39" s="1167">
        <f>ROUND(P39*Q39,4)</f>
        <v>0</v>
      </c>
      <c r="S39" s="1173"/>
    </row>
    <row r="40" spans="1:19">
      <c r="A40" s="69"/>
      <c r="B40" s="69"/>
      <c r="C40" s="69"/>
      <c r="D40" s="69"/>
      <c r="E40" s="669"/>
      <c r="H40" s="1149"/>
      <c r="I40" s="1142"/>
      <c r="J40" s="1142"/>
      <c r="K40" s="1142"/>
      <c r="L40" s="1142"/>
      <c r="M40" s="1144"/>
      <c r="N40" s="1179"/>
      <c r="O40" s="1180"/>
      <c r="P40" s="1167"/>
      <c r="Q40" s="1167"/>
      <c r="R40" s="1170"/>
      <c r="S40" s="1173"/>
    </row>
    <row r="41" spans="1:19" ht="13.5">
      <c r="A41" s="847">
        <v>1</v>
      </c>
      <c r="B41" s="69"/>
      <c r="C41" s="69" t="s">
        <v>407</v>
      </c>
      <c r="D41" s="69"/>
      <c r="E41" s="673" t="e">
        <f>RevReq_Exh_ID!L35</f>
        <v>#DIV/0!</v>
      </c>
      <c r="H41" s="1149">
        <v>4</v>
      </c>
      <c r="I41" s="1142"/>
      <c r="J41" s="1142" t="s">
        <v>290</v>
      </c>
      <c r="K41" s="1142"/>
      <c r="L41" s="1150" t="e">
        <f>L37-L39</f>
        <v>#DIV/0!</v>
      </c>
      <c r="M41" s="1144"/>
      <c r="N41" s="1176" t="s">
        <v>19</v>
      </c>
      <c r="O41" s="1177"/>
      <c r="P41" s="1178">
        <v>0.47939999999999999</v>
      </c>
      <c r="Q41" s="1178">
        <v>0.108</v>
      </c>
      <c r="R41" s="1178">
        <f>ROUND(P41*Q41,4)</f>
        <v>5.1799999999999999E-2</v>
      </c>
      <c r="S41" s="1173"/>
    </row>
    <row r="42" spans="1:19" ht="13.5">
      <c r="A42" s="847"/>
      <c r="B42" s="69"/>
      <c r="C42" s="69"/>
      <c r="D42" s="69"/>
      <c r="E42" s="673"/>
      <c r="H42" s="1149"/>
      <c r="I42" s="1142"/>
      <c r="J42" s="1142"/>
      <c r="K42" s="1142"/>
      <c r="L42" s="1142"/>
      <c r="M42" s="1144"/>
      <c r="N42" s="1176"/>
      <c r="O42" s="1182"/>
      <c r="P42" s="1178"/>
      <c r="Q42" s="1178"/>
      <c r="R42" s="1183"/>
      <c r="S42" s="1173"/>
    </row>
    <row r="43" spans="1:19" ht="14.25" thickBot="1">
      <c r="A43" s="847">
        <v>2</v>
      </c>
      <c r="B43" s="69"/>
      <c r="C43" s="69" t="s">
        <v>284</v>
      </c>
      <c r="D43" s="69"/>
      <c r="E43" s="1027">
        <f>RevReq_Exh_ID!L36</f>
        <v>8.7400000000000005E-2</v>
      </c>
      <c r="G43" s="1104" t="s">
        <v>613</v>
      </c>
      <c r="H43" s="1149">
        <v>5</v>
      </c>
      <c r="I43" s="1142"/>
      <c r="J43" s="1142" t="s">
        <v>292</v>
      </c>
      <c r="K43" s="1142"/>
      <c r="L43" s="1154">
        <v>0.63956199999999996</v>
      </c>
      <c r="M43" s="1144"/>
      <c r="N43" s="1176"/>
      <c r="O43" s="1182"/>
      <c r="P43" s="1178"/>
      <c r="Q43" s="1178"/>
      <c r="R43" s="1183"/>
      <c r="S43" s="1173"/>
    </row>
    <row r="44" spans="1:19" ht="14.25" thickBot="1">
      <c r="A44" s="847"/>
      <c r="B44" s="69"/>
      <c r="C44" s="69"/>
      <c r="D44" s="69"/>
      <c r="E44" s="848"/>
      <c r="F44" s="1215" t="s">
        <v>634</v>
      </c>
      <c r="G44" s="1216" t="s">
        <v>635</v>
      </c>
      <c r="H44" s="1149"/>
      <c r="I44" s="1142"/>
      <c r="J44" s="1142"/>
      <c r="K44" s="1142"/>
      <c r="L44" s="1142"/>
      <c r="M44" s="1144"/>
      <c r="N44" s="1176" t="s">
        <v>291</v>
      </c>
      <c r="O44" s="1184"/>
      <c r="P44" s="1185">
        <f>SUM(P35:P41)</f>
        <v>1</v>
      </c>
      <c r="Q44" s="1178"/>
      <c r="R44" s="1185">
        <f>SUM(R35:R41)</f>
        <v>8.7400000000000005E-2</v>
      </c>
      <c r="S44" s="1173"/>
    </row>
    <row r="45" spans="1:19" ht="14.25" thickTop="1" thickBot="1">
      <c r="A45" s="847">
        <v>3</v>
      </c>
      <c r="B45" s="69"/>
      <c r="C45" s="69" t="s">
        <v>285</v>
      </c>
      <c r="D45" s="69"/>
      <c r="E45" s="673" t="e">
        <f>RevReq_Exh_ID!L37</f>
        <v>#DIV/0!</v>
      </c>
      <c r="F45" s="1207" t="e">
        <f>E45</f>
        <v>#DIV/0!</v>
      </c>
      <c r="G45" s="1214" t="e">
        <f>E45-F45</f>
        <v>#DIV/0!</v>
      </c>
      <c r="H45" s="1149">
        <v>6</v>
      </c>
      <c r="I45" s="1142"/>
      <c r="J45" s="1142" t="s">
        <v>293</v>
      </c>
      <c r="K45" s="1142"/>
      <c r="L45" s="1155" t="e">
        <f>ROUND(L41/L43,0)</f>
        <v>#DIV/0!</v>
      </c>
      <c r="M45" s="1144"/>
      <c r="N45" s="1179"/>
      <c r="O45" s="1172"/>
      <c r="P45" s="1170"/>
      <c r="Q45" s="1172"/>
      <c r="R45" s="1164"/>
      <c r="S45" s="1173"/>
    </row>
    <row r="46" spans="1:19">
      <c r="A46" s="847"/>
      <c r="B46" s="69"/>
      <c r="C46" s="69"/>
      <c r="D46" s="69"/>
      <c r="E46" s="673"/>
      <c r="F46" s="1208"/>
      <c r="G46" s="1213"/>
      <c r="H46" s="1149"/>
      <c r="I46" s="1142"/>
      <c r="J46" s="1142"/>
      <c r="K46" s="1142"/>
      <c r="L46" s="1142"/>
      <c r="M46" s="1144"/>
      <c r="N46" s="1186"/>
      <c r="O46" s="1172"/>
      <c r="P46" s="1172"/>
      <c r="Q46" s="1172"/>
      <c r="R46" s="1164"/>
      <c r="S46" s="1173"/>
    </row>
    <row r="47" spans="1:19">
      <c r="A47" s="847">
        <v>4</v>
      </c>
      <c r="B47" s="69"/>
      <c r="C47" s="69" t="s">
        <v>289</v>
      </c>
      <c r="D47" s="69"/>
      <c r="E47" s="850">
        <f>IDElec12_07!BA52</f>
        <v>43971</v>
      </c>
      <c r="F47" s="1209" t="e">
        <f>F45-F49</f>
        <v>#DIV/0!</v>
      </c>
      <c r="G47" s="1217" t="e">
        <f>E47-F47</f>
        <v>#DIV/0!</v>
      </c>
      <c r="H47" s="1149">
        <v>7</v>
      </c>
      <c r="I47" s="1142"/>
      <c r="J47" s="1142" t="s">
        <v>294</v>
      </c>
      <c r="K47" s="1142"/>
      <c r="L47" s="1157">
        <f>IDElec12_07!BA13+IDElec12_07!BA14</f>
        <v>211113</v>
      </c>
      <c r="M47" s="1144"/>
      <c r="N47" s="1169"/>
      <c r="O47" s="1169"/>
      <c r="P47" s="1169"/>
      <c r="Q47" s="1169"/>
      <c r="R47" s="1169"/>
      <c r="S47" s="1173"/>
    </row>
    <row r="48" spans="1:19">
      <c r="A48" s="847"/>
      <c r="B48" s="69"/>
      <c r="C48" s="69"/>
      <c r="D48" s="69"/>
      <c r="E48" s="69"/>
      <c r="F48" s="1208"/>
      <c r="G48" s="1213"/>
      <c r="H48" s="1142"/>
      <c r="I48" s="1142"/>
      <c r="J48" s="1142"/>
      <c r="K48" s="1142"/>
      <c r="L48" s="1142"/>
      <c r="M48" s="1144"/>
      <c r="N48" s="1169"/>
      <c r="O48" s="1169"/>
      <c r="P48" s="1169"/>
      <c r="Q48" s="1169"/>
      <c r="R48" s="1169"/>
      <c r="S48" s="1173"/>
    </row>
    <row r="49" spans="1:19" ht="13.5" thickBot="1">
      <c r="A49" s="847">
        <v>5</v>
      </c>
      <c r="B49" s="69"/>
      <c r="C49" s="69" t="s">
        <v>290</v>
      </c>
      <c r="D49" s="69"/>
      <c r="E49" s="673" t="e">
        <f>E45-E47</f>
        <v>#DIV/0!</v>
      </c>
      <c r="F49" s="1207">
        <f>F53*F51</f>
        <v>22548.325945263299</v>
      </c>
      <c r="G49" s="1214" t="e">
        <f>E49-F49</f>
        <v>#DIV/0!</v>
      </c>
      <c r="H49" s="1149">
        <v>8</v>
      </c>
      <c r="I49" s="1142"/>
      <c r="J49" s="1142" t="s">
        <v>295</v>
      </c>
      <c r="K49" s="1142"/>
      <c r="L49" s="1158" t="e">
        <f>ROUND(L45/L47,4)</f>
        <v>#DIV/0!</v>
      </c>
      <c r="M49" s="1144"/>
      <c r="N49" s="1169"/>
      <c r="O49" s="1169"/>
      <c r="P49" s="1169"/>
      <c r="Q49" s="1169"/>
      <c r="R49" s="1169"/>
      <c r="S49" s="1173"/>
    </row>
    <row r="50" spans="1:19" ht="13.5" thickTop="1">
      <c r="A50" s="847"/>
      <c r="B50" s="69"/>
      <c r="C50" s="69"/>
      <c r="D50" s="69"/>
      <c r="E50" s="69"/>
      <c r="F50" s="1208"/>
      <c r="G50" s="1213"/>
      <c r="H50" s="1142"/>
      <c r="I50" s="1142"/>
      <c r="J50" s="1144"/>
      <c r="K50" s="1144"/>
      <c r="L50" s="1144"/>
      <c r="M50" s="1144"/>
      <c r="N50" s="1169"/>
      <c r="O50" s="1169"/>
      <c r="P50" s="1169"/>
      <c r="Q50" s="1169"/>
      <c r="R50" s="1169"/>
      <c r="S50" s="1173"/>
    </row>
    <row r="51" spans="1:19">
      <c r="A51" s="847">
        <v>6</v>
      </c>
      <c r="B51" s="69"/>
      <c r="C51" s="69" t="s">
        <v>292</v>
      </c>
      <c r="D51" s="69"/>
      <c r="E51" s="69">
        <f>'ConverFac_Exh-ID'!E23</f>
        <v>0.63956230000000003</v>
      </c>
      <c r="F51" s="1210">
        <f>E51</f>
        <v>0.63956230000000003</v>
      </c>
      <c r="G51" s="1213">
        <f>E51</f>
        <v>0.63956230000000003</v>
      </c>
    </row>
    <row r="52" spans="1:19" ht="13.5" thickBot="1">
      <c r="A52" s="847"/>
      <c r="B52" s="69"/>
      <c r="C52" s="69"/>
      <c r="D52" s="69"/>
      <c r="E52" s="69"/>
      <c r="F52" s="1208"/>
      <c r="G52" s="1213"/>
    </row>
    <row r="53" spans="1:19" ht="13.5" thickBot="1">
      <c r="A53" s="847">
        <v>7</v>
      </c>
      <c r="B53" s="69"/>
      <c r="C53" s="69" t="s">
        <v>293</v>
      </c>
      <c r="D53" s="69"/>
      <c r="E53" s="851" t="e">
        <f>ROUND(E49/E51,0)</f>
        <v>#DIV/0!</v>
      </c>
      <c r="F53" s="1212">
        <f>F57*F55</f>
        <v>35255.870999999999</v>
      </c>
      <c r="G53" s="1262" t="e">
        <f>E53-F53</f>
        <v>#DIV/0!</v>
      </c>
    </row>
    <row r="54" spans="1:19">
      <c r="A54" s="847"/>
      <c r="B54" s="34"/>
      <c r="C54" s="69"/>
      <c r="D54" s="69"/>
      <c r="E54" s="69"/>
      <c r="F54" s="1208"/>
      <c r="G54" s="1213"/>
    </row>
    <row r="55" spans="1:19">
      <c r="A55" s="847">
        <v>8</v>
      </c>
      <c r="B55" s="34"/>
      <c r="C55" s="69" t="s">
        <v>294</v>
      </c>
      <c r="D55" s="69"/>
      <c r="E55" s="849">
        <f>IDElec12_07!BA13+IDElec12_07!BA14</f>
        <v>211113</v>
      </c>
      <c r="F55" s="1207">
        <f>E55</f>
        <v>211113</v>
      </c>
      <c r="G55" s="1214">
        <f>E55</f>
        <v>211113</v>
      </c>
    </row>
    <row r="56" spans="1:19">
      <c r="A56" s="847"/>
      <c r="B56" s="34"/>
      <c r="C56" s="69"/>
      <c r="D56" s="69"/>
      <c r="E56" s="69"/>
      <c r="F56" s="1208"/>
      <c r="G56" s="1213"/>
    </row>
    <row r="57" spans="1:19" ht="13.5" thickBot="1">
      <c r="A57" s="847">
        <v>9</v>
      </c>
      <c r="B57" s="34"/>
      <c r="C57" s="69" t="s">
        <v>295</v>
      </c>
      <c r="D57" s="69"/>
      <c r="E57" s="852" t="e">
        <f>ROUND(E53/E55,4)</f>
        <v>#DIV/0!</v>
      </c>
      <c r="F57" s="1211">
        <f>J58+I58</f>
        <v>0.16700000000000001</v>
      </c>
      <c r="G57" s="1218" t="e">
        <f>G53/G55</f>
        <v>#DIV/0!</v>
      </c>
      <c r="H57" s="669" t="s">
        <v>654</v>
      </c>
    </row>
    <row r="58" spans="1:19" ht="13.5" thickTop="1">
      <c r="I58" s="1046">
        <v>1.4E-2</v>
      </c>
      <c r="J58" s="1046">
        <v>0.153</v>
      </c>
    </row>
    <row r="59" spans="1:19">
      <c r="J59" s="1046"/>
    </row>
    <row r="60" spans="1:19">
      <c r="F60" s="2" t="s">
        <v>636</v>
      </c>
      <c r="G60" s="688" t="e">
        <f>G49</f>
        <v>#DIV/0!</v>
      </c>
      <c r="H60" s="1219"/>
    </row>
    <row r="61" spans="1:19">
      <c r="F61" s="33"/>
      <c r="G61" s="1204"/>
    </row>
    <row r="62" spans="1:19">
      <c r="F62" s="2" t="s">
        <v>637</v>
      </c>
      <c r="G62" s="669">
        <v>0.65</v>
      </c>
    </row>
    <row r="63" spans="1:19">
      <c r="F63" s="1205"/>
    </row>
    <row r="64" spans="1:19" ht="15" customHeight="1">
      <c r="F64" s="1220" t="s">
        <v>638</v>
      </c>
      <c r="G64" s="1221" t="e">
        <f>G60/G62</f>
        <v>#DIV/0!</v>
      </c>
      <c r="I64" s="669" t="s">
        <v>130</v>
      </c>
    </row>
    <row r="65" spans="1:8">
      <c r="F65" s="1203" t="s">
        <v>640</v>
      </c>
      <c r="G65" s="669">
        <f>35.41%</f>
        <v>0.35409999999999997</v>
      </c>
    </row>
    <row r="66" spans="1:8">
      <c r="F66" s="1223" t="s">
        <v>639</v>
      </c>
      <c r="G66" s="1224" t="e">
        <f>G64/G65</f>
        <v>#DIV/0!</v>
      </c>
    </row>
    <row r="68" spans="1:8" ht="13.5" thickBot="1"/>
    <row r="69" spans="1:8">
      <c r="A69" s="1227" t="s">
        <v>261</v>
      </c>
      <c r="B69" s="1228"/>
      <c r="C69" s="1228"/>
      <c r="D69" s="1228"/>
      <c r="E69" s="1228"/>
      <c r="F69" s="1229"/>
      <c r="G69" s="1230"/>
      <c r="H69" s="1231"/>
    </row>
    <row r="70" spans="1:8">
      <c r="A70" s="1232" t="s">
        <v>409</v>
      </c>
      <c r="B70" s="1233"/>
      <c r="C70" s="1233"/>
      <c r="D70" s="1233"/>
      <c r="E70" s="1233"/>
      <c r="F70" s="1234"/>
      <c r="G70" s="675"/>
      <c r="H70" s="1235"/>
    </row>
    <row r="71" spans="1:8">
      <c r="A71" s="1232" t="s">
        <v>627</v>
      </c>
      <c r="B71" s="1233"/>
      <c r="C71" s="1233"/>
      <c r="D71" s="1233"/>
      <c r="E71" s="1233"/>
      <c r="F71" s="1234"/>
      <c r="G71" s="675"/>
      <c r="H71" s="1235"/>
    </row>
    <row r="72" spans="1:8">
      <c r="A72" s="1232"/>
      <c r="B72" s="1233"/>
      <c r="C72" s="1233" t="s">
        <v>555</v>
      </c>
      <c r="D72" s="1233"/>
      <c r="E72" s="1233"/>
      <c r="F72" s="1236" t="s">
        <v>641</v>
      </c>
      <c r="G72" s="1237"/>
      <c r="H72" s="1254"/>
    </row>
    <row r="73" spans="1:8">
      <c r="A73" s="1238"/>
      <c r="B73" s="1239"/>
      <c r="C73" s="1239"/>
      <c r="D73" s="1239"/>
      <c r="E73" s="844"/>
      <c r="F73" s="1236" t="s">
        <v>642</v>
      </c>
      <c r="G73" s="1237"/>
      <c r="H73" s="1254"/>
    </row>
    <row r="74" spans="1:8">
      <c r="A74" s="1240" t="s">
        <v>273</v>
      </c>
      <c r="B74" s="844"/>
      <c r="C74" s="844"/>
      <c r="D74" s="844"/>
      <c r="E74" s="844" t="s">
        <v>274</v>
      </c>
      <c r="F74" s="1236" t="s">
        <v>644</v>
      </c>
      <c r="G74" s="1237"/>
      <c r="H74" s="1254"/>
    </row>
    <row r="75" spans="1:8">
      <c r="A75" s="1241" t="s">
        <v>35</v>
      </c>
      <c r="B75" s="844"/>
      <c r="C75" s="846" t="s">
        <v>134</v>
      </c>
      <c r="D75" s="844"/>
      <c r="E75" s="846" t="s">
        <v>277</v>
      </c>
      <c r="F75" s="1236" t="s">
        <v>643</v>
      </c>
      <c r="G75" s="1237"/>
      <c r="H75" s="1254"/>
    </row>
    <row r="76" spans="1:8">
      <c r="A76" s="1238"/>
      <c r="B76" s="1239"/>
      <c r="C76" s="1239"/>
      <c r="D76" s="1239"/>
      <c r="E76" s="675"/>
      <c r="F76" s="1234"/>
      <c r="G76" s="675"/>
      <c r="H76" s="1235"/>
    </row>
    <row r="77" spans="1:8">
      <c r="A77" s="1242">
        <v>1</v>
      </c>
      <c r="B77" s="1239"/>
      <c r="C77" s="1239" t="s">
        <v>407</v>
      </c>
      <c r="D77" s="1239"/>
      <c r="E77" s="849">
        <v>548266</v>
      </c>
      <c r="F77" s="1234"/>
      <c r="G77" s="675"/>
      <c r="H77" s="1235"/>
    </row>
    <row r="78" spans="1:8">
      <c r="A78" s="1242"/>
      <c r="B78" s="1239"/>
      <c r="C78" s="1239"/>
      <c r="D78" s="1239"/>
      <c r="E78" s="849"/>
      <c r="F78" s="1234"/>
      <c r="G78" s="675"/>
      <c r="H78" s="1235"/>
    </row>
    <row r="79" spans="1:8" ht="13.5" thickBot="1">
      <c r="A79" s="1242">
        <v>2</v>
      </c>
      <c r="B79" s="1239"/>
      <c r="C79" s="1239" t="s">
        <v>284</v>
      </c>
      <c r="D79" s="1239"/>
      <c r="E79" s="1027">
        <v>8.7400000000000005E-2</v>
      </c>
      <c r="F79" s="1234"/>
      <c r="G79" s="1243" t="s">
        <v>613</v>
      </c>
      <c r="H79" s="1235"/>
    </row>
    <row r="80" spans="1:8">
      <c r="A80" s="1242"/>
      <c r="B80" s="1239"/>
      <c r="C80" s="1239"/>
      <c r="D80" s="1239"/>
      <c r="E80" s="848"/>
      <c r="F80" s="1215" t="s">
        <v>634</v>
      </c>
      <c r="G80" s="1216" t="s">
        <v>635</v>
      </c>
      <c r="H80" s="1235"/>
    </row>
    <row r="81" spans="1:8">
      <c r="A81" s="1242">
        <v>3</v>
      </c>
      <c r="B81" s="1239"/>
      <c r="C81" s="1239" t="s">
        <v>285</v>
      </c>
      <c r="D81" s="1239"/>
      <c r="E81" s="849">
        <v>47918</v>
      </c>
      <c r="F81" s="1207">
        <v>47918</v>
      </c>
      <c r="G81" s="1214">
        <v>0</v>
      </c>
      <c r="H81" s="1235"/>
    </row>
    <row r="82" spans="1:8">
      <c r="A82" s="1242"/>
      <c r="B82" s="1239"/>
      <c r="C82" s="1239"/>
      <c r="D82" s="1239"/>
      <c r="E82" s="849"/>
      <c r="F82" s="1208"/>
      <c r="G82" s="1213"/>
      <c r="H82" s="1235"/>
    </row>
    <row r="83" spans="1:8">
      <c r="A83" s="1242">
        <v>4</v>
      </c>
      <c r="B83" s="1239"/>
      <c r="C83" s="1239" t="s">
        <v>289</v>
      </c>
      <c r="D83" s="1239"/>
      <c r="E83" s="850">
        <v>24422.244360000001</v>
      </c>
      <c r="F83" s="1209">
        <v>27275.429644592998</v>
      </c>
      <c r="G83" s="1217">
        <v>-2853.185284592997</v>
      </c>
      <c r="H83" s="1235"/>
    </row>
    <row r="84" spans="1:8">
      <c r="A84" s="1242"/>
      <c r="B84" s="1239"/>
      <c r="C84" s="1239"/>
      <c r="D84" s="1239"/>
      <c r="E84" s="1239"/>
      <c r="F84" s="1208"/>
      <c r="G84" s="1213"/>
      <c r="H84" s="1235"/>
    </row>
    <row r="85" spans="1:8">
      <c r="A85" s="1242">
        <v>5</v>
      </c>
      <c r="B85" s="1239"/>
      <c r="C85" s="1239" t="s">
        <v>290</v>
      </c>
      <c r="D85" s="1239"/>
      <c r="E85" s="849">
        <v>23495.755639999999</v>
      </c>
      <c r="F85" s="1207">
        <v>20642.570355407002</v>
      </c>
      <c r="G85" s="1214">
        <v>2853.185284592997</v>
      </c>
      <c r="H85" s="1235"/>
    </row>
    <row r="86" spans="1:8">
      <c r="A86" s="1242"/>
      <c r="B86" s="1239"/>
      <c r="C86" s="1239"/>
      <c r="D86" s="1239"/>
      <c r="E86" s="1239"/>
      <c r="F86" s="1208"/>
      <c r="G86" s="1213"/>
      <c r="H86" s="1235"/>
    </row>
    <row r="87" spans="1:8">
      <c r="A87" s="1242">
        <v>6</v>
      </c>
      <c r="B87" s="1239"/>
      <c r="C87" s="1239" t="s">
        <v>292</v>
      </c>
      <c r="D87" s="1239"/>
      <c r="E87" s="1239">
        <v>0.63956230000000003</v>
      </c>
      <c r="F87" s="1210">
        <v>0.63956230000000003</v>
      </c>
      <c r="G87" s="1213">
        <v>0.63956230000000003</v>
      </c>
      <c r="H87" s="1235"/>
    </row>
    <row r="88" spans="1:8" ht="13.5" thickBot="1">
      <c r="A88" s="1242"/>
      <c r="B88" s="1239"/>
      <c r="C88" s="1239"/>
      <c r="D88" s="1239"/>
      <c r="E88" s="1239"/>
      <c r="F88" s="1208"/>
      <c r="G88" s="1213"/>
      <c r="H88" s="1235"/>
    </row>
    <row r="89" spans="1:8" ht="13.5" thickBot="1">
      <c r="A89" s="1242">
        <v>7</v>
      </c>
      <c r="B89" s="1239"/>
      <c r="C89" s="1239" t="s">
        <v>293</v>
      </c>
      <c r="D89" s="1239"/>
      <c r="E89" s="1206">
        <v>36737</v>
      </c>
      <c r="F89" s="1212">
        <v>32276.09</v>
      </c>
      <c r="G89" s="1222">
        <v>4460.91</v>
      </c>
      <c r="H89" s="1235"/>
    </row>
    <row r="90" spans="1:8">
      <c r="A90" s="1242"/>
      <c r="B90" s="834"/>
      <c r="C90" s="1239"/>
      <c r="D90" s="1239"/>
      <c r="E90" s="1239"/>
      <c r="F90" s="1208"/>
      <c r="G90" s="1213"/>
      <c r="H90" s="1235"/>
    </row>
    <row r="91" spans="1:8">
      <c r="A91" s="1242">
        <v>8</v>
      </c>
      <c r="B91" s="834"/>
      <c r="C91" s="1239" t="s">
        <v>294</v>
      </c>
      <c r="D91" s="1239"/>
      <c r="E91" s="849">
        <v>193270</v>
      </c>
      <c r="F91" s="1207">
        <v>193270</v>
      </c>
      <c r="G91" s="1214">
        <v>193270</v>
      </c>
      <c r="H91" s="1235"/>
    </row>
    <row r="92" spans="1:8">
      <c r="A92" s="1242"/>
      <c r="B92" s="834"/>
      <c r="C92" s="1239"/>
      <c r="D92" s="1239"/>
      <c r="E92" s="1239"/>
      <c r="F92" s="1208"/>
      <c r="G92" s="1213"/>
      <c r="H92" s="1235"/>
    </row>
    <row r="93" spans="1:8" ht="13.5" thickBot="1">
      <c r="A93" s="1242">
        <v>9</v>
      </c>
      <c r="B93" s="834"/>
      <c r="C93" s="1239" t="s">
        <v>295</v>
      </c>
      <c r="D93" s="1239"/>
      <c r="E93" s="852">
        <v>0.19009999999999999</v>
      </c>
      <c r="F93" s="1211">
        <v>0.16700000000000001</v>
      </c>
      <c r="G93" s="1218">
        <v>2.3081233507528328E-2</v>
      </c>
      <c r="H93" s="1235"/>
    </row>
    <row r="94" spans="1:8" ht="13.5" thickTop="1">
      <c r="A94" s="1244"/>
      <c r="B94" s="1234"/>
      <c r="C94" s="1234"/>
      <c r="D94" s="1234"/>
      <c r="E94" s="1234"/>
      <c r="F94" s="1234"/>
      <c r="G94" s="675"/>
      <c r="H94" s="1235"/>
    </row>
    <row r="95" spans="1:8">
      <c r="A95" s="1244"/>
      <c r="B95" s="1234"/>
      <c r="C95" s="1234"/>
      <c r="D95" s="1234"/>
      <c r="E95" s="1234"/>
      <c r="F95" s="1234"/>
      <c r="G95" s="675"/>
      <c r="H95" s="1235"/>
    </row>
    <row r="96" spans="1:8">
      <c r="A96" s="1244"/>
      <c r="B96" s="1234"/>
      <c r="C96" s="1234"/>
      <c r="D96" s="1234"/>
      <c r="E96" s="1234"/>
      <c r="F96" s="1234" t="s">
        <v>636</v>
      </c>
      <c r="G96" s="685">
        <v>2853.185284592997</v>
      </c>
      <c r="H96" s="1235"/>
    </row>
    <row r="97" spans="1:8">
      <c r="A97" s="1244"/>
      <c r="B97" s="1234"/>
      <c r="C97" s="1234"/>
      <c r="D97" s="1234"/>
      <c r="E97" s="1234"/>
      <c r="F97" s="1245"/>
      <c r="G97" s="1246"/>
      <c r="H97" s="1235"/>
    </row>
    <row r="98" spans="1:8">
      <c r="A98" s="1244"/>
      <c r="B98" s="1234"/>
      <c r="C98" s="1234"/>
      <c r="D98" s="1234"/>
      <c r="E98" s="1234"/>
      <c r="F98" s="1234" t="s">
        <v>637</v>
      </c>
      <c r="G98" s="675">
        <v>0.65</v>
      </c>
      <c r="H98" s="1235"/>
    </row>
    <row r="99" spans="1:8">
      <c r="A99" s="1244"/>
      <c r="B99" s="1234"/>
      <c r="C99" s="1234"/>
      <c r="D99" s="1234"/>
      <c r="E99" s="1234"/>
      <c r="F99" s="1247"/>
      <c r="G99" s="675"/>
      <c r="H99" s="1235"/>
    </row>
    <row r="100" spans="1:8">
      <c r="A100" s="1244"/>
      <c r="B100" s="1234"/>
      <c r="C100" s="1234"/>
      <c r="D100" s="1234"/>
      <c r="E100" s="1234"/>
      <c r="F100" s="1248" t="s">
        <v>638</v>
      </c>
      <c r="G100" s="1249">
        <v>4389.515822450765</v>
      </c>
      <c r="H100" s="1235"/>
    </row>
    <row r="101" spans="1:8">
      <c r="A101" s="1244"/>
      <c r="B101" s="1234"/>
      <c r="C101" s="1234"/>
      <c r="D101" s="1234"/>
      <c r="E101" s="1234"/>
      <c r="F101" s="1226" t="s">
        <v>640</v>
      </c>
      <c r="G101" s="675">
        <v>0.35409999999999997</v>
      </c>
      <c r="H101" s="1235"/>
    </row>
    <row r="102" spans="1:8">
      <c r="A102" s="1244"/>
      <c r="B102" s="1234"/>
      <c r="C102" s="1234"/>
      <c r="D102" s="1234"/>
      <c r="E102" s="1234"/>
      <c r="F102" s="1223" t="s">
        <v>639</v>
      </c>
      <c r="G102" s="1224">
        <v>12396.260441826505</v>
      </c>
      <c r="H102" s="1235"/>
    </row>
    <row r="103" spans="1:8" ht="13.5" thickBot="1">
      <c r="A103" s="1250"/>
      <c r="B103" s="1251"/>
      <c r="C103" s="1251"/>
      <c r="D103" s="1251"/>
      <c r="E103" s="1251"/>
      <c r="F103" s="1251"/>
      <c r="G103" s="1252"/>
      <c r="H103" s="1253"/>
    </row>
  </sheetData>
  <phoneticPr fontId="0" type="noConversion"/>
  <pageMargins left="0.75" right="0.75" top="1" bottom="0.5" header="0.5" footer="0.5"/>
  <pageSetup fitToWidth="2" orientation="portrait" r:id="rId1"/>
  <headerFooter alignWithMargins="0">
    <oddHeader>&amp;RExhibit No. _____(EMA-2)</oddHeader>
    <oddFooter xml:space="preserve">&amp;R&amp;"Times New Roman,Regular"&amp;8Page 2 of  9                      </oddFooter>
  </headerFooter>
  <colBreaks count="1" manualBreakCount="1">
    <brk id="12" min="30" max="49" man="1"/>
  </colBreaks>
  <drawing r:id="rId2"/>
</worksheet>
</file>

<file path=xl/worksheets/sheet64.xml><?xml version="1.0" encoding="utf-8"?>
<worksheet xmlns="http://schemas.openxmlformats.org/spreadsheetml/2006/main" xmlns:r="http://schemas.openxmlformats.org/officeDocument/2006/relationships">
  <sheetPr codeName="Sheet72">
    <pageSetUpPr fitToPage="1"/>
  </sheetPr>
  <dimension ref="A1:I71"/>
  <sheetViews>
    <sheetView topLeftCell="A23" workbookViewId="0">
      <selection activeCell="E76" activeCellId="1" sqref="M64 E76"/>
    </sheetView>
  </sheetViews>
  <sheetFormatPr defaultRowHeight="12.75"/>
  <cols>
    <col min="1" max="1" width="4.7109375" style="3" customWidth="1"/>
    <col min="2" max="3" width="1.7109375" style="2" customWidth="1"/>
    <col min="4" max="4" width="34.28515625" style="2" customWidth="1"/>
    <col min="5" max="5" width="11.7109375" style="44" customWidth="1"/>
    <col min="6" max="6" width="13.7109375" style="44" customWidth="1"/>
    <col min="7" max="7" width="11.7109375" style="44" customWidth="1"/>
    <col min="8" max="8" width="12.85546875" style="44" customWidth="1"/>
    <col min="9" max="9" width="12.5703125" style="44" customWidth="1"/>
    <col min="10" max="10" width="9.140625" style="669"/>
    <col min="11" max="11" width="10.5703125" style="669" customWidth="1"/>
    <col min="12" max="16384" width="9.140625" style="669"/>
  </cols>
  <sheetData>
    <row r="1" spans="1:9">
      <c r="A1" s="1" t="s">
        <v>261</v>
      </c>
      <c r="D1" s="3"/>
    </row>
    <row r="2" spans="1:9">
      <c r="A2" s="1" t="s">
        <v>0</v>
      </c>
      <c r="D2" s="3"/>
    </row>
    <row r="3" spans="1:9">
      <c r="A3" s="1" t="s">
        <v>628</v>
      </c>
      <c r="D3" s="3"/>
    </row>
    <row r="4" spans="1:9">
      <c r="A4" s="1" t="str">
        <f>Inputs!D2</f>
        <v>TWELVE MONTHS ENDED SEPTEMBER 30, 2008</v>
      </c>
      <c r="D4" s="3"/>
    </row>
    <row r="5" spans="1:9">
      <c r="A5" s="1" t="s">
        <v>1</v>
      </c>
      <c r="D5" s="3"/>
    </row>
    <row r="6" spans="1:9">
      <c r="A6" s="7"/>
      <c r="B6" s="8"/>
      <c r="C6" s="8"/>
      <c r="D6" s="7"/>
      <c r="E6" s="866" t="s">
        <v>389</v>
      </c>
      <c r="F6" s="867"/>
      <c r="G6" s="868"/>
      <c r="H6" s="866" t="s">
        <v>390</v>
      </c>
      <c r="I6" s="868"/>
    </row>
    <row r="7" spans="1:9">
      <c r="A7" s="12"/>
      <c r="B7" s="13"/>
      <c r="C7" s="14"/>
      <c r="D7" s="15"/>
      <c r="E7" s="869" t="s">
        <v>391</v>
      </c>
      <c r="F7" s="869"/>
      <c r="G7" s="869"/>
      <c r="H7" s="870" t="s">
        <v>392</v>
      </c>
      <c r="I7" s="869" t="s">
        <v>13</v>
      </c>
    </row>
    <row r="8" spans="1:9">
      <c r="A8" s="17" t="s">
        <v>14</v>
      </c>
      <c r="B8" s="18"/>
      <c r="C8" s="19"/>
      <c r="D8" s="20"/>
      <c r="E8" s="871" t="s">
        <v>15</v>
      </c>
      <c r="F8" s="871" t="s">
        <v>291</v>
      </c>
      <c r="G8" s="871" t="s">
        <v>13</v>
      </c>
      <c r="H8" s="872" t="s">
        <v>393</v>
      </c>
      <c r="I8" s="871" t="s">
        <v>392</v>
      </c>
    </row>
    <row r="9" spans="1:9">
      <c r="A9" s="22" t="s">
        <v>35</v>
      </c>
      <c r="B9" s="23"/>
      <c r="C9" s="24"/>
      <c r="D9" s="25" t="s">
        <v>36</v>
      </c>
      <c r="E9" s="873" t="s">
        <v>37</v>
      </c>
      <c r="F9" s="873" t="s">
        <v>315</v>
      </c>
      <c r="G9" s="873" t="s">
        <v>291</v>
      </c>
      <c r="H9" s="874" t="s">
        <v>394</v>
      </c>
      <c r="I9" s="873" t="s">
        <v>291</v>
      </c>
    </row>
    <row r="10" spans="1:9">
      <c r="A10" s="27"/>
      <c r="B10" s="28"/>
      <c r="C10" s="28"/>
      <c r="D10" s="28" t="s">
        <v>57</v>
      </c>
      <c r="E10" s="875" t="s">
        <v>58</v>
      </c>
      <c r="F10" s="875" t="s">
        <v>59</v>
      </c>
      <c r="G10" s="875" t="s">
        <v>60</v>
      </c>
      <c r="H10" s="875" t="s">
        <v>61</v>
      </c>
      <c r="I10" s="875" t="s">
        <v>62</v>
      </c>
    </row>
    <row r="12" spans="1:9">
      <c r="B12" s="2" t="s">
        <v>85</v>
      </c>
    </row>
    <row r="13" spans="1:9">
      <c r="A13" s="32">
        <v>1</v>
      </c>
      <c r="B13" s="33" t="s">
        <v>86</v>
      </c>
      <c r="C13" s="33"/>
      <c r="D13" s="33"/>
      <c r="E13" s="78">
        <f>IDElec12_07!E13</f>
        <v>210968</v>
      </c>
      <c r="F13" s="78">
        <f>G13-E13</f>
        <v>0</v>
      </c>
      <c r="G13" s="78">
        <f>IDElec12_07!BA13</f>
        <v>210968</v>
      </c>
      <c r="H13" s="78" t="e">
        <f>'ConverFac_Exh-ID'!J7</f>
        <v>#DIV/0!</v>
      </c>
      <c r="I13" s="78" t="e">
        <f>G13+H13</f>
        <v>#DIV/0!</v>
      </c>
    </row>
    <row r="14" spans="1:9">
      <c r="A14" s="32">
        <v>2</v>
      </c>
      <c r="B14" s="34" t="s">
        <v>87</v>
      </c>
      <c r="C14" s="34"/>
      <c r="D14" s="34"/>
      <c r="E14" s="74">
        <f>IDElec12_07!E14</f>
        <v>145</v>
      </c>
      <c r="F14" s="74">
        <f>G14-E14</f>
        <v>0</v>
      </c>
      <c r="G14" s="74">
        <f>IDElec12_07!BA14</f>
        <v>145</v>
      </c>
      <c r="H14" s="74"/>
      <c r="I14" s="74">
        <f>G14+H14</f>
        <v>145</v>
      </c>
    </row>
    <row r="15" spans="1:9">
      <c r="A15" s="32">
        <v>3</v>
      </c>
      <c r="B15" s="34" t="s">
        <v>88</v>
      </c>
      <c r="C15" s="34"/>
      <c r="D15" s="34"/>
      <c r="E15" s="75">
        <f>IDElec12_07!E15</f>
        <v>69340</v>
      </c>
      <c r="F15" s="75">
        <f>G15-E15</f>
        <v>-20920</v>
      </c>
      <c r="G15" s="75">
        <f>IDElec12_07!BA15</f>
        <v>48420</v>
      </c>
      <c r="H15" s="75"/>
      <c r="I15" s="75">
        <f>G15+H15</f>
        <v>48420</v>
      </c>
    </row>
    <row r="16" spans="1:9">
      <c r="A16" s="32">
        <v>4</v>
      </c>
      <c r="B16" s="34"/>
      <c r="C16" s="34" t="s">
        <v>89</v>
      </c>
      <c r="D16" s="34"/>
      <c r="E16" s="34">
        <f>IDElec12_07!E16</f>
        <v>280453</v>
      </c>
      <c r="F16" s="34">
        <f>SUM(F13:F15)</f>
        <v>-20920</v>
      </c>
      <c r="G16" s="34">
        <f>IDElec12_07!BA16</f>
        <v>259533</v>
      </c>
      <c r="H16" s="34" t="e">
        <f>SUM(H13:H15)</f>
        <v>#DIV/0!</v>
      </c>
      <c r="I16" s="34" t="e">
        <f>SUM(I13:I15)</f>
        <v>#DIV/0!</v>
      </c>
    </row>
    <row r="17" spans="1:9">
      <c r="A17" s="32">
        <v>5</v>
      </c>
      <c r="B17" s="34" t="s">
        <v>90</v>
      </c>
      <c r="C17" s="34"/>
      <c r="D17" s="34"/>
      <c r="E17" s="75">
        <f>IDElec12_07!E17</f>
        <v>19754</v>
      </c>
      <c r="F17" s="75">
        <f>G17-E17</f>
        <v>-7192</v>
      </c>
      <c r="G17" s="75">
        <f>IDElec12_07!BA17</f>
        <v>12562</v>
      </c>
      <c r="H17" s="75"/>
      <c r="I17" s="75">
        <f>G17+H17</f>
        <v>12562</v>
      </c>
    </row>
    <row r="18" spans="1:9">
      <c r="A18" s="32">
        <v>6</v>
      </c>
      <c r="B18" s="34"/>
      <c r="C18" s="34" t="s">
        <v>91</v>
      </c>
      <c r="D18" s="34"/>
      <c r="E18" s="34">
        <f>IDElec12_07!E18</f>
        <v>300207</v>
      </c>
      <c r="F18" s="34">
        <f>SUM(F16:F17)</f>
        <v>-28112</v>
      </c>
      <c r="G18" s="34">
        <f>IDElec12_07!BA18</f>
        <v>272095</v>
      </c>
      <c r="H18" s="34" t="e">
        <f>SUM(H16:H17)</f>
        <v>#DIV/0!</v>
      </c>
      <c r="I18" s="34" t="e">
        <f>SUM(I16:I17)</f>
        <v>#DIV/0!</v>
      </c>
    </row>
    <row r="19" spans="1:9">
      <c r="A19" s="32"/>
      <c r="B19" s="34"/>
      <c r="C19" s="34"/>
      <c r="D19" s="34"/>
      <c r="E19" s="74"/>
      <c r="F19" s="74"/>
      <c r="G19" s="74"/>
      <c r="H19" s="74"/>
      <c r="I19" s="74"/>
    </row>
    <row r="20" spans="1:9">
      <c r="A20" s="32"/>
      <c r="B20" s="34" t="s">
        <v>92</v>
      </c>
      <c r="C20" s="34"/>
      <c r="D20" s="34"/>
      <c r="E20" s="74"/>
      <c r="F20" s="74"/>
      <c r="G20" s="74"/>
      <c r="H20" s="74"/>
      <c r="I20" s="74"/>
    </row>
    <row r="21" spans="1:9">
      <c r="A21" s="32"/>
      <c r="B21" s="34" t="s">
        <v>93</v>
      </c>
      <c r="C21" s="34"/>
      <c r="D21" s="34"/>
      <c r="E21" s="74"/>
      <c r="F21" s="74"/>
      <c r="G21" s="74"/>
      <c r="H21" s="74"/>
      <c r="I21" s="74"/>
    </row>
    <row r="22" spans="1:9">
      <c r="A22" s="32">
        <v>7</v>
      </c>
      <c r="B22" s="34"/>
      <c r="C22" s="34" t="s">
        <v>94</v>
      </c>
      <c r="D22" s="34"/>
      <c r="E22" s="74">
        <f>IDElec12_07!E22</f>
        <v>80859</v>
      </c>
      <c r="F22" s="74">
        <f>G22-E22</f>
        <v>-18239</v>
      </c>
      <c r="G22" s="74">
        <f>IDElec12_07!BA22</f>
        <v>62620</v>
      </c>
      <c r="H22" s="74"/>
      <c r="I22" s="74">
        <f>G22+H22</f>
        <v>62620</v>
      </c>
    </row>
    <row r="23" spans="1:9">
      <c r="A23" s="32">
        <v>8</v>
      </c>
      <c r="B23" s="34"/>
      <c r="C23" s="34" t="s">
        <v>95</v>
      </c>
      <c r="D23" s="34"/>
      <c r="E23" s="74">
        <f>IDElec12_07!E23</f>
        <v>99071</v>
      </c>
      <c r="F23" s="74">
        <f>G23-E23</f>
        <v>-14480</v>
      </c>
      <c r="G23" s="74">
        <f>IDElec12_07!BA23</f>
        <v>84591</v>
      </c>
      <c r="H23" s="74"/>
      <c r="I23" s="74">
        <f>G23+H23</f>
        <v>84591</v>
      </c>
    </row>
    <row r="24" spans="1:9">
      <c r="A24" s="32">
        <v>9</v>
      </c>
      <c r="B24" s="34"/>
      <c r="C24" s="34" t="s">
        <v>96</v>
      </c>
      <c r="D24" s="34"/>
      <c r="E24" s="74">
        <f>IDElec12_07!E24</f>
        <v>11375</v>
      </c>
      <c r="F24" s="74">
        <f>G24-E24</f>
        <v>215</v>
      </c>
      <c r="G24" s="74">
        <f>IDElec12_07!BA24</f>
        <v>11590</v>
      </c>
      <c r="H24" s="74"/>
      <c r="I24" s="74">
        <f>G24+H24</f>
        <v>11590</v>
      </c>
    </row>
    <row r="25" spans="1:9">
      <c r="A25" s="32">
        <v>10</v>
      </c>
      <c r="B25" s="34"/>
      <c r="C25" s="34" t="s">
        <v>47</v>
      </c>
      <c r="D25" s="34"/>
      <c r="E25" s="75">
        <f>IDElec12_07!E25</f>
        <v>4898</v>
      </c>
      <c r="F25" s="75">
        <f>G25-E25</f>
        <v>0</v>
      </c>
      <c r="G25" s="75">
        <f>IDElec12_07!BA25</f>
        <v>4898</v>
      </c>
      <c r="H25" s="75"/>
      <c r="I25" s="75">
        <f>G25+H25</f>
        <v>4898</v>
      </c>
    </row>
    <row r="26" spans="1:9">
      <c r="A26" s="32">
        <v>11</v>
      </c>
      <c r="B26" s="34"/>
      <c r="C26" s="34"/>
      <c r="D26" s="34" t="s">
        <v>97</v>
      </c>
      <c r="E26" s="34">
        <f>IDElec12_07!E26</f>
        <v>196203</v>
      </c>
      <c r="F26" s="34">
        <f>SUM(F22:F25)</f>
        <v>-32504</v>
      </c>
      <c r="G26" s="34">
        <f>IDElec12_07!BA26</f>
        <v>163699</v>
      </c>
      <c r="H26" s="34">
        <f>SUM(H22:H25)</f>
        <v>0</v>
      </c>
      <c r="I26" s="34">
        <f>SUM(I22:I25)</f>
        <v>163699</v>
      </c>
    </row>
    <row r="27" spans="1:9">
      <c r="A27" s="32"/>
      <c r="B27" s="34"/>
      <c r="C27" s="34"/>
      <c r="D27" s="34"/>
      <c r="E27" s="74"/>
      <c r="F27" s="74"/>
      <c r="G27" s="74"/>
      <c r="H27" s="74"/>
      <c r="I27" s="74"/>
    </row>
    <row r="28" spans="1:9">
      <c r="A28" s="32"/>
      <c r="B28" s="34" t="s">
        <v>98</v>
      </c>
      <c r="C28" s="34"/>
      <c r="D28" s="34"/>
      <c r="E28" s="74"/>
      <c r="F28" s="74"/>
      <c r="G28" s="74"/>
      <c r="H28" s="74"/>
      <c r="I28" s="74"/>
    </row>
    <row r="29" spans="1:9">
      <c r="A29" s="32">
        <v>12</v>
      </c>
      <c r="B29" s="34"/>
      <c r="C29" s="34" t="s">
        <v>94</v>
      </c>
      <c r="D29" s="34"/>
      <c r="E29" s="74">
        <f>IDElec12_07!E29</f>
        <v>8580</v>
      </c>
      <c r="F29" s="74">
        <f>G29-E29</f>
        <v>294</v>
      </c>
      <c r="G29" s="74">
        <f>IDElec12_07!BA29</f>
        <v>8874</v>
      </c>
      <c r="H29" s="74"/>
      <c r="I29" s="74">
        <f>G29+H29</f>
        <v>8874</v>
      </c>
    </row>
    <row r="30" spans="1:9">
      <c r="A30" s="32">
        <v>13</v>
      </c>
      <c r="B30" s="34"/>
      <c r="C30" s="34" t="s">
        <v>99</v>
      </c>
      <c r="D30" s="34"/>
      <c r="E30" s="74">
        <f>IDElec12_07!E30</f>
        <v>8351</v>
      </c>
      <c r="F30" s="74">
        <f>G30-E30</f>
        <v>692</v>
      </c>
      <c r="G30" s="74">
        <f>IDElec12_07!BA30</f>
        <v>9043</v>
      </c>
      <c r="H30" s="74"/>
      <c r="I30" s="74">
        <f>G30+H30</f>
        <v>9043</v>
      </c>
    </row>
    <row r="31" spans="1:9">
      <c r="A31" s="32">
        <v>14</v>
      </c>
      <c r="B31" s="34"/>
      <c r="C31" s="34" t="s">
        <v>47</v>
      </c>
      <c r="D31" s="34"/>
      <c r="E31" s="75">
        <f>IDElec12_07!E31</f>
        <v>4167</v>
      </c>
      <c r="F31" s="75">
        <f>G31-E31</f>
        <v>297</v>
      </c>
      <c r="G31" s="75">
        <f>IDElec12_07!BA31</f>
        <v>4464</v>
      </c>
      <c r="H31" s="1258" t="e">
        <f>'ConverFac_Exh-ID'!J15</f>
        <v>#DIV/0!</v>
      </c>
      <c r="I31" s="75" t="e">
        <f>G31+H31</f>
        <v>#DIV/0!</v>
      </c>
    </row>
    <row r="32" spans="1:9">
      <c r="A32" s="32">
        <v>15</v>
      </c>
      <c r="B32" s="34"/>
      <c r="C32" s="34"/>
      <c r="D32" s="34" t="s">
        <v>100</v>
      </c>
      <c r="E32" s="34">
        <f>IDElec12_07!E32</f>
        <v>21098</v>
      </c>
      <c r="F32" s="34">
        <f>SUM(F29:F31)</f>
        <v>1283</v>
      </c>
      <c r="G32" s="34">
        <f>IDElec12_07!BA32</f>
        <v>22381</v>
      </c>
      <c r="H32" s="1205" t="e">
        <f>SUM(H29:H31)</f>
        <v>#DIV/0!</v>
      </c>
      <c r="I32" s="34" t="e">
        <f>SUM(I29:I31)</f>
        <v>#DIV/0!</v>
      </c>
    </row>
    <row r="33" spans="1:9">
      <c r="A33" s="32"/>
      <c r="B33" s="34"/>
      <c r="C33" s="34"/>
      <c r="D33" s="34"/>
      <c r="E33" s="74"/>
      <c r="F33" s="74"/>
      <c r="G33" s="74"/>
      <c r="H33" s="1205"/>
      <c r="I33" s="74"/>
    </row>
    <row r="34" spans="1:9">
      <c r="A34" s="32">
        <v>16</v>
      </c>
      <c r="B34" s="34" t="s">
        <v>101</v>
      </c>
      <c r="C34" s="34"/>
      <c r="D34" s="34"/>
      <c r="E34" s="74">
        <f>IDElec12_07!E34</f>
        <v>3643</v>
      </c>
      <c r="F34" s="74">
        <f>G34-E34</f>
        <v>93</v>
      </c>
      <c r="G34" s="74">
        <f>IDElec12_07!BA34</f>
        <v>3736</v>
      </c>
      <c r="H34" s="1205" t="e">
        <f>'ConverFac_Exh-ID'!J11</f>
        <v>#DIV/0!</v>
      </c>
      <c r="I34" s="74" t="e">
        <f>G34+H34</f>
        <v>#DIV/0!</v>
      </c>
    </row>
    <row r="35" spans="1:9">
      <c r="A35" s="32">
        <v>17</v>
      </c>
      <c r="B35" s="34" t="s">
        <v>102</v>
      </c>
      <c r="C35" s="34"/>
      <c r="D35" s="34"/>
      <c r="E35" s="74">
        <f>IDElec12_07!E35</f>
        <v>3960</v>
      </c>
      <c r="F35" s="74">
        <f>G35-E35</f>
        <v>7</v>
      </c>
      <c r="G35" s="74">
        <f>IDElec12_07!BA35</f>
        <v>3967</v>
      </c>
      <c r="H35" s="1205"/>
      <c r="I35" s="74">
        <f>G35+H35</f>
        <v>3967</v>
      </c>
    </row>
    <row r="36" spans="1:9">
      <c r="A36" s="32">
        <v>18</v>
      </c>
      <c r="B36" s="34" t="s">
        <v>103</v>
      </c>
      <c r="C36" s="34"/>
      <c r="D36" s="34"/>
      <c r="E36" s="74">
        <f>IDElec12_07!E36</f>
        <v>261</v>
      </c>
      <c r="F36" s="74">
        <f>G36-E36</f>
        <v>7</v>
      </c>
      <c r="G36" s="74">
        <f>IDElec12_07!BA36</f>
        <v>268</v>
      </c>
      <c r="H36" s="1205"/>
      <c r="I36" s="74">
        <f>G36+H36</f>
        <v>268</v>
      </c>
    </row>
    <row r="37" spans="1:9">
      <c r="A37" s="34"/>
      <c r="B37" s="34"/>
      <c r="C37" s="34"/>
      <c r="D37" s="34"/>
      <c r="E37" s="74"/>
      <c r="F37" s="74"/>
      <c r="G37" s="74"/>
      <c r="H37" s="1205"/>
      <c r="I37" s="74"/>
    </row>
    <row r="38" spans="1:9">
      <c r="A38" s="32"/>
      <c r="B38" s="34" t="s">
        <v>104</v>
      </c>
      <c r="C38" s="34"/>
      <c r="D38" s="34"/>
      <c r="E38" s="74"/>
      <c r="F38" s="74"/>
      <c r="G38" s="74"/>
      <c r="H38" s="1205"/>
      <c r="I38" s="74"/>
    </row>
    <row r="39" spans="1:9">
      <c r="A39" s="32">
        <v>19</v>
      </c>
      <c r="B39" s="34"/>
      <c r="C39" s="34" t="s">
        <v>94</v>
      </c>
      <c r="D39" s="34"/>
      <c r="E39" s="74">
        <f>IDElec12_07!E39</f>
        <v>19261</v>
      </c>
      <c r="F39" s="74">
        <f>G39-E39</f>
        <v>403</v>
      </c>
      <c r="G39" s="74">
        <f>IDElec12_07!BA39</f>
        <v>19664</v>
      </c>
      <c r="H39" s="1205" t="e">
        <f>'ConverFac_Exh-ID'!J13</f>
        <v>#DIV/0!</v>
      </c>
      <c r="I39" s="74" t="e">
        <f>G39+H39</f>
        <v>#DIV/0!</v>
      </c>
    </row>
    <row r="40" spans="1:9">
      <c r="A40" s="32">
        <v>20</v>
      </c>
      <c r="B40" s="34"/>
      <c r="C40" s="34" t="s">
        <v>99</v>
      </c>
      <c r="D40" s="34"/>
      <c r="E40" s="74">
        <f>IDElec12_07!E40</f>
        <v>3860</v>
      </c>
      <c r="F40" s="74">
        <f>G40-E40</f>
        <v>0</v>
      </c>
      <c r="G40" s="74">
        <f>IDElec12_07!BA40</f>
        <v>3860</v>
      </c>
      <c r="H40" s="1205"/>
      <c r="I40" s="74">
        <f>G40+H40</f>
        <v>3860</v>
      </c>
    </row>
    <row r="41" spans="1:9">
      <c r="A41" s="32">
        <v>21</v>
      </c>
      <c r="B41" s="34"/>
      <c r="C41" s="34" t="s">
        <v>47</v>
      </c>
      <c r="D41" s="34"/>
      <c r="E41" s="75">
        <f>IDElec12_07!E41</f>
        <v>0</v>
      </c>
      <c r="F41" s="75">
        <f>G41-E41</f>
        <v>0</v>
      </c>
      <c r="G41" s="75">
        <f>IDElec12_07!BA41</f>
        <v>0</v>
      </c>
      <c r="H41" s="1258"/>
      <c r="I41" s="75">
        <f>G41+H41</f>
        <v>0</v>
      </c>
    </row>
    <row r="42" spans="1:9">
      <c r="A42" s="32">
        <v>22</v>
      </c>
      <c r="B42" s="34"/>
      <c r="C42" s="34"/>
      <c r="D42" s="34" t="s">
        <v>105</v>
      </c>
      <c r="E42" s="239">
        <f>IDElec12_07!E42</f>
        <v>23121</v>
      </c>
      <c r="F42" s="239">
        <f>SUM(F39:F41)</f>
        <v>403</v>
      </c>
      <c r="G42" s="239">
        <f>IDElec12_07!BA42</f>
        <v>23524</v>
      </c>
      <c r="H42" s="1258" t="e">
        <f>SUM(H39:H41)</f>
        <v>#DIV/0!</v>
      </c>
      <c r="I42" s="239" t="e">
        <f>SUM(I39:I41)</f>
        <v>#DIV/0!</v>
      </c>
    </row>
    <row r="43" spans="1:9">
      <c r="A43" s="32">
        <v>23</v>
      </c>
      <c r="B43" s="34" t="s">
        <v>106</v>
      </c>
      <c r="C43" s="34"/>
      <c r="D43" s="34"/>
      <c r="E43" s="239">
        <f>IDElec12_07!E43</f>
        <v>248286</v>
      </c>
      <c r="F43" s="239">
        <f>F26+F32+F34+F35+F36+F42</f>
        <v>-30711</v>
      </c>
      <c r="G43" s="239">
        <f>IDElec12_07!BA43</f>
        <v>217575</v>
      </c>
      <c r="H43" s="1258" t="e">
        <f>H26+H32+H34+H35+H36+H42</f>
        <v>#DIV/0!</v>
      </c>
      <c r="I43" s="239" t="e">
        <f>I26+I32+I34+I35+I36+I42</f>
        <v>#DIV/0!</v>
      </c>
    </row>
    <row r="44" spans="1:9">
      <c r="A44" s="32"/>
      <c r="B44" s="34"/>
      <c r="C44" s="34"/>
      <c r="D44" s="34"/>
      <c r="E44" s="34"/>
      <c r="F44" s="34"/>
      <c r="G44" s="34"/>
      <c r="H44" s="34"/>
      <c r="I44" s="34"/>
    </row>
    <row r="45" spans="1:9">
      <c r="A45" s="32">
        <v>24</v>
      </c>
      <c r="B45" s="34" t="s">
        <v>107</v>
      </c>
      <c r="C45" s="34"/>
      <c r="D45" s="34"/>
      <c r="E45" s="34">
        <f>IDElec12_07!E45</f>
        <v>51921</v>
      </c>
      <c r="F45" s="74">
        <f>G45-E45</f>
        <v>2599</v>
      </c>
      <c r="G45" s="34">
        <f>IDElec12_07!BA45</f>
        <v>54520</v>
      </c>
      <c r="H45" s="34" t="e">
        <f>H18-H43</f>
        <v>#DIV/0!</v>
      </c>
      <c r="I45" s="34" t="e">
        <f>I18-I43</f>
        <v>#DIV/0!</v>
      </c>
    </row>
    <row r="46" spans="1:9">
      <c r="A46" s="32"/>
      <c r="B46" s="34"/>
      <c r="C46" s="34"/>
      <c r="D46" s="34"/>
      <c r="E46" s="74"/>
      <c r="F46" s="74"/>
      <c r="G46" s="74"/>
      <c r="H46" s="74"/>
      <c r="I46" s="74"/>
    </row>
    <row r="47" spans="1:9">
      <c r="A47" s="32"/>
      <c r="B47" s="34" t="s">
        <v>108</v>
      </c>
      <c r="C47" s="34"/>
      <c r="D47" s="34"/>
      <c r="E47" s="74"/>
      <c r="F47" s="74"/>
      <c r="G47" s="74"/>
      <c r="H47" s="74"/>
      <c r="I47" s="74"/>
    </row>
    <row r="48" spans="1:9">
      <c r="A48" s="32">
        <v>25</v>
      </c>
      <c r="B48" s="34" t="s">
        <v>109</v>
      </c>
      <c r="C48" s="34"/>
      <c r="D48" s="34"/>
      <c r="E48" s="74">
        <f>IDElec12_07!E48</f>
        <v>2030</v>
      </c>
      <c r="F48" s="74">
        <f>G48-E48</f>
        <v>1016</v>
      </c>
      <c r="G48" s="74">
        <f>IDElec12_07!BA48</f>
        <v>3046</v>
      </c>
      <c r="H48" s="74" t="e">
        <f>'ConverFac_Exh-ID'!J21</f>
        <v>#DIV/0!</v>
      </c>
      <c r="I48" s="74" t="e">
        <f>G48+H48</f>
        <v>#DIV/0!</v>
      </c>
    </row>
    <row r="49" spans="1:9">
      <c r="A49" s="32">
        <v>26</v>
      </c>
      <c r="B49" s="34" t="s">
        <v>110</v>
      </c>
      <c r="C49" s="34"/>
      <c r="D49" s="34"/>
      <c r="E49" s="74">
        <f>IDElec12_07!E49</f>
        <v>7578</v>
      </c>
      <c r="F49" s="74">
        <f>G49-E49</f>
        <v>-75</v>
      </c>
      <c r="G49" s="74">
        <f>IDElec12_07!BA49</f>
        <v>7503</v>
      </c>
      <c r="H49" s="74"/>
      <c r="I49" s="74">
        <f>G49+H49</f>
        <v>7503</v>
      </c>
    </row>
    <row r="50" spans="1:9">
      <c r="A50" s="32">
        <v>27</v>
      </c>
      <c r="B50" s="34" t="s">
        <v>111</v>
      </c>
      <c r="C50" s="34"/>
      <c r="D50" s="34"/>
      <c r="E50" s="74"/>
      <c r="F50" s="74"/>
      <c r="G50" s="74"/>
      <c r="H50" s="74"/>
      <c r="I50" s="74"/>
    </row>
    <row r="51" spans="1:9">
      <c r="A51" s="32"/>
      <c r="B51" s="34"/>
      <c r="C51" s="34"/>
      <c r="D51" s="34"/>
      <c r="E51" s="74"/>
      <c r="F51" s="74"/>
      <c r="G51" s="74"/>
      <c r="H51" s="74"/>
      <c r="I51" s="74"/>
    </row>
    <row r="52" spans="1:9">
      <c r="A52" s="32">
        <v>28</v>
      </c>
      <c r="B52" s="34" t="s">
        <v>112</v>
      </c>
      <c r="C52" s="34"/>
      <c r="D52" s="34"/>
      <c r="E52" s="75">
        <f>IDElec12_07!E50</f>
        <v>0</v>
      </c>
      <c r="F52" s="75">
        <f>G52-E52</f>
        <v>0</v>
      </c>
      <c r="G52" s="75">
        <f>IDElec12_07!BA50</f>
        <v>0</v>
      </c>
      <c r="H52" s="75"/>
      <c r="I52" s="75">
        <f>G52+H52</f>
        <v>0</v>
      </c>
    </row>
    <row r="53" spans="1:9">
      <c r="E53" s="4"/>
      <c r="F53" s="4"/>
      <c r="G53" s="4"/>
      <c r="H53" s="4"/>
      <c r="I53" s="4"/>
    </row>
    <row r="54" spans="1:9" ht="13.5" thickBot="1">
      <c r="A54" s="32">
        <v>29</v>
      </c>
      <c r="B54" s="33" t="s">
        <v>113</v>
      </c>
      <c r="C54" s="33"/>
      <c r="D54" s="33"/>
      <c r="E54" s="238">
        <f>IDElec12_07!E52</f>
        <v>42313</v>
      </c>
      <c r="F54" s="238">
        <f>F45-SUM(F48:F52)</f>
        <v>1658</v>
      </c>
      <c r="G54" s="238">
        <f>IDElec12_07!BA52</f>
        <v>43971</v>
      </c>
      <c r="H54" s="238" t="e">
        <f>H45-SUM(H48:H52)</f>
        <v>#DIV/0!</v>
      </c>
      <c r="I54" s="238" t="e">
        <f>I45-SUM(I48:I52)</f>
        <v>#DIV/0!</v>
      </c>
    </row>
    <row r="55" spans="1:9" ht="13.5" thickTop="1">
      <c r="E55" s="4"/>
      <c r="F55" s="4"/>
      <c r="G55" s="4"/>
      <c r="H55" s="4"/>
      <c r="I55" s="4"/>
    </row>
    <row r="56" spans="1:9">
      <c r="B56" s="2" t="s">
        <v>114</v>
      </c>
      <c r="E56" s="4"/>
      <c r="F56" s="4"/>
      <c r="G56" s="4"/>
      <c r="H56" s="4"/>
      <c r="I56" s="4"/>
    </row>
    <row r="57" spans="1:9">
      <c r="B57" s="2" t="s">
        <v>115</v>
      </c>
      <c r="E57" s="4"/>
      <c r="F57" s="4"/>
      <c r="G57" s="4"/>
      <c r="H57" s="4"/>
      <c r="I57" s="4"/>
    </row>
    <row r="58" spans="1:9">
      <c r="A58" s="32">
        <v>30</v>
      </c>
      <c r="B58" s="33"/>
      <c r="C58" s="33" t="s">
        <v>116</v>
      </c>
      <c r="D58" s="33"/>
      <c r="E58" s="78">
        <f>IDElec12_07!E56</f>
        <v>12083</v>
      </c>
      <c r="F58" s="78">
        <f>G58-E58</f>
        <v>0</v>
      </c>
      <c r="G58" s="78">
        <f>IDElec12_07!BA56</f>
        <v>12083</v>
      </c>
      <c r="H58" s="78"/>
      <c r="I58" s="78">
        <f>G58+H58</f>
        <v>12083</v>
      </c>
    </row>
    <row r="59" spans="1:9">
      <c r="A59" s="32">
        <v>31</v>
      </c>
      <c r="B59" s="34"/>
      <c r="C59" s="34" t="s">
        <v>117</v>
      </c>
      <c r="D59" s="34"/>
      <c r="E59" s="74">
        <f>IDElec12_07!E57</f>
        <v>359680</v>
      </c>
      <c r="F59" s="74" t="e">
        <f>G59-E59</f>
        <v>#DIV/0!</v>
      </c>
      <c r="G59" s="74" t="e">
        <f>IDElec12_07!BA57</f>
        <v>#DIV/0!</v>
      </c>
      <c r="H59" s="74"/>
      <c r="I59" s="74" t="e">
        <f>G59+H59</f>
        <v>#DIV/0!</v>
      </c>
    </row>
    <row r="60" spans="1:9">
      <c r="A60" s="32">
        <v>32</v>
      </c>
      <c r="B60" s="34"/>
      <c r="C60" s="34" t="s">
        <v>118</v>
      </c>
      <c r="D60" s="34"/>
      <c r="E60" s="74">
        <f>IDElec12_07!E58</f>
        <v>156662</v>
      </c>
      <c r="F60" s="74">
        <f>G60-E60</f>
        <v>0</v>
      </c>
      <c r="G60" s="74">
        <f>IDElec12_07!BA58</f>
        <v>156662</v>
      </c>
      <c r="H60" s="74"/>
      <c r="I60" s="74">
        <f>G60+H60</f>
        <v>156662</v>
      </c>
    </row>
    <row r="61" spans="1:9">
      <c r="A61" s="32">
        <v>33</v>
      </c>
      <c r="B61" s="34"/>
      <c r="C61" s="34" t="s">
        <v>98</v>
      </c>
      <c r="D61" s="34"/>
      <c r="E61" s="74">
        <f>IDElec12_07!E59</f>
        <v>341133</v>
      </c>
      <c r="F61" s="74">
        <f>G61-E61</f>
        <v>22253</v>
      </c>
      <c r="G61" s="74">
        <f>IDElec12_07!BA59</f>
        <v>363386</v>
      </c>
      <c r="H61" s="74"/>
      <c r="I61" s="74">
        <f>G61+H61</f>
        <v>363386</v>
      </c>
    </row>
    <row r="62" spans="1:9">
      <c r="A62" s="32">
        <v>34</v>
      </c>
      <c r="B62" s="34"/>
      <c r="C62" s="34" t="s">
        <v>119</v>
      </c>
      <c r="D62" s="34"/>
      <c r="E62" s="75">
        <f>IDElec12_07!E60</f>
        <v>49818</v>
      </c>
      <c r="F62" s="75">
        <f>G62-E62</f>
        <v>0</v>
      </c>
      <c r="G62" s="75">
        <f>IDElec12_07!BA60</f>
        <v>49818</v>
      </c>
      <c r="H62" s="75"/>
      <c r="I62" s="75">
        <f>G62+H62</f>
        <v>49818</v>
      </c>
    </row>
    <row r="63" spans="1:9">
      <c r="A63" s="32">
        <v>35</v>
      </c>
      <c r="B63" s="34"/>
      <c r="C63" s="34"/>
      <c r="D63" s="34" t="s">
        <v>120</v>
      </c>
      <c r="E63" s="34">
        <f>IDElec12_07!E61</f>
        <v>919376</v>
      </c>
      <c r="F63" s="34" t="e">
        <f>SUM(F58:F62)</f>
        <v>#DIV/0!</v>
      </c>
      <c r="G63" s="34" t="e">
        <f>IDElec12_07!BA61</f>
        <v>#DIV/0!</v>
      </c>
      <c r="H63" s="34">
        <f>SUM(H58:H62)</f>
        <v>0</v>
      </c>
      <c r="I63" s="34" t="e">
        <f>SUM(I58:I62)</f>
        <v>#DIV/0!</v>
      </c>
    </row>
    <row r="64" spans="1:9">
      <c r="A64" s="32">
        <v>36</v>
      </c>
      <c r="B64" s="34" t="s">
        <v>121</v>
      </c>
      <c r="C64" s="34"/>
      <c r="D64" s="34"/>
      <c r="E64" s="74">
        <f>IDElec12_07!E62</f>
        <v>310555</v>
      </c>
      <c r="F64" s="74">
        <f>G64-E64</f>
        <v>0</v>
      </c>
      <c r="G64" s="74">
        <f>IDElec12_07!BA62</f>
        <v>310555</v>
      </c>
      <c r="H64" s="74"/>
      <c r="I64" s="74">
        <f>G64+H64</f>
        <v>310555</v>
      </c>
    </row>
    <row r="65" spans="1:9">
      <c r="A65" s="32">
        <v>37</v>
      </c>
      <c r="B65" s="34" t="s">
        <v>122</v>
      </c>
      <c r="C65" s="34"/>
      <c r="D65" s="34"/>
      <c r="E65" s="75">
        <f>IDElec12_07!E63</f>
        <v>3664</v>
      </c>
      <c r="F65" s="75">
        <f>G65-E65</f>
        <v>332</v>
      </c>
      <c r="G65" s="75">
        <f>IDElec12_07!BA63</f>
        <v>3996</v>
      </c>
      <c r="H65" s="75"/>
      <c r="I65" s="75">
        <f>G65+H65</f>
        <v>3996</v>
      </c>
    </row>
    <row r="66" spans="1:9">
      <c r="A66" s="32">
        <v>38</v>
      </c>
      <c r="B66" s="34"/>
      <c r="C66" s="34" t="s">
        <v>123</v>
      </c>
      <c r="D66" s="34"/>
      <c r="E66" s="34">
        <f>IDElec12_07!E64</f>
        <v>314219</v>
      </c>
      <c r="F66" s="34">
        <f>SUM(F64:F65)</f>
        <v>332</v>
      </c>
      <c r="G66" s="34">
        <f>IDElec12_07!BA64</f>
        <v>314551</v>
      </c>
      <c r="H66" s="34">
        <f>SUM(H64:H65)</f>
        <v>0</v>
      </c>
      <c r="I66" s="34">
        <f>SUM(I64:I65)</f>
        <v>314551</v>
      </c>
    </row>
    <row r="67" spans="1:9">
      <c r="A67" s="32">
        <v>39</v>
      </c>
      <c r="B67" s="34" t="s">
        <v>124</v>
      </c>
      <c r="C67" s="34"/>
      <c r="D67" s="34"/>
      <c r="E67" s="74">
        <f>IDElec12_07!E65</f>
        <v>0</v>
      </c>
      <c r="F67" s="74">
        <f>G67-E67</f>
        <v>0</v>
      </c>
      <c r="G67" s="74">
        <f>IDElec12_07!BA65</f>
        <v>0</v>
      </c>
      <c r="H67" s="74"/>
      <c r="I67" s="74">
        <f>G67+H67</f>
        <v>0</v>
      </c>
    </row>
    <row r="68" spans="1:9">
      <c r="A68" s="32">
        <v>40</v>
      </c>
      <c r="B68" s="34" t="s">
        <v>125</v>
      </c>
      <c r="C68" s="34"/>
      <c r="D68" s="34"/>
      <c r="E68" s="75">
        <f>IDElec12_07!E66</f>
        <v>0</v>
      </c>
      <c r="F68" s="75">
        <f>G68-E68</f>
        <v>-82476</v>
      </c>
      <c r="G68" s="75">
        <f>IDElec12_07!BA66</f>
        <v>-82476</v>
      </c>
      <c r="H68" s="75"/>
      <c r="I68" s="75">
        <f>G68+H68</f>
        <v>-82476</v>
      </c>
    </row>
    <row r="69" spans="1:9">
      <c r="A69" s="32"/>
      <c r="B69" s="34"/>
      <c r="C69" s="34"/>
      <c r="D69" s="34"/>
      <c r="E69" s="34"/>
      <c r="F69" s="34"/>
      <c r="G69" s="34"/>
      <c r="H69" s="34"/>
      <c r="I69" s="34"/>
    </row>
    <row r="70" spans="1:9" ht="13.5" thickBot="1">
      <c r="A70" s="35">
        <v>41</v>
      </c>
      <c r="B70" s="33" t="s">
        <v>126</v>
      </c>
      <c r="C70" s="33"/>
      <c r="D70" s="33"/>
      <c r="E70" s="238">
        <f>IDElec12_07!E68</f>
        <v>605157</v>
      </c>
      <c r="F70" s="238" t="e">
        <f>F63-F66+F67+F68</f>
        <v>#DIV/0!</v>
      </c>
      <c r="G70" s="238" t="e">
        <f>IDElec12_07!BA68</f>
        <v>#DIV/0!</v>
      </c>
      <c r="H70" s="238">
        <f>H63-H66+H67+H68</f>
        <v>0</v>
      </c>
      <c r="I70" s="238" t="e">
        <f>I63-I66+I67+I68</f>
        <v>#DIV/0!</v>
      </c>
    </row>
    <row r="71" spans="1:9" ht="13.5" thickTop="1">
      <c r="A71" s="32">
        <v>42</v>
      </c>
      <c r="B71" s="2" t="s">
        <v>127</v>
      </c>
      <c r="E71" s="37">
        <f>ROUND(E54/E70,4)</f>
        <v>6.9900000000000004E-2</v>
      </c>
      <c r="F71" s="37"/>
      <c r="G71" s="37" t="e">
        <f>ROUND(G54/G70,4)</f>
        <v>#DIV/0!</v>
      </c>
      <c r="H71" s="37"/>
      <c r="I71" s="37" t="e">
        <f>ROUND(I54/I70,4)</f>
        <v>#DIV/0!</v>
      </c>
    </row>
  </sheetData>
  <phoneticPr fontId="0" type="noConversion"/>
  <pageMargins left="0.75" right="0.5" top="0.75" bottom="0.75" header="0.5" footer="0.5"/>
  <pageSetup scale="68" orientation="portrait" r:id="rId1"/>
  <headerFooter alignWithMargins="0">
    <oddHeader>&amp;RExhibit No. ___(EMA-2)</oddHeader>
    <oddFooter>&amp;RPage 1 of 9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 codeName="Sheet73"/>
  <dimension ref="A1:J24"/>
  <sheetViews>
    <sheetView workbookViewId="0">
      <selection activeCell="E76" activeCellId="1" sqref="M64 E76"/>
    </sheetView>
  </sheetViews>
  <sheetFormatPr defaultRowHeight="12.75"/>
  <cols>
    <col min="1" max="1" width="11.5703125" style="669" customWidth="1"/>
    <col min="2" max="2" width="9.140625" style="669"/>
    <col min="3" max="3" width="42" style="669" customWidth="1"/>
    <col min="4" max="4" width="5.85546875" style="669" customWidth="1"/>
    <col min="5" max="5" width="20.140625" style="840" customWidth="1"/>
    <col min="6" max="6" width="19.85546875" style="669" bestFit="1" customWidth="1"/>
    <col min="7" max="7" width="9.140625" style="669"/>
    <col min="8" max="9" width="2.5703125" style="669" customWidth="1"/>
    <col min="10" max="10" width="13" style="669" customWidth="1"/>
    <col min="11" max="16384" width="9.140625" style="669"/>
  </cols>
  <sheetData>
    <row r="1" spans="1:10">
      <c r="A1" s="1350" t="s">
        <v>261</v>
      </c>
      <c r="B1" s="1350"/>
      <c r="C1" s="1350"/>
      <c r="D1" s="1350"/>
      <c r="E1" s="1350"/>
    </row>
    <row r="2" spans="1:10">
      <c r="A2" s="1350" t="s">
        <v>626</v>
      </c>
      <c r="B2" s="1350"/>
      <c r="C2" s="1350"/>
      <c r="D2" s="1350"/>
      <c r="E2" s="1350"/>
    </row>
    <row r="3" spans="1:10">
      <c r="A3" s="1350" t="s">
        <v>555</v>
      </c>
      <c r="B3" s="1350"/>
      <c r="C3" s="1350"/>
      <c r="D3" s="1350"/>
      <c r="E3" s="1350"/>
      <c r="J3" s="876" t="s">
        <v>408</v>
      </c>
    </row>
    <row r="4" spans="1:10">
      <c r="J4" s="877" t="s">
        <v>394</v>
      </c>
    </row>
    <row r="5" spans="1:10">
      <c r="J5" s="674"/>
    </row>
    <row r="6" spans="1:10" s="674" customFormat="1">
      <c r="A6" s="669"/>
      <c r="B6" s="669"/>
      <c r="C6" s="669"/>
      <c r="D6" s="669"/>
      <c r="E6" s="840"/>
      <c r="F6" s="669"/>
      <c r="G6" s="669"/>
      <c r="H6" s="669"/>
      <c r="I6" s="669"/>
      <c r="J6" s="669"/>
    </row>
    <row r="7" spans="1:10" s="674" customFormat="1">
      <c r="A7" s="669" t="s">
        <v>621</v>
      </c>
      <c r="B7" s="669"/>
      <c r="C7" s="669"/>
      <c r="D7" s="669"/>
      <c r="E7" s="892">
        <v>1</v>
      </c>
      <c r="F7" s="669"/>
      <c r="G7" s="669"/>
      <c r="H7" s="669"/>
      <c r="I7" s="669"/>
      <c r="J7" s="862" t="e">
        <f>RevReq_Exh_ID!E53</f>
        <v>#DIV/0!</v>
      </c>
    </row>
    <row r="8" spans="1:10">
      <c r="E8" s="892"/>
      <c r="J8" s="858"/>
    </row>
    <row r="9" spans="1:10">
      <c r="A9" s="669" t="s">
        <v>398</v>
      </c>
      <c r="E9" s="892"/>
      <c r="J9" s="858"/>
    </row>
    <row r="10" spans="1:10">
      <c r="E10" s="892"/>
      <c r="J10" s="858"/>
    </row>
    <row r="11" spans="1:10">
      <c r="A11" s="669" t="s">
        <v>622</v>
      </c>
      <c r="E11" s="892">
        <v>2.1510000000000001E-3</v>
      </c>
      <c r="G11" s="1204"/>
      <c r="J11" s="858" t="e">
        <f>ROUND($J$7*E11,0)</f>
        <v>#DIV/0!</v>
      </c>
    </row>
    <row r="12" spans="1:10">
      <c r="E12" s="892"/>
      <c r="J12" s="858"/>
    </row>
    <row r="13" spans="1:10">
      <c r="A13" s="669" t="s">
        <v>623</v>
      </c>
      <c r="E13" s="892">
        <v>2.4910000000000002E-3</v>
      </c>
      <c r="G13" s="1204"/>
      <c r="J13" s="858" t="e">
        <f>ROUND($J$7*E13,0)</f>
        <v>#DIV/0!</v>
      </c>
    </row>
    <row r="14" spans="1:10">
      <c r="E14" s="892"/>
      <c r="J14" s="858"/>
    </row>
    <row r="15" spans="1:10">
      <c r="A15" s="669" t="s">
        <v>624</v>
      </c>
      <c r="E15" s="892">
        <v>1.1416000000000001E-2</v>
      </c>
      <c r="G15" s="1204"/>
      <c r="J15" s="858" t="e">
        <f>ROUND($J$7*E15,0)-0.6</f>
        <v>#DIV/0!</v>
      </c>
    </row>
    <row r="16" spans="1:10">
      <c r="E16" s="892"/>
      <c r="J16" s="858"/>
    </row>
    <row r="17" spans="1:10">
      <c r="A17" s="669" t="s">
        <v>403</v>
      </c>
      <c r="E17" s="1118">
        <f>SUM(E10:E15)</f>
        <v>1.6058000000000003E-2</v>
      </c>
      <c r="J17" s="1141" t="e">
        <f>SUM(J10:J15)</f>
        <v>#DIV/0!</v>
      </c>
    </row>
    <row r="18" spans="1:10">
      <c r="E18" s="892"/>
      <c r="J18" s="858"/>
    </row>
    <row r="19" spans="1:10">
      <c r="A19" s="669" t="s">
        <v>404</v>
      </c>
      <c r="E19" s="892">
        <f>E7-E17</f>
        <v>0.98394199999999998</v>
      </c>
      <c r="J19" s="864" t="e">
        <f>J7-J17</f>
        <v>#DIV/0!</v>
      </c>
    </row>
    <row r="20" spans="1:10">
      <c r="E20" s="892"/>
      <c r="J20" s="864"/>
    </row>
    <row r="21" spans="1:10">
      <c r="A21" s="669" t="s">
        <v>625</v>
      </c>
      <c r="B21" s="669">
        <v>0.35</v>
      </c>
      <c r="E21" s="892">
        <f>E19*B21</f>
        <v>0.34437969999999996</v>
      </c>
      <c r="J21" s="865" t="e">
        <f>ROUND(J19*0.35,0)</f>
        <v>#DIV/0!</v>
      </c>
    </row>
    <row r="22" spans="1:10">
      <c r="E22" s="892"/>
    </row>
    <row r="23" spans="1:10" ht="13.5" thickBot="1">
      <c r="A23" s="669" t="s">
        <v>406</v>
      </c>
      <c r="E23" s="1118">
        <f>E19-E21</f>
        <v>0.63956230000000003</v>
      </c>
      <c r="J23" s="1003" t="e">
        <f>J19-J21</f>
        <v>#DIV/0!</v>
      </c>
    </row>
    <row r="24" spans="1:10" ht="13.5" thickTop="1"/>
  </sheetData>
  <mergeCells count="3">
    <mergeCell ref="A1:E1"/>
    <mergeCell ref="A2:E2"/>
    <mergeCell ref="A3:E3"/>
  </mergeCells>
  <phoneticPr fontId="0" type="noConversion"/>
  <pageMargins left="0.75" right="0.75" top="1" bottom="0.75" header="0.5" footer="0.5"/>
  <pageSetup scale="88" orientation="portrait" r:id="rId1"/>
  <headerFooter alignWithMargins="0">
    <oddHeader>&amp;RExhibit No. _____(EMA-2)</oddHeader>
    <oddFooter xml:space="preserve">&amp;L
&amp;R&amp;"Times New Roman,Regular"&amp;8Page 3 of 9         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 codeName="Sheet58"/>
  <dimension ref="A1:BG78"/>
  <sheetViews>
    <sheetView showGridLines="0" zoomScale="75" zoomScaleNormal="75" workbookViewId="0">
      <pane xSplit="5" ySplit="10" topLeftCell="AT11" activePane="bottomRight" state="frozen"/>
      <selection pane="topRight" activeCell="F1" sqref="F1"/>
      <selection pane="bottomLeft" activeCell="A11" sqref="A11"/>
      <selection pane="bottomRight" activeCell="AV13" sqref="AV13"/>
    </sheetView>
  </sheetViews>
  <sheetFormatPr defaultColWidth="10.7109375" defaultRowHeight="12"/>
  <cols>
    <col min="1" max="1" width="4.7109375" style="3" customWidth="1"/>
    <col min="2" max="3" width="1.7109375" style="2" customWidth="1"/>
    <col min="4" max="4" width="33.7109375" style="2" customWidth="1"/>
    <col min="5" max="5" width="11.7109375" style="4" customWidth="1"/>
    <col min="6" max="6" width="10" style="969" customWidth="1"/>
    <col min="7" max="7" width="13.5703125" style="704" customWidth="1"/>
    <col min="8" max="8" width="11.7109375" style="704" customWidth="1"/>
    <col min="9" max="9" width="10.140625" style="704" customWidth="1"/>
    <col min="10" max="10" width="14.28515625" style="704" customWidth="1"/>
    <col min="11" max="11" width="10.7109375" style="704" customWidth="1"/>
    <col min="12" max="12" width="12.140625" style="704" customWidth="1"/>
    <col min="13" max="13" width="0.140625" style="704" hidden="1" customWidth="1"/>
    <col min="14" max="14" width="11.42578125" style="4" customWidth="1"/>
    <col min="15" max="15" width="12.28515625" style="1072" customWidth="1"/>
    <col min="16" max="16" width="11.7109375" style="704" customWidth="1"/>
    <col min="17" max="17" width="10.42578125" style="969" customWidth="1"/>
    <col min="18" max="18" width="10.5703125" style="969" customWidth="1"/>
    <col min="19" max="19" width="11.85546875" style="969" customWidth="1"/>
    <col min="20" max="20" width="11" style="704" customWidth="1"/>
    <col min="21" max="21" width="8.85546875" style="969" customWidth="1"/>
    <col min="22" max="22" width="9.85546875" style="704" customWidth="1"/>
    <col min="23" max="23" width="13.42578125" style="704" customWidth="1"/>
    <col min="24" max="24" width="11.42578125" style="1072" customWidth="1"/>
    <col min="25" max="25" width="13.42578125" style="704" customWidth="1"/>
    <col min="26" max="26" width="14.28515625" style="704" customWidth="1"/>
    <col min="27" max="27" width="9" style="1263" customWidth="1"/>
    <col min="28" max="28" width="11" style="969" hidden="1" customWidth="1"/>
    <col min="29" max="32" width="11" style="4" hidden="1" customWidth="1"/>
    <col min="33" max="33" width="10.42578125" style="4" bestFit="1" customWidth="1"/>
    <col min="34" max="34" width="12.28515625" style="1072" customWidth="1"/>
    <col min="35" max="35" width="13.28515625" style="1263" bestFit="1" customWidth="1"/>
    <col min="36" max="36" width="12.28515625" style="1072" customWidth="1"/>
    <col min="37" max="37" width="11.7109375" style="1072" customWidth="1"/>
    <col min="38" max="38" width="14" style="1072" customWidth="1"/>
    <col min="39" max="39" width="12.5703125" style="1072" customWidth="1"/>
    <col min="40" max="40" width="12.42578125" style="1072" customWidth="1"/>
    <col min="41" max="41" width="16.42578125" style="1072" customWidth="1"/>
    <col min="42" max="44" width="13.28515625" style="1072" bestFit="1" customWidth="1"/>
    <col min="45" max="45" width="17" style="1072" customWidth="1"/>
    <col min="46" max="46" width="13.28515625" style="1072" bestFit="1" customWidth="1"/>
    <col min="47" max="47" width="14.42578125" style="704" bestFit="1" customWidth="1"/>
    <col min="48" max="48" width="14.5703125" style="1072" bestFit="1" customWidth="1"/>
    <col min="49" max="50" width="14.42578125" style="969" bestFit="1" customWidth="1"/>
    <col min="51" max="52" width="6.85546875" style="4" bestFit="1" customWidth="1"/>
    <col min="53" max="53" width="12.140625" style="4" bestFit="1" customWidth="1"/>
    <col min="54" max="54" width="10.7109375" style="2" customWidth="1"/>
    <col min="55" max="58" width="10.7109375" style="38" customWidth="1"/>
    <col min="59" max="59" width="14.28515625" style="969" bestFit="1" customWidth="1"/>
    <col min="60" max="16384" width="10.7109375" style="38"/>
  </cols>
  <sheetData>
    <row r="1" spans="1:59">
      <c r="A1" s="1" t="s">
        <v>469</v>
      </c>
      <c r="D1" s="3"/>
      <c r="E1" s="944"/>
    </row>
    <row r="2" spans="1:59">
      <c r="A2" s="1" t="s">
        <v>422</v>
      </c>
      <c r="D2" s="3"/>
      <c r="E2" s="943"/>
    </row>
    <row r="3" spans="1:59">
      <c r="A3" s="1" t="s">
        <v>470</v>
      </c>
      <c r="D3" s="3"/>
      <c r="E3" s="989" t="s">
        <v>506</v>
      </c>
    </row>
    <row r="4" spans="1:59">
      <c r="A4" s="1" t="str">
        <f>Inputs!D2</f>
        <v>TWELVE MONTHS ENDED SEPTEMBER 30, 2008</v>
      </c>
      <c r="D4" s="3"/>
      <c r="E4" s="1039" t="s">
        <v>507</v>
      </c>
      <c r="AY4" s="6"/>
      <c r="AZ4" s="6"/>
    </row>
    <row r="5" spans="1:59">
      <c r="A5" s="1" t="s">
        <v>426</v>
      </c>
      <c r="D5" s="3"/>
      <c r="AY5" s="6"/>
      <c r="AZ5" s="6"/>
    </row>
    <row r="6" spans="1:59" s="39" customFormat="1">
      <c r="A6" s="7"/>
      <c r="B6" s="8"/>
      <c r="C6" s="8"/>
      <c r="D6" s="7"/>
      <c r="E6" s="9"/>
      <c r="F6" s="1040"/>
      <c r="G6" s="919"/>
      <c r="H6" s="919"/>
      <c r="I6" s="919"/>
      <c r="J6" s="919"/>
      <c r="K6" s="919"/>
      <c r="L6" s="919"/>
      <c r="M6" s="919"/>
      <c r="N6" s="9"/>
      <c r="O6" s="1083"/>
      <c r="P6" s="1065"/>
      <c r="Q6" s="1040"/>
      <c r="R6" s="1040"/>
      <c r="S6" s="1040"/>
      <c r="T6" s="919"/>
      <c r="U6" s="1040"/>
      <c r="V6" s="919"/>
      <c r="W6" s="1066"/>
      <c r="X6" s="1087"/>
      <c r="Y6" s="919"/>
      <c r="Z6" s="719"/>
      <c r="AA6" s="1264"/>
      <c r="AB6" s="1049"/>
      <c r="AC6" s="9"/>
      <c r="AD6" s="11"/>
      <c r="AE6" s="9"/>
      <c r="AF6" s="11"/>
      <c r="AG6" s="9"/>
      <c r="AH6" s="1073"/>
      <c r="AI6" s="1278"/>
      <c r="AJ6" s="1073"/>
      <c r="AK6" s="1073"/>
      <c r="AL6" s="1073"/>
      <c r="AM6" s="1073"/>
      <c r="AN6" s="1073"/>
      <c r="AO6" s="1087"/>
      <c r="AP6" s="1087"/>
      <c r="AQ6" s="1087"/>
      <c r="AR6" s="1087"/>
      <c r="AS6" s="1087"/>
      <c r="AT6" s="1087"/>
      <c r="AU6" s="719"/>
      <c r="AV6" s="1087"/>
      <c r="AW6" s="1049"/>
      <c r="AX6" s="1049"/>
      <c r="AY6" s="6"/>
      <c r="AZ6" s="6"/>
      <c r="BA6" s="9"/>
      <c r="BB6" s="8"/>
      <c r="BG6" s="250"/>
    </row>
    <row r="7" spans="1:59" s="39" customFormat="1" ht="12" customHeight="1">
      <c r="A7" s="12"/>
      <c r="B7" s="13"/>
      <c r="C7" s="14"/>
      <c r="D7" s="15"/>
      <c r="E7" s="16" t="s">
        <v>2</v>
      </c>
      <c r="F7" s="706" t="s">
        <v>3</v>
      </c>
      <c r="G7" s="706" t="s">
        <v>262</v>
      </c>
      <c r="H7" s="706" t="s">
        <v>4</v>
      </c>
      <c r="I7" s="706" t="s">
        <v>5</v>
      </c>
      <c r="J7" s="706" t="s">
        <v>655</v>
      </c>
      <c r="K7" s="706"/>
      <c r="L7" s="706" t="s">
        <v>7</v>
      </c>
      <c r="M7" s="706"/>
      <c r="N7" s="16"/>
      <c r="O7" s="1074"/>
      <c r="P7" s="706" t="s">
        <v>9</v>
      </c>
      <c r="Q7" s="1047"/>
      <c r="R7" s="1047"/>
      <c r="S7" s="1047"/>
      <c r="T7" s="706" t="s">
        <v>10</v>
      </c>
      <c r="U7" s="1041"/>
      <c r="V7" s="706"/>
      <c r="W7" s="922" t="s">
        <v>270</v>
      </c>
      <c r="X7" s="1137" t="s">
        <v>9</v>
      </c>
      <c r="Y7" s="922" t="s">
        <v>580</v>
      </c>
      <c r="Z7" s="922" t="s">
        <v>486</v>
      </c>
      <c r="AA7" s="1265" t="s">
        <v>11</v>
      </c>
      <c r="AB7" s="1091"/>
      <c r="AC7" s="722"/>
      <c r="AD7" s="12"/>
      <c r="AE7" s="722"/>
      <c r="AF7" s="12"/>
      <c r="AG7" s="16"/>
      <c r="AH7" s="1088" t="s">
        <v>542</v>
      </c>
      <c r="AI7" s="1279" t="s">
        <v>542</v>
      </c>
      <c r="AJ7" s="1088" t="s">
        <v>542</v>
      </c>
      <c r="AK7" s="1088" t="s">
        <v>542</v>
      </c>
      <c r="AL7" s="1088" t="s">
        <v>542</v>
      </c>
      <c r="AM7" s="1088" t="s">
        <v>542</v>
      </c>
      <c r="AN7" s="1088" t="s">
        <v>542</v>
      </c>
      <c r="AO7" s="1088" t="s">
        <v>542</v>
      </c>
      <c r="AP7" s="1088" t="s">
        <v>542</v>
      </c>
      <c r="AQ7" s="1088" t="s">
        <v>542</v>
      </c>
      <c r="AR7" s="1088" t="s">
        <v>542</v>
      </c>
      <c r="AS7" s="1088" t="s">
        <v>542</v>
      </c>
      <c r="AT7" s="1088" t="s">
        <v>542</v>
      </c>
      <c r="AU7" s="1067" t="s">
        <v>542</v>
      </c>
      <c r="AV7" s="1088" t="s">
        <v>542</v>
      </c>
      <c r="AW7" s="979" t="s">
        <v>542</v>
      </c>
      <c r="AX7" s="979" t="s">
        <v>542</v>
      </c>
      <c r="AY7" s="1029"/>
      <c r="AZ7" s="1029"/>
      <c r="BA7" s="16"/>
      <c r="BB7" s="8"/>
      <c r="BG7" s="979" t="s">
        <v>542</v>
      </c>
    </row>
    <row r="8" spans="1:59" s="39" customFormat="1">
      <c r="A8" s="17" t="s">
        <v>14</v>
      </c>
      <c r="B8" s="18"/>
      <c r="C8" s="19"/>
      <c r="D8" s="20"/>
      <c r="E8" s="21" t="s">
        <v>15</v>
      </c>
      <c r="F8" s="707" t="s">
        <v>16</v>
      </c>
      <c r="G8" s="707" t="s">
        <v>17</v>
      </c>
      <c r="H8" s="707" t="s">
        <v>18</v>
      </c>
      <c r="I8" s="707" t="s">
        <v>19</v>
      </c>
      <c r="J8" s="707" t="s">
        <v>656</v>
      </c>
      <c r="K8" s="707" t="s">
        <v>22</v>
      </c>
      <c r="L8" s="707" t="s">
        <v>21</v>
      </c>
      <c r="M8" s="707"/>
      <c r="N8" s="21" t="s">
        <v>24</v>
      </c>
      <c r="O8" s="923" t="s">
        <v>99</v>
      </c>
      <c r="P8" s="707" t="s">
        <v>26</v>
      </c>
      <c r="Q8" s="707" t="s">
        <v>27</v>
      </c>
      <c r="R8" s="707" t="s">
        <v>28</v>
      </c>
      <c r="S8" s="707" t="s">
        <v>29</v>
      </c>
      <c r="T8" s="707" t="s">
        <v>30</v>
      </c>
      <c r="U8" s="1042"/>
      <c r="V8" s="707" t="s">
        <v>128</v>
      </c>
      <c r="W8" s="923" t="s">
        <v>8</v>
      </c>
      <c r="X8" s="1084" t="s">
        <v>32</v>
      </c>
      <c r="Y8" s="923" t="s">
        <v>581</v>
      </c>
      <c r="Z8" s="1094" t="s">
        <v>413</v>
      </c>
      <c r="AA8" s="1266" t="s">
        <v>31</v>
      </c>
      <c r="AB8" s="1092" t="s">
        <v>608</v>
      </c>
      <c r="AC8" s="21"/>
      <c r="AD8" s="21"/>
      <c r="AE8" s="21"/>
      <c r="AF8" s="21"/>
      <c r="AG8" s="21" t="s">
        <v>34</v>
      </c>
      <c r="AH8" s="1084" t="s">
        <v>25</v>
      </c>
      <c r="AI8" s="1280" t="s">
        <v>520</v>
      </c>
      <c r="AJ8" s="1084" t="s">
        <v>490</v>
      </c>
      <c r="AK8" s="1084" t="s">
        <v>490</v>
      </c>
      <c r="AL8" s="1084" t="s">
        <v>118</v>
      </c>
      <c r="AM8" s="1084" t="s">
        <v>493</v>
      </c>
      <c r="AN8" s="1084" t="s">
        <v>493</v>
      </c>
      <c r="AO8" s="1084" t="s">
        <v>605</v>
      </c>
      <c r="AP8" s="1084" t="s">
        <v>570</v>
      </c>
      <c r="AQ8" s="1084" t="s">
        <v>571</v>
      </c>
      <c r="AR8" s="1084" t="s">
        <v>572</v>
      </c>
      <c r="AS8" s="1084" t="s">
        <v>601</v>
      </c>
      <c r="AT8" s="1084" t="s">
        <v>574</v>
      </c>
      <c r="AU8" s="707" t="s">
        <v>588</v>
      </c>
      <c r="AV8" s="1084" t="s">
        <v>619</v>
      </c>
      <c r="AW8" s="970" t="s">
        <v>513</v>
      </c>
      <c r="AX8" s="970" t="s">
        <v>513</v>
      </c>
      <c r="AY8" s="21"/>
      <c r="AZ8" s="21"/>
      <c r="BA8" s="21" t="s">
        <v>13</v>
      </c>
      <c r="BB8" s="8"/>
      <c r="BG8" s="970" t="s">
        <v>493</v>
      </c>
    </row>
    <row r="9" spans="1:59" s="39" customFormat="1">
      <c r="A9" s="22" t="s">
        <v>35</v>
      </c>
      <c r="B9" s="23"/>
      <c r="C9" s="24"/>
      <c r="D9" s="25" t="s">
        <v>36</v>
      </c>
      <c r="E9" s="26" t="s">
        <v>37</v>
      </c>
      <c r="F9" s="708" t="s">
        <v>38</v>
      </c>
      <c r="G9" s="708" t="s">
        <v>39</v>
      </c>
      <c r="H9" s="708" t="s">
        <v>40</v>
      </c>
      <c r="I9" s="708" t="s">
        <v>18</v>
      </c>
      <c r="J9" s="708" t="s">
        <v>41</v>
      </c>
      <c r="K9" s="708" t="s">
        <v>43</v>
      </c>
      <c r="L9" s="708" t="s">
        <v>42</v>
      </c>
      <c r="M9" s="708"/>
      <c r="N9" s="26" t="s">
        <v>44</v>
      </c>
      <c r="O9" s="924" t="s">
        <v>556</v>
      </c>
      <c r="P9" s="708" t="s">
        <v>47</v>
      </c>
      <c r="Q9" s="708" t="s">
        <v>48</v>
      </c>
      <c r="R9" s="708" t="s">
        <v>49</v>
      </c>
      <c r="S9" s="708" t="s">
        <v>49</v>
      </c>
      <c r="T9" s="708" t="s">
        <v>50</v>
      </c>
      <c r="U9" s="924" t="s">
        <v>51</v>
      </c>
      <c r="V9" s="708" t="s">
        <v>129</v>
      </c>
      <c r="W9" s="924" t="s">
        <v>45</v>
      </c>
      <c r="X9" s="1085" t="s">
        <v>54</v>
      </c>
      <c r="Y9" s="924" t="s">
        <v>582</v>
      </c>
      <c r="Z9" s="708" t="s">
        <v>45</v>
      </c>
      <c r="AA9" s="1267" t="s">
        <v>52</v>
      </c>
      <c r="AB9" s="1093" t="s">
        <v>568</v>
      </c>
      <c r="AC9" s="26"/>
      <c r="AD9" s="26"/>
      <c r="AE9" s="26"/>
      <c r="AF9" s="26"/>
      <c r="AG9" s="26" t="s">
        <v>55</v>
      </c>
      <c r="AH9" s="1085" t="s">
        <v>46</v>
      </c>
      <c r="AI9" s="1281" t="s">
        <v>521</v>
      </c>
      <c r="AJ9" s="1085" t="s">
        <v>602</v>
      </c>
      <c r="AK9" s="1085" t="s">
        <v>491</v>
      </c>
      <c r="AL9" s="1085" t="s">
        <v>492</v>
      </c>
      <c r="AM9" s="1117" t="s">
        <v>558</v>
      </c>
      <c r="AN9" s="1117" t="s">
        <v>559</v>
      </c>
      <c r="AO9" s="1085" t="s">
        <v>606</v>
      </c>
      <c r="AP9" s="1085" t="s">
        <v>569</v>
      </c>
      <c r="AQ9" s="1085" t="s">
        <v>8</v>
      </c>
      <c r="AR9" s="1085" t="s">
        <v>573</v>
      </c>
      <c r="AS9" s="1085" t="s">
        <v>600</v>
      </c>
      <c r="AT9" s="1085"/>
      <c r="AU9" s="708" t="s">
        <v>589</v>
      </c>
      <c r="AV9" s="1085" t="s">
        <v>620</v>
      </c>
      <c r="AW9" s="971"/>
      <c r="AX9" s="971"/>
      <c r="AY9" s="26" t="s">
        <v>56</v>
      </c>
      <c r="AZ9" s="26" t="s">
        <v>56</v>
      </c>
      <c r="BA9" s="26" t="s">
        <v>55</v>
      </c>
      <c r="BB9" s="8"/>
      <c r="BG9" s="1051" t="s">
        <v>560</v>
      </c>
    </row>
    <row r="10" spans="1:59" s="249" customFormat="1">
      <c r="A10" s="247"/>
      <c r="B10" s="248"/>
      <c r="C10" s="248"/>
      <c r="D10" s="248" t="s">
        <v>57</v>
      </c>
      <c r="E10" s="31" t="s">
        <v>58</v>
      </c>
      <c r="F10" s="705" t="s">
        <v>59</v>
      </c>
      <c r="G10" s="705" t="s">
        <v>60</v>
      </c>
      <c r="H10" s="705" t="s">
        <v>61</v>
      </c>
      <c r="I10" s="705" t="s">
        <v>62</v>
      </c>
      <c r="J10" s="705" t="s">
        <v>63</v>
      </c>
      <c r="K10" s="705" t="s">
        <v>64</v>
      </c>
      <c r="L10" s="705" t="s">
        <v>65</v>
      </c>
      <c r="M10" s="705"/>
      <c r="N10" s="31" t="s">
        <v>68</v>
      </c>
      <c r="O10" s="1073" t="s">
        <v>66</v>
      </c>
      <c r="P10" s="705" t="s">
        <v>67</v>
      </c>
      <c r="Q10" s="705" t="s">
        <v>69</v>
      </c>
      <c r="R10" s="705" t="s">
        <v>310</v>
      </c>
      <c r="S10" s="705" t="s">
        <v>311</v>
      </c>
      <c r="T10" s="705" t="s">
        <v>70</v>
      </c>
      <c r="U10" s="921" t="s">
        <v>71</v>
      </c>
      <c r="V10" s="705" t="s">
        <v>72</v>
      </c>
      <c r="W10" s="705" t="s">
        <v>73</v>
      </c>
      <c r="X10" s="1073" t="s">
        <v>74</v>
      </c>
      <c r="Y10" s="921" t="s">
        <v>75</v>
      </c>
      <c r="Z10" s="705" t="s">
        <v>76</v>
      </c>
      <c r="AA10" s="1268" t="s">
        <v>312</v>
      </c>
      <c r="AB10" s="250" t="s">
        <v>77</v>
      </c>
      <c r="AC10" s="31"/>
      <c r="AD10" s="888"/>
      <c r="AE10" s="31"/>
      <c r="AF10" s="888"/>
      <c r="AG10" s="30" t="s">
        <v>68</v>
      </c>
      <c r="AH10" s="1140" t="s">
        <v>81</v>
      </c>
      <c r="AI10" s="1268" t="s">
        <v>82</v>
      </c>
      <c r="AJ10" s="1073" t="s">
        <v>83</v>
      </c>
      <c r="AK10" s="1073" t="s">
        <v>84</v>
      </c>
      <c r="AL10" s="1073" t="s">
        <v>296</v>
      </c>
      <c r="AM10" s="1073" t="s">
        <v>300</v>
      </c>
      <c r="AN10" s="1073" t="s">
        <v>301</v>
      </c>
      <c r="AO10" s="1073" t="s">
        <v>302</v>
      </c>
      <c r="AP10" s="1073" t="s">
        <v>303</v>
      </c>
      <c r="AQ10" s="1073" t="s">
        <v>561</v>
      </c>
      <c r="AR10" s="1073" t="s">
        <v>562</v>
      </c>
      <c r="AS10" s="1073" t="s">
        <v>512</v>
      </c>
      <c r="AT10" s="1073" t="s">
        <v>494</v>
      </c>
      <c r="AU10" s="705" t="s">
        <v>495</v>
      </c>
      <c r="AV10" s="1073" t="s">
        <v>563</v>
      </c>
      <c r="AW10" s="250" t="s">
        <v>564</v>
      </c>
      <c r="AX10" s="250" t="s">
        <v>565</v>
      </c>
      <c r="AY10" s="31" t="s">
        <v>475</v>
      </c>
      <c r="AZ10" s="31" t="s">
        <v>475</v>
      </c>
      <c r="BA10" s="31" t="s">
        <v>498</v>
      </c>
      <c r="BB10" s="248"/>
      <c r="BG10" s="250" t="s">
        <v>302</v>
      </c>
    </row>
    <row r="11" spans="1:59">
      <c r="U11" s="1043"/>
      <c r="Y11" s="1071"/>
      <c r="AA11" s="1269"/>
    </row>
    <row r="12" spans="1:59">
      <c r="B12" s="2" t="s">
        <v>427</v>
      </c>
      <c r="U12" s="1043"/>
      <c r="Y12" s="1071"/>
      <c r="AA12" s="1269"/>
    </row>
    <row r="13" spans="1:59" s="40" customFormat="1">
      <c r="A13" s="32">
        <v>1</v>
      </c>
      <c r="B13" s="33" t="s">
        <v>428</v>
      </c>
      <c r="C13" s="33"/>
      <c r="D13" s="33"/>
      <c r="E13" s="78">
        <f>ResultSumEl!G8</f>
        <v>210968</v>
      </c>
      <c r="F13" s="972">
        <f>DFITAMA!G8</f>
        <v>0</v>
      </c>
      <c r="G13" s="920">
        <f>BldGain!$G8</f>
        <v>0</v>
      </c>
      <c r="H13" s="920">
        <f>ColstripAFUDC!$G8</f>
        <v>0</v>
      </c>
      <c r="I13" s="920">
        <f>ColstripCommon!$G8</f>
        <v>0</v>
      </c>
      <c r="J13" s="920">
        <f>'KF-BP_Summ'!$G8</f>
        <v>0</v>
      </c>
      <c r="K13" s="920">
        <f>CustAdv!$G8</f>
        <v>0</v>
      </c>
      <c r="L13" s="920">
        <f>ID_DSM_Inv!$G8</f>
        <v>0</v>
      </c>
      <c r="M13" s="920"/>
      <c r="N13" s="78">
        <f>SUM(E13:M13)</f>
        <v>210968</v>
      </c>
      <c r="O13" s="1075">
        <f>'DeprTrue-up'!$G8</f>
        <v>0</v>
      </c>
      <c r="P13" s="920">
        <f>BandO!$G8</f>
        <v>0</v>
      </c>
      <c r="Q13" s="972">
        <f>PropTax!$G8</f>
        <v>0</v>
      </c>
      <c r="R13" s="972">
        <f>UncollExp!$G8</f>
        <v>0</v>
      </c>
      <c r="S13" s="972">
        <f>RegExp!$G8</f>
        <v>0</v>
      </c>
      <c r="T13" s="920">
        <f>InjDam!$G8</f>
        <v>0</v>
      </c>
      <c r="U13" s="972">
        <f>FIT!$G8</f>
        <v>0</v>
      </c>
      <c r="V13" s="920">
        <f>ElimPowerCost!$G8</f>
        <v>0</v>
      </c>
      <c r="W13" s="920">
        <f>NezPerce!$G8</f>
        <v>0</v>
      </c>
      <c r="X13" s="1075">
        <f>ElimAR!G8</f>
        <v>0</v>
      </c>
      <c r="Y13" s="920">
        <f>ID_ClarkFork!$G8</f>
        <v>0</v>
      </c>
      <c r="Z13" s="920">
        <f>RevNormalztn!$G8</f>
        <v>0</v>
      </c>
      <c r="AA13" s="1270">
        <f>DebtInt!$G8</f>
        <v>0</v>
      </c>
      <c r="AB13" s="972">
        <f>MiscRestate!G8</f>
        <v>0</v>
      </c>
      <c r="AC13" s="76"/>
      <c r="AD13" s="76"/>
      <c r="AE13" s="76"/>
      <c r="AF13" s="76"/>
      <c r="AG13" s="78">
        <f>SUM(N13:AF13)</f>
        <v>210968</v>
      </c>
      <c r="AH13" s="1075">
        <f>PFPSID!$G8</f>
        <v>0</v>
      </c>
      <c r="AI13" s="1270">
        <f>'PFProdFctr-ID'!$G8</f>
        <v>0</v>
      </c>
      <c r="AJ13" s="1075">
        <f>PFLabor!$G8</f>
        <v>0</v>
      </c>
      <c r="AK13" s="1075">
        <f>PFExec!$G8</f>
        <v>0</v>
      </c>
      <c r="AL13" s="1075">
        <f>PFTrans!$G8</f>
        <v>0</v>
      </c>
      <c r="AM13" s="1075">
        <f>PFCapx2008!$G8</f>
        <v>0</v>
      </c>
      <c r="AN13" s="1075">
        <f>PFCapx2009!$G8</f>
        <v>0</v>
      </c>
      <c r="AO13" s="1075">
        <f>PFAssetMgmt!$G8</f>
        <v>0</v>
      </c>
      <c r="AP13" s="1075">
        <f>PFSR_Relicense!$G8</f>
        <v>0</v>
      </c>
      <c r="AQ13" s="1075">
        <f>PFCDAtribe!$G8</f>
        <v>0</v>
      </c>
      <c r="AR13" s="1075">
        <f>PFMoLease!$G8</f>
        <v>0</v>
      </c>
      <c r="AS13" s="1075">
        <f>PFColstripEmiss!$G8</f>
        <v>0</v>
      </c>
      <c r="AT13" s="1075">
        <f>PFIncentives!$G8</f>
        <v>0</v>
      </c>
      <c r="AU13" s="920">
        <f>PFID_AMR!$G8</f>
        <v>0</v>
      </c>
      <c r="AV13" s="1075">
        <f>PFCS2!$G8</f>
        <v>0</v>
      </c>
      <c r="AW13" s="972">
        <f>PFEmpBen!$G8</f>
        <v>0</v>
      </c>
      <c r="AX13" s="972">
        <f>PFInsur!$G8</f>
        <v>0</v>
      </c>
      <c r="AY13" s="78"/>
      <c r="AZ13" s="78"/>
      <c r="BA13" s="78">
        <f t="shared" ref="BA13:BA18" si="0">SUM(AG13:AZ13)</f>
        <v>210968</v>
      </c>
      <c r="BG13" s="972">
        <f>PFNoxon2010!$G8</f>
        <v>0</v>
      </c>
    </row>
    <row r="14" spans="1:59" s="41" customFormat="1">
      <c r="A14" s="32">
        <v>2</v>
      </c>
      <c r="B14" s="34" t="s">
        <v>429</v>
      </c>
      <c r="C14" s="34"/>
      <c r="D14" s="34"/>
      <c r="E14" s="74">
        <f>ResultSumEl!G9</f>
        <v>145</v>
      </c>
      <c r="F14" s="972">
        <f>DFITAMA!G9</f>
        <v>0</v>
      </c>
      <c r="G14" s="709">
        <f>BldGain!$G9</f>
        <v>0</v>
      </c>
      <c r="H14" s="709">
        <f>ColstripAFUDC!$G9</f>
        <v>0</v>
      </c>
      <c r="I14" s="709">
        <f>ColstripCommon!$G9</f>
        <v>0</v>
      </c>
      <c r="J14" s="709">
        <f>'KF-BP_Summ'!$G9</f>
        <v>0</v>
      </c>
      <c r="K14" s="709">
        <f>CustAdv!$G9</f>
        <v>0</v>
      </c>
      <c r="L14" s="709">
        <f>ID_DSM_Inv!$G9</f>
        <v>0</v>
      </c>
      <c r="M14" s="709"/>
      <c r="N14" s="74">
        <f>SUM(E14:M14)</f>
        <v>145</v>
      </c>
      <c r="O14" s="1076">
        <f>'DeprTrue-up'!$G9</f>
        <v>0</v>
      </c>
      <c r="P14" s="709">
        <f>BandO!$G9</f>
        <v>0</v>
      </c>
      <c r="Q14" s="973">
        <f>PropTax!$G9</f>
        <v>0</v>
      </c>
      <c r="R14" s="973">
        <f>UncollExp!$G9</f>
        <v>0</v>
      </c>
      <c r="S14" s="973">
        <f>RegExp!$G9</f>
        <v>0</v>
      </c>
      <c r="T14" s="709">
        <f>InjDam!$G9</f>
        <v>0</v>
      </c>
      <c r="U14" s="973">
        <f>FIT!$G9</f>
        <v>0</v>
      </c>
      <c r="V14" s="709">
        <f>ElimPowerCost!$G9</f>
        <v>0</v>
      </c>
      <c r="W14" s="709">
        <f>NezPerce!$G9</f>
        <v>0</v>
      </c>
      <c r="X14" s="1075">
        <f>ElimAR!G9</f>
        <v>0</v>
      </c>
      <c r="Y14" s="709">
        <f>ID_ClarkFork!$G9</f>
        <v>0</v>
      </c>
      <c r="Z14" s="709">
        <f>RevNormalztn!$G9</f>
        <v>0</v>
      </c>
      <c r="AA14" s="1271">
        <f>DebtInt!$G9</f>
        <v>0</v>
      </c>
      <c r="AB14" s="972">
        <f>MiscRestate!G9</f>
        <v>0</v>
      </c>
      <c r="AC14" s="74"/>
      <c r="AD14" s="74"/>
      <c r="AE14" s="74"/>
      <c r="AF14" s="74"/>
      <c r="AG14" s="74">
        <f>SUM(N14:AF14)</f>
        <v>145</v>
      </c>
      <c r="AH14" s="1076">
        <f>PFPSID!$G9</f>
        <v>0</v>
      </c>
      <c r="AI14" s="1271">
        <f>'PFProdFctr-ID'!$G9</f>
        <v>0</v>
      </c>
      <c r="AJ14" s="1076">
        <f>PFLabor!$G9</f>
        <v>0</v>
      </c>
      <c r="AK14" s="1076">
        <f>PFExec!$G9</f>
        <v>0</v>
      </c>
      <c r="AL14" s="1076">
        <f>PFTrans!$G9</f>
        <v>0</v>
      </c>
      <c r="AM14" s="1076">
        <f>PFCapx2008!$G9</f>
        <v>0</v>
      </c>
      <c r="AN14" s="1076">
        <f>PFCapx2009!$G9</f>
        <v>0</v>
      </c>
      <c r="AO14" s="1076">
        <f>PFAssetMgmt!$G9</f>
        <v>0</v>
      </c>
      <c r="AP14" s="1076">
        <f>PFSR_Relicense!$G9</f>
        <v>0</v>
      </c>
      <c r="AQ14" s="1076">
        <f>PFCDAtribe!$G9</f>
        <v>0</v>
      </c>
      <c r="AR14" s="1076">
        <f>PFMoLease!$G9</f>
        <v>0</v>
      </c>
      <c r="AS14" s="1076">
        <f>PFColstripEmiss!$G9</f>
        <v>0</v>
      </c>
      <c r="AT14" s="1076">
        <f>PFIncentives!$G9</f>
        <v>0</v>
      </c>
      <c r="AU14" s="709">
        <f>PFID_AMR!$G9</f>
        <v>0</v>
      </c>
      <c r="AV14" s="1076">
        <f>PFCS2!$G9</f>
        <v>0</v>
      </c>
      <c r="AW14" s="973">
        <f>PFEmpBen!$G9</f>
        <v>0</v>
      </c>
      <c r="AX14" s="973">
        <f>PFInsur!$G9</f>
        <v>0</v>
      </c>
      <c r="AY14" s="74"/>
      <c r="AZ14" s="74"/>
      <c r="BA14" s="74">
        <f t="shared" si="0"/>
        <v>145</v>
      </c>
      <c r="BG14" s="973">
        <f>PFNoxon2010!$G9</f>
        <v>0</v>
      </c>
    </row>
    <row r="15" spans="1:59" s="41" customFormat="1">
      <c r="A15" s="32">
        <v>3</v>
      </c>
      <c r="B15" s="34" t="s">
        <v>430</v>
      </c>
      <c r="C15" s="34"/>
      <c r="D15" s="34"/>
      <c r="E15" s="75">
        <f>ResultSumEl!G10</f>
        <v>69340</v>
      </c>
      <c r="F15" s="1054">
        <f>DFITAMA!G10</f>
        <v>0</v>
      </c>
      <c r="G15" s="710">
        <f>BldGain!$G10</f>
        <v>0</v>
      </c>
      <c r="H15" s="710">
        <f>ColstripAFUDC!$G10</f>
        <v>0</v>
      </c>
      <c r="I15" s="710">
        <f>ColstripCommon!$G10</f>
        <v>0</v>
      </c>
      <c r="J15" s="710">
        <f>'KF-BP_Summ'!$G10</f>
        <v>0</v>
      </c>
      <c r="K15" s="710">
        <f>CustAdv!$G10</f>
        <v>0</v>
      </c>
      <c r="L15" s="710">
        <f>ID_DSM_Inv!$G10</f>
        <v>0</v>
      </c>
      <c r="M15" s="710"/>
      <c r="N15" s="75">
        <f>SUM(E15:M15)</f>
        <v>69340</v>
      </c>
      <c r="O15" s="1077">
        <f>'DeprTrue-up'!$G10</f>
        <v>0</v>
      </c>
      <c r="P15" s="710">
        <f>BandO!$G10</f>
        <v>0</v>
      </c>
      <c r="Q15" s="974">
        <f>PropTax!$G10</f>
        <v>0</v>
      </c>
      <c r="R15" s="974">
        <f>UncollExp!$G10</f>
        <v>0</v>
      </c>
      <c r="S15" s="974">
        <f>RegExp!$G10</f>
        <v>0</v>
      </c>
      <c r="T15" s="710">
        <f>InjDam!$G10</f>
        <v>0</v>
      </c>
      <c r="U15" s="974">
        <f>FIT!$G10</f>
        <v>0</v>
      </c>
      <c r="V15" s="710">
        <f>ElimPowerCost!$G10</f>
        <v>0</v>
      </c>
      <c r="W15" s="710">
        <f>NezPerce!$G10</f>
        <v>0</v>
      </c>
      <c r="X15" s="1138">
        <f>ElimAR!G10</f>
        <v>0</v>
      </c>
      <c r="Y15" s="710">
        <f>ID_ClarkFork!$G10</f>
        <v>0</v>
      </c>
      <c r="Z15" s="710">
        <f>RevNormalztn!$G10</f>
        <v>0</v>
      </c>
      <c r="AA15" s="1272">
        <f>DebtInt!$G10</f>
        <v>0</v>
      </c>
      <c r="AB15" s="1054">
        <f>MiscRestate!G10</f>
        <v>0</v>
      </c>
      <c r="AC15" s="75"/>
      <c r="AD15" s="75"/>
      <c r="AE15" s="75"/>
      <c r="AF15" s="75"/>
      <c r="AG15" s="75">
        <f>SUM(N15:AF15)</f>
        <v>69340</v>
      </c>
      <c r="AH15" s="1077">
        <f>PFPSID!$G10</f>
        <v>-20920</v>
      </c>
      <c r="AI15" s="1272">
        <f>'PFProdFctr-ID'!$G10</f>
        <v>0</v>
      </c>
      <c r="AJ15" s="1077">
        <f>PFLabor!$G10</f>
        <v>0</v>
      </c>
      <c r="AK15" s="1077">
        <f>PFExec!$G10</f>
        <v>0</v>
      </c>
      <c r="AL15" s="1077">
        <f>PFTrans!$G10</f>
        <v>0</v>
      </c>
      <c r="AM15" s="1077">
        <f>PFCapx2008!$G10</f>
        <v>0</v>
      </c>
      <c r="AN15" s="1077">
        <f>PFCapx2009!$G10</f>
        <v>0</v>
      </c>
      <c r="AO15" s="1077">
        <f>PFAssetMgmt!$G10</f>
        <v>0</v>
      </c>
      <c r="AP15" s="1077">
        <f>PFSR_Relicense!$G10</f>
        <v>0</v>
      </c>
      <c r="AQ15" s="1077">
        <f>PFCDAtribe!$G10</f>
        <v>0</v>
      </c>
      <c r="AR15" s="1077">
        <f>PFMoLease!$G10</f>
        <v>0</v>
      </c>
      <c r="AS15" s="1077">
        <f>PFColstripEmiss!$G10</f>
        <v>0</v>
      </c>
      <c r="AT15" s="1077">
        <f>PFIncentives!$G10</f>
        <v>0</v>
      </c>
      <c r="AU15" s="710">
        <f>PFID_AMR!$G10</f>
        <v>0</v>
      </c>
      <c r="AV15" s="1077">
        <f>PFCS2!$G10</f>
        <v>0</v>
      </c>
      <c r="AW15" s="974">
        <f>PFEmpBen!$G10</f>
        <v>0</v>
      </c>
      <c r="AX15" s="974">
        <f>PFInsur!$G10</f>
        <v>0</v>
      </c>
      <c r="AY15" s="75"/>
      <c r="AZ15" s="75"/>
      <c r="BA15" s="75">
        <f t="shared" si="0"/>
        <v>48420</v>
      </c>
      <c r="BG15" s="974">
        <f>PFNoxon2010!$G10</f>
        <v>0</v>
      </c>
    </row>
    <row r="16" spans="1:59" s="41" customFormat="1">
      <c r="A16" s="32">
        <v>4</v>
      </c>
      <c r="B16" s="34"/>
      <c r="C16" s="34" t="s">
        <v>431</v>
      </c>
      <c r="D16" s="34"/>
      <c r="E16" s="34">
        <f t="shared" ref="E16:W16" si="1">SUM(E13:E15)</f>
        <v>280453</v>
      </c>
      <c r="F16" s="975">
        <f t="shared" si="1"/>
        <v>0</v>
      </c>
      <c r="G16" s="711">
        <f t="shared" si="1"/>
        <v>0</v>
      </c>
      <c r="H16" s="711">
        <f t="shared" si="1"/>
        <v>0</v>
      </c>
      <c r="I16" s="711">
        <f t="shared" si="1"/>
        <v>0</v>
      </c>
      <c r="J16" s="711">
        <f t="shared" si="1"/>
        <v>0</v>
      </c>
      <c r="K16" s="711">
        <f t="shared" si="1"/>
        <v>0</v>
      </c>
      <c r="L16" s="711">
        <f t="shared" si="1"/>
        <v>0</v>
      </c>
      <c r="M16" s="711"/>
      <c r="N16" s="34">
        <f t="shared" si="1"/>
        <v>280453</v>
      </c>
      <c r="O16" s="1078">
        <f>SUM(O13:O15)</f>
        <v>0</v>
      </c>
      <c r="P16" s="711">
        <f t="shared" si="1"/>
        <v>0</v>
      </c>
      <c r="Q16" s="711">
        <f t="shared" si="1"/>
        <v>0</v>
      </c>
      <c r="R16" s="711">
        <f t="shared" si="1"/>
        <v>0</v>
      </c>
      <c r="S16" s="711">
        <f t="shared" si="1"/>
        <v>0</v>
      </c>
      <c r="T16" s="711">
        <f t="shared" si="1"/>
        <v>0</v>
      </c>
      <c r="U16" s="711">
        <f t="shared" si="1"/>
        <v>0</v>
      </c>
      <c r="V16" s="711">
        <f t="shared" si="1"/>
        <v>0</v>
      </c>
      <c r="W16" s="711">
        <f t="shared" si="1"/>
        <v>0</v>
      </c>
      <c r="X16" s="1078">
        <f t="shared" ref="X16:AN16" si="2">SUM(X13:X15)</f>
        <v>0</v>
      </c>
      <c r="Y16" s="711">
        <f>SUM(Y13:Y15)</f>
        <v>0</v>
      </c>
      <c r="Z16" s="711">
        <f t="shared" si="2"/>
        <v>0</v>
      </c>
      <c r="AA16" s="1273">
        <f>SUM(AA13:AA15)</f>
        <v>0</v>
      </c>
      <c r="AB16" s="975">
        <f t="shared" si="2"/>
        <v>0</v>
      </c>
      <c r="AC16" s="34"/>
      <c r="AD16" s="34"/>
      <c r="AE16" s="34"/>
      <c r="AF16" s="34"/>
      <c r="AG16" s="34">
        <f t="shared" si="2"/>
        <v>280453</v>
      </c>
      <c r="AH16" s="1078">
        <f t="shared" si="2"/>
        <v>-20920</v>
      </c>
      <c r="AI16" s="1273">
        <f t="shared" si="2"/>
        <v>0</v>
      </c>
      <c r="AJ16" s="1078">
        <f t="shared" si="2"/>
        <v>0</v>
      </c>
      <c r="AK16" s="1078">
        <f t="shared" si="2"/>
        <v>0</v>
      </c>
      <c r="AL16" s="1078">
        <f t="shared" si="2"/>
        <v>0</v>
      </c>
      <c r="AM16" s="1078">
        <f t="shared" si="2"/>
        <v>0</v>
      </c>
      <c r="AN16" s="1078">
        <f t="shared" si="2"/>
        <v>0</v>
      </c>
      <c r="AO16" s="1078">
        <f t="shared" ref="AO16:AX16" si="3">SUM(AO13:AO15)</f>
        <v>0</v>
      </c>
      <c r="AP16" s="1078">
        <f t="shared" si="3"/>
        <v>0</v>
      </c>
      <c r="AQ16" s="1078">
        <f t="shared" si="3"/>
        <v>0</v>
      </c>
      <c r="AR16" s="1078">
        <f t="shared" si="3"/>
        <v>0</v>
      </c>
      <c r="AS16" s="1078">
        <f>SUM(AS13:AS15)</f>
        <v>0</v>
      </c>
      <c r="AT16" s="1078">
        <f t="shared" si="3"/>
        <v>0</v>
      </c>
      <c r="AU16" s="711">
        <f>SUM(AU13:AU15)</f>
        <v>0</v>
      </c>
      <c r="AV16" s="1078">
        <f t="shared" si="3"/>
        <v>0</v>
      </c>
      <c r="AW16" s="975">
        <f t="shared" si="3"/>
        <v>0</v>
      </c>
      <c r="AX16" s="975">
        <f t="shared" si="3"/>
        <v>0</v>
      </c>
      <c r="AY16" s="34"/>
      <c r="AZ16" s="34"/>
      <c r="BA16" s="34">
        <f t="shared" si="0"/>
        <v>259533</v>
      </c>
      <c r="BG16" s="975">
        <f>SUM(BG13:BG15)</f>
        <v>0</v>
      </c>
    </row>
    <row r="17" spans="1:59" s="41" customFormat="1">
      <c r="A17" s="32">
        <v>5</v>
      </c>
      <c r="B17" s="34" t="s">
        <v>432</v>
      </c>
      <c r="C17" s="34"/>
      <c r="D17" s="34"/>
      <c r="E17" s="75">
        <f>ResultSumEl!G12</f>
        <v>19754</v>
      </c>
      <c r="F17" s="974">
        <f>DFITAMA!G12</f>
        <v>0</v>
      </c>
      <c r="G17" s="710">
        <f>BldGain!$G12</f>
        <v>0</v>
      </c>
      <c r="H17" s="710">
        <f>ColstripAFUDC!$G12</f>
        <v>0</v>
      </c>
      <c r="I17" s="710">
        <f>ColstripCommon!$G12</f>
        <v>0</v>
      </c>
      <c r="J17" s="710">
        <f>'KF-BP_Summ'!$G12</f>
        <v>0</v>
      </c>
      <c r="K17" s="710">
        <f>CustAdv!$G12</f>
        <v>0</v>
      </c>
      <c r="L17" s="710">
        <f>ID_DSM_Inv!$G12</f>
        <v>0</v>
      </c>
      <c r="M17" s="710"/>
      <c r="N17" s="75">
        <f>SUM(E17:M17)</f>
        <v>19754</v>
      </c>
      <c r="O17" s="1077">
        <f>'DeprTrue-up'!$G12</f>
        <v>0</v>
      </c>
      <c r="P17" s="710">
        <f>BandO!$G12</f>
        <v>0</v>
      </c>
      <c r="Q17" s="974">
        <f>PropTax!$G12</f>
        <v>0</v>
      </c>
      <c r="R17" s="974">
        <f>UncollExp!$G12</f>
        <v>0</v>
      </c>
      <c r="S17" s="974">
        <f>RegExp!$G12</f>
        <v>0</v>
      </c>
      <c r="T17" s="710">
        <f>InjDam!$G12</f>
        <v>0</v>
      </c>
      <c r="U17" s="974">
        <f>FIT!$G12</f>
        <v>0</v>
      </c>
      <c r="V17" s="710">
        <f>ElimPowerCost!$G12</f>
        <v>0</v>
      </c>
      <c r="W17" s="710">
        <f>NezPerce!$G12</f>
        <v>0</v>
      </c>
      <c r="X17" s="1138">
        <f>ElimAR!G12</f>
        <v>0</v>
      </c>
      <c r="Y17" s="710">
        <f>ID_ClarkFork!$G12</f>
        <v>0</v>
      </c>
      <c r="Z17" s="710">
        <f>RevNormalztn!$G12</f>
        <v>0</v>
      </c>
      <c r="AA17" s="1272">
        <f>DebtInt!$G12</f>
        <v>0</v>
      </c>
      <c r="AB17" s="1054">
        <f>MiscRestate!G12</f>
        <v>0</v>
      </c>
      <c r="AC17" s="75"/>
      <c r="AD17" s="75"/>
      <c r="AE17" s="75"/>
      <c r="AF17" s="75"/>
      <c r="AG17" s="75">
        <f>SUM(N17:AF17)</f>
        <v>19754</v>
      </c>
      <c r="AH17" s="1077">
        <f>PFPSID!$G12</f>
        <v>-4624</v>
      </c>
      <c r="AI17" s="1272">
        <f>'PFProdFctr-ID'!$G12</f>
        <v>-2568</v>
      </c>
      <c r="AJ17" s="1077">
        <f>PFLabor!$G12</f>
        <v>0</v>
      </c>
      <c r="AK17" s="1077">
        <f>PFExec!$G12</f>
        <v>0</v>
      </c>
      <c r="AL17" s="1077">
        <f>PFTrans!$G12</f>
        <v>0</v>
      </c>
      <c r="AM17" s="1077">
        <f>PFCapx2008!$G12</f>
        <v>0</v>
      </c>
      <c r="AN17" s="1077">
        <f>PFCapx2009!$G12</f>
        <v>0</v>
      </c>
      <c r="AO17" s="1077">
        <f>PFAssetMgmt!$G12</f>
        <v>0</v>
      </c>
      <c r="AP17" s="1077">
        <f>PFSR_Relicense!$G12</f>
        <v>0</v>
      </c>
      <c r="AQ17" s="1077">
        <f>PFCDAtribe!$G12</f>
        <v>0</v>
      </c>
      <c r="AR17" s="1077">
        <f>PFMoLease!$G12</f>
        <v>0</v>
      </c>
      <c r="AS17" s="1077">
        <f>PFColstripEmiss!$G12</f>
        <v>0</v>
      </c>
      <c r="AT17" s="1077">
        <f>PFIncentives!$G12</f>
        <v>0</v>
      </c>
      <c r="AU17" s="710">
        <f>PFID_AMR!$G12</f>
        <v>0</v>
      </c>
      <c r="AV17" s="1077">
        <f>PFCS2!$G12</f>
        <v>0</v>
      </c>
      <c r="AW17" s="974">
        <f>PFEmpBen!$G12</f>
        <v>0</v>
      </c>
      <c r="AX17" s="974">
        <f>PFInsur!$G12</f>
        <v>0</v>
      </c>
      <c r="AY17" s="75"/>
      <c r="AZ17" s="75"/>
      <c r="BA17" s="75">
        <f t="shared" si="0"/>
        <v>12562</v>
      </c>
      <c r="BG17" s="974">
        <f>PFNoxon2010!$G12</f>
        <v>0</v>
      </c>
    </row>
    <row r="18" spans="1:59" s="41" customFormat="1">
      <c r="A18" s="32">
        <v>6</v>
      </c>
      <c r="B18" s="34"/>
      <c r="C18" s="34" t="s">
        <v>433</v>
      </c>
      <c r="D18" s="34"/>
      <c r="E18" s="34">
        <f t="shared" ref="E18:W18" si="4">SUM(E16:E17)</f>
        <v>300207</v>
      </c>
      <c r="F18" s="975">
        <f t="shared" si="4"/>
        <v>0</v>
      </c>
      <c r="G18" s="711">
        <f t="shared" si="4"/>
        <v>0</v>
      </c>
      <c r="H18" s="711">
        <f t="shared" si="4"/>
        <v>0</v>
      </c>
      <c r="I18" s="711">
        <f t="shared" si="4"/>
        <v>0</v>
      </c>
      <c r="J18" s="711">
        <f t="shared" si="4"/>
        <v>0</v>
      </c>
      <c r="K18" s="711">
        <f t="shared" si="4"/>
        <v>0</v>
      </c>
      <c r="L18" s="711">
        <f t="shared" si="4"/>
        <v>0</v>
      </c>
      <c r="M18" s="711"/>
      <c r="N18" s="34">
        <f t="shared" si="4"/>
        <v>300207</v>
      </c>
      <c r="O18" s="1078">
        <f>SUM(O16:O17)</f>
        <v>0</v>
      </c>
      <c r="P18" s="711">
        <f t="shared" si="4"/>
        <v>0</v>
      </c>
      <c r="Q18" s="711">
        <f t="shared" si="4"/>
        <v>0</v>
      </c>
      <c r="R18" s="711">
        <f t="shared" si="4"/>
        <v>0</v>
      </c>
      <c r="S18" s="711">
        <f t="shared" si="4"/>
        <v>0</v>
      </c>
      <c r="T18" s="711">
        <f t="shared" si="4"/>
        <v>0</v>
      </c>
      <c r="U18" s="711">
        <f t="shared" si="4"/>
        <v>0</v>
      </c>
      <c r="V18" s="711">
        <f t="shared" si="4"/>
        <v>0</v>
      </c>
      <c r="W18" s="711">
        <f t="shared" si="4"/>
        <v>0</v>
      </c>
      <c r="X18" s="1078">
        <f t="shared" ref="X18:AN18" si="5">SUM(X16:X17)</f>
        <v>0</v>
      </c>
      <c r="Y18" s="711">
        <f>SUM(Y16:Y17)</f>
        <v>0</v>
      </c>
      <c r="Z18" s="711">
        <f t="shared" si="5"/>
        <v>0</v>
      </c>
      <c r="AA18" s="1273">
        <f>SUM(AA16:AA17)</f>
        <v>0</v>
      </c>
      <c r="AB18" s="975">
        <f t="shared" si="5"/>
        <v>0</v>
      </c>
      <c r="AC18" s="34"/>
      <c r="AD18" s="34"/>
      <c r="AE18" s="34"/>
      <c r="AF18" s="34"/>
      <c r="AG18" s="34">
        <f t="shared" si="5"/>
        <v>300207</v>
      </c>
      <c r="AH18" s="1078">
        <f t="shared" si="5"/>
        <v>-25544</v>
      </c>
      <c r="AI18" s="1273">
        <f t="shared" si="5"/>
        <v>-2568</v>
      </c>
      <c r="AJ18" s="1078">
        <f t="shared" si="5"/>
        <v>0</v>
      </c>
      <c r="AK18" s="1078">
        <f t="shared" si="5"/>
        <v>0</v>
      </c>
      <c r="AL18" s="1078">
        <f t="shared" si="5"/>
        <v>0</v>
      </c>
      <c r="AM18" s="1078">
        <f t="shared" si="5"/>
        <v>0</v>
      </c>
      <c r="AN18" s="1078">
        <f t="shared" si="5"/>
        <v>0</v>
      </c>
      <c r="AO18" s="1078">
        <f t="shared" ref="AO18:AX18" si="6">SUM(AO16:AO17)</f>
        <v>0</v>
      </c>
      <c r="AP18" s="1078">
        <f t="shared" si="6"/>
        <v>0</v>
      </c>
      <c r="AQ18" s="1078">
        <f t="shared" si="6"/>
        <v>0</v>
      </c>
      <c r="AR18" s="1078">
        <f t="shared" si="6"/>
        <v>0</v>
      </c>
      <c r="AS18" s="1078">
        <f>SUM(AS16:AS17)</f>
        <v>0</v>
      </c>
      <c r="AT18" s="1078">
        <f t="shared" si="6"/>
        <v>0</v>
      </c>
      <c r="AU18" s="711">
        <f>SUM(AU16:AU17)</f>
        <v>0</v>
      </c>
      <c r="AV18" s="1078">
        <f t="shared" si="6"/>
        <v>0</v>
      </c>
      <c r="AW18" s="975">
        <f t="shared" si="6"/>
        <v>0</v>
      </c>
      <c r="AX18" s="975">
        <f t="shared" si="6"/>
        <v>0</v>
      </c>
      <c r="AY18" s="34"/>
      <c r="AZ18" s="34"/>
      <c r="BA18" s="34">
        <f t="shared" si="0"/>
        <v>272095</v>
      </c>
      <c r="BG18" s="975">
        <f>SUM(BG16:BG17)</f>
        <v>0</v>
      </c>
    </row>
    <row r="19" spans="1:59" s="41" customFormat="1">
      <c r="A19" s="32"/>
      <c r="B19" s="34"/>
      <c r="C19" s="34"/>
      <c r="D19" s="34"/>
      <c r="E19" s="74"/>
      <c r="F19" s="973"/>
      <c r="G19" s="709"/>
      <c r="H19" s="709"/>
      <c r="I19" s="709"/>
      <c r="J19" s="709"/>
      <c r="K19" s="709"/>
      <c r="L19" s="709"/>
      <c r="M19" s="709"/>
      <c r="N19" s="74"/>
      <c r="O19" s="1076"/>
      <c r="P19" s="709"/>
      <c r="Q19" s="973"/>
      <c r="R19" s="973"/>
      <c r="S19" s="973"/>
      <c r="T19" s="709"/>
      <c r="U19" s="973"/>
      <c r="V19" s="709"/>
      <c r="W19" s="709"/>
      <c r="X19" s="1076"/>
      <c r="Y19" s="709"/>
      <c r="Z19" s="709"/>
      <c r="AA19" s="1271"/>
      <c r="AB19" s="973"/>
      <c r="AC19" s="74"/>
      <c r="AD19" s="74"/>
      <c r="AE19" s="74"/>
      <c r="AF19" s="74"/>
      <c r="AG19" s="74"/>
      <c r="AH19" s="1076"/>
      <c r="AI19" s="1271"/>
      <c r="AJ19" s="1076"/>
      <c r="AK19" s="1076"/>
      <c r="AL19" s="1076"/>
      <c r="AM19" s="1076"/>
      <c r="AN19" s="1076"/>
      <c r="AO19" s="1076"/>
      <c r="AP19" s="1076"/>
      <c r="AQ19" s="1076"/>
      <c r="AR19" s="1076"/>
      <c r="AS19" s="1076"/>
      <c r="AT19" s="1076"/>
      <c r="AU19" s="709"/>
      <c r="AV19" s="1076"/>
      <c r="AW19" s="973"/>
      <c r="AX19" s="973"/>
      <c r="AY19" s="74"/>
      <c r="AZ19" s="74"/>
      <c r="BA19" s="74"/>
      <c r="BG19" s="973"/>
    </row>
    <row r="20" spans="1:59" s="41" customFormat="1">
      <c r="A20" s="32"/>
      <c r="B20" s="34" t="s">
        <v>434</v>
      </c>
      <c r="C20" s="34"/>
      <c r="D20" s="34"/>
      <c r="E20" s="74"/>
      <c r="F20" s="973"/>
      <c r="G20" s="709"/>
      <c r="H20" s="709"/>
      <c r="I20" s="709"/>
      <c r="J20" s="709"/>
      <c r="K20" s="709"/>
      <c r="L20" s="709"/>
      <c r="M20" s="709"/>
      <c r="N20" s="74"/>
      <c r="O20" s="1076"/>
      <c r="P20" s="709"/>
      <c r="Q20" s="973"/>
      <c r="R20" s="973"/>
      <c r="S20" s="973"/>
      <c r="T20" s="709"/>
      <c r="U20" s="973"/>
      <c r="V20" s="709"/>
      <c r="W20" s="709"/>
      <c r="X20" s="1076"/>
      <c r="Y20" s="709"/>
      <c r="Z20" s="709"/>
      <c r="AA20" s="1271"/>
      <c r="AB20" s="973"/>
      <c r="AC20" s="74"/>
      <c r="AD20" s="74"/>
      <c r="AE20" s="74"/>
      <c r="AF20" s="74"/>
      <c r="AG20" s="74"/>
      <c r="AH20" s="1076"/>
      <c r="AI20" s="1271"/>
      <c r="AJ20" s="1076"/>
      <c r="AK20" s="1076"/>
      <c r="AL20" s="1076"/>
      <c r="AM20" s="1076"/>
      <c r="AN20" s="1076"/>
      <c r="AO20" s="1076"/>
      <c r="AP20" s="1076"/>
      <c r="AQ20" s="1076"/>
      <c r="AR20" s="1076"/>
      <c r="AS20" s="1076"/>
      <c r="AT20" s="1076"/>
      <c r="AU20" s="709"/>
      <c r="AV20" s="1076"/>
      <c r="AW20" s="973"/>
      <c r="AX20" s="973"/>
      <c r="AY20" s="74"/>
      <c r="AZ20" s="74"/>
      <c r="BA20" s="74"/>
      <c r="BG20" s="973"/>
    </row>
    <row r="21" spans="1:59" s="41" customFormat="1">
      <c r="A21" s="32"/>
      <c r="B21" s="34" t="s">
        <v>435</v>
      </c>
      <c r="C21" s="34"/>
      <c r="D21" s="34"/>
      <c r="E21" s="74"/>
      <c r="F21" s="973"/>
      <c r="G21" s="709"/>
      <c r="H21" s="709"/>
      <c r="I21" s="709"/>
      <c r="J21" s="709"/>
      <c r="K21" s="709"/>
      <c r="L21" s="709"/>
      <c r="M21" s="709"/>
      <c r="N21" s="74"/>
      <c r="O21" s="1076"/>
      <c r="P21" s="709"/>
      <c r="Q21" s="973"/>
      <c r="R21" s="973"/>
      <c r="S21" s="973"/>
      <c r="T21" s="709"/>
      <c r="U21" s="973"/>
      <c r="V21" s="709"/>
      <c r="W21" s="709"/>
      <c r="X21" s="1076"/>
      <c r="Y21" s="709"/>
      <c r="Z21" s="709"/>
      <c r="AA21" s="1271"/>
      <c r="AB21" s="973"/>
      <c r="AC21" s="74"/>
      <c r="AD21" s="74"/>
      <c r="AE21" s="74"/>
      <c r="AF21" s="74"/>
      <c r="AG21" s="74"/>
      <c r="AH21" s="1076"/>
      <c r="AI21" s="1271"/>
      <c r="AJ21" s="1076"/>
      <c r="AK21" s="1076"/>
      <c r="AL21" s="1076"/>
      <c r="AM21" s="1076"/>
      <c r="AN21" s="1076"/>
      <c r="AO21" s="1076"/>
      <c r="AP21" s="1076"/>
      <c r="AQ21" s="1076"/>
      <c r="AR21" s="1076"/>
      <c r="AS21" s="1076"/>
      <c r="AT21" s="1076"/>
      <c r="AU21" s="709"/>
      <c r="AV21" s="1076"/>
      <c r="AW21" s="973"/>
      <c r="AX21" s="973"/>
      <c r="AY21" s="74"/>
      <c r="AZ21" s="74"/>
      <c r="BA21" s="74">
        <f t="shared" ref="BA21:BA26" si="7">SUM(AG21:AZ21)</f>
        <v>0</v>
      </c>
      <c r="BG21" s="973"/>
    </row>
    <row r="22" spans="1:59" s="41" customFormat="1">
      <c r="A22" s="32">
        <v>7</v>
      </c>
      <c r="B22" s="34"/>
      <c r="C22" s="34" t="s">
        <v>436</v>
      </c>
      <c r="D22" s="34"/>
      <c r="E22" s="74">
        <f>ResultSumEl!G17</f>
        <v>80859</v>
      </c>
      <c r="F22" s="973">
        <f>DFITAMA!$G17</f>
        <v>0</v>
      </c>
      <c r="G22" s="709">
        <f>BldGain!$G17</f>
        <v>0</v>
      </c>
      <c r="H22" s="709">
        <f>ColstripAFUDC!$G17</f>
        <v>0</v>
      </c>
      <c r="I22" s="709">
        <f>ColstripCommon!$G17</f>
        <v>0</v>
      </c>
      <c r="J22" s="709">
        <f>'KF-BP_Summ'!$G17</f>
        <v>0</v>
      </c>
      <c r="K22" s="709">
        <f>CustAdv!$G17</f>
        <v>0</v>
      </c>
      <c r="L22" s="709">
        <f>ID_DSM_Inv!$G17</f>
        <v>0</v>
      </c>
      <c r="M22" s="709"/>
      <c r="N22" s="74">
        <f>SUM(E22:M22)</f>
        <v>80859</v>
      </c>
      <c r="O22" s="1076">
        <f>'DeprTrue-up'!$G17</f>
        <v>0</v>
      </c>
      <c r="P22" s="709">
        <f>BandO!$G17</f>
        <v>0</v>
      </c>
      <c r="Q22" s="973">
        <f>PropTax!$G17</f>
        <v>0</v>
      </c>
      <c r="R22" s="973">
        <f>UncollExp!$G17</f>
        <v>0</v>
      </c>
      <c r="S22" s="973">
        <f>RegExp!$G17</f>
        <v>0</v>
      </c>
      <c r="T22" s="709">
        <f>InjDam!$G17</f>
        <v>0</v>
      </c>
      <c r="U22" s="973">
        <f>FIT!$G17</f>
        <v>0</v>
      </c>
      <c r="V22" s="709">
        <f>ElimPowerCost!$G17</f>
        <v>0</v>
      </c>
      <c r="W22" s="709">
        <f>NezPerce!$G17</f>
        <v>0</v>
      </c>
      <c r="X22" s="1075">
        <f>ElimAR!G17</f>
        <v>0</v>
      </c>
      <c r="Y22" s="709">
        <f>ID_ClarkFork!$G17</f>
        <v>523</v>
      </c>
      <c r="Z22" s="709">
        <f>RevNormalztn!$G17</f>
        <v>0</v>
      </c>
      <c r="AA22" s="1271">
        <f>DebtInt!$G17</f>
        <v>0</v>
      </c>
      <c r="AB22" s="972">
        <f>MiscRestate!G17</f>
        <v>0</v>
      </c>
      <c r="AC22" s="74"/>
      <c r="AD22" s="74"/>
      <c r="AE22" s="74"/>
      <c r="AF22" s="74"/>
      <c r="AG22" s="74">
        <f>SUM(N22:AF22)</f>
        <v>81382</v>
      </c>
      <c r="AH22" s="1076">
        <f>PFPSID!$G17</f>
        <v>-10719</v>
      </c>
      <c r="AI22" s="1271">
        <f>'PFProdFctr-ID'!$G17</f>
        <v>-8447</v>
      </c>
      <c r="AJ22" s="1076">
        <f>PFLabor!$G17</f>
        <v>399</v>
      </c>
      <c r="AK22" s="1076">
        <f>PFExec!$G17</f>
        <v>5</v>
      </c>
      <c r="AL22" s="1076">
        <f>PFTrans!$G17</f>
        <v>0</v>
      </c>
      <c r="AM22" s="1076">
        <f>PFCapx2008!$G17</f>
        <v>0</v>
      </c>
      <c r="AN22" s="1076">
        <f>PFCapx2009!$G17</f>
        <v>0</v>
      </c>
      <c r="AO22" s="1076">
        <f>PFAssetMgmt!$G17</f>
        <v>0</v>
      </c>
      <c r="AP22" s="1076">
        <f>PFSR_Relicense!$G17</f>
        <v>0</v>
      </c>
      <c r="AQ22" s="1076">
        <f>PFCDAtribe!$G17</f>
        <v>0</v>
      </c>
      <c r="AR22" s="1076">
        <f>PFMoLease!$G17</f>
        <v>0</v>
      </c>
      <c r="AS22" s="1076">
        <f>PFColstripEmiss!$G17</f>
        <v>0</v>
      </c>
      <c r="AT22" s="1076">
        <f>PFIncentives!$G17</f>
        <v>0</v>
      </c>
      <c r="AU22" s="709">
        <f>PFID_AMR!$G17</f>
        <v>0</v>
      </c>
      <c r="AV22" s="1076">
        <f>PFCS2!$G17</f>
        <v>0</v>
      </c>
      <c r="AW22" s="973">
        <f>PFEmpBen!$G17</f>
        <v>0</v>
      </c>
      <c r="AX22" s="973">
        <f>PFInsur!$G17</f>
        <v>0</v>
      </c>
      <c r="AY22" s="74"/>
      <c r="AZ22" s="74"/>
      <c r="BA22" s="74">
        <f>SUM(AG22:AZ22)</f>
        <v>62620</v>
      </c>
      <c r="BG22" s="973">
        <f>PFNoxon2010!$G17</f>
        <v>0</v>
      </c>
    </row>
    <row r="23" spans="1:59" s="41" customFormat="1">
      <c r="A23" s="32">
        <v>8</v>
      </c>
      <c r="B23" s="34"/>
      <c r="C23" s="34" t="s">
        <v>437</v>
      </c>
      <c r="D23" s="34"/>
      <c r="E23" s="74">
        <f>ResultSumEl!G18</f>
        <v>99071</v>
      </c>
      <c r="F23" s="973">
        <f>DFITAMA!$G18</f>
        <v>0</v>
      </c>
      <c r="G23" s="709">
        <f>BldGain!$G18</f>
        <v>0</v>
      </c>
      <c r="H23" s="709">
        <f>ColstripAFUDC!$G18</f>
        <v>0</v>
      </c>
      <c r="I23" s="709">
        <f>ColstripCommon!$G18</f>
        <v>0</v>
      </c>
      <c r="J23" s="709">
        <f>'KF-BP_Summ'!$G18</f>
        <v>0</v>
      </c>
      <c r="K23" s="709">
        <f>CustAdv!$G18</f>
        <v>0</v>
      </c>
      <c r="L23" s="709">
        <f>ID_DSM_Inv!$G18</f>
        <v>0</v>
      </c>
      <c r="M23" s="709"/>
      <c r="N23" s="74">
        <f>SUM(E23:M23)</f>
        <v>99071</v>
      </c>
      <c r="O23" s="1076">
        <f>'DeprTrue-up'!$G18</f>
        <v>0</v>
      </c>
      <c r="P23" s="709">
        <f>BandO!$G18</f>
        <v>0</v>
      </c>
      <c r="Q23" s="973">
        <f>PropTax!$G18</f>
        <v>0</v>
      </c>
      <c r="R23" s="973">
        <f>UncollExp!$G18</f>
        <v>0</v>
      </c>
      <c r="S23" s="973">
        <f>RegExp!$G18</f>
        <v>0</v>
      </c>
      <c r="T23" s="709">
        <f>InjDam!$G18</f>
        <v>0</v>
      </c>
      <c r="U23" s="973">
        <f>FIT!$G18</f>
        <v>0</v>
      </c>
      <c r="V23" s="709">
        <f>ElimPowerCost!$G18</f>
        <v>0</v>
      </c>
      <c r="W23" s="709">
        <f>NezPerce!$G18</f>
        <v>0</v>
      </c>
      <c r="X23" s="1075">
        <f>ElimAR!G18</f>
        <v>0</v>
      </c>
      <c r="Y23" s="709">
        <f>ID_ClarkFork!$G18</f>
        <v>0</v>
      </c>
      <c r="Z23" s="709">
        <f>RevNormalztn!$G18</f>
        <v>0</v>
      </c>
      <c r="AA23" s="1271">
        <f>DebtInt!$G18</f>
        <v>0</v>
      </c>
      <c r="AB23" s="972">
        <f>MiscRestate!G18</f>
        <v>0</v>
      </c>
      <c r="AC23" s="74"/>
      <c r="AD23" s="74"/>
      <c r="AE23" s="74"/>
      <c r="AF23" s="74"/>
      <c r="AG23" s="74">
        <f>SUM(N23:AF23)</f>
        <v>99071</v>
      </c>
      <c r="AH23" s="1076">
        <f>PFPSID!$G18</f>
        <v>-14480</v>
      </c>
      <c r="AI23" s="1271">
        <f>'PFProdFctr-ID'!$G18</f>
        <v>0</v>
      </c>
      <c r="AJ23" s="1076">
        <f>PFLabor!$G18</f>
        <v>0</v>
      </c>
      <c r="AK23" s="1076">
        <f>PFExec!$G18</f>
        <v>0</v>
      </c>
      <c r="AL23" s="1076">
        <f>PFTrans!$G18</f>
        <v>0</v>
      </c>
      <c r="AM23" s="1076">
        <f>PFCapx2008!$G18</f>
        <v>0</v>
      </c>
      <c r="AN23" s="1076">
        <f>PFCapx2009!$G18</f>
        <v>0</v>
      </c>
      <c r="AO23" s="1076">
        <f>PFAssetMgmt!$G18</f>
        <v>0</v>
      </c>
      <c r="AP23" s="1076">
        <f>PFSR_Relicense!$G18</f>
        <v>0</v>
      </c>
      <c r="AQ23" s="1076">
        <f>PFCDAtribe!$G18</f>
        <v>0</v>
      </c>
      <c r="AR23" s="1076">
        <f>PFMoLease!$G18</f>
        <v>0</v>
      </c>
      <c r="AS23" s="1076">
        <f>PFColstripEmiss!$G18</f>
        <v>0</v>
      </c>
      <c r="AT23" s="1076">
        <f>PFIncentives!$G18</f>
        <v>0</v>
      </c>
      <c r="AU23" s="709">
        <f>PFID_AMR!$G18</f>
        <v>0</v>
      </c>
      <c r="AV23" s="1076">
        <f>PFCS2!$G18</f>
        <v>0</v>
      </c>
      <c r="AW23" s="973">
        <f>PFEmpBen!$G18</f>
        <v>0</v>
      </c>
      <c r="AX23" s="973">
        <f>PFInsur!$G18</f>
        <v>0</v>
      </c>
      <c r="AY23" s="74"/>
      <c r="AZ23" s="74"/>
      <c r="BA23" s="74">
        <f t="shared" si="7"/>
        <v>84591</v>
      </c>
      <c r="BG23" s="973">
        <f>PFNoxon2010!$G18</f>
        <v>0</v>
      </c>
    </row>
    <row r="24" spans="1:59" s="41" customFormat="1">
      <c r="A24" s="32">
        <v>9</v>
      </c>
      <c r="B24" s="34"/>
      <c r="C24" s="34" t="s">
        <v>438</v>
      </c>
      <c r="D24" s="34"/>
      <c r="E24" s="74">
        <f>ResultSumEl!G19</f>
        <v>11375</v>
      </c>
      <c r="F24" s="973">
        <f>DFITAMA!$G19</f>
        <v>0</v>
      </c>
      <c r="G24" s="709">
        <f>BldGain!$G19</f>
        <v>0</v>
      </c>
      <c r="H24" s="709">
        <f>ColstripAFUDC!$G19</f>
        <v>0</v>
      </c>
      <c r="I24" s="709">
        <f>ColstripCommon!$G19</f>
        <v>0</v>
      </c>
      <c r="J24" s="709">
        <f>'KF-BP_Summ'!$G19</f>
        <v>0</v>
      </c>
      <c r="K24" s="709">
        <f>CustAdv!$G19</f>
        <v>0</v>
      </c>
      <c r="L24" s="709">
        <f>ID_DSM_Inv!$G19</f>
        <v>0</v>
      </c>
      <c r="M24" s="709"/>
      <c r="N24" s="74">
        <f>SUM(E24:M24)</f>
        <v>11375</v>
      </c>
      <c r="O24" s="1076">
        <f>'DeprTrue-up'!$G19</f>
        <v>0</v>
      </c>
      <c r="P24" s="709">
        <f>BandO!$G19</f>
        <v>0</v>
      </c>
      <c r="Q24" s="973">
        <f>PropTax!$G19</f>
        <v>0</v>
      </c>
      <c r="R24" s="973">
        <f>UncollExp!$G19</f>
        <v>0</v>
      </c>
      <c r="S24" s="973">
        <f>RegExp!$G19</f>
        <v>0</v>
      </c>
      <c r="T24" s="709">
        <f>InjDam!$G19</f>
        <v>0</v>
      </c>
      <c r="U24" s="973">
        <f>FIT!$G19</f>
        <v>0</v>
      </c>
      <c r="V24" s="709">
        <f>ElimPowerCost!$G19</f>
        <v>0</v>
      </c>
      <c r="W24" s="709">
        <f>NezPerce!$G19</f>
        <v>0</v>
      </c>
      <c r="X24" s="1075">
        <f>ElimAR!G19</f>
        <v>0</v>
      </c>
      <c r="Y24" s="709">
        <f>ID_ClarkFork!$G19</f>
        <v>0</v>
      </c>
      <c r="Z24" s="709">
        <f>RevNormalztn!$G19</f>
        <v>0</v>
      </c>
      <c r="AA24" s="1271">
        <f>DebtInt!$G19</f>
        <v>0</v>
      </c>
      <c r="AB24" s="972">
        <f>MiscRestate!G19</f>
        <v>0</v>
      </c>
      <c r="AC24" s="74"/>
      <c r="AD24" s="74"/>
      <c r="AE24" s="74"/>
      <c r="AF24" s="74"/>
      <c r="AG24" s="74">
        <f>SUM(N24:AF24)</f>
        <v>11375</v>
      </c>
      <c r="AH24" s="1076">
        <f>PFPSID!$G19</f>
        <v>0</v>
      </c>
      <c r="AI24" s="1271">
        <f>'PFProdFctr-ID'!$G19</f>
        <v>0</v>
      </c>
      <c r="AJ24" s="1076">
        <f>PFLabor!$G19</f>
        <v>0</v>
      </c>
      <c r="AK24" s="1076">
        <f>PFExec!$G19</f>
        <v>0</v>
      </c>
      <c r="AL24" s="1076">
        <f>PFTrans!$G19</f>
        <v>0</v>
      </c>
      <c r="AM24" s="1076">
        <f>PFCapx2008!$G19</f>
        <v>0</v>
      </c>
      <c r="AN24" s="1076">
        <f>PFCapx2009!$G19</f>
        <v>0</v>
      </c>
      <c r="AO24" s="1076">
        <f>PFAssetMgmt!$G19</f>
        <v>0</v>
      </c>
      <c r="AP24" s="1076">
        <f>PFSR_Relicense!$G19</f>
        <v>0</v>
      </c>
      <c r="AQ24" s="1076">
        <f>PFCDAtribe!$G19</f>
        <v>0</v>
      </c>
      <c r="AR24" s="1076">
        <f>PFMoLease!$G19</f>
        <v>0</v>
      </c>
      <c r="AS24" s="1076">
        <f>PFColstripEmiss!$G19</f>
        <v>0</v>
      </c>
      <c r="AT24" s="1076">
        <f>PFIncentives!$G19</f>
        <v>0</v>
      </c>
      <c r="AU24" s="709">
        <f>PFID_AMR!$G19</f>
        <v>0</v>
      </c>
      <c r="AV24" s="1076">
        <f>PFCS2!$G19</f>
        <v>215</v>
      </c>
      <c r="AW24" s="973">
        <f>PFEmpBen!$G19</f>
        <v>0</v>
      </c>
      <c r="AX24" s="973">
        <f>PFInsur!$G19</f>
        <v>0</v>
      </c>
      <c r="AY24" s="74"/>
      <c r="AZ24" s="74"/>
      <c r="BA24" s="74">
        <f t="shared" si="7"/>
        <v>11590</v>
      </c>
      <c r="BG24" s="973">
        <f>PFNoxon2010!$G19</f>
        <v>0</v>
      </c>
    </row>
    <row r="25" spans="1:59" s="41" customFormat="1">
      <c r="A25" s="32">
        <v>10</v>
      </c>
      <c r="B25" s="34"/>
      <c r="C25" s="34" t="s">
        <v>439</v>
      </c>
      <c r="D25" s="34"/>
      <c r="E25" s="75">
        <f>ResultSumEl!G20</f>
        <v>4898</v>
      </c>
      <c r="F25" s="974">
        <f>DFITAMA!$G20</f>
        <v>0</v>
      </c>
      <c r="G25" s="710">
        <f>BldGain!$G20</f>
        <v>0</v>
      </c>
      <c r="H25" s="710">
        <f>ColstripAFUDC!$G20</f>
        <v>0</v>
      </c>
      <c r="I25" s="710">
        <f>ColstripCommon!$G20</f>
        <v>0</v>
      </c>
      <c r="J25" s="710">
        <f>'KF-BP_Summ'!$G20</f>
        <v>0</v>
      </c>
      <c r="K25" s="710">
        <f>CustAdv!$G20</f>
        <v>0</v>
      </c>
      <c r="L25" s="710">
        <f>ID_DSM_Inv!$G20</f>
        <v>0</v>
      </c>
      <c r="M25" s="710"/>
      <c r="N25" s="75">
        <f>SUM(E25:M25)</f>
        <v>4898</v>
      </c>
      <c r="O25" s="1077">
        <f>'DeprTrue-up'!$G20</f>
        <v>0</v>
      </c>
      <c r="P25" s="710">
        <f>BandO!$G20</f>
        <v>0</v>
      </c>
      <c r="Q25" s="710">
        <f>PropTax!$G20</f>
        <v>0</v>
      </c>
      <c r="R25" s="974">
        <f>UncollExp!$G20</f>
        <v>0</v>
      </c>
      <c r="S25" s="974">
        <f>RegExp!$G20</f>
        <v>0</v>
      </c>
      <c r="T25" s="710">
        <f>InjDam!$G20</f>
        <v>0</v>
      </c>
      <c r="U25" s="974">
        <f>FIT!$G20</f>
        <v>0</v>
      </c>
      <c r="V25" s="710">
        <f>ElimPowerCost!$G20</f>
        <v>0</v>
      </c>
      <c r="W25" s="710">
        <f>NezPerce!$G20</f>
        <v>0</v>
      </c>
      <c r="X25" s="1138">
        <f>ElimAR!G20</f>
        <v>0</v>
      </c>
      <c r="Y25" s="710">
        <f>ID_ClarkFork!$G20</f>
        <v>0</v>
      </c>
      <c r="Z25" s="710">
        <f>RevNormalztn!$G20</f>
        <v>0</v>
      </c>
      <c r="AA25" s="1272">
        <f>DebtInt!$G20</f>
        <v>0</v>
      </c>
      <c r="AB25" s="1054">
        <f>MiscRestate!G20</f>
        <v>0</v>
      </c>
      <c r="AC25" s="75"/>
      <c r="AD25" s="75"/>
      <c r="AE25" s="75"/>
      <c r="AF25" s="75"/>
      <c r="AG25" s="75">
        <f>SUM(N25:AF25)</f>
        <v>4898</v>
      </c>
      <c r="AH25" s="1077">
        <f>PFPSID!$G20</f>
        <v>0</v>
      </c>
      <c r="AI25" s="1272">
        <f>'PFProdFctr-ID'!$G20</f>
        <v>0</v>
      </c>
      <c r="AJ25" s="1077">
        <f>PFLabor!$G20</f>
        <v>0</v>
      </c>
      <c r="AK25" s="1077">
        <f>PFExec!$G20</f>
        <v>0</v>
      </c>
      <c r="AL25" s="1077">
        <f>PFTrans!$G20</f>
        <v>0</v>
      </c>
      <c r="AM25" s="1077">
        <f>PFCapx2008!$G20</f>
        <v>0</v>
      </c>
      <c r="AN25" s="1077">
        <f>PFCapx2009!$G20</f>
        <v>0</v>
      </c>
      <c r="AO25" s="1077">
        <f>PFAssetMgmt!$G20</f>
        <v>0</v>
      </c>
      <c r="AP25" s="1077">
        <f>PFSR_Relicense!$G20</f>
        <v>0</v>
      </c>
      <c r="AQ25" s="1077">
        <f>PFCDAtribe!$G20</f>
        <v>0</v>
      </c>
      <c r="AR25" s="1077">
        <f>PFMoLease!$G20</f>
        <v>0</v>
      </c>
      <c r="AS25" s="1077">
        <f>PFColstripEmiss!$G20</f>
        <v>0</v>
      </c>
      <c r="AT25" s="1077">
        <f>PFIncentives!$G20</f>
        <v>0</v>
      </c>
      <c r="AU25" s="710">
        <f>PFID_AMR!$G20</f>
        <v>0</v>
      </c>
      <c r="AV25" s="1077">
        <f>PFCS2!$G20</f>
        <v>0</v>
      </c>
      <c r="AW25" s="974">
        <f>PFEmpBen!$G20</f>
        <v>0</v>
      </c>
      <c r="AX25" s="974">
        <f>PFInsur!$G20</f>
        <v>0</v>
      </c>
      <c r="AY25" s="75"/>
      <c r="AZ25" s="75"/>
      <c r="BA25" s="75">
        <f t="shared" si="7"/>
        <v>4898</v>
      </c>
      <c r="BG25" s="974">
        <f>PFNoxon2010!$G20</f>
        <v>0</v>
      </c>
    </row>
    <row r="26" spans="1:59" s="41" customFormat="1">
      <c r="A26" s="32">
        <v>11</v>
      </c>
      <c r="B26" s="34"/>
      <c r="C26" s="34"/>
      <c r="D26" s="34" t="s">
        <v>440</v>
      </c>
      <c r="E26" s="34">
        <f t="shared" ref="E26:U26" si="8">SUM(E22:E25)</f>
        <v>196203</v>
      </c>
      <c r="F26" s="711">
        <f t="shared" si="8"/>
        <v>0</v>
      </c>
      <c r="G26" s="711">
        <f t="shared" si="8"/>
        <v>0</v>
      </c>
      <c r="H26" s="711">
        <f t="shared" si="8"/>
        <v>0</v>
      </c>
      <c r="I26" s="711">
        <f t="shared" si="8"/>
        <v>0</v>
      </c>
      <c r="J26" s="711">
        <f t="shared" si="8"/>
        <v>0</v>
      </c>
      <c r="K26" s="711">
        <f t="shared" si="8"/>
        <v>0</v>
      </c>
      <c r="L26" s="711">
        <f t="shared" si="8"/>
        <v>0</v>
      </c>
      <c r="M26" s="711"/>
      <c r="N26" s="34">
        <f t="shared" si="8"/>
        <v>196203</v>
      </c>
      <c r="O26" s="1078">
        <f>SUM(O22:O25)</f>
        <v>0</v>
      </c>
      <c r="P26" s="711">
        <f t="shared" si="8"/>
        <v>0</v>
      </c>
      <c r="Q26" s="711">
        <f t="shared" si="8"/>
        <v>0</v>
      </c>
      <c r="R26" s="711">
        <f t="shared" si="8"/>
        <v>0</v>
      </c>
      <c r="S26" s="711">
        <f t="shared" si="8"/>
        <v>0</v>
      </c>
      <c r="T26" s="711">
        <f t="shared" si="8"/>
        <v>0</v>
      </c>
      <c r="U26" s="711">
        <f t="shared" si="8"/>
        <v>0</v>
      </c>
      <c r="V26" s="711">
        <f t="shared" ref="V26:AB26" si="9">SUM(V22:V25)</f>
        <v>0</v>
      </c>
      <c r="W26" s="711">
        <f t="shared" si="9"/>
        <v>0</v>
      </c>
      <c r="X26" s="1078">
        <f t="shared" si="9"/>
        <v>0</v>
      </c>
      <c r="Y26" s="711">
        <f t="shared" si="9"/>
        <v>523</v>
      </c>
      <c r="Z26" s="711">
        <f>SUM(Z22:Z25)</f>
        <v>0</v>
      </c>
      <c r="AA26" s="1273">
        <f>SUM(AA22:AA25)</f>
        <v>0</v>
      </c>
      <c r="AB26" s="975">
        <f t="shared" si="9"/>
        <v>0</v>
      </c>
      <c r="AC26" s="34"/>
      <c r="AD26" s="34"/>
      <c r="AE26" s="34"/>
      <c r="AF26" s="34"/>
      <c r="AG26" s="34">
        <f>SUM(AG22:AG25)</f>
        <v>196726</v>
      </c>
      <c r="AH26" s="1078">
        <f t="shared" ref="AH26:AN26" si="10">SUM(AH22:AH25)</f>
        <v>-25199</v>
      </c>
      <c r="AI26" s="1273">
        <f t="shared" si="10"/>
        <v>-8447</v>
      </c>
      <c r="AJ26" s="1078">
        <f t="shared" si="10"/>
        <v>399</v>
      </c>
      <c r="AK26" s="1078">
        <f t="shared" si="10"/>
        <v>5</v>
      </c>
      <c r="AL26" s="1078">
        <f t="shared" si="10"/>
        <v>0</v>
      </c>
      <c r="AM26" s="1078">
        <f t="shared" si="10"/>
        <v>0</v>
      </c>
      <c r="AN26" s="1078">
        <f t="shared" si="10"/>
        <v>0</v>
      </c>
      <c r="AO26" s="1078">
        <f t="shared" ref="AO26:AZ26" si="11">SUM(AO22:AO25)</f>
        <v>0</v>
      </c>
      <c r="AP26" s="1078">
        <f t="shared" si="11"/>
        <v>0</v>
      </c>
      <c r="AQ26" s="1078">
        <f t="shared" si="11"/>
        <v>0</v>
      </c>
      <c r="AR26" s="1078">
        <f t="shared" si="11"/>
        <v>0</v>
      </c>
      <c r="AS26" s="1078">
        <f>SUM(AS22:AS25)</f>
        <v>0</v>
      </c>
      <c r="AT26" s="1078">
        <f t="shared" si="11"/>
        <v>0</v>
      </c>
      <c r="AU26" s="711">
        <f>SUM(AU22:AU25)</f>
        <v>0</v>
      </c>
      <c r="AV26" s="1078">
        <f t="shared" si="11"/>
        <v>215</v>
      </c>
      <c r="AW26" s="975">
        <f t="shared" si="11"/>
        <v>0</v>
      </c>
      <c r="AX26" s="975">
        <f t="shared" si="11"/>
        <v>0</v>
      </c>
      <c r="AY26" s="34">
        <f t="shared" si="11"/>
        <v>0</v>
      </c>
      <c r="AZ26" s="34">
        <f t="shared" si="11"/>
        <v>0</v>
      </c>
      <c r="BA26" s="34">
        <f t="shared" si="7"/>
        <v>163699</v>
      </c>
      <c r="BG26" s="975">
        <f>SUM(BG22:BG25)</f>
        <v>0</v>
      </c>
    </row>
    <row r="27" spans="1:59" s="41" customFormat="1">
      <c r="A27" s="32"/>
      <c r="B27" s="34"/>
      <c r="C27" s="34"/>
      <c r="D27" s="34"/>
      <c r="E27" s="74"/>
      <c r="F27" s="973"/>
      <c r="G27" s="709"/>
      <c r="H27" s="709"/>
      <c r="I27" s="709"/>
      <c r="J27" s="709"/>
      <c r="K27" s="709"/>
      <c r="L27" s="709"/>
      <c r="M27" s="709"/>
      <c r="N27" s="74"/>
      <c r="O27" s="1076"/>
      <c r="P27" s="709"/>
      <c r="Q27" s="973"/>
      <c r="R27" s="973"/>
      <c r="S27" s="973"/>
      <c r="T27" s="709"/>
      <c r="U27" s="973"/>
      <c r="V27" s="709"/>
      <c r="W27" s="709"/>
      <c r="X27" s="1076"/>
      <c r="Y27" s="709"/>
      <c r="Z27" s="709"/>
      <c r="AA27" s="1271"/>
      <c r="AB27" s="973"/>
      <c r="AC27" s="74"/>
      <c r="AD27" s="74"/>
      <c r="AE27" s="74"/>
      <c r="AF27" s="74"/>
      <c r="AG27" s="74"/>
      <c r="AH27" s="1076"/>
      <c r="AI27" s="1271"/>
      <c r="AJ27" s="1076"/>
      <c r="AK27" s="1076"/>
      <c r="AL27" s="1076"/>
      <c r="AM27" s="1076"/>
      <c r="AN27" s="1076"/>
      <c r="AO27" s="1076"/>
      <c r="AP27" s="1076"/>
      <c r="AQ27" s="1076"/>
      <c r="AR27" s="1076"/>
      <c r="AS27" s="1076"/>
      <c r="AT27" s="1076"/>
      <c r="AU27" s="709"/>
      <c r="AV27" s="1076"/>
      <c r="AW27" s="973"/>
      <c r="AX27" s="973"/>
      <c r="AY27" s="74"/>
      <c r="AZ27" s="74"/>
      <c r="BA27" s="74"/>
      <c r="BG27" s="973"/>
    </row>
    <row r="28" spans="1:59" s="41" customFormat="1">
      <c r="A28" s="32"/>
      <c r="B28" s="34" t="s">
        <v>441</v>
      </c>
      <c r="C28" s="34"/>
      <c r="D28" s="34"/>
      <c r="E28" s="74"/>
      <c r="F28" s="973"/>
      <c r="G28" s="709"/>
      <c r="H28" s="709"/>
      <c r="I28" s="709"/>
      <c r="J28" s="709"/>
      <c r="K28" s="709"/>
      <c r="L28" s="709"/>
      <c r="M28" s="709"/>
      <c r="N28" s="74"/>
      <c r="O28" s="1076"/>
      <c r="P28" s="709"/>
      <c r="Q28" s="973"/>
      <c r="R28" s="973"/>
      <c r="S28" s="973"/>
      <c r="T28" s="709"/>
      <c r="U28" s="973"/>
      <c r="V28" s="709"/>
      <c r="W28" s="709"/>
      <c r="X28" s="1076"/>
      <c r="Y28" s="709"/>
      <c r="Z28" s="709"/>
      <c r="AA28" s="1271"/>
      <c r="AB28" s="973"/>
      <c r="AC28" s="74"/>
      <c r="AD28" s="74"/>
      <c r="AE28" s="74"/>
      <c r="AF28" s="74"/>
      <c r="AG28" s="74"/>
      <c r="AH28" s="1076"/>
      <c r="AI28" s="1271"/>
      <c r="AJ28" s="1076"/>
      <c r="AK28" s="1076"/>
      <c r="AL28" s="1076"/>
      <c r="AM28" s="1076"/>
      <c r="AN28" s="1076"/>
      <c r="AO28" s="1076"/>
      <c r="AP28" s="1076"/>
      <c r="AQ28" s="1076"/>
      <c r="AR28" s="1076"/>
      <c r="AS28" s="1076"/>
      <c r="AT28" s="1076"/>
      <c r="AU28" s="709"/>
      <c r="AV28" s="1076"/>
      <c r="AW28" s="973"/>
      <c r="AX28" s="973"/>
      <c r="AY28" s="74"/>
      <c r="AZ28" s="74"/>
      <c r="BA28" s="74">
        <f>SUM(AG28:AZ28)</f>
        <v>0</v>
      </c>
      <c r="BG28" s="973"/>
    </row>
    <row r="29" spans="1:59" s="41" customFormat="1">
      <c r="A29" s="32">
        <v>12</v>
      </c>
      <c r="B29" s="34"/>
      <c r="C29" s="34" t="s">
        <v>436</v>
      </c>
      <c r="D29" s="34"/>
      <c r="E29" s="74">
        <f>ResultSumEl!G24</f>
        <v>8580</v>
      </c>
      <c r="F29" s="973">
        <f>DFITAMA!$G24</f>
        <v>0</v>
      </c>
      <c r="G29" s="709">
        <f>BldGain!$G24</f>
        <v>0</v>
      </c>
      <c r="H29" s="709">
        <f>ColstripAFUDC!$G24</f>
        <v>0</v>
      </c>
      <c r="I29" s="709">
        <f>ColstripCommon!$G24</f>
        <v>0</v>
      </c>
      <c r="J29" s="709">
        <f>'KF-BP_Summ'!$G24</f>
        <v>0</v>
      </c>
      <c r="K29" s="709">
        <f>CustAdv!$G24</f>
        <v>0</v>
      </c>
      <c r="L29" s="709">
        <f>ID_DSM_Inv!$G24</f>
        <v>0</v>
      </c>
      <c r="M29" s="709"/>
      <c r="N29" s="74">
        <f>SUM(E29:M29)</f>
        <v>8580</v>
      </c>
      <c r="O29" s="1076">
        <f>'DeprTrue-up'!$G24</f>
        <v>0</v>
      </c>
      <c r="P29" s="709">
        <f>BandO!$G24</f>
        <v>0</v>
      </c>
      <c r="Q29" s="973">
        <f>PropTax!$G24</f>
        <v>0</v>
      </c>
      <c r="R29" s="973">
        <f>UncollExp!$G24</f>
        <v>0</v>
      </c>
      <c r="S29" s="973">
        <f>RegExp!$G24</f>
        <v>0</v>
      </c>
      <c r="T29" s="709">
        <f>InjDam!$G24</f>
        <v>0</v>
      </c>
      <c r="U29" s="973">
        <f>FIT!$G24</f>
        <v>0</v>
      </c>
      <c r="V29" s="709">
        <f>ElimPowerCost!$G24</f>
        <v>0</v>
      </c>
      <c r="W29" s="709">
        <f>NezPerce!$G24</f>
        <v>0</v>
      </c>
      <c r="X29" s="1076"/>
      <c r="Y29" s="709">
        <f>ID_ClarkFork!$G24</f>
        <v>0</v>
      </c>
      <c r="Z29" s="709">
        <f>RevNormalztn!$G24</f>
        <v>0</v>
      </c>
      <c r="AA29" s="1271">
        <f>DebtInt!$G24</f>
        <v>0</v>
      </c>
      <c r="AB29" s="973"/>
      <c r="AC29" s="74"/>
      <c r="AD29" s="74"/>
      <c r="AE29" s="74"/>
      <c r="AF29" s="74"/>
      <c r="AG29" s="74">
        <f>SUM(N29:AF29)</f>
        <v>8580</v>
      </c>
      <c r="AH29" s="1076">
        <f>PFPSID!$G24</f>
        <v>0</v>
      </c>
      <c r="AI29" s="1271">
        <f>'PFProdFctr-ID'!$G24</f>
        <v>0</v>
      </c>
      <c r="AJ29" s="1076">
        <f>PFLabor!$G24</f>
        <v>294</v>
      </c>
      <c r="AK29" s="1076">
        <f>PFExec!$G24</f>
        <v>0</v>
      </c>
      <c r="AL29" s="1076">
        <f>PFTrans!$G24</f>
        <v>0</v>
      </c>
      <c r="AM29" s="1076">
        <f>PFCapx2008!$G24</f>
        <v>0</v>
      </c>
      <c r="AN29" s="1076">
        <f>PFCapx2009!$G24</f>
        <v>0</v>
      </c>
      <c r="AO29" s="1076">
        <f>PFAssetMgmt!$G24</f>
        <v>0</v>
      </c>
      <c r="AP29" s="1076">
        <f>PFSR_Relicense!$G24</f>
        <v>0</v>
      </c>
      <c r="AQ29" s="1076">
        <f>PFCDAtribe!$G24</f>
        <v>0</v>
      </c>
      <c r="AR29" s="1076">
        <f>PFMoLease!$G24</f>
        <v>0</v>
      </c>
      <c r="AS29" s="1076">
        <f>PFColstripEmiss!$G24</f>
        <v>0</v>
      </c>
      <c r="AT29" s="1076">
        <f>PFIncentives!$G24</f>
        <v>0</v>
      </c>
      <c r="AU29" s="709">
        <f>PFID_AMR!$G24</f>
        <v>0</v>
      </c>
      <c r="AV29" s="1076">
        <f>PFCS2!$G24</f>
        <v>0</v>
      </c>
      <c r="AW29" s="973">
        <f>PFEmpBen!$G24</f>
        <v>0</v>
      </c>
      <c r="AX29" s="973">
        <f>PFInsur!$G24</f>
        <v>0</v>
      </c>
      <c r="AY29" s="74"/>
      <c r="AZ29" s="74"/>
      <c r="BA29" s="74">
        <f>SUM(AG29:AZ29)</f>
        <v>8874</v>
      </c>
      <c r="BG29" s="973">
        <f>PFNoxon2010!$G24</f>
        <v>0</v>
      </c>
    </row>
    <row r="30" spans="1:59" s="41" customFormat="1">
      <c r="A30" s="32">
        <v>13</v>
      </c>
      <c r="B30" s="34"/>
      <c r="C30" s="34" t="s">
        <v>442</v>
      </c>
      <c r="D30" s="34"/>
      <c r="E30" s="74">
        <f>ResultSumEl!G25</f>
        <v>8351</v>
      </c>
      <c r="F30" s="973">
        <f>DFITAMA!$G25</f>
        <v>0</v>
      </c>
      <c r="G30" s="709">
        <f>BldGain!$G25</f>
        <v>0</v>
      </c>
      <c r="H30" s="709">
        <f>ColstripAFUDC!$G25</f>
        <v>0</v>
      </c>
      <c r="I30" s="709">
        <f>ColstripCommon!$G25</f>
        <v>0</v>
      </c>
      <c r="J30" s="709">
        <f>'KF-BP_Summ'!$G25</f>
        <v>0</v>
      </c>
      <c r="K30" s="709">
        <f>CustAdv!$G25</f>
        <v>0</v>
      </c>
      <c r="L30" s="709">
        <f>ID_DSM_Inv!$G25</f>
        <v>0</v>
      </c>
      <c r="M30" s="709"/>
      <c r="N30" s="74">
        <f>SUM(E30:M30)</f>
        <v>8351</v>
      </c>
      <c r="O30" s="1076">
        <f>'DeprTrue-up'!$G25</f>
        <v>0</v>
      </c>
      <c r="P30" s="709">
        <f>BandO!$G25</f>
        <v>0</v>
      </c>
      <c r="Q30" s="973">
        <f>PropTax!$G25</f>
        <v>0</v>
      </c>
      <c r="R30" s="973">
        <f>UncollExp!$G25</f>
        <v>0</v>
      </c>
      <c r="S30" s="973">
        <f>RegExp!$G25</f>
        <v>0</v>
      </c>
      <c r="T30" s="709">
        <f>InjDam!$G25</f>
        <v>0</v>
      </c>
      <c r="U30" s="973">
        <f>FIT!$G25</f>
        <v>0</v>
      </c>
      <c r="V30" s="709">
        <f>ElimPowerCost!$G25</f>
        <v>0</v>
      </c>
      <c r="W30" s="709">
        <f>NezPerce!$G25</f>
        <v>0</v>
      </c>
      <c r="X30" s="1075">
        <f>ElimAR!G25</f>
        <v>0</v>
      </c>
      <c r="Y30" s="709">
        <f>ID_ClarkFork!$G25</f>
        <v>0</v>
      </c>
      <c r="Z30" s="709">
        <f>RevNormalztn!$G25</f>
        <v>0</v>
      </c>
      <c r="AA30" s="1271">
        <f>DebtInt!$G25</f>
        <v>0</v>
      </c>
      <c r="AB30" s="972">
        <f>MiscRestate!G25</f>
        <v>0</v>
      </c>
      <c r="AC30" s="74"/>
      <c r="AD30" s="74"/>
      <c r="AE30" s="74"/>
      <c r="AF30" s="74"/>
      <c r="AG30" s="74">
        <f>SUM(N30:AF30)</f>
        <v>8351</v>
      </c>
      <c r="AH30" s="1076">
        <f>PFPSID!$G25</f>
        <v>0</v>
      </c>
      <c r="AI30" s="1271">
        <f>'PFProdFctr-ID'!$G25</f>
        <v>0</v>
      </c>
      <c r="AJ30" s="1076">
        <f>PFLabor!$G25</f>
        <v>0</v>
      </c>
      <c r="AK30" s="1076">
        <f>PFExec!$G25</f>
        <v>0</v>
      </c>
      <c r="AL30" s="1076">
        <f>PFTrans!$G25</f>
        <v>0</v>
      </c>
      <c r="AM30" s="1076">
        <f>PFCapx2008!$G25</f>
        <v>0</v>
      </c>
      <c r="AN30" s="1076">
        <f>PFCapx2009!$G25</f>
        <v>0</v>
      </c>
      <c r="AO30" s="1076">
        <f>PFAssetMgmt!$G25</f>
        <v>0</v>
      </c>
      <c r="AP30" s="1076">
        <f>PFSR_Relicense!$G25</f>
        <v>0</v>
      </c>
      <c r="AQ30" s="1076">
        <f>PFCDAtribe!$G25</f>
        <v>0</v>
      </c>
      <c r="AR30" s="1076">
        <f>PFMoLease!$G25</f>
        <v>0</v>
      </c>
      <c r="AS30" s="1076">
        <f>PFColstripEmiss!$G25</f>
        <v>0</v>
      </c>
      <c r="AT30" s="1076">
        <f>PFIncentives!$G25</f>
        <v>0</v>
      </c>
      <c r="AU30" s="709">
        <f>PFID_AMR!$G25</f>
        <v>692</v>
      </c>
      <c r="AV30" s="1076">
        <f>PFCS2!$G25</f>
        <v>0</v>
      </c>
      <c r="AW30" s="973">
        <f>PFEmpBen!$G25</f>
        <v>0</v>
      </c>
      <c r="AX30" s="973">
        <f>PFInsur!$G25</f>
        <v>0</v>
      </c>
      <c r="AY30" s="74"/>
      <c r="AZ30" s="74"/>
      <c r="BA30" s="74">
        <f>SUM(AG30:AZ30)</f>
        <v>9043</v>
      </c>
      <c r="BG30" s="973">
        <f>PFNoxon2010!$G25</f>
        <v>0</v>
      </c>
    </row>
    <row r="31" spans="1:59" s="41" customFormat="1">
      <c r="A31" s="32">
        <v>14</v>
      </c>
      <c r="B31" s="34"/>
      <c r="C31" s="34" t="s">
        <v>439</v>
      </c>
      <c r="D31" s="34"/>
      <c r="E31" s="75">
        <f>ResultSumEl!G26</f>
        <v>4167</v>
      </c>
      <c r="F31" s="974">
        <f>DFITAMA!$G26</f>
        <v>0</v>
      </c>
      <c r="G31" s="710">
        <f>BldGain!$G26</f>
        <v>0</v>
      </c>
      <c r="H31" s="710">
        <f>ColstripAFUDC!$G26</f>
        <v>0</v>
      </c>
      <c r="I31" s="710">
        <f>ColstripCommon!$G26</f>
        <v>0</v>
      </c>
      <c r="J31" s="710">
        <f>'KF-BP_Summ'!$G26</f>
        <v>0</v>
      </c>
      <c r="K31" s="710">
        <f>CustAdv!$G26</f>
        <v>0</v>
      </c>
      <c r="L31" s="710">
        <f>ID_DSM_Inv!$G26</f>
        <v>0</v>
      </c>
      <c r="M31" s="710"/>
      <c r="N31" s="75">
        <f>SUM(E31:M31)</f>
        <v>4167</v>
      </c>
      <c r="O31" s="1077">
        <f>'DeprTrue-up'!$G26</f>
        <v>0</v>
      </c>
      <c r="P31" s="710">
        <f>BandO!$G26</f>
        <v>0</v>
      </c>
      <c r="Q31" s="710">
        <f>PropTax!$G26</f>
        <v>0</v>
      </c>
      <c r="R31" s="710">
        <f>UncollExp!$G26</f>
        <v>0</v>
      </c>
      <c r="S31" s="974">
        <f>RegExp!$G26</f>
        <v>0</v>
      </c>
      <c r="T31" s="710">
        <f>InjDam!$G26</f>
        <v>0</v>
      </c>
      <c r="U31" s="974">
        <f>FIT!$G26</f>
        <v>0</v>
      </c>
      <c r="V31" s="710">
        <f>ElimPowerCost!$G26</f>
        <v>0</v>
      </c>
      <c r="W31" s="710">
        <f>NezPerce!$G26</f>
        <v>0</v>
      </c>
      <c r="X31" s="1138">
        <f>ElimAR!G26</f>
        <v>0</v>
      </c>
      <c r="Y31" s="710">
        <f>ID_ClarkFork!$G26</f>
        <v>-6</v>
      </c>
      <c r="Z31" s="710">
        <f>RevNormalztn!$G26</f>
        <v>0</v>
      </c>
      <c r="AA31" s="1272">
        <f>DebtInt!$G26</f>
        <v>0</v>
      </c>
      <c r="AB31" s="1054">
        <f>MiscRestate!G26</f>
        <v>0</v>
      </c>
      <c r="AC31" s="75"/>
      <c r="AD31" s="75"/>
      <c r="AE31" s="75"/>
      <c r="AF31" s="75"/>
      <c r="AG31" s="75">
        <f>SUM(N31:AF31)</f>
        <v>4161</v>
      </c>
      <c r="AH31" s="1077">
        <f>PFPSID!$G26</f>
        <v>-4</v>
      </c>
      <c r="AI31" s="1272">
        <f>'PFProdFctr-ID'!$G26</f>
        <v>0</v>
      </c>
      <c r="AJ31" s="1077">
        <f>PFLabor!$G26</f>
        <v>-13</v>
      </c>
      <c r="AK31" s="1077">
        <f>PFExec!$G26</f>
        <v>-2</v>
      </c>
      <c r="AL31" s="1077">
        <f>PFTrans!$G26</f>
        <v>0</v>
      </c>
      <c r="AM31" s="1077">
        <f>PFCapx2008!$G26</f>
        <v>0</v>
      </c>
      <c r="AN31" s="1077">
        <f>PFCapx2009!$G26</f>
        <v>0</v>
      </c>
      <c r="AO31" s="1077">
        <f>PFAssetMgmt!$G26</f>
        <v>0</v>
      </c>
      <c r="AP31" s="1077">
        <f>PFSR_Relicense!$G26</f>
        <v>0</v>
      </c>
      <c r="AQ31" s="1077">
        <f>PFCDAtribe!$G26</f>
        <v>0</v>
      </c>
      <c r="AR31" s="1077">
        <f>PFMoLease!$G26</f>
        <v>0</v>
      </c>
      <c r="AS31" s="1077">
        <f>PFColstripEmiss!$G26</f>
        <v>0</v>
      </c>
      <c r="AT31" s="1077">
        <f>PFIncentives!$G26</f>
        <v>0</v>
      </c>
      <c r="AU31" s="710">
        <f>PFID_AMR!$G26</f>
        <v>322</v>
      </c>
      <c r="AV31" s="1077">
        <f>PFCS2!$G26</f>
        <v>0</v>
      </c>
      <c r="AW31" s="974">
        <f>PFEmpBen!$G26</f>
        <v>0</v>
      </c>
      <c r="AX31" s="974">
        <f>PFInsur!$G26</f>
        <v>0</v>
      </c>
      <c r="AY31" s="75"/>
      <c r="AZ31" s="75"/>
      <c r="BA31" s="75">
        <f>SUM(AG31:AZ31)</f>
        <v>4464</v>
      </c>
      <c r="BG31" s="974">
        <f>PFNoxon2010!$G26</f>
        <v>0</v>
      </c>
    </row>
    <row r="32" spans="1:59" s="41" customFormat="1">
      <c r="A32" s="32">
        <v>15</v>
      </c>
      <c r="B32" s="34"/>
      <c r="C32" s="34"/>
      <c r="D32" s="34" t="s">
        <v>443</v>
      </c>
      <c r="E32" s="34">
        <f t="shared" ref="E32:U32" si="12">SUM(E29:E31)</f>
        <v>21098</v>
      </c>
      <c r="F32" s="711">
        <f t="shared" si="12"/>
        <v>0</v>
      </c>
      <c r="G32" s="711">
        <f t="shared" si="12"/>
        <v>0</v>
      </c>
      <c r="H32" s="711">
        <f t="shared" si="12"/>
        <v>0</v>
      </c>
      <c r="I32" s="711">
        <f t="shared" si="12"/>
        <v>0</v>
      </c>
      <c r="J32" s="711">
        <f t="shared" si="12"/>
        <v>0</v>
      </c>
      <c r="K32" s="711">
        <f t="shared" si="12"/>
        <v>0</v>
      </c>
      <c r="L32" s="711">
        <f t="shared" si="12"/>
        <v>0</v>
      </c>
      <c r="M32" s="711"/>
      <c r="N32" s="34">
        <f t="shared" si="12"/>
        <v>21098</v>
      </c>
      <c r="O32" s="1078">
        <f>SUM(O29:O31)</f>
        <v>0</v>
      </c>
      <c r="P32" s="711">
        <f t="shared" si="12"/>
        <v>0</v>
      </c>
      <c r="Q32" s="711">
        <f t="shared" si="12"/>
        <v>0</v>
      </c>
      <c r="R32" s="711">
        <f t="shared" si="12"/>
        <v>0</v>
      </c>
      <c r="S32" s="711">
        <f t="shared" si="12"/>
        <v>0</v>
      </c>
      <c r="T32" s="711">
        <f t="shared" si="12"/>
        <v>0</v>
      </c>
      <c r="U32" s="711">
        <f t="shared" si="12"/>
        <v>0</v>
      </c>
      <c r="V32" s="711">
        <f t="shared" ref="V32:AB32" si="13">SUM(V29:V31)</f>
        <v>0</v>
      </c>
      <c r="W32" s="711">
        <f t="shared" si="13"/>
        <v>0</v>
      </c>
      <c r="X32" s="1078">
        <f t="shared" si="13"/>
        <v>0</v>
      </c>
      <c r="Y32" s="711">
        <f t="shared" si="13"/>
        <v>-6</v>
      </c>
      <c r="Z32" s="711">
        <f t="shared" si="13"/>
        <v>0</v>
      </c>
      <c r="AA32" s="1273">
        <f>SUM(AA29:AA31)</f>
        <v>0</v>
      </c>
      <c r="AB32" s="975">
        <f t="shared" si="13"/>
        <v>0</v>
      </c>
      <c r="AC32" s="34"/>
      <c r="AD32" s="34"/>
      <c r="AE32" s="34"/>
      <c r="AF32" s="34"/>
      <c r="AG32" s="34">
        <f>SUM(AG29:AG31)</f>
        <v>21092</v>
      </c>
      <c r="AH32" s="1078">
        <f t="shared" ref="AH32:AN32" si="14">SUM(AH29:AH31)</f>
        <v>-4</v>
      </c>
      <c r="AI32" s="1273">
        <f t="shared" si="14"/>
        <v>0</v>
      </c>
      <c r="AJ32" s="1078">
        <f t="shared" si="14"/>
        <v>281</v>
      </c>
      <c r="AK32" s="1078">
        <f t="shared" si="14"/>
        <v>-2</v>
      </c>
      <c r="AL32" s="1078">
        <f t="shared" si="14"/>
        <v>0</v>
      </c>
      <c r="AM32" s="1078">
        <f t="shared" si="14"/>
        <v>0</v>
      </c>
      <c r="AN32" s="1078">
        <f t="shared" si="14"/>
        <v>0</v>
      </c>
      <c r="AO32" s="1078">
        <f t="shared" ref="AO32:AZ32" si="15">SUM(AO29:AO31)</f>
        <v>0</v>
      </c>
      <c r="AP32" s="1078">
        <f t="shared" si="15"/>
        <v>0</v>
      </c>
      <c r="AQ32" s="1078">
        <f t="shared" si="15"/>
        <v>0</v>
      </c>
      <c r="AR32" s="1078">
        <f t="shared" si="15"/>
        <v>0</v>
      </c>
      <c r="AS32" s="1078">
        <f>SUM(AS29:AS31)</f>
        <v>0</v>
      </c>
      <c r="AT32" s="1078">
        <f t="shared" si="15"/>
        <v>0</v>
      </c>
      <c r="AU32" s="711">
        <f>SUM(AU29:AU31)</f>
        <v>1014</v>
      </c>
      <c r="AV32" s="1078">
        <f t="shared" si="15"/>
        <v>0</v>
      </c>
      <c r="AW32" s="975">
        <f t="shared" si="15"/>
        <v>0</v>
      </c>
      <c r="AX32" s="975">
        <f t="shared" si="15"/>
        <v>0</v>
      </c>
      <c r="AY32" s="34">
        <f t="shared" si="15"/>
        <v>0</v>
      </c>
      <c r="AZ32" s="34">
        <f t="shared" si="15"/>
        <v>0</v>
      </c>
      <c r="BA32" s="34">
        <f>SUM(AG32:AZ32)</f>
        <v>22381</v>
      </c>
      <c r="BG32" s="975">
        <f>SUM(BG29:BG31)</f>
        <v>0</v>
      </c>
    </row>
    <row r="33" spans="1:59" s="41" customFormat="1">
      <c r="A33" s="32"/>
      <c r="B33" s="34"/>
      <c r="C33" s="34"/>
      <c r="D33" s="34"/>
      <c r="E33" s="74"/>
      <c r="F33" s="973"/>
      <c r="G33" s="709"/>
      <c r="H33" s="709"/>
      <c r="I33" s="709"/>
      <c r="J33" s="709"/>
      <c r="K33" s="709"/>
      <c r="L33" s="709"/>
      <c r="M33" s="709"/>
      <c r="N33" s="74"/>
      <c r="O33" s="1076"/>
      <c r="P33" s="709"/>
      <c r="Q33" s="973"/>
      <c r="R33" s="973"/>
      <c r="S33" s="973"/>
      <c r="T33" s="709"/>
      <c r="U33" s="973"/>
      <c r="V33" s="709"/>
      <c r="W33" s="709"/>
      <c r="X33" s="1076"/>
      <c r="Y33" s="709"/>
      <c r="Z33" s="709"/>
      <c r="AA33" s="1271"/>
      <c r="AB33" s="973"/>
      <c r="AC33" s="74"/>
      <c r="AD33" s="74"/>
      <c r="AE33" s="74"/>
      <c r="AF33" s="74"/>
      <c r="AG33" s="74"/>
      <c r="AH33" s="1076"/>
      <c r="AI33" s="1271"/>
      <c r="AJ33" s="1076"/>
      <c r="AK33" s="1076"/>
      <c r="AL33" s="1076"/>
      <c r="AM33" s="1076"/>
      <c r="AN33" s="1076"/>
      <c r="AO33" s="1076"/>
      <c r="AP33" s="1076"/>
      <c r="AQ33" s="1076"/>
      <c r="AR33" s="1076"/>
      <c r="AS33" s="1076"/>
      <c r="AT33" s="1076"/>
      <c r="AU33" s="709"/>
      <c r="AV33" s="1076"/>
      <c r="AW33" s="973"/>
      <c r="AX33" s="973"/>
      <c r="AY33" s="74"/>
      <c r="AZ33" s="74"/>
      <c r="BA33" s="74"/>
      <c r="BG33" s="973"/>
    </row>
    <row r="34" spans="1:59" s="41" customFormat="1">
      <c r="A34" s="32">
        <v>16</v>
      </c>
      <c r="B34" s="34" t="s">
        <v>444</v>
      </c>
      <c r="C34" s="34"/>
      <c r="D34" s="34"/>
      <c r="E34" s="74">
        <f>ResultSumEl!G29</f>
        <v>3643</v>
      </c>
      <c r="F34" s="973">
        <f>DFITAMA!$G29</f>
        <v>0</v>
      </c>
      <c r="G34" s="709">
        <f>BldGain!$G29</f>
        <v>0</v>
      </c>
      <c r="H34" s="709">
        <f>ColstripAFUDC!$G29</f>
        <v>0</v>
      </c>
      <c r="I34" s="709">
        <f>ColstripCommon!$G29</f>
        <v>0</v>
      </c>
      <c r="J34" s="709">
        <f>'KF-BP_Summ'!$G29</f>
        <v>0</v>
      </c>
      <c r="K34" s="709">
        <f>CustAdv!$G29</f>
        <v>0</v>
      </c>
      <c r="L34" s="709">
        <f>ID_DSM_Inv!$G29</f>
        <v>0</v>
      </c>
      <c r="M34" s="709"/>
      <c r="N34" s="74">
        <f>SUM(E34:M34)</f>
        <v>3643</v>
      </c>
      <c r="O34" s="1076">
        <f>'DeprTrue-up'!$G29</f>
        <v>0</v>
      </c>
      <c r="P34" s="709">
        <f>BandO!$G29</f>
        <v>0</v>
      </c>
      <c r="Q34" s="973">
        <f>PropTax!$G29</f>
        <v>0</v>
      </c>
      <c r="R34" s="709">
        <f>UncollExp!$G29</f>
        <v>0</v>
      </c>
      <c r="S34" s="973">
        <f>RegExp!$G29</f>
        <v>0</v>
      </c>
      <c r="T34" s="709">
        <f>InjDam!$G29</f>
        <v>0</v>
      </c>
      <c r="U34" s="973">
        <f>FIT!$G29</f>
        <v>0</v>
      </c>
      <c r="V34" s="709">
        <f>ElimPowerCost!$G29</f>
        <v>0</v>
      </c>
      <c r="W34" s="709">
        <f>NezPerce!$G29</f>
        <v>0</v>
      </c>
      <c r="X34" s="1075">
        <f>ElimAR!G29</f>
        <v>0</v>
      </c>
      <c r="Y34" s="709">
        <f>ID_ClarkFork!$G29</f>
        <v>0</v>
      </c>
      <c r="Z34" s="709">
        <f>RevNormalztn!$G29</f>
        <v>0</v>
      </c>
      <c r="AA34" s="1271">
        <f>DebtInt!$G29</f>
        <v>0</v>
      </c>
      <c r="AB34" s="972">
        <f>MiscRestate!G29</f>
        <v>0</v>
      </c>
      <c r="AC34" s="74"/>
      <c r="AD34" s="74"/>
      <c r="AE34" s="74"/>
      <c r="AF34" s="74"/>
      <c r="AG34" s="74">
        <f>SUM(N34:AF34)</f>
        <v>3643</v>
      </c>
      <c r="AH34" s="1076">
        <f>PFPSID!$G29</f>
        <v>0</v>
      </c>
      <c r="AI34" s="1271">
        <f>'PFProdFctr-ID'!$G29</f>
        <v>0</v>
      </c>
      <c r="AJ34" s="1076">
        <f>PFLabor!$G29</f>
        <v>93</v>
      </c>
      <c r="AK34" s="1076">
        <f>PFExec!$G29</f>
        <v>0</v>
      </c>
      <c r="AL34" s="1076">
        <f>PFTrans!$G29</f>
        <v>0</v>
      </c>
      <c r="AM34" s="1076">
        <f>PFCapx2008!$G29</f>
        <v>0</v>
      </c>
      <c r="AN34" s="1076">
        <f>PFCapx2009!$G29</f>
        <v>0</v>
      </c>
      <c r="AO34" s="1076">
        <f>PFAssetMgmt!$G29</f>
        <v>0</v>
      </c>
      <c r="AP34" s="1076">
        <f>PFSR_Relicense!$G29</f>
        <v>0</v>
      </c>
      <c r="AQ34" s="1076">
        <f>PFCDAtribe!$G29</f>
        <v>0</v>
      </c>
      <c r="AR34" s="1076">
        <f>PFMoLease!$G29</f>
        <v>0</v>
      </c>
      <c r="AS34" s="1076">
        <f>PFColstripEmiss!$G29</f>
        <v>0</v>
      </c>
      <c r="AT34" s="1076">
        <f>PFIncentives!$G29</f>
        <v>0</v>
      </c>
      <c r="AU34" s="709">
        <f>PFID_AMR!$G29</f>
        <v>0</v>
      </c>
      <c r="AV34" s="1076">
        <f>PFCS2!$G29</f>
        <v>0</v>
      </c>
      <c r="AW34" s="973">
        <f>PFEmpBen!$G29</f>
        <v>0</v>
      </c>
      <c r="AX34" s="973">
        <f>PFInsur!$G29</f>
        <v>0</v>
      </c>
      <c r="AY34" s="74"/>
      <c r="AZ34" s="74"/>
      <c r="BA34" s="74">
        <f>SUM(AG34:AZ34)</f>
        <v>3736</v>
      </c>
      <c r="BB34" s="34"/>
      <c r="BG34" s="973">
        <f>PFNoxon2010!$G29</f>
        <v>0</v>
      </c>
    </row>
    <row r="35" spans="1:59" s="41" customFormat="1">
      <c r="A35" s="32">
        <v>17</v>
      </c>
      <c r="B35" s="34" t="s">
        <v>445</v>
      </c>
      <c r="C35" s="34"/>
      <c r="D35" s="34"/>
      <c r="E35" s="74">
        <f>ResultSumEl!G30</f>
        <v>3960</v>
      </c>
      <c r="F35" s="973">
        <f>DFITAMA!$G30</f>
        <v>0</v>
      </c>
      <c r="G35" s="709">
        <f>BldGain!$G30</f>
        <v>0</v>
      </c>
      <c r="H35" s="709">
        <f>ColstripAFUDC!$G30</f>
        <v>0</v>
      </c>
      <c r="I35" s="709">
        <f>ColstripCommon!$G30</f>
        <v>0</v>
      </c>
      <c r="J35" s="709">
        <f>'KF-BP_Summ'!$G30</f>
        <v>0</v>
      </c>
      <c r="K35" s="709">
        <f>CustAdv!$G30</f>
        <v>0</v>
      </c>
      <c r="L35" s="709">
        <f>ID_DSM_Inv!$G30</f>
        <v>0</v>
      </c>
      <c r="M35" s="709"/>
      <c r="N35" s="74">
        <f>SUM(E35:M35)</f>
        <v>3960</v>
      </c>
      <c r="O35" s="1076">
        <f>'DeprTrue-up'!$G30</f>
        <v>0</v>
      </c>
      <c r="P35" s="709">
        <f>BandO!$G30</f>
        <v>0</v>
      </c>
      <c r="Q35" s="973">
        <f>PropTax!$G30</f>
        <v>0</v>
      </c>
      <c r="R35" s="973">
        <f>UncollExp!$G30</f>
        <v>0</v>
      </c>
      <c r="S35" s="973">
        <f>RegExp!$G30</f>
        <v>0</v>
      </c>
      <c r="T35" s="709">
        <f>InjDam!$G30</f>
        <v>0</v>
      </c>
      <c r="U35" s="973">
        <f>FIT!$G30</f>
        <v>0</v>
      </c>
      <c r="V35" s="709">
        <f>ElimPowerCost!$G30</f>
        <v>0</v>
      </c>
      <c r="W35" s="709">
        <f>NezPerce!$G30</f>
        <v>0</v>
      </c>
      <c r="X35" s="1075">
        <f>ElimAR!G30</f>
        <v>0</v>
      </c>
      <c r="Y35" s="709">
        <f>ID_ClarkFork!$G30</f>
        <v>0</v>
      </c>
      <c r="Z35" s="709">
        <f>RevNormalztn!$G30</f>
        <v>0</v>
      </c>
      <c r="AA35" s="1271">
        <f>DebtInt!$G30</f>
        <v>0</v>
      </c>
      <c r="AB35" s="972">
        <f>MiscRestate!G30</f>
        <v>0</v>
      </c>
      <c r="AC35" s="74"/>
      <c r="AD35" s="74"/>
      <c r="AE35" s="74"/>
      <c r="AF35" s="74"/>
      <c r="AG35" s="74">
        <f>SUM(N35:AF35)</f>
        <v>3960</v>
      </c>
      <c r="AH35" s="1076">
        <f>PFPSID!$G30</f>
        <v>0</v>
      </c>
      <c r="AI35" s="1271">
        <f>'PFProdFctr-ID'!$G30</f>
        <v>0</v>
      </c>
      <c r="AJ35" s="1076">
        <f>PFLabor!$G30</f>
        <v>7</v>
      </c>
      <c r="AK35" s="1076">
        <f>PFExec!$G30</f>
        <v>0</v>
      </c>
      <c r="AL35" s="1076">
        <f>PFTrans!$G30</f>
        <v>0</v>
      </c>
      <c r="AM35" s="1076">
        <f>PFCapx2008!$G30</f>
        <v>0</v>
      </c>
      <c r="AN35" s="1076">
        <f>PFCapx2009!$G30</f>
        <v>0</v>
      </c>
      <c r="AO35" s="1076">
        <f>PFAssetMgmt!$G30</f>
        <v>0</v>
      </c>
      <c r="AP35" s="1076">
        <f>PFSR_Relicense!$G30</f>
        <v>0</v>
      </c>
      <c r="AQ35" s="1076">
        <f>PFCDAtribe!$G30</f>
        <v>0</v>
      </c>
      <c r="AR35" s="1076">
        <f>PFMoLease!$G30</f>
        <v>0</v>
      </c>
      <c r="AS35" s="1076">
        <f>PFColstripEmiss!$G30</f>
        <v>0</v>
      </c>
      <c r="AT35" s="1076">
        <f>PFIncentives!$G30</f>
        <v>0</v>
      </c>
      <c r="AU35" s="709">
        <f>PFID_AMR!$G30</f>
        <v>0</v>
      </c>
      <c r="AV35" s="1076">
        <f>PFCS2!$G30</f>
        <v>0</v>
      </c>
      <c r="AW35" s="973">
        <f>PFEmpBen!$G30</f>
        <v>0</v>
      </c>
      <c r="AX35" s="973">
        <f>PFInsur!$G30</f>
        <v>0</v>
      </c>
      <c r="AY35" s="74"/>
      <c r="AZ35" s="74"/>
      <c r="BA35" s="74">
        <f>SUM(AG35:AZ35)</f>
        <v>3967</v>
      </c>
      <c r="BB35" s="34"/>
      <c r="BG35" s="973">
        <f>PFNoxon2010!$G30</f>
        <v>0</v>
      </c>
    </row>
    <row r="36" spans="1:59" s="41" customFormat="1">
      <c r="A36" s="32">
        <v>18</v>
      </c>
      <c r="B36" s="34" t="s">
        <v>446</v>
      </c>
      <c r="C36" s="34"/>
      <c r="D36" s="34"/>
      <c r="E36" s="74">
        <f>ResultSumEl!G31</f>
        <v>261</v>
      </c>
      <c r="F36" s="973">
        <f>DFITAMA!$G31</f>
        <v>0</v>
      </c>
      <c r="G36" s="709">
        <f>BldGain!$G31</f>
        <v>0</v>
      </c>
      <c r="H36" s="709">
        <f>ColstripAFUDC!$G31</f>
        <v>0</v>
      </c>
      <c r="I36" s="709">
        <f>ColstripCommon!$G31</f>
        <v>0</v>
      </c>
      <c r="J36" s="709">
        <f>'KF-BP_Summ'!$G31</f>
        <v>0</v>
      </c>
      <c r="K36" s="709">
        <f>CustAdv!$G31</f>
        <v>0</v>
      </c>
      <c r="L36" s="709">
        <f>ID_DSM_Inv!$G31</f>
        <v>0</v>
      </c>
      <c r="M36" s="709"/>
      <c r="N36" s="74">
        <f>SUM(E36:M36)</f>
        <v>261</v>
      </c>
      <c r="O36" s="1076">
        <f>'DeprTrue-up'!$G31</f>
        <v>0</v>
      </c>
      <c r="P36" s="709">
        <f>BandO!$G31</f>
        <v>0</v>
      </c>
      <c r="Q36" s="973">
        <f>PropTax!$G31</f>
        <v>0</v>
      </c>
      <c r="R36" s="973">
        <f>UncollExp!$G31</f>
        <v>0</v>
      </c>
      <c r="S36" s="973">
        <f>RegExp!$G31</f>
        <v>0</v>
      </c>
      <c r="T36" s="709">
        <f>InjDam!$G31</f>
        <v>0</v>
      </c>
      <c r="U36" s="973">
        <f>FIT!$G31</f>
        <v>0</v>
      </c>
      <c r="V36" s="709">
        <f>ElimPowerCost!$G31</f>
        <v>0</v>
      </c>
      <c r="W36" s="709">
        <f>NezPerce!$G31</f>
        <v>0</v>
      </c>
      <c r="X36" s="1075">
        <f>ElimAR!G31</f>
        <v>0</v>
      </c>
      <c r="Y36" s="709">
        <f>ID_ClarkFork!$G31</f>
        <v>0</v>
      </c>
      <c r="Z36" s="709">
        <f>RevNormalztn!$G31</f>
        <v>0</v>
      </c>
      <c r="AA36" s="1271">
        <f>DebtInt!$G31</f>
        <v>0</v>
      </c>
      <c r="AB36" s="972">
        <f>MiscRestate!G31</f>
        <v>0</v>
      </c>
      <c r="AC36" s="74"/>
      <c r="AD36" s="74"/>
      <c r="AE36" s="74"/>
      <c r="AF36" s="74"/>
      <c r="AG36" s="74">
        <f>SUM(N36:AF36)</f>
        <v>261</v>
      </c>
      <c r="AH36" s="1076">
        <f>PFPSID!$G31</f>
        <v>0</v>
      </c>
      <c r="AI36" s="1271">
        <f>'PFProdFctr-ID'!$G31</f>
        <v>0</v>
      </c>
      <c r="AJ36" s="1076">
        <f>PFLabor!$G31</f>
        <v>7</v>
      </c>
      <c r="AK36" s="1076">
        <f>PFExec!$G31</f>
        <v>0</v>
      </c>
      <c r="AL36" s="1076">
        <f>PFTrans!$G31</f>
        <v>0</v>
      </c>
      <c r="AM36" s="1076">
        <f>PFCapx2008!$G31</f>
        <v>0</v>
      </c>
      <c r="AN36" s="1076">
        <f>PFCapx2009!$G31</f>
        <v>0</v>
      </c>
      <c r="AO36" s="1076">
        <f>PFAssetMgmt!$G31</f>
        <v>0</v>
      </c>
      <c r="AP36" s="1076">
        <f>PFSR_Relicense!$G31</f>
        <v>0</v>
      </c>
      <c r="AQ36" s="1076">
        <f>PFCDAtribe!$G31</f>
        <v>0</v>
      </c>
      <c r="AR36" s="1076">
        <f>PFMoLease!$G31</f>
        <v>0</v>
      </c>
      <c r="AS36" s="1076">
        <f>PFColstripEmiss!$G31</f>
        <v>0</v>
      </c>
      <c r="AT36" s="1076">
        <f>PFIncentives!$G31</f>
        <v>0</v>
      </c>
      <c r="AU36" s="709">
        <f>PFID_AMR!$G31</f>
        <v>0</v>
      </c>
      <c r="AV36" s="1076">
        <f>PFCS2!$G31</f>
        <v>0</v>
      </c>
      <c r="AW36" s="973">
        <f>PFEmpBen!$G31</f>
        <v>0</v>
      </c>
      <c r="AX36" s="973">
        <f>PFInsur!$G31</f>
        <v>0</v>
      </c>
      <c r="AY36" s="74"/>
      <c r="AZ36" s="74"/>
      <c r="BA36" s="74">
        <f>SUM(AG36:AZ36)</f>
        <v>268</v>
      </c>
      <c r="BB36" s="34"/>
      <c r="BG36" s="973">
        <f>PFNoxon2010!$G31</f>
        <v>0</v>
      </c>
    </row>
    <row r="37" spans="1:59" s="41" customFormat="1">
      <c r="A37" s="34"/>
      <c r="B37" s="34"/>
      <c r="C37" s="34"/>
      <c r="D37" s="34"/>
      <c r="E37" s="74"/>
      <c r="F37" s="973">
        <f>DFITAMA!$G32</f>
        <v>0</v>
      </c>
      <c r="G37" s="709">
        <f>BldGain!$G32</f>
        <v>0</v>
      </c>
      <c r="H37" s="709">
        <f>ColstripAFUDC!$G32</f>
        <v>0</v>
      </c>
      <c r="I37" s="709">
        <f>ColstripCommon!$G32</f>
        <v>0</v>
      </c>
      <c r="J37" s="709">
        <f>'KF-BP_Summ'!$G32</f>
        <v>0</v>
      </c>
      <c r="K37" s="709">
        <f>CustAdv!$G32</f>
        <v>0</v>
      </c>
      <c r="L37" s="709">
        <f>ID_DSM_Inv!$G32</f>
        <v>0</v>
      </c>
      <c r="M37" s="709"/>
      <c r="N37" s="74"/>
      <c r="O37" s="1076">
        <f>'DeprTrue-up'!$G32</f>
        <v>0</v>
      </c>
      <c r="P37" s="709">
        <f>BandO!$G32</f>
        <v>0</v>
      </c>
      <c r="Q37" s="973">
        <f>PropTax!$G32</f>
        <v>0</v>
      </c>
      <c r="R37" s="973">
        <f>UncollExp!$G32</f>
        <v>0</v>
      </c>
      <c r="S37" s="973">
        <f>RegExp!$G32</f>
        <v>0</v>
      </c>
      <c r="T37" s="709">
        <f>InjDam!$G32</f>
        <v>0</v>
      </c>
      <c r="U37" s="973">
        <f>FIT!$G32</f>
        <v>0</v>
      </c>
      <c r="V37" s="709">
        <f>ElimPowerCost!$G32</f>
        <v>0</v>
      </c>
      <c r="W37" s="709">
        <f>NezPerce!$G32</f>
        <v>0</v>
      </c>
      <c r="X37" s="1075">
        <f>ElimAR!G32</f>
        <v>0</v>
      </c>
      <c r="Y37" s="709">
        <f>ID_ClarkFork!$G32</f>
        <v>0</v>
      </c>
      <c r="Z37" s="709">
        <f>RevNormalztn!$G32</f>
        <v>0</v>
      </c>
      <c r="AA37" s="1271">
        <f>DebtInt!$G32</f>
        <v>0</v>
      </c>
      <c r="AB37" s="972">
        <f>MiscRestate!G32</f>
        <v>0</v>
      </c>
      <c r="AC37" s="74"/>
      <c r="AD37" s="74"/>
      <c r="AE37" s="74"/>
      <c r="AF37" s="74"/>
      <c r="AG37" s="74"/>
      <c r="AH37" s="1076">
        <f>PFPSID!$G32</f>
        <v>0</v>
      </c>
      <c r="AI37" s="1271">
        <f>'PFProdFctr-ID'!$G32</f>
        <v>0</v>
      </c>
      <c r="AJ37" s="1076">
        <f>PFLabor!$G32</f>
        <v>0</v>
      </c>
      <c r="AK37" s="1076">
        <f>PFExec!$G32</f>
        <v>0</v>
      </c>
      <c r="AL37" s="1076">
        <f>PFTrans!$G32</f>
        <v>0</v>
      </c>
      <c r="AM37" s="1076">
        <f>PFCapx2008!$G32</f>
        <v>0</v>
      </c>
      <c r="AN37" s="1076">
        <f>PFCapx2009!$G32</f>
        <v>0</v>
      </c>
      <c r="AO37" s="1076">
        <f>PFAssetMgmt!$G32</f>
        <v>0</v>
      </c>
      <c r="AP37" s="1076">
        <f>PFSR_Relicense!$G32</f>
        <v>0</v>
      </c>
      <c r="AQ37" s="1076">
        <f>PFCDAtribe!$G32</f>
        <v>0</v>
      </c>
      <c r="AR37" s="1076">
        <f>PFMoLease!$G32</f>
        <v>0</v>
      </c>
      <c r="AS37" s="1076">
        <f>PFColstripEmiss!$G32</f>
        <v>0</v>
      </c>
      <c r="AT37" s="1076">
        <f>PFIncentives!$G32</f>
        <v>0</v>
      </c>
      <c r="AU37" s="709">
        <f>PFID_AMR!$G32</f>
        <v>0</v>
      </c>
      <c r="AV37" s="1076">
        <f>PFCS2!$G32</f>
        <v>0</v>
      </c>
      <c r="AW37" s="973">
        <f>PFEmpBen!$G32</f>
        <v>0</v>
      </c>
      <c r="AX37" s="973">
        <f>PFInsur!$G32</f>
        <v>0</v>
      </c>
      <c r="AY37" s="74"/>
      <c r="AZ37" s="74"/>
      <c r="BA37" s="74"/>
      <c r="BB37" s="34"/>
      <c r="BG37" s="973">
        <f>PFNoxon2010!$G32</f>
        <v>0</v>
      </c>
    </row>
    <row r="38" spans="1:59" s="41" customFormat="1">
      <c r="A38" s="32"/>
      <c r="B38" s="34" t="s">
        <v>447</v>
      </c>
      <c r="C38" s="34"/>
      <c r="D38" s="34"/>
      <c r="E38" s="74"/>
      <c r="F38" s="973">
        <f>DFITAMA!$G33</f>
        <v>0</v>
      </c>
      <c r="G38" s="709">
        <f>BldGain!$G33</f>
        <v>0</v>
      </c>
      <c r="H38" s="709">
        <f>ColstripAFUDC!$G33</f>
        <v>0</v>
      </c>
      <c r="I38" s="709">
        <f>ColstripCommon!$G33</f>
        <v>0</v>
      </c>
      <c r="J38" s="709">
        <f>'KF-BP_Summ'!$G33</f>
        <v>0</v>
      </c>
      <c r="K38" s="709">
        <f>CustAdv!$G33</f>
        <v>0</v>
      </c>
      <c r="L38" s="709">
        <f>ID_DSM_Inv!$G33</f>
        <v>0</v>
      </c>
      <c r="M38" s="709"/>
      <c r="N38" s="74"/>
      <c r="O38" s="1076">
        <f>'DeprTrue-up'!$G33</f>
        <v>0</v>
      </c>
      <c r="P38" s="709">
        <f>BandO!$G33</f>
        <v>0</v>
      </c>
      <c r="Q38" s="973">
        <f>PropTax!$G33</f>
        <v>0</v>
      </c>
      <c r="R38" s="973">
        <f>UncollExp!$G33</f>
        <v>0</v>
      </c>
      <c r="S38" s="973">
        <f>RegExp!$G33</f>
        <v>0</v>
      </c>
      <c r="T38" s="709">
        <f>InjDam!$G33</f>
        <v>0</v>
      </c>
      <c r="U38" s="973">
        <f>FIT!$G33</f>
        <v>0</v>
      </c>
      <c r="V38" s="709">
        <f>ElimPowerCost!$G33</f>
        <v>0</v>
      </c>
      <c r="W38" s="709">
        <f>NezPerce!$G33</f>
        <v>0</v>
      </c>
      <c r="X38" s="1075">
        <f>ElimAR!G33</f>
        <v>0</v>
      </c>
      <c r="Y38" s="709">
        <f>ID_ClarkFork!$G33</f>
        <v>0</v>
      </c>
      <c r="Z38" s="709">
        <f>RevNormalztn!$G33</f>
        <v>0</v>
      </c>
      <c r="AA38" s="1271">
        <f>DebtInt!$G33</f>
        <v>0</v>
      </c>
      <c r="AB38" s="972">
        <f>MiscRestate!G33</f>
        <v>0</v>
      </c>
      <c r="AC38" s="74"/>
      <c r="AD38" s="74"/>
      <c r="AE38" s="74"/>
      <c r="AF38" s="74"/>
      <c r="AG38" s="74"/>
      <c r="AH38" s="1076">
        <f>PFPSID!$G33</f>
        <v>0</v>
      </c>
      <c r="AI38" s="1271">
        <f>'PFProdFctr-ID'!$G33</f>
        <v>0</v>
      </c>
      <c r="AJ38" s="1076">
        <f>PFLabor!$G33</f>
        <v>0</v>
      </c>
      <c r="AK38" s="1076">
        <f>PFExec!$G33</f>
        <v>0</v>
      </c>
      <c r="AL38" s="1076">
        <f>PFTrans!$G33</f>
        <v>0</v>
      </c>
      <c r="AM38" s="1076">
        <f>PFCapx2008!$G33</f>
        <v>0</v>
      </c>
      <c r="AN38" s="1076">
        <f>PFCapx2009!$G33</f>
        <v>0</v>
      </c>
      <c r="AO38" s="1076">
        <f>PFAssetMgmt!$G33</f>
        <v>0</v>
      </c>
      <c r="AP38" s="1076">
        <f>PFSR_Relicense!$G33</f>
        <v>0</v>
      </c>
      <c r="AQ38" s="1076">
        <f>PFCDAtribe!$G33</f>
        <v>0</v>
      </c>
      <c r="AR38" s="1076">
        <f>PFMoLease!$G33</f>
        <v>0</v>
      </c>
      <c r="AS38" s="1076">
        <f>PFColstripEmiss!$G33</f>
        <v>0</v>
      </c>
      <c r="AT38" s="1076">
        <f>PFIncentives!$G33</f>
        <v>0</v>
      </c>
      <c r="AU38" s="709">
        <f>PFID_AMR!$G33</f>
        <v>0</v>
      </c>
      <c r="AV38" s="1076">
        <f>PFCS2!$G33</f>
        <v>0</v>
      </c>
      <c r="AW38" s="973">
        <f>PFEmpBen!$G33</f>
        <v>0</v>
      </c>
      <c r="AX38" s="973">
        <f>PFInsur!$G33</f>
        <v>0</v>
      </c>
      <c r="AY38" s="74"/>
      <c r="AZ38" s="74"/>
      <c r="BA38" s="74"/>
      <c r="BB38" s="34"/>
      <c r="BG38" s="973">
        <f>PFNoxon2010!$G33</f>
        <v>0</v>
      </c>
    </row>
    <row r="39" spans="1:59" s="41" customFormat="1">
      <c r="A39" s="32">
        <v>19</v>
      </c>
      <c r="B39" s="34"/>
      <c r="C39" s="34" t="s">
        <v>436</v>
      </c>
      <c r="D39" s="34"/>
      <c r="E39" s="74">
        <f>ResultSumEl!G34</f>
        <v>19261</v>
      </c>
      <c r="F39" s="973">
        <f>DFITAMA!$G34</f>
        <v>0</v>
      </c>
      <c r="G39" s="709">
        <f>BldGain!$G34</f>
        <v>0</v>
      </c>
      <c r="H39" s="709">
        <f>ColstripAFUDC!$G34</f>
        <v>0</v>
      </c>
      <c r="I39" s="709">
        <f>ColstripCommon!$G34</f>
        <v>0</v>
      </c>
      <c r="J39" s="709">
        <f>'KF-BP_Summ'!$G34</f>
        <v>0</v>
      </c>
      <c r="K39" s="709">
        <f>CustAdv!$G34</f>
        <v>0</v>
      </c>
      <c r="L39" s="709">
        <f>ID_DSM_Inv!$G34</f>
        <v>0</v>
      </c>
      <c r="M39" s="709"/>
      <c r="N39" s="74">
        <f>SUM(E39:M39)</f>
        <v>19261</v>
      </c>
      <c r="O39" s="1076">
        <f>'DeprTrue-up'!$G34</f>
        <v>0</v>
      </c>
      <c r="P39" s="709">
        <f>BandO!$G34</f>
        <v>0</v>
      </c>
      <c r="Q39" s="973">
        <f>PropTax!$G34</f>
        <v>0</v>
      </c>
      <c r="R39" s="973">
        <f>UncollExp!$G34</f>
        <v>0</v>
      </c>
      <c r="S39" s="709">
        <f>RegExp!$G34</f>
        <v>0</v>
      </c>
      <c r="T39" s="709">
        <f>InjDam!$G34</f>
        <v>0</v>
      </c>
      <c r="U39" s="973">
        <f>FIT!$G34</f>
        <v>0</v>
      </c>
      <c r="V39" s="709">
        <f>ElimPowerCost!$G34</f>
        <v>0</v>
      </c>
      <c r="W39" s="709">
        <f>NezPerce!$G34</f>
        <v>0</v>
      </c>
      <c r="X39" s="1075">
        <f>ElimAR!G34</f>
        <v>0</v>
      </c>
      <c r="Y39" s="709">
        <f>ID_ClarkFork!$G34</f>
        <v>0</v>
      </c>
      <c r="Z39" s="709">
        <f>RevNormalztn!$G34</f>
        <v>0</v>
      </c>
      <c r="AA39" s="1271">
        <f>DebtInt!$G34</f>
        <v>0</v>
      </c>
      <c r="AB39" s="972">
        <f>MiscRestate!G34</f>
        <v>0</v>
      </c>
      <c r="AC39" s="74"/>
      <c r="AD39" s="74"/>
      <c r="AE39" s="74"/>
      <c r="AF39" s="74"/>
      <c r="AG39" s="74">
        <f>SUM(N39:AF39)</f>
        <v>19261</v>
      </c>
      <c r="AH39" s="1076">
        <f>PFPSID!$G34</f>
        <v>0</v>
      </c>
      <c r="AI39" s="1271">
        <f>'PFProdFctr-ID'!$G34</f>
        <v>0</v>
      </c>
      <c r="AJ39" s="1076">
        <f>PFLabor!$G34</f>
        <v>279</v>
      </c>
      <c r="AK39" s="1076">
        <f>PFExec!$G34</f>
        <v>124</v>
      </c>
      <c r="AL39" s="1076">
        <f>PFTrans!$G34</f>
        <v>0</v>
      </c>
      <c r="AM39" s="1076">
        <f>PFCapx2008!$G34</f>
        <v>0</v>
      </c>
      <c r="AN39" s="1076">
        <f>PFCapx2009!$G34</f>
        <v>0</v>
      </c>
      <c r="AO39" s="1076">
        <f>PFAssetMgmt!$G34</f>
        <v>0</v>
      </c>
      <c r="AP39" s="1076">
        <f>PFSR_Relicense!$G34</f>
        <v>0</v>
      </c>
      <c r="AQ39" s="1076">
        <f>PFCDAtribe!$G34</f>
        <v>0</v>
      </c>
      <c r="AR39" s="1076">
        <f>PFMoLease!$G34</f>
        <v>0</v>
      </c>
      <c r="AS39" s="1076">
        <f>PFColstripEmiss!$G34</f>
        <v>0</v>
      </c>
      <c r="AT39" s="1076">
        <f>PFIncentives!$G34</f>
        <v>0</v>
      </c>
      <c r="AU39" s="709">
        <f>PFID_AMR!$G34</f>
        <v>0</v>
      </c>
      <c r="AV39" s="1076">
        <f>PFCS2!$G34</f>
        <v>0</v>
      </c>
      <c r="AW39" s="973">
        <f>PFEmpBen!$G34</f>
        <v>0</v>
      </c>
      <c r="AX39" s="973">
        <f>PFInsur!$G34</f>
        <v>0</v>
      </c>
      <c r="AY39" s="74"/>
      <c r="AZ39" s="74"/>
      <c r="BA39" s="74">
        <f>SUM(AG39:AZ39)</f>
        <v>19664</v>
      </c>
      <c r="BB39" s="34"/>
      <c r="BG39" s="973">
        <f>PFNoxon2010!$G34</f>
        <v>0</v>
      </c>
    </row>
    <row r="40" spans="1:59" s="41" customFormat="1">
      <c r="A40" s="32">
        <v>20</v>
      </c>
      <c r="B40" s="34"/>
      <c r="C40" s="34" t="s">
        <v>442</v>
      </c>
      <c r="D40" s="34"/>
      <c r="E40" s="74">
        <f>ResultSumEl!G35</f>
        <v>3860</v>
      </c>
      <c r="F40" s="973">
        <f>DFITAMA!$G35</f>
        <v>0</v>
      </c>
      <c r="G40" s="709">
        <f>BldGain!$G35</f>
        <v>0</v>
      </c>
      <c r="H40" s="709">
        <f>ColstripAFUDC!$G35</f>
        <v>0</v>
      </c>
      <c r="I40" s="709">
        <f>ColstripCommon!$G35</f>
        <v>0</v>
      </c>
      <c r="J40" s="709">
        <f>'KF-BP_Summ'!$G35</f>
        <v>0</v>
      </c>
      <c r="K40" s="709">
        <f>CustAdv!$G35</f>
        <v>0</v>
      </c>
      <c r="L40" s="709">
        <f>ID_DSM_Inv!$G35</f>
        <v>0</v>
      </c>
      <c r="M40" s="709"/>
      <c r="N40" s="74">
        <f>SUM(E40:M40)</f>
        <v>3860</v>
      </c>
      <c r="O40" s="1076">
        <f>'DeprTrue-up'!$G35</f>
        <v>0</v>
      </c>
      <c r="P40" s="709">
        <f>BandO!$G35</f>
        <v>0</v>
      </c>
      <c r="Q40" s="973">
        <f>PropTax!$G35</f>
        <v>0</v>
      </c>
      <c r="R40" s="973">
        <f>UncollExp!$G35</f>
        <v>0</v>
      </c>
      <c r="S40" s="973">
        <f>RegExp!$G35</f>
        <v>0</v>
      </c>
      <c r="T40" s="709">
        <f>InjDam!$G35</f>
        <v>0</v>
      </c>
      <c r="U40" s="973">
        <f>FIT!$G35</f>
        <v>0</v>
      </c>
      <c r="V40" s="709">
        <f>ElimPowerCost!$G35</f>
        <v>0</v>
      </c>
      <c r="W40" s="709">
        <f>NezPerce!$G35</f>
        <v>0</v>
      </c>
      <c r="X40" s="1075">
        <f>ElimAR!G35</f>
        <v>0</v>
      </c>
      <c r="Y40" s="709">
        <f>ID_ClarkFork!$G35</f>
        <v>0</v>
      </c>
      <c r="Z40" s="709">
        <f>RevNormalztn!$G35</f>
        <v>0</v>
      </c>
      <c r="AA40" s="1271">
        <f>DebtInt!$G35</f>
        <v>0</v>
      </c>
      <c r="AB40" s="972">
        <f>MiscRestate!G35</f>
        <v>0</v>
      </c>
      <c r="AC40" s="74"/>
      <c r="AD40" s="74"/>
      <c r="AE40" s="74"/>
      <c r="AF40" s="74"/>
      <c r="AG40" s="74">
        <f>SUM(N40:AF40)</f>
        <v>3860</v>
      </c>
      <c r="AH40" s="1076">
        <f>PFPSID!$G35</f>
        <v>0</v>
      </c>
      <c r="AI40" s="1271">
        <f>'PFProdFctr-ID'!$G35</f>
        <v>0</v>
      </c>
      <c r="AJ40" s="1076">
        <f>PFLabor!$G35</f>
        <v>0</v>
      </c>
      <c r="AK40" s="1076">
        <f>PFExec!$G35</f>
        <v>0</v>
      </c>
      <c r="AL40" s="1076">
        <f>PFTrans!$G35</f>
        <v>0</v>
      </c>
      <c r="AM40" s="1076">
        <f>PFCapx2008!$G35</f>
        <v>0</v>
      </c>
      <c r="AN40" s="1076">
        <f>PFCapx2009!$G35</f>
        <v>0</v>
      </c>
      <c r="AO40" s="1076">
        <f>PFAssetMgmt!$G35</f>
        <v>0</v>
      </c>
      <c r="AP40" s="1076">
        <f>PFSR_Relicense!$G35</f>
        <v>0</v>
      </c>
      <c r="AQ40" s="1076">
        <f>PFCDAtribe!$G35</f>
        <v>0</v>
      </c>
      <c r="AR40" s="1076">
        <f>PFMoLease!$G35</f>
        <v>0</v>
      </c>
      <c r="AS40" s="1076">
        <f>PFColstripEmiss!$G35</f>
        <v>0</v>
      </c>
      <c r="AT40" s="1076">
        <f>PFIncentives!$G35</f>
        <v>0</v>
      </c>
      <c r="AU40" s="709">
        <f>PFID_AMR!$G35</f>
        <v>0</v>
      </c>
      <c r="AV40" s="1076">
        <f>PFCS2!$G35</f>
        <v>0</v>
      </c>
      <c r="AW40" s="973">
        <f>PFEmpBen!$G35</f>
        <v>0</v>
      </c>
      <c r="AX40" s="973">
        <f>PFInsur!$G35</f>
        <v>0</v>
      </c>
      <c r="AY40" s="74"/>
      <c r="AZ40" s="74"/>
      <c r="BA40" s="74">
        <f>SUM(AG40:AZ40)</f>
        <v>3860</v>
      </c>
      <c r="BB40" s="34"/>
      <c r="BG40" s="973">
        <f>PFNoxon2010!$G35</f>
        <v>0</v>
      </c>
    </row>
    <row r="41" spans="1:59" s="41" customFormat="1">
      <c r="A41" s="32">
        <v>21</v>
      </c>
      <c r="B41" s="34"/>
      <c r="C41" s="34" t="s">
        <v>439</v>
      </c>
      <c r="D41" s="34"/>
      <c r="E41" s="75">
        <f>ResultSumEl!G36</f>
        <v>0</v>
      </c>
      <c r="F41" s="974">
        <f>DFITAMA!$G36</f>
        <v>0</v>
      </c>
      <c r="G41" s="710">
        <f>BldGain!$G36</f>
        <v>0</v>
      </c>
      <c r="H41" s="710">
        <f>ColstripAFUDC!$G36</f>
        <v>0</v>
      </c>
      <c r="I41" s="710">
        <f>ColstripCommon!$G36</f>
        <v>0</v>
      </c>
      <c r="J41" s="710">
        <f>'KF-BP_Summ'!$G36</f>
        <v>0</v>
      </c>
      <c r="K41" s="710">
        <f>CustAdv!$G36</f>
        <v>0</v>
      </c>
      <c r="L41" s="710">
        <f>ID_DSM_Inv!$G36</f>
        <v>0</v>
      </c>
      <c r="M41" s="710"/>
      <c r="N41" s="75">
        <f>SUM(E41:M41)</f>
        <v>0</v>
      </c>
      <c r="O41" s="1077">
        <f>'DeprTrue-up'!$G36</f>
        <v>0</v>
      </c>
      <c r="P41" s="710">
        <f>BandO!$G36</f>
        <v>0</v>
      </c>
      <c r="Q41" s="710">
        <f>PropTax!$G36</f>
        <v>0</v>
      </c>
      <c r="R41" s="974">
        <f>UncollExp!$G36</f>
        <v>0</v>
      </c>
      <c r="S41" s="974">
        <f>RegExp!$G36</f>
        <v>0</v>
      </c>
      <c r="T41" s="710">
        <f>InjDam!$G36</f>
        <v>0</v>
      </c>
      <c r="U41" s="974">
        <f>FIT!$G36</f>
        <v>0</v>
      </c>
      <c r="V41" s="710">
        <f>ElimPowerCost!$G36</f>
        <v>0</v>
      </c>
      <c r="W41" s="710">
        <f>NezPerce!$G36</f>
        <v>0</v>
      </c>
      <c r="X41" s="1138">
        <f>ElimAR!G36</f>
        <v>0</v>
      </c>
      <c r="Y41" s="710">
        <f>ID_ClarkFork!$G36</f>
        <v>0</v>
      </c>
      <c r="Z41" s="710">
        <f>RevNormalztn!$G36</f>
        <v>0</v>
      </c>
      <c r="AA41" s="1272">
        <f>DebtInt!$G36</f>
        <v>0</v>
      </c>
      <c r="AB41" s="1054">
        <f>MiscRestate!G36</f>
        <v>0</v>
      </c>
      <c r="AC41" s="75"/>
      <c r="AD41" s="75"/>
      <c r="AE41" s="75"/>
      <c r="AF41" s="75"/>
      <c r="AG41" s="75">
        <f>SUM(N41:AF41)</f>
        <v>0</v>
      </c>
      <c r="AH41" s="1077">
        <f>PFPSID!$G36</f>
        <v>0</v>
      </c>
      <c r="AI41" s="1272">
        <f>'PFProdFctr-ID'!$G36</f>
        <v>0</v>
      </c>
      <c r="AJ41" s="1077">
        <f>PFLabor!$G36</f>
        <v>0</v>
      </c>
      <c r="AK41" s="1077">
        <f>PFExec!$G36</f>
        <v>0</v>
      </c>
      <c r="AL41" s="1077">
        <f>PFTrans!$G36</f>
        <v>0</v>
      </c>
      <c r="AM41" s="1077">
        <f>PFCapx2008!$G36</f>
        <v>0</v>
      </c>
      <c r="AN41" s="1077">
        <f>PFCapx2009!$G36</f>
        <v>0</v>
      </c>
      <c r="AO41" s="1077">
        <f>PFAssetMgmt!$G36</f>
        <v>0</v>
      </c>
      <c r="AP41" s="1077">
        <f>PFSR_Relicense!$G36</f>
        <v>0</v>
      </c>
      <c r="AQ41" s="1077">
        <f>PFCDAtribe!$G36</f>
        <v>0</v>
      </c>
      <c r="AR41" s="1077">
        <f>PFMoLease!$G36</f>
        <v>0</v>
      </c>
      <c r="AS41" s="1077">
        <f>PFColstripEmiss!$G36</f>
        <v>0</v>
      </c>
      <c r="AT41" s="1077">
        <f>PFIncentives!$G36</f>
        <v>0</v>
      </c>
      <c r="AU41" s="710">
        <f>PFID_AMR!$G36</f>
        <v>0</v>
      </c>
      <c r="AV41" s="1077">
        <f>PFCS2!$G36</f>
        <v>0</v>
      </c>
      <c r="AW41" s="974">
        <f>PFEmpBen!$G36</f>
        <v>0</v>
      </c>
      <c r="AX41" s="974">
        <f>PFInsur!$G36</f>
        <v>0</v>
      </c>
      <c r="AY41" s="75"/>
      <c r="AZ41" s="75"/>
      <c r="BA41" s="75">
        <f>SUM(AG41:AZ41)</f>
        <v>0</v>
      </c>
      <c r="BB41" s="34"/>
      <c r="BG41" s="974">
        <f>PFNoxon2010!$G36</f>
        <v>0</v>
      </c>
    </row>
    <row r="42" spans="1:59" s="41" customFormat="1">
      <c r="A42" s="32">
        <v>22</v>
      </c>
      <c r="B42" s="34"/>
      <c r="C42" s="34"/>
      <c r="D42" s="34" t="s">
        <v>448</v>
      </c>
      <c r="E42" s="239">
        <f t="shared" ref="E42:U42" si="16">SUM(E39:E41)</f>
        <v>23121</v>
      </c>
      <c r="F42" s="712">
        <f t="shared" si="16"/>
        <v>0</v>
      </c>
      <c r="G42" s="712">
        <f t="shared" si="16"/>
        <v>0</v>
      </c>
      <c r="H42" s="712">
        <f t="shared" si="16"/>
        <v>0</v>
      </c>
      <c r="I42" s="712">
        <f t="shared" si="16"/>
        <v>0</v>
      </c>
      <c r="J42" s="712">
        <f t="shared" si="16"/>
        <v>0</v>
      </c>
      <c r="K42" s="712">
        <f t="shared" si="16"/>
        <v>0</v>
      </c>
      <c r="L42" s="712">
        <f t="shared" si="16"/>
        <v>0</v>
      </c>
      <c r="M42" s="712"/>
      <c r="N42" s="239">
        <f t="shared" si="16"/>
        <v>23121</v>
      </c>
      <c r="O42" s="1079">
        <f>SUM(O39:O41)</f>
        <v>0</v>
      </c>
      <c r="P42" s="712">
        <f t="shared" si="16"/>
        <v>0</v>
      </c>
      <c r="Q42" s="712">
        <f t="shared" si="16"/>
        <v>0</v>
      </c>
      <c r="R42" s="712">
        <f t="shared" si="16"/>
        <v>0</v>
      </c>
      <c r="S42" s="712">
        <f t="shared" si="16"/>
        <v>0</v>
      </c>
      <c r="T42" s="712">
        <f t="shared" si="16"/>
        <v>0</v>
      </c>
      <c r="U42" s="712">
        <f t="shared" si="16"/>
        <v>0</v>
      </c>
      <c r="V42" s="712">
        <f t="shared" ref="V42:AB42" si="17">SUM(V39:V41)</f>
        <v>0</v>
      </c>
      <c r="W42" s="712">
        <f t="shared" si="17"/>
        <v>0</v>
      </c>
      <c r="X42" s="1079">
        <f t="shared" si="17"/>
        <v>0</v>
      </c>
      <c r="Y42" s="712">
        <f t="shared" si="17"/>
        <v>0</v>
      </c>
      <c r="Z42" s="712">
        <f t="shared" si="17"/>
        <v>0</v>
      </c>
      <c r="AA42" s="1274">
        <f>SUM(AA39:AA41)</f>
        <v>0</v>
      </c>
      <c r="AB42" s="976">
        <f t="shared" si="17"/>
        <v>0</v>
      </c>
      <c r="AC42" s="239"/>
      <c r="AD42" s="239"/>
      <c r="AE42" s="239"/>
      <c r="AF42" s="239"/>
      <c r="AG42" s="239">
        <f>SUM(AG39:AG41)</f>
        <v>23121</v>
      </c>
      <c r="AH42" s="1079">
        <f t="shared" ref="AH42:AN42" si="18">SUM(AH39:AH41)</f>
        <v>0</v>
      </c>
      <c r="AI42" s="1274">
        <f t="shared" si="18"/>
        <v>0</v>
      </c>
      <c r="AJ42" s="1079">
        <f t="shared" si="18"/>
        <v>279</v>
      </c>
      <c r="AK42" s="1079">
        <f t="shared" si="18"/>
        <v>124</v>
      </c>
      <c r="AL42" s="1079">
        <f t="shared" si="18"/>
        <v>0</v>
      </c>
      <c r="AM42" s="1079">
        <f t="shared" si="18"/>
        <v>0</v>
      </c>
      <c r="AN42" s="1079">
        <f t="shared" si="18"/>
        <v>0</v>
      </c>
      <c r="AO42" s="1079">
        <f t="shared" ref="AO42:AZ42" si="19">SUM(AO39:AO41)</f>
        <v>0</v>
      </c>
      <c r="AP42" s="1079">
        <f t="shared" si="19"/>
        <v>0</v>
      </c>
      <c r="AQ42" s="1079">
        <f t="shared" si="19"/>
        <v>0</v>
      </c>
      <c r="AR42" s="1079">
        <f t="shared" si="19"/>
        <v>0</v>
      </c>
      <c r="AS42" s="1079">
        <f>SUM(AS39:AS41)</f>
        <v>0</v>
      </c>
      <c r="AT42" s="1079">
        <f t="shared" si="19"/>
        <v>0</v>
      </c>
      <c r="AU42" s="712">
        <f>SUM(AU39:AU41)</f>
        <v>0</v>
      </c>
      <c r="AV42" s="1079">
        <f t="shared" si="19"/>
        <v>0</v>
      </c>
      <c r="AW42" s="976">
        <f t="shared" si="19"/>
        <v>0</v>
      </c>
      <c r="AX42" s="976">
        <f t="shared" si="19"/>
        <v>0</v>
      </c>
      <c r="AY42" s="239">
        <f t="shared" si="19"/>
        <v>0</v>
      </c>
      <c r="AZ42" s="239">
        <f t="shared" si="19"/>
        <v>0</v>
      </c>
      <c r="BA42" s="239">
        <f>SUM(AG42:AZ42)</f>
        <v>23524</v>
      </c>
      <c r="BB42" s="34"/>
      <c r="BG42" s="976">
        <f>SUM(BG39:BG41)</f>
        <v>0</v>
      </c>
    </row>
    <row r="43" spans="1:59" s="41" customFormat="1" ht="18" customHeight="1">
      <c r="A43" s="32">
        <v>23</v>
      </c>
      <c r="B43" s="34" t="s">
        <v>449</v>
      </c>
      <c r="C43" s="34"/>
      <c r="D43" s="34"/>
      <c r="E43" s="239">
        <f t="shared" ref="E43:U43" si="20">E42+E36+E35+E34+E32+E26</f>
        <v>248286</v>
      </c>
      <c r="F43" s="712">
        <f t="shared" si="20"/>
        <v>0</v>
      </c>
      <c r="G43" s="712">
        <f t="shared" si="20"/>
        <v>0</v>
      </c>
      <c r="H43" s="712">
        <f t="shared" si="20"/>
        <v>0</v>
      </c>
      <c r="I43" s="712">
        <f t="shared" si="20"/>
        <v>0</v>
      </c>
      <c r="J43" s="712">
        <f t="shared" si="20"/>
        <v>0</v>
      </c>
      <c r="K43" s="712">
        <f t="shared" si="20"/>
        <v>0</v>
      </c>
      <c r="L43" s="712">
        <f t="shared" si="20"/>
        <v>0</v>
      </c>
      <c r="M43" s="712"/>
      <c r="N43" s="239">
        <f t="shared" si="20"/>
        <v>248286</v>
      </c>
      <c r="O43" s="712">
        <f>O42+O36+O35+O34+O32+O26</f>
        <v>0</v>
      </c>
      <c r="P43" s="712">
        <f t="shared" si="20"/>
        <v>0</v>
      </c>
      <c r="Q43" s="712">
        <f t="shared" si="20"/>
        <v>0</v>
      </c>
      <c r="R43" s="712">
        <f t="shared" si="20"/>
        <v>0</v>
      </c>
      <c r="S43" s="712">
        <f t="shared" si="20"/>
        <v>0</v>
      </c>
      <c r="T43" s="712">
        <f t="shared" si="20"/>
        <v>0</v>
      </c>
      <c r="U43" s="712">
        <f t="shared" si="20"/>
        <v>0</v>
      </c>
      <c r="V43" s="712">
        <f t="shared" ref="V43:AB43" si="21">V42+V36+V35+V34+V32+V26</f>
        <v>0</v>
      </c>
      <c r="W43" s="712">
        <f t="shared" si="21"/>
        <v>0</v>
      </c>
      <c r="X43" s="1079">
        <f t="shared" si="21"/>
        <v>0</v>
      </c>
      <c r="Y43" s="712">
        <f t="shared" si="21"/>
        <v>517</v>
      </c>
      <c r="Z43" s="712">
        <f t="shared" si="21"/>
        <v>0</v>
      </c>
      <c r="AA43" s="1274">
        <f>AA42+AA36+AA35+AA34+AA32+AA26</f>
        <v>0</v>
      </c>
      <c r="AB43" s="976">
        <f t="shared" si="21"/>
        <v>0</v>
      </c>
      <c r="AC43" s="239"/>
      <c r="AD43" s="239"/>
      <c r="AE43" s="239"/>
      <c r="AF43" s="239"/>
      <c r="AG43" s="239">
        <f>AG42+AG36+AG35+AG34+AG32+AG26</f>
        <v>248803</v>
      </c>
      <c r="AH43" s="1079">
        <f t="shared" ref="AH43:AN43" si="22">AH42+AH36+AH35+AH34+AH32+AH26</f>
        <v>-25203</v>
      </c>
      <c r="AI43" s="1274">
        <f t="shared" si="22"/>
        <v>-8447</v>
      </c>
      <c r="AJ43" s="1079">
        <f t="shared" si="22"/>
        <v>1066</v>
      </c>
      <c r="AK43" s="1079">
        <f t="shared" si="22"/>
        <v>127</v>
      </c>
      <c r="AL43" s="1079">
        <f t="shared" si="22"/>
        <v>0</v>
      </c>
      <c r="AM43" s="1079">
        <f t="shared" si="22"/>
        <v>0</v>
      </c>
      <c r="AN43" s="1079">
        <f t="shared" si="22"/>
        <v>0</v>
      </c>
      <c r="AO43" s="1079">
        <f t="shared" ref="AO43:AZ43" si="23">AO42+AO36+AO35+AO34+AO32+AO26</f>
        <v>0</v>
      </c>
      <c r="AP43" s="1079">
        <f t="shared" si="23"/>
        <v>0</v>
      </c>
      <c r="AQ43" s="1079">
        <f t="shared" si="23"/>
        <v>0</v>
      </c>
      <c r="AR43" s="1079">
        <f t="shared" si="23"/>
        <v>0</v>
      </c>
      <c r="AS43" s="1079">
        <f>AS42+AS36+AS35+AS34+AS32+AS26</f>
        <v>0</v>
      </c>
      <c r="AT43" s="1079">
        <f t="shared" si="23"/>
        <v>0</v>
      </c>
      <c r="AU43" s="712">
        <f>AU42+AU36+AU35+AU34+AU32+AU26</f>
        <v>1014</v>
      </c>
      <c r="AV43" s="1079">
        <f t="shared" si="23"/>
        <v>215</v>
      </c>
      <c r="AW43" s="976">
        <f t="shared" si="23"/>
        <v>0</v>
      </c>
      <c r="AX43" s="976">
        <f t="shared" si="23"/>
        <v>0</v>
      </c>
      <c r="AY43" s="239">
        <f t="shared" si="23"/>
        <v>0</v>
      </c>
      <c r="AZ43" s="239">
        <f t="shared" si="23"/>
        <v>0</v>
      </c>
      <c r="BA43" s="239">
        <f>SUM(AG43:AZ43)</f>
        <v>217575</v>
      </c>
      <c r="BB43" s="34"/>
      <c r="BG43" s="976">
        <f>BG42+BG36+BG35+BG34+BG32+BG26</f>
        <v>0</v>
      </c>
    </row>
    <row r="44" spans="1:59" s="41" customFormat="1">
      <c r="A44" s="32"/>
      <c r="B44" s="34"/>
      <c r="C44" s="34"/>
      <c r="D44" s="34"/>
      <c r="E44" s="34"/>
      <c r="F44" s="975"/>
      <c r="G44" s="711"/>
      <c r="H44" s="711"/>
      <c r="I44" s="711"/>
      <c r="J44" s="711"/>
      <c r="K44" s="711"/>
      <c r="L44" s="711"/>
      <c r="M44" s="711"/>
      <c r="N44" s="34"/>
      <c r="O44" s="1078"/>
      <c r="P44" s="711"/>
      <c r="Q44" s="975"/>
      <c r="R44" s="975"/>
      <c r="S44" s="975"/>
      <c r="T44" s="711"/>
      <c r="U44" s="975"/>
      <c r="V44" s="711"/>
      <c r="W44" s="711"/>
      <c r="X44" s="1078"/>
      <c r="Y44" s="711"/>
      <c r="Z44" s="711"/>
      <c r="AA44" s="1273"/>
      <c r="AB44" s="975"/>
      <c r="AC44" s="34"/>
      <c r="AD44" s="34"/>
      <c r="AE44" s="34"/>
      <c r="AF44" s="34"/>
      <c r="AG44" s="34"/>
      <c r="AH44" s="1078"/>
      <c r="AI44" s="1273"/>
      <c r="AJ44" s="1078"/>
      <c r="AK44" s="1078"/>
      <c r="AL44" s="1078"/>
      <c r="AM44" s="1078"/>
      <c r="AN44" s="1078"/>
      <c r="AO44" s="1078"/>
      <c r="AP44" s="1078"/>
      <c r="AQ44" s="1078"/>
      <c r="AR44" s="1078"/>
      <c r="AS44" s="1078"/>
      <c r="AT44" s="1078"/>
      <c r="AU44" s="711"/>
      <c r="AV44" s="1078"/>
      <c r="AW44" s="975"/>
      <c r="AX44" s="975"/>
      <c r="AY44" s="34"/>
      <c r="AZ44" s="34"/>
      <c r="BA44" s="34"/>
      <c r="BB44" s="34"/>
      <c r="BG44" s="975"/>
    </row>
    <row r="45" spans="1:59" s="41" customFormat="1">
      <c r="A45" s="32">
        <v>24</v>
      </c>
      <c r="B45" s="34" t="s">
        <v>450</v>
      </c>
      <c r="C45" s="34"/>
      <c r="D45" s="34"/>
      <c r="E45" s="34">
        <f t="shared" ref="E45:W45" si="24">E18-E43</f>
        <v>51921</v>
      </c>
      <c r="F45" s="711">
        <f t="shared" si="24"/>
        <v>0</v>
      </c>
      <c r="G45" s="711">
        <f t="shared" si="24"/>
        <v>0</v>
      </c>
      <c r="H45" s="711">
        <f t="shared" si="24"/>
        <v>0</v>
      </c>
      <c r="I45" s="711">
        <f t="shared" si="24"/>
        <v>0</v>
      </c>
      <c r="J45" s="711">
        <f t="shared" si="24"/>
        <v>0</v>
      </c>
      <c r="K45" s="711">
        <f>K18-K43</f>
        <v>0</v>
      </c>
      <c r="L45" s="711">
        <f>L18-L43</f>
        <v>0</v>
      </c>
      <c r="M45" s="711"/>
      <c r="N45" s="34">
        <f t="shared" si="24"/>
        <v>51921</v>
      </c>
      <c r="O45" s="711">
        <f>O18-O43</f>
        <v>0</v>
      </c>
      <c r="P45" s="711">
        <f t="shared" si="24"/>
        <v>0</v>
      </c>
      <c r="Q45" s="711">
        <f t="shared" si="24"/>
        <v>0</v>
      </c>
      <c r="R45" s="711">
        <f t="shared" si="24"/>
        <v>0</v>
      </c>
      <c r="S45" s="711">
        <f t="shared" si="24"/>
        <v>0</v>
      </c>
      <c r="T45" s="711">
        <f t="shared" si="24"/>
        <v>0</v>
      </c>
      <c r="U45" s="711">
        <f t="shared" si="24"/>
        <v>0</v>
      </c>
      <c r="V45" s="711">
        <f t="shared" si="24"/>
        <v>0</v>
      </c>
      <c r="W45" s="711">
        <f t="shared" si="24"/>
        <v>0</v>
      </c>
      <c r="X45" s="1078">
        <f>X18-X43</f>
        <v>0</v>
      </c>
      <c r="Y45" s="711">
        <f>Y18-Y43</f>
        <v>-517</v>
      </c>
      <c r="Z45" s="711">
        <f>Z18-Z43</f>
        <v>0</v>
      </c>
      <c r="AA45" s="1273">
        <f>AA18-AA43</f>
        <v>0</v>
      </c>
      <c r="AB45" s="975">
        <f>AB18-AB43</f>
        <v>0</v>
      </c>
      <c r="AC45" s="34"/>
      <c r="AD45" s="34"/>
      <c r="AE45" s="34"/>
      <c r="AF45" s="34"/>
      <c r="AG45" s="34">
        <f t="shared" ref="AG45:AN45" si="25">AG18-AG43</f>
        <v>51404</v>
      </c>
      <c r="AH45" s="1078">
        <f t="shared" si="25"/>
        <v>-341</v>
      </c>
      <c r="AI45" s="1273">
        <f t="shared" si="25"/>
        <v>5879</v>
      </c>
      <c r="AJ45" s="1078">
        <f t="shared" si="25"/>
        <v>-1066</v>
      </c>
      <c r="AK45" s="1078">
        <f t="shared" si="25"/>
        <v>-127</v>
      </c>
      <c r="AL45" s="1078">
        <f t="shared" si="25"/>
        <v>0</v>
      </c>
      <c r="AM45" s="1078">
        <f t="shared" si="25"/>
        <v>0</v>
      </c>
      <c r="AN45" s="1078">
        <f t="shared" si="25"/>
        <v>0</v>
      </c>
      <c r="AO45" s="1078">
        <f t="shared" ref="AO45:AZ45" si="26">AO18-AO43</f>
        <v>0</v>
      </c>
      <c r="AP45" s="1078">
        <f t="shared" si="26"/>
        <v>0</v>
      </c>
      <c r="AQ45" s="1078">
        <f t="shared" si="26"/>
        <v>0</v>
      </c>
      <c r="AR45" s="1078">
        <f t="shared" si="26"/>
        <v>0</v>
      </c>
      <c r="AS45" s="1078">
        <f>AS18-AS43</f>
        <v>0</v>
      </c>
      <c r="AT45" s="1078">
        <f t="shared" si="26"/>
        <v>0</v>
      </c>
      <c r="AU45" s="711">
        <f>AU18-AU43</f>
        <v>-1014</v>
      </c>
      <c r="AV45" s="1078">
        <f t="shared" si="26"/>
        <v>-215</v>
      </c>
      <c r="AW45" s="975">
        <f>AW18-AW43</f>
        <v>0</v>
      </c>
      <c r="AX45" s="975">
        <f t="shared" si="26"/>
        <v>0</v>
      </c>
      <c r="AY45" s="34">
        <f>AY18-AY43</f>
        <v>0</v>
      </c>
      <c r="AZ45" s="34">
        <f t="shared" si="26"/>
        <v>0</v>
      </c>
      <c r="BA45" s="34">
        <f>SUM(AG45:AZ45)</f>
        <v>54520</v>
      </c>
      <c r="BB45" s="34"/>
      <c r="BG45" s="975">
        <f>BG18-BG43</f>
        <v>0</v>
      </c>
    </row>
    <row r="46" spans="1:59" s="41" customFormat="1">
      <c r="A46" s="32"/>
      <c r="B46" s="34"/>
      <c r="C46" s="34"/>
      <c r="D46" s="34"/>
      <c r="E46" s="74"/>
      <c r="F46" s="973"/>
      <c r="G46" s="709"/>
      <c r="H46" s="709"/>
      <c r="I46" s="709"/>
      <c r="J46" s="709"/>
      <c r="K46" s="709"/>
      <c r="L46" s="709"/>
      <c r="M46" s="709"/>
      <c r="N46" s="74"/>
      <c r="O46" s="1076"/>
      <c r="P46" s="709"/>
      <c r="Q46" s="973"/>
      <c r="R46" s="973"/>
      <c r="S46" s="973"/>
      <c r="T46" s="709"/>
      <c r="U46" s="973"/>
      <c r="V46" s="709"/>
      <c r="W46" s="709"/>
      <c r="X46" s="1076"/>
      <c r="Y46" s="709"/>
      <c r="Z46" s="709"/>
      <c r="AA46" s="1271"/>
      <c r="AB46" s="973"/>
      <c r="AC46" s="74"/>
      <c r="AD46" s="74"/>
      <c r="AE46" s="74"/>
      <c r="AF46" s="74"/>
      <c r="AG46" s="74"/>
      <c r="AH46" s="1076"/>
      <c r="AI46" s="1271"/>
      <c r="AJ46" s="1076"/>
      <c r="AK46" s="1076"/>
      <c r="AL46" s="1076"/>
      <c r="AM46" s="1076"/>
      <c r="AN46" s="1076"/>
      <c r="AO46" s="1076"/>
      <c r="AP46" s="1076"/>
      <c r="AQ46" s="1076"/>
      <c r="AR46" s="1076"/>
      <c r="AS46" s="1076"/>
      <c r="AT46" s="1076"/>
      <c r="AU46" s="709"/>
      <c r="AV46" s="1076"/>
      <c r="AW46" s="973"/>
      <c r="AX46" s="973"/>
      <c r="AY46" s="74"/>
      <c r="AZ46" s="74"/>
      <c r="BA46" s="74"/>
      <c r="BB46" s="34"/>
      <c r="BG46" s="973"/>
    </row>
    <row r="47" spans="1:59" s="41" customFormat="1">
      <c r="A47" s="32"/>
      <c r="B47" s="34" t="s">
        <v>451</v>
      </c>
      <c r="C47" s="34"/>
      <c r="D47" s="34"/>
      <c r="E47" s="74"/>
      <c r="F47" s="973"/>
      <c r="G47" s="709"/>
      <c r="H47" s="709"/>
      <c r="I47" s="709"/>
      <c r="J47" s="709"/>
      <c r="K47" s="709"/>
      <c r="L47" s="709"/>
      <c r="M47" s="709"/>
      <c r="N47" s="74"/>
      <c r="O47" s="1076"/>
      <c r="P47" s="709"/>
      <c r="Q47" s="973"/>
      <c r="R47" s="973"/>
      <c r="S47" s="973"/>
      <c r="T47" s="709"/>
      <c r="U47" s="973"/>
      <c r="V47" s="709"/>
      <c r="W47" s="709"/>
      <c r="X47" s="1076"/>
      <c r="Y47" s="709"/>
      <c r="Z47" s="709"/>
      <c r="AA47" s="1271"/>
      <c r="AB47" s="973"/>
      <c r="AC47" s="74"/>
      <c r="AD47" s="74"/>
      <c r="AE47" s="74"/>
      <c r="AF47" s="74"/>
      <c r="AG47" s="74"/>
      <c r="AH47" s="1076"/>
      <c r="AI47" s="1271"/>
      <c r="AJ47" s="1076"/>
      <c r="AK47" s="1076"/>
      <c r="AL47" s="1076"/>
      <c r="AM47" s="1076"/>
      <c r="AN47" s="1076"/>
      <c r="AO47" s="1076"/>
      <c r="AP47" s="1076"/>
      <c r="AQ47" s="1076"/>
      <c r="AR47" s="1076"/>
      <c r="AS47" s="1076"/>
      <c r="AT47" s="1076"/>
      <c r="AU47" s="709"/>
      <c r="AV47" s="1076"/>
      <c r="AW47" s="973"/>
      <c r="AX47" s="973"/>
      <c r="AY47" s="74"/>
      <c r="AZ47" s="74"/>
      <c r="BA47" s="74"/>
      <c r="BB47" s="34"/>
      <c r="BG47" s="973"/>
    </row>
    <row r="48" spans="1:59" s="41" customFormat="1">
      <c r="A48" s="32">
        <v>25</v>
      </c>
      <c r="B48" s="34" t="s">
        <v>452</v>
      </c>
      <c r="C48" s="34"/>
      <c r="D48" s="34"/>
      <c r="E48" s="74">
        <f>ResultSumEl!G43</f>
        <v>2030</v>
      </c>
      <c r="F48" s="973">
        <f>DFITAMA!$G43</f>
        <v>0</v>
      </c>
      <c r="G48" s="709">
        <f>BldGain!$G43</f>
        <v>0</v>
      </c>
      <c r="H48" s="709">
        <f>ColstripAFUDC!$G43</f>
        <v>0</v>
      </c>
      <c r="I48" s="709">
        <f>ColstripCommon!$G43</f>
        <v>0</v>
      </c>
      <c r="J48" s="709">
        <f>'KF-BP_Summ'!$G43</f>
        <v>0</v>
      </c>
      <c r="K48" s="709">
        <f>CustAdv!$G43</f>
        <v>0</v>
      </c>
      <c r="L48" s="709">
        <f>ID_DSM_Inv!$G43</f>
        <v>0</v>
      </c>
      <c r="M48" s="709"/>
      <c r="N48" s="74">
        <f>SUM(E48:M48)</f>
        <v>2030</v>
      </c>
      <c r="O48" s="709">
        <f>'DeprTrue-up'!$G43</f>
        <v>0</v>
      </c>
      <c r="P48" s="709">
        <f>BandO!$G43</f>
        <v>0</v>
      </c>
      <c r="Q48" s="709">
        <f>PropTax!$G43</f>
        <v>0</v>
      </c>
      <c r="R48" s="709">
        <f>UncollExp!$G43</f>
        <v>0</v>
      </c>
      <c r="S48" s="709">
        <f>RegExp!$G43</f>
        <v>0</v>
      </c>
      <c r="T48" s="709">
        <f>InjDam!$G43</f>
        <v>0</v>
      </c>
      <c r="U48" s="709">
        <f>FIT!$G43</f>
        <v>0</v>
      </c>
      <c r="V48" s="709">
        <f>ElimPowerCost!$G43</f>
        <v>0</v>
      </c>
      <c r="W48" s="709">
        <f>NezPerce!$G43</f>
        <v>0</v>
      </c>
      <c r="X48" s="1075">
        <f>ElimAR!G43</f>
        <v>0</v>
      </c>
      <c r="Y48" s="709">
        <f>ID_ClarkFork!$G43</f>
        <v>-181</v>
      </c>
      <c r="Z48" s="709">
        <f>RevNormalztn!$G43</f>
        <v>0</v>
      </c>
      <c r="AA48" s="1271">
        <f>DebtInt!$G43</f>
        <v>0</v>
      </c>
      <c r="AB48" s="972">
        <f>MiscRestate!G43</f>
        <v>0</v>
      </c>
      <c r="AC48" s="74"/>
      <c r="AD48" s="74"/>
      <c r="AE48" s="74"/>
      <c r="AF48" s="74"/>
      <c r="AG48" s="74">
        <f>SUM(N48:AF48)</f>
        <v>1849</v>
      </c>
      <c r="AH48" s="1076">
        <f>PFPSID!$G43</f>
        <v>-119</v>
      </c>
      <c r="AI48" s="1271">
        <f>'PFProdFctr-ID'!$G43</f>
        <v>2058</v>
      </c>
      <c r="AJ48" s="1076">
        <f>PFLabor!$G43</f>
        <v>-373</v>
      </c>
      <c r="AK48" s="1076">
        <f>PFExec!$G43</f>
        <v>-44</v>
      </c>
      <c r="AL48" s="1076">
        <f>PFTrans!$G43</f>
        <v>0</v>
      </c>
      <c r="AM48" s="1076">
        <f>PFCapx2008!$G43</f>
        <v>0</v>
      </c>
      <c r="AN48" s="1076">
        <f>PFCapx2009!$G43</f>
        <v>0</v>
      </c>
      <c r="AO48" s="1076">
        <f>PFAssetMgmt!$G43</f>
        <v>0</v>
      </c>
      <c r="AP48" s="1076">
        <f>PFSR_Relicense!$G43</f>
        <v>0</v>
      </c>
      <c r="AQ48" s="1076">
        <f>PFCDAtribe!$G43</f>
        <v>0</v>
      </c>
      <c r="AR48" s="1076">
        <f>PFMoLease!$G43</f>
        <v>0</v>
      </c>
      <c r="AS48" s="1076">
        <f>PFColstripEmiss!$G43</f>
        <v>0</v>
      </c>
      <c r="AT48" s="1076">
        <f>PFIncentives!$G43</f>
        <v>0</v>
      </c>
      <c r="AU48" s="709">
        <f>PFID_AMR!$G43</f>
        <v>-325</v>
      </c>
      <c r="AV48" s="1076">
        <f>PFCS2!$G43</f>
        <v>0</v>
      </c>
      <c r="AW48" s="973">
        <f>PFEmpBen!$G43</f>
        <v>0</v>
      </c>
      <c r="AX48" s="973">
        <f>PFInsur!$G43</f>
        <v>0</v>
      </c>
      <c r="AY48" s="74"/>
      <c r="AZ48" s="74"/>
      <c r="BA48" s="74">
        <f>SUM(AG48:AZ48)</f>
        <v>3046</v>
      </c>
      <c r="BB48" s="34"/>
      <c r="BG48" s="973">
        <f>PFNoxon2010!$G43</f>
        <v>0</v>
      </c>
    </row>
    <row r="49" spans="1:59" s="41" customFormat="1">
      <c r="A49" s="32">
        <v>26</v>
      </c>
      <c r="B49" s="34" t="s">
        <v>453</v>
      </c>
      <c r="C49" s="34"/>
      <c r="D49" s="34"/>
      <c r="E49" s="74">
        <f>ResultSumEl!G44</f>
        <v>7578</v>
      </c>
      <c r="F49" s="973">
        <f>DFITAMA!$G44</f>
        <v>0</v>
      </c>
      <c r="G49" s="709">
        <f>BldGain!$G44</f>
        <v>0</v>
      </c>
      <c r="H49" s="709">
        <f>ColstripAFUDC!$G44</f>
        <v>0</v>
      </c>
      <c r="I49" s="709">
        <f>ColstripCommon!$G44</f>
        <v>0</v>
      </c>
      <c r="J49" s="709">
        <f>'KF-BP_Summ'!$G44</f>
        <v>0</v>
      </c>
      <c r="K49" s="709">
        <f>CustAdv!$G44</f>
        <v>0</v>
      </c>
      <c r="L49" s="709">
        <f>ID_DSM_Inv!$G44</f>
        <v>0</v>
      </c>
      <c r="M49" s="709"/>
      <c r="N49" s="74">
        <f>SUM(E49:M49)</f>
        <v>7578</v>
      </c>
      <c r="O49" s="1076">
        <f>'DeprTrue-up'!$G44</f>
        <v>0</v>
      </c>
      <c r="P49" s="709">
        <f>BandO!$G44</f>
        <v>0</v>
      </c>
      <c r="Q49" s="973">
        <f>PropTax!$G44</f>
        <v>0</v>
      </c>
      <c r="R49" s="973">
        <f>UncollExp!$G44</f>
        <v>0</v>
      </c>
      <c r="S49" s="973">
        <f>RegExp!$G44</f>
        <v>0</v>
      </c>
      <c r="T49" s="709">
        <f>InjDam!$G44</f>
        <v>0</v>
      </c>
      <c r="U49" s="709">
        <f>FIT!$G44</f>
        <v>0</v>
      </c>
      <c r="V49" s="709">
        <f>ElimPowerCost!$G44</f>
        <v>0</v>
      </c>
      <c r="W49" s="709">
        <f>NezPerce!$G44</f>
        <v>0</v>
      </c>
      <c r="X49" s="1075">
        <f>ElimAR!G44</f>
        <v>0</v>
      </c>
      <c r="Y49" s="709">
        <f>ID_ClarkFork!$G44</f>
        <v>0</v>
      </c>
      <c r="Z49" s="709">
        <f>RevNormalztn!$G44</f>
        <v>0</v>
      </c>
      <c r="AA49" s="1271">
        <f>DebtInt!$G44</f>
        <v>0</v>
      </c>
      <c r="AB49" s="972">
        <f>MiscRestate!G44</f>
        <v>0</v>
      </c>
      <c r="AC49" s="74"/>
      <c r="AD49" s="74"/>
      <c r="AE49" s="74"/>
      <c r="AF49" s="74"/>
      <c r="AG49" s="74">
        <f>SUM(N49:AF49)</f>
        <v>7578</v>
      </c>
      <c r="AH49" s="1076">
        <f>PFPSID!$G44</f>
        <v>0</v>
      </c>
      <c r="AI49" s="1271">
        <f>'PFProdFctr-ID'!$G44</f>
        <v>0</v>
      </c>
      <c r="AJ49" s="1076">
        <f>PFLabor!$G44</f>
        <v>0</v>
      </c>
      <c r="AK49" s="1076">
        <f>PFExec!$G44</f>
        <v>0</v>
      </c>
      <c r="AL49" s="1076">
        <f>PFTrans!$G44</f>
        <v>0</v>
      </c>
      <c r="AM49" s="1076">
        <f>PFCapx2008!$G44</f>
        <v>0</v>
      </c>
      <c r="AN49" s="1076">
        <f>PFCapx2009!$G44</f>
        <v>0</v>
      </c>
      <c r="AO49" s="1076">
        <f>PFAssetMgmt!$G44</f>
        <v>0</v>
      </c>
      <c r="AP49" s="1076">
        <f>PFSR_Relicense!$G44</f>
        <v>0</v>
      </c>
      <c r="AQ49" s="1076">
        <f>PFCDAtribe!$G44</f>
        <v>0</v>
      </c>
      <c r="AR49" s="1076">
        <f>PFMoLease!$G44</f>
        <v>0</v>
      </c>
      <c r="AS49" s="1076">
        <f>PFColstripEmiss!$G44</f>
        <v>0</v>
      </c>
      <c r="AT49" s="1076">
        <f>PFIncentives!$G44</f>
        <v>0</v>
      </c>
      <c r="AU49" s="709">
        <f>PFID_AMR!$G44</f>
        <v>0</v>
      </c>
      <c r="AV49" s="1076">
        <f>PFCS2!$G44</f>
        <v>-75</v>
      </c>
      <c r="AW49" s="973">
        <f>PFEmpBen!$G44</f>
        <v>0</v>
      </c>
      <c r="AX49" s="973">
        <f>PFInsur!$G44</f>
        <v>0</v>
      </c>
      <c r="AY49" s="74"/>
      <c r="AZ49" s="74"/>
      <c r="BA49" s="74">
        <f>SUM(AG49:AZ49)</f>
        <v>7503</v>
      </c>
      <c r="BB49" s="34"/>
      <c r="BG49" s="973">
        <f>PFNoxon2010!$G44</f>
        <v>0</v>
      </c>
    </row>
    <row r="50" spans="1:59" s="41" customFormat="1">
      <c r="A50" s="32"/>
      <c r="B50" s="34"/>
      <c r="C50" s="34"/>
      <c r="D50" s="34"/>
      <c r="E50" s="75"/>
      <c r="F50" s="974"/>
      <c r="G50" s="710"/>
      <c r="H50" s="710"/>
      <c r="I50" s="710"/>
      <c r="J50" s="710"/>
      <c r="K50" s="710"/>
      <c r="L50" s="710"/>
      <c r="M50" s="710"/>
      <c r="N50" s="75"/>
      <c r="O50" s="1077"/>
      <c r="P50" s="710"/>
      <c r="Q50" s="974"/>
      <c r="R50" s="974"/>
      <c r="S50" s="974"/>
      <c r="T50" s="710"/>
      <c r="U50" s="974"/>
      <c r="V50" s="710"/>
      <c r="W50" s="710"/>
      <c r="X50" s="1138">
        <f>ElimAR!G45</f>
        <v>0</v>
      </c>
      <c r="Y50" s="710"/>
      <c r="Z50" s="710"/>
      <c r="AA50" s="1272"/>
      <c r="AB50" s="1054">
        <f>MiscRestate!G45</f>
        <v>0</v>
      </c>
      <c r="AC50" s="75"/>
      <c r="AD50" s="75"/>
      <c r="AE50" s="75"/>
      <c r="AF50" s="75"/>
      <c r="AG50" s="75"/>
      <c r="AH50" s="1077"/>
      <c r="AI50" s="1272"/>
      <c r="AJ50" s="1077"/>
      <c r="AK50" s="1077"/>
      <c r="AL50" s="1077"/>
      <c r="AM50" s="1077"/>
      <c r="AN50" s="1077"/>
      <c r="AO50" s="1077"/>
      <c r="AP50" s="1077"/>
      <c r="AQ50" s="1077"/>
      <c r="AR50" s="1077"/>
      <c r="AS50" s="1077"/>
      <c r="AT50" s="1077"/>
      <c r="AU50" s="710"/>
      <c r="AV50" s="1077"/>
      <c r="AW50" s="974"/>
      <c r="AX50" s="974"/>
      <c r="AY50" s="75"/>
      <c r="AZ50" s="75"/>
      <c r="BA50" s="75"/>
      <c r="BB50" s="34"/>
      <c r="BG50" s="974"/>
    </row>
    <row r="52" spans="1:59" s="40" customFormat="1" ht="12.75" thickBot="1">
      <c r="A52" s="32">
        <v>27</v>
      </c>
      <c r="B52" s="33" t="s">
        <v>454</v>
      </c>
      <c r="C52" s="33"/>
      <c r="D52" s="33"/>
      <c r="E52" s="238">
        <f t="shared" ref="E52:W52" si="27">E45-SUM(E48:E50)</f>
        <v>42313</v>
      </c>
      <c r="F52" s="713">
        <f t="shared" si="27"/>
        <v>0</v>
      </c>
      <c r="G52" s="713">
        <f t="shared" si="27"/>
        <v>0</v>
      </c>
      <c r="H52" s="713">
        <f t="shared" si="27"/>
        <v>0</v>
      </c>
      <c r="I52" s="713">
        <f t="shared" si="27"/>
        <v>0</v>
      </c>
      <c r="J52" s="713">
        <f t="shared" si="27"/>
        <v>0</v>
      </c>
      <c r="K52" s="713">
        <f>K45-SUM(K48:K50)</f>
        <v>0</v>
      </c>
      <c r="L52" s="713">
        <f>L45-SUM(L48:L50)</f>
        <v>0</v>
      </c>
      <c r="M52" s="713"/>
      <c r="N52" s="238">
        <f t="shared" si="27"/>
        <v>42313</v>
      </c>
      <c r="O52" s="713">
        <f>O45-SUM(O48:O50)</f>
        <v>0</v>
      </c>
      <c r="P52" s="713">
        <f t="shared" si="27"/>
        <v>0</v>
      </c>
      <c r="Q52" s="713">
        <f t="shared" si="27"/>
        <v>0</v>
      </c>
      <c r="R52" s="713">
        <f t="shared" si="27"/>
        <v>0</v>
      </c>
      <c r="S52" s="713">
        <f t="shared" si="27"/>
        <v>0</v>
      </c>
      <c r="T52" s="713">
        <f t="shared" si="27"/>
        <v>0</v>
      </c>
      <c r="U52" s="713">
        <f t="shared" si="27"/>
        <v>0</v>
      </c>
      <c r="V52" s="713">
        <f t="shared" si="27"/>
        <v>0</v>
      </c>
      <c r="W52" s="713">
        <f t="shared" si="27"/>
        <v>0</v>
      </c>
      <c r="X52" s="1080">
        <f>X45-SUM(X48:X50)</f>
        <v>0</v>
      </c>
      <c r="Y52" s="713">
        <f>Y45-SUM(Y48:Y50)</f>
        <v>-336</v>
      </c>
      <c r="Z52" s="713">
        <f>Z45-SUM(Z48:Z50)</f>
        <v>0</v>
      </c>
      <c r="AA52" s="1275">
        <f>AA45-SUM(AA48:AA50)</f>
        <v>0</v>
      </c>
      <c r="AB52" s="977">
        <f>AB45-SUM(AB48:AB50)</f>
        <v>0</v>
      </c>
      <c r="AC52" s="238"/>
      <c r="AD52" s="238"/>
      <c r="AE52" s="238"/>
      <c r="AF52" s="238"/>
      <c r="AG52" s="238">
        <f t="shared" ref="AG52:AO52" si="28">AG45-SUM(AG48:AG50)</f>
        <v>41977</v>
      </c>
      <c r="AH52" s="1080">
        <f t="shared" si="28"/>
        <v>-222</v>
      </c>
      <c r="AI52" s="1275">
        <f t="shared" si="28"/>
        <v>3821</v>
      </c>
      <c r="AJ52" s="1080">
        <f t="shared" si="28"/>
        <v>-693</v>
      </c>
      <c r="AK52" s="1080">
        <f t="shared" si="28"/>
        <v>-83</v>
      </c>
      <c r="AL52" s="1080">
        <f t="shared" si="28"/>
        <v>0</v>
      </c>
      <c r="AM52" s="1080">
        <f t="shared" si="28"/>
        <v>0</v>
      </c>
      <c r="AN52" s="1080">
        <f t="shared" si="28"/>
        <v>0</v>
      </c>
      <c r="AO52" s="1080">
        <f t="shared" si="28"/>
        <v>0</v>
      </c>
      <c r="AP52" s="1080">
        <f>AP45-SUM(AP48:AP50)</f>
        <v>0</v>
      </c>
      <c r="AQ52" s="1080">
        <f>AQ45-SUM(AQ48:AQ50)</f>
        <v>0</v>
      </c>
      <c r="AR52" s="1080">
        <f t="shared" ref="AR52:AZ52" si="29">AR45-SUM(AR48:AR50)</f>
        <v>0</v>
      </c>
      <c r="AS52" s="1080">
        <f>AS45-SUM(AS48:AS50)</f>
        <v>0</v>
      </c>
      <c r="AT52" s="1080">
        <f t="shared" si="29"/>
        <v>0</v>
      </c>
      <c r="AU52" s="713">
        <f>AU45-SUM(AU48:AU50)</f>
        <v>-689</v>
      </c>
      <c r="AV52" s="1080">
        <f t="shared" si="29"/>
        <v>-140</v>
      </c>
      <c r="AW52" s="977">
        <f>AW45-SUM(AW48:AW50)</f>
        <v>0</v>
      </c>
      <c r="AX52" s="977">
        <f t="shared" si="29"/>
        <v>0</v>
      </c>
      <c r="AY52" s="238">
        <f>AY45-SUM(AY48:AY50)</f>
        <v>0</v>
      </c>
      <c r="AZ52" s="238">
        <f t="shared" si="29"/>
        <v>0</v>
      </c>
      <c r="BA52" s="238">
        <f>SUM(AG52:AZ52)</f>
        <v>43971</v>
      </c>
      <c r="BB52" s="33"/>
      <c r="BG52" s="977">
        <f>BG45-SUM(BG48:BG50)</f>
        <v>0</v>
      </c>
    </row>
    <row r="53" spans="1:59" ht="12.75" thickTop="1"/>
    <row r="54" spans="1:59">
      <c r="B54" s="2" t="s">
        <v>455</v>
      </c>
    </row>
    <row r="55" spans="1:59">
      <c r="B55" s="2" t="s">
        <v>456</v>
      </c>
    </row>
    <row r="56" spans="1:59" s="40" customFormat="1">
      <c r="A56" s="32">
        <v>28</v>
      </c>
      <c r="B56" s="33"/>
      <c r="C56" s="33" t="s">
        <v>457</v>
      </c>
      <c r="D56" s="33"/>
      <c r="E56" s="78">
        <f>ResultSumEl!G51</f>
        <v>12083</v>
      </c>
      <c r="F56" s="978">
        <f>DFITAMA!$G51</f>
        <v>0</v>
      </c>
      <c r="G56" s="714">
        <f>BldGain!$G51</f>
        <v>0</v>
      </c>
      <c r="H56" s="714">
        <f>ColstripAFUDC!$G51</f>
        <v>0</v>
      </c>
      <c r="I56" s="714">
        <f>ColstripCommon!$G51</f>
        <v>0</v>
      </c>
      <c r="J56" s="714">
        <f>'KF-BP_Summ'!$G51</f>
        <v>0</v>
      </c>
      <c r="K56" s="714">
        <f>CustAdv!$G51</f>
        <v>0</v>
      </c>
      <c r="L56" s="714">
        <f>ID_DSM_Inv!$G51</f>
        <v>0</v>
      </c>
      <c r="M56" s="714"/>
      <c r="N56" s="78">
        <f>SUM(E56:M56)</f>
        <v>12083</v>
      </c>
      <c r="O56" s="1081">
        <f>'DeprTrue-up'!$G51</f>
        <v>0</v>
      </c>
      <c r="P56" s="714">
        <f>BandO!$G51</f>
        <v>0</v>
      </c>
      <c r="Q56" s="978">
        <f>PropTax!$G51</f>
        <v>0</v>
      </c>
      <c r="R56" s="978">
        <f>UncollExp!$G51</f>
        <v>0</v>
      </c>
      <c r="S56" s="978">
        <f>RegExp!$G51</f>
        <v>0</v>
      </c>
      <c r="T56" s="714">
        <f>InjDam!$G51</f>
        <v>0</v>
      </c>
      <c r="U56" s="978">
        <f>FIT!$G51</f>
        <v>0</v>
      </c>
      <c r="V56" s="714">
        <f>ElimPowerCost!$G51</f>
        <v>0</v>
      </c>
      <c r="W56" s="714">
        <f>NezPerce!$G51</f>
        <v>0</v>
      </c>
      <c r="X56" s="1075">
        <f>ElimAR!G51</f>
        <v>0</v>
      </c>
      <c r="Y56" s="714">
        <f>ID_ClarkFork!$G51</f>
        <v>0</v>
      </c>
      <c r="Z56" s="714">
        <f>RevNormalztn!$G51</f>
        <v>0</v>
      </c>
      <c r="AA56" s="1276">
        <f>DebtInt!$G51</f>
        <v>0</v>
      </c>
      <c r="AB56" s="972">
        <f>MiscRestate!G51</f>
        <v>0</v>
      </c>
      <c r="AC56" s="78"/>
      <c r="AD56" s="78"/>
      <c r="AE56" s="78"/>
      <c r="AF56" s="78"/>
      <c r="AG56" s="78">
        <f>SUM(N56:AF56)</f>
        <v>12083</v>
      </c>
      <c r="AH56" s="1081">
        <f>PFPSID!$G51</f>
        <v>0</v>
      </c>
      <c r="AI56" s="1276">
        <f>'PFProdFctr-ID'!$G51</f>
        <v>0</v>
      </c>
      <c r="AJ56" s="1081">
        <f>PFLabor!$G51</f>
        <v>0</v>
      </c>
      <c r="AK56" s="1081">
        <f>PFExec!$G51</f>
        <v>0</v>
      </c>
      <c r="AL56" s="1081">
        <f>PFTrans!$G51</f>
        <v>0</v>
      </c>
      <c r="AM56" s="1081">
        <f>PFCapx2008!$G51</f>
        <v>0</v>
      </c>
      <c r="AN56" s="1081">
        <f>PFCapx2009!$G51</f>
        <v>0</v>
      </c>
      <c r="AO56" s="1081">
        <f>PFAssetMgmt!$G51</f>
        <v>0</v>
      </c>
      <c r="AP56" s="1081">
        <f>PFSR_Relicense!$G51</f>
        <v>0</v>
      </c>
      <c r="AQ56" s="1081">
        <f>PFCDAtribe!$G51</f>
        <v>0</v>
      </c>
      <c r="AR56" s="1081">
        <f>PFMoLease!$G51</f>
        <v>0</v>
      </c>
      <c r="AS56" s="1081">
        <f>PFColstripEmiss!$G51</f>
        <v>0</v>
      </c>
      <c r="AT56" s="1081">
        <f>PFIncentives!$G51</f>
        <v>0</v>
      </c>
      <c r="AU56" s="714">
        <f>PFID_AMR!$G51</f>
        <v>0</v>
      </c>
      <c r="AV56" s="1081">
        <f>PFCS2!$G51</f>
        <v>0</v>
      </c>
      <c r="AW56" s="978">
        <f>PFEmpBen!$G51</f>
        <v>0</v>
      </c>
      <c r="AX56" s="978">
        <f>PFInsur!$G51</f>
        <v>0</v>
      </c>
      <c r="AY56" s="78"/>
      <c r="AZ56" s="78"/>
      <c r="BA56" s="78">
        <f t="shared" ref="BA56:BA68" si="30">SUM(AG56:AZ56)</f>
        <v>12083</v>
      </c>
      <c r="BB56" s="33"/>
      <c r="BG56" s="978">
        <f>PFNoxon2010!$G51</f>
        <v>0</v>
      </c>
    </row>
    <row r="57" spans="1:59" s="41" customFormat="1">
      <c r="A57" s="32">
        <v>29</v>
      </c>
      <c r="B57" s="34"/>
      <c r="C57" s="34" t="s">
        <v>458</v>
      </c>
      <c r="D57" s="34"/>
      <c r="E57" s="74">
        <f>ResultSumEl!G52</f>
        <v>359680</v>
      </c>
      <c r="F57" s="973">
        <f>DFITAMA!$G52</f>
        <v>0</v>
      </c>
      <c r="G57" s="709">
        <f>BldGain!$G52</f>
        <v>0</v>
      </c>
      <c r="H57" s="709">
        <f>ColstripAFUDC!$G52</f>
        <v>0</v>
      </c>
      <c r="I57" s="709">
        <f>ColstripCommon!$G52</f>
        <v>0</v>
      </c>
      <c r="J57" s="709">
        <f>'KF-BP_Summ'!$G52</f>
        <v>0</v>
      </c>
      <c r="K57" s="709">
        <f>CustAdv!$G52</f>
        <v>0</v>
      </c>
      <c r="L57" s="709">
        <f>ID_DSM_Inv!$G52</f>
        <v>2630</v>
      </c>
      <c r="M57" s="709"/>
      <c r="N57" s="74">
        <f>SUM(E57:M57)</f>
        <v>362310</v>
      </c>
      <c r="O57" s="1076">
        <f>'DeprTrue-up'!$G52</f>
        <v>0</v>
      </c>
      <c r="P57" s="709">
        <f>BandO!$G52</f>
        <v>0</v>
      </c>
      <c r="Q57" s="973">
        <f>PropTax!$G52</f>
        <v>0</v>
      </c>
      <c r="R57" s="973">
        <f>UncollExp!$G52</f>
        <v>0</v>
      </c>
      <c r="S57" s="973">
        <f>RegExp!$G52</f>
        <v>0</v>
      </c>
      <c r="T57" s="709">
        <f>InjDam!$G52</f>
        <v>0</v>
      </c>
      <c r="U57" s="973">
        <f>FIT!$G52</f>
        <v>0</v>
      </c>
      <c r="V57" s="709">
        <f>ElimPowerCost!$G52</f>
        <v>0</v>
      </c>
      <c r="W57" s="709">
        <f>NezPerce!$G52</f>
        <v>0</v>
      </c>
      <c r="X57" s="1075">
        <f>ElimAR!G52</f>
        <v>0</v>
      </c>
      <c r="Y57" s="709">
        <f>ID_ClarkFork!$G52</f>
        <v>0</v>
      </c>
      <c r="Z57" s="709">
        <f>RevNormalztn!$G52</f>
        <v>0</v>
      </c>
      <c r="AA57" s="1271">
        <f>DebtInt!$G52</f>
        <v>0</v>
      </c>
      <c r="AB57" s="972">
        <f>MiscRestate!G52</f>
        <v>0</v>
      </c>
      <c r="AC57" s="74"/>
      <c r="AD57" s="74"/>
      <c r="AE57" s="74"/>
      <c r="AF57" s="74"/>
      <c r="AG57" s="74">
        <f>SUM(N57:AF57)</f>
        <v>362310</v>
      </c>
      <c r="AH57" s="1076">
        <f>PFPSID!$G52</f>
        <v>0</v>
      </c>
      <c r="AI57" s="1271" t="e">
        <f>'PFProdFctr-ID'!$G52</f>
        <v>#DIV/0!</v>
      </c>
      <c r="AJ57" s="1076">
        <f>PFLabor!$G52</f>
        <v>0</v>
      </c>
      <c r="AK57" s="1076">
        <f>PFExec!$G52</f>
        <v>0</v>
      </c>
      <c r="AL57" s="1076">
        <f>PFTrans!$G52</f>
        <v>0</v>
      </c>
      <c r="AM57" s="1076">
        <f>PFCapx2008!$G52</f>
        <v>0</v>
      </c>
      <c r="AN57" s="1076">
        <f>PFCapx2009!$G52</f>
        <v>0</v>
      </c>
      <c r="AO57" s="1076">
        <f>PFAssetMgmt!$G52</f>
        <v>0</v>
      </c>
      <c r="AP57" s="1076">
        <f>PFSR_Relicense!$G52</f>
        <v>0</v>
      </c>
      <c r="AQ57" s="1076">
        <f>PFCDAtribe!$G52</f>
        <v>0</v>
      </c>
      <c r="AR57" s="1076">
        <f>PFMoLease!$G52</f>
        <v>0</v>
      </c>
      <c r="AS57" s="1076">
        <f>PFColstripEmiss!$G52</f>
        <v>0</v>
      </c>
      <c r="AT57" s="1076">
        <f>PFIncentives!$G52</f>
        <v>0</v>
      </c>
      <c r="AU57" s="709">
        <f>PFID_AMR!$G52</f>
        <v>0</v>
      </c>
      <c r="AV57" s="1076">
        <f>PFCS2!$G52</f>
        <v>0</v>
      </c>
      <c r="AW57" s="973">
        <f>PFEmpBen!$G52</f>
        <v>0</v>
      </c>
      <c r="AX57" s="973">
        <f>PFInsur!$G52</f>
        <v>0</v>
      </c>
      <c r="AY57" s="74"/>
      <c r="AZ57" s="74"/>
      <c r="BA57" s="74" t="e">
        <f t="shared" si="30"/>
        <v>#DIV/0!</v>
      </c>
      <c r="BB57" s="34"/>
      <c r="BG57" s="973">
        <f>PFNoxon2010!$G52</f>
        <v>0</v>
      </c>
    </row>
    <row r="58" spans="1:59" s="41" customFormat="1">
      <c r="A58" s="32">
        <v>30</v>
      </c>
      <c r="B58" s="34"/>
      <c r="C58" s="34" t="s">
        <v>459</v>
      </c>
      <c r="D58" s="34"/>
      <c r="E58" s="74">
        <f>ResultSumEl!G53</f>
        <v>156662</v>
      </c>
      <c r="F58" s="973">
        <f>DFITAMA!$G53</f>
        <v>0</v>
      </c>
      <c r="G58" s="709">
        <f>BldGain!$G53</f>
        <v>0</v>
      </c>
      <c r="H58" s="709">
        <f>ColstripAFUDC!$G53</f>
        <v>0</v>
      </c>
      <c r="I58" s="709">
        <f>ColstripCommon!$G53</f>
        <v>0</v>
      </c>
      <c r="J58" s="709">
        <f>'KF-BP_Summ'!$G53</f>
        <v>0</v>
      </c>
      <c r="K58" s="709">
        <f>CustAdv!$G53</f>
        <v>0</v>
      </c>
      <c r="L58" s="709">
        <f>ID_DSM_Inv!$G53</f>
        <v>0</v>
      </c>
      <c r="M58" s="709"/>
      <c r="N58" s="74">
        <f>SUM(E58:M58)</f>
        <v>156662</v>
      </c>
      <c r="O58" s="1076">
        <f>'DeprTrue-up'!$G53</f>
        <v>0</v>
      </c>
      <c r="P58" s="709">
        <f>BandO!$G53</f>
        <v>0</v>
      </c>
      <c r="Q58" s="973">
        <f>PropTax!$G53</f>
        <v>0</v>
      </c>
      <c r="R58" s="973">
        <f>UncollExp!$G53</f>
        <v>0</v>
      </c>
      <c r="S58" s="973">
        <f>RegExp!$G53</f>
        <v>0</v>
      </c>
      <c r="T58" s="709">
        <f>InjDam!$G53</f>
        <v>0</v>
      </c>
      <c r="U58" s="973">
        <f>FIT!$G53</f>
        <v>0</v>
      </c>
      <c r="V58" s="709">
        <f>ElimPowerCost!$G53</f>
        <v>0</v>
      </c>
      <c r="W58" s="709">
        <f>NezPerce!$G53</f>
        <v>0</v>
      </c>
      <c r="X58" s="1075">
        <f>ElimAR!G53</f>
        <v>0</v>
      </c>
      <c r="Y58" s="709">
        <f>ID_ClarkFork!$G53</f>
        <v>0</v>
      </c>
      <c r="Z58" s="709">
        <f>RevNormalztn!$G53</f>
        <v>0</v>
      </c>
      <c r="AA58" s="1271">
        <f>DebtInt!$G53</f>
        <v>0</v>
      </c>
      <c r="AB58" s="972">
        <f>MiscRestate!G53</f>
        <v>0</v>
      </c>
      <c r="AC58" s="74"/>
      <c r="AD58" s="74"/>
      <c r="AE58" s="74"/>
      <c r="AF58" s="74"/>
      <c r="AG58" s="74">
        <f>SUM(N58:AF58)</f>
        <v>156662</v>
      </c>
      <c r="AH58" s="1076">
        <f>PFPSID!$G53</f>
        <v>0</v>
      </c>
      <c r="AI58" s="1271">
        <f>'PFProdFctr-ID'!$G53</f>
        <v>0</v>
      </c>
      <c r="AJ58" s="1076">
        <f>PFLabor!$G53</f>
        <v>0</v>
      </c>
      <c r="AK58" s="1076">
        <f>PFExec!$G53</f>
        <v>0</v>
      </c>
      <c r="AL58" s="1076">
        <f>PFTrans!$G53</f>
        <v>0</v>
      </c>
      <c r="AM58" s="1076">
        <f>PFCapx2008!$G53</f>
        <v>0</v>
      </c>
      <c r="AN58" s="1076">
        <f>PFCapx2009!$G53</f>
        <v>0</v>
      </c>
      <c r="AO58" s="1076">
        <f>PFAssetMgmt!$G53</f>
        <v>0</v>
      </c>
      <c r="AP58" s="1076">
        <f>PFSR_Relicense!$G53</f>
        <v>0</v>
      </c>
      <c r="AQ58" s="1076">
        <f>PFCDAtribe!$G53</f>
        <v>0</v>
      </c>
      <c r="AR58" s="1076">
        <f>PFMoLease!$G53</f>
        <v>0</v>
      </c>
      <c r="AS58" s="1076">
        <f>PFColstripEmiss!$G53</f>
        <v>0</v>
      </c>
      <c r="AT58" s="1076">
        <f>PFIncentives!$G53</f>
        <v>0</v>
      </c>
      <c r="AU58" s="709">
        <f>PFID_AMR!$G53</f>
        <v>0</v>
      </c>
      <c r="AV58" s="1076">
        <f>PFCS2!$G53</f>
        <v>0</v>
      </c>
      <c r="AW58" s="973">
        <f>PFEmpBen!$G53</f>
        <v>0</v>
      </c>
      <c r="AX58" s="973">
        <f>PFInsur!$G53</f>
        <v>0</v>
      </c>
      <c r="AY58" s="74"/>
      <c r="AZ58" s="74"/>
      <c r="BA58" s="74">
        <f t="shared" si="30"/>
        <v>156662</v>
      </c>
      <c r="BB58" s="34"/>
      <c r="BG58" s="973">
        <f>PFNoxon2010!$G53</f>
        <v>0</v>
      </c>
    </row>
    <row r="59" spans="1:59" s="41" customFormat="1">
      <c r="A59" s="32">
        <v>31</v>
      </c>
      <c r="B59" s="34"/>
      <c r="C59" s="34" t="s">
        <v>441</v>
      </c>
      <c r="D59" s="34"/>
      <c r="E59" s="74">
        <f>ResultSumEl!G54</f>
        <v>341133</v>
      </c>
      <c r="F59" s="973">
        <f>DFITAMA!$G54</f>
        <v>0</v>
      </c>
      <c r="G59" s="709">
        <f>BldGain!$G54</f>
        <v>0</v>
      </c>
      <c r="H59" s="709">
        <f>ColstripAFUDC!$G54</f>
        <v>0</v>
      </c>
      <c r="I59" s="709">
        <f>ColstripCommon!$G54</f>
        <v>0</v>
      </c>
      <c r="J59" s="709">
        <f>'KF-BP_Summ'!$G54</f>
        <v>0</v>
      </c>
      <c r="K59" s="709">
        <f>CustAdv!$G54</f>
        <v>0</v>
      </c>
      <c r="L59" s="709">
        <f>ID_DSM_Inv!$G54</f>
        <v>0</v>
      </c>
      <c r="M59" s="709"/>
      <c r="N59" s="74">
        <f>SUM(E59:M59)</f>
        <v>341133</v>
      </c>
      <c r="O59" s="1076">
        <f>'DeprTrue-up'!$G54</f>
        <v>0</v>
      </c>
      <c r="P59" s="709">
        <f>BandO!$G54</f>
        <v>0</v>
      </c>
      <c r="Q59" s="973">
        <f>PropTax!$G54</f>
        <v>0</v>
      </c>
      <c r="R59" s="973">
        <f>UncollExp!$G54</f>
        <v>0</v>
      </c>
      <c r="S59" s="973">
        <f>RegExp!$G54</f>
        <v>0</v>
      </c>
      <c r="T59" s="709">
        <f>InjDam!$G54</f>
        <v>0</v>
      </c>
      <c r="U59" s="973">
        <f>FIT!$G54</f>
        <v>0</v>
      </c>
      <c r="V59" s="709">
        <f>ElimPowerCost!$G54</f>
        <v>0</v>
      </c>
      <c r="W59" s="709">
        <f>NezPerce!$G54</f>
        <v>0</v>
      </c>
      <c r="X59" s="1075">
        <f>ElimAR!G54</f>
        <v>0</v>
      </c>
      <c r="Y59" s="709">
        <f>ID_ClarkFork!$G54</f>
        <v>0</v>
      </c>
      <c r="Z59" s="709">
        <f>RevNormalztn!$G54</f>
        <v>0</v>
      </c>
      <c r="AA59" s="1271">
        <f>DebtInt!$G54</f>
        <v>0</v>
      </c>
      <c r="AB59" s="972">
        <f>MiscRestate!G54</f>
        <v>0</v>
      </c>
      <c r="AC59" s="74"/>
      <c r="AD59" s="74"/>
      <c r="AE59" s="74"/>
      <c r="AF59" s="74"/>
      <c r="AG59" s="74">
        <f>SUM(N59:AF59)</f>
        <v>341133</v>
      </c>
      <c r="AH59" s="1076">
        <f>PFPSID!$G54</f>
        <v>0</v>
      </c>
      <c r="AI59" s="1271">
        <f>'PFProdFctr-ID'!$G54</f>
        <v>0</v>
      </c>
      <c r="AJ59" s="1076">
        <f>PFLabor!$G54</f>
        <v>0</v>
      </c>
      <c r="AK59" s="1076">
        <f>PFExec!$G54</f>
        <v>0</v>
      </c>
      <c r="AL59" s="1076">
        <f>PFTrans!$G54</f>
        <v>0</v>
      </c>
      <c r="AM59" s="1076">
        <f>PFCapx2008!$G54</f>
        <v>0</v>
      </c>
      <c r="AN59" s="1076">
        <f>PFCapx2009!$G54</f>
        <v>0</v>
      </c>
      <c r="AO59" s="1076">
        <f>PFAssetMgmt!$G54</f>
        <v>0</v>
      </c>
      <c r="AP59" s="1076">
        <f>PFSR_Relicense!$G54</f>
        <v>0</v>
      </c>
      <c r="AQ59" s="1076">
        <f>PFCDAtribe!$G54</f>
        <v>0</v>
      </c>
      <c r="AR59" s="1076">
        <f>PFMoLease!$G54</f>
        <v>0</v>
      </c>
      <c r="AS59" s="1076">
        <f>PFColstripEmiss!$G54</f>
        <v>0</v>
      </c>
      <c r="AT59" s="1076">
        <f>PFIncentives!$G54</f>
        <v>0</v>
      </c>
      <c r="AU59" s="709">
        <f>PFID_AMR!$G54</f>
        <v>22253</v>
      </c>
      <c r="AV59" s="1076">
        <f>PFCS2!$G54</f>
        <v>0</v>
      </c>
      <c r="AW59" s="973">
        <f>PFEmpBen!$G54</f>
        <v>0</v>
      </c>
      <c r="AX59" s="973">
        <f>PFInsur!$G54</f>
        <v>0</v>
      </c>
      <c r="AY59" s="74"/>
      <c r="AZ59" s="74"/>
      <c r="BA59" s="74">
        <f t="shared" si="30"/>
        <v>363386</v>
      </c>
      <c r="BB59" s="34"/>
      <c r="BG59" s="973">
        <f>PFNoxon2010!$G54</f>
        <v>0</v>
      </c>
    </row>
    <row r="60" spans="1:59" s="41" customFormat="1">
      <c r="A60" s="32">
        <v>32</v>
      </c>
      <c r="B60" s="34"/>
      <c r="C60" s="34" t="s">
        <v>460</v>
      </c>
      <c r="D60" s="34"/>
      <c r="E60" s="75">
        <f>ResultSumEl!G55</f>
        <v>49818</v>
      </c>
      <c r="F60" s="974">
        <f>DFITAMA!$G55</f>
        <v>0</v>
      </c>
      <c r="G60" s="710">
        <f>BldGain!$G55</f>
        <v>0</v>
      </c>
      <c r="H60" s="710">
        <f>ColstripAFUDC!$G55</f>
        <v>0</v>
      </c>
      <c r="I60" s="710">
        <f>ColstripCommon!$G55</f>
        <v>0</v>
      </c>
      <c r="J60" s="710">
        <f>'KF-BP_Summ'!$G55</f>
        <v>0</v>
      </c>
      <c r="K60" s="710">
        <f>CustAdv!$G55</f>
        <v>0</v>
      </c>
      <c r="L60" s="710">
        <f>ID_DSM_Inv!$G55</f>
        <v>0</v>
      </c>
      <c r="M60" s="710"/>
      <c r="N60" s="75">
        <f>SUM(E60:M60)</f>
        <v>49818</v>
      </c>
      <c r="O60" s="1077">
        <f>'DeprTrue-up'!$G55</f>
        <v>0</v>
      </c>
      <c r="P60" s="710">
        <f>BandO!$G55</f>
        <v>0</v>
      </c>
      <c r="Q60" s="974">
        <f>PropTax!$G55</f>
        <v>0</v>
      </c>
      <c r="R60" s="974">
        <f>UncollExp!$G55</f>
        <v>0</v>
      </c>
      <c r="S60" s="974">
        <f>RegExp!$G55</f>
        <v>0</v>
      </c>
      <c r="T60" s="710">
        <f>InjDam!$G55</f>
        <v>0</v>
      </c>
      <c r="U60" s="974">
        <f>FIT!$G55</f>
        <v>0</v>
      </c>
      <c r="V60" s="710">
        <f>ElimPowerCost!$G55</f>
        <v>0</v>
      </c>
      <c r="W60" s="710">
        <f>NezPerce!$G55</f>
        <v>0</v>
      </c>
      <c r="X60" s="1077"/>
      <c r="Y60" s="710">
        <f>ID_ClarkFork!$G55</f>
        <v>0</v>
      </c>
      <c r="Z60" s="710">
        <f>RevNormalztn!$G55</f>
        <v>0</v>
      </c>
      <c r="AA60" s="1272">
        <f>DebtInt!$G55</f>
        <v>0</v>
      </c>
      <c r="AB60" s="974"/>
      <c r="AC60" s="75"/>
      <c r="AD60" s="75"/>
      <c r="AE60" s="75"/>
      <c r="AF60" s="75"/>
      <c r="AG60" s="75">
        <f>SUM(N60:AF60)</f>
        <v>49818</v>
      </c>
      <c r="AH60" s="1077">
        <f>PFPSID!$G55</f>
        <v>0</v>
      </c>
      <c r="AI60" s="1272">
        <f>'PFProdFctr-ID'!$G55</f>
        <v>0</v>
      </c>
      <c r="AJ60" s="1077">
        <f>PFLabor!$G55</f>
        <v>0</v>
      </c>
      <c r="AK60" s="1077">
        <f>PFExec!$G55</f>
        <v>0</v>
      </c>
      <c r="AL60" s="1077">
        <f>PFTrans!$G55</f>
        <v>0</v>
      </c>
      <c r="AM60" s="1077">
        <f>PFCapx2008!$G55</f>
        <v>0</v>
      </c>
      <c r="AN60" s="1077">
        <f>PFCapx2009!$G55</f>
        <v>0</v>
      </c>
      <c r="AO60" s="1077">
        <f>PFAssetMgmt!$G55</f>
        <v>0</v>
      </c>
      <c r="AP60" s="1077">
        <f>PFSR_Relicense!$G55</f>
        <v>0</v>
      </c>
      <c r="AQ60" s="1077">
        <f>PFCDAtribe!$G55</f>
        <v>0</v>
      </c>
      <c r="AR60" s="1077">
        <f>PFMoLease!$G55</f>
        <v>0</v>
      </c>
      <c r="AS60" s="1077">
        <f>PFColstripEmiss!$G55</f>
        <v>0</v>
      </c>
      <c r="AT60" s="1077">
        <f>PFIncentives!$G55</f>
        <v>0</v>
      </c>
      <c r="AU60" s="710">
        <f>PFID_AMR!$G55</f>
        <v>0</v>
      </c>
      <c r="AV60" s="1077">
        <f>PFCS2!$G55</f>
        <v>0</v>
      </c>
      <c r="AW60" s="974">
        <f>PFEmpBen!$G55</f>
        <v>0</v>
      </c>
      <c r="AX60" s="974">
        <f>PFInsur!$G55</f>
        <v>0</v>
      </c>
      <c r="AY60" s="75"/>
      <c r="AZ60" s="75"/>
      <c r="BA60" s="75">
        <f t="shared" si="30"/>
        <v>49818</v>
      </c>
      <c r="BB60" s="34"/>
      <c r="BG60" s="974">
        <f>PFNoxon2010!$G55</f>
        <v>0</v>
      </c>
    </row>
    <row r="61" spans="1:59" s="41" customFormat="1">
      <c r="A61" s="32">
        <v>33</v>
      </c>
      <c r="B61" s="34"/>
      <c r="C61" s="34"/>
      <c r="D61" s="34" t="s">
        <v>461</v>
      </c>
      <c r="E61" s="34">
        <f t="shared" ref="E61:Q61" si="31">SUM(E56:E60)</f>
        <v>919376</v>
      </c>
      <c r="F61" s="711">
        <f t="shared" si="31"/>
        <v>0</v>
      </c>
      <c r="G61" s="711">
        <f t="shared" si="31"/>
        <v>0</v>
      </c>
      <c r="H61" s="711">
        <f t="shared" si="31"/>
        <v>0</v>
      </c>
      <c r="I61" s="711">
        <f t="shared" si="31"/>
        <v>0</v>
      </c>
      <c r="J61" s="711">
        <f t="shared" si="31"/>
        <v>0</v>
      </c>
      <c r="K61" s="711">
        <f t="shared" si="31"/>
        <v>0</v>
      </c>
      <c r="L61" s="711">
        <f t="shared" si="31"/>
        <v>2630</v>
      </c>
      <c r="M61" s="711"/>
      <c r="N61" s="34">
        <f t="shared" si="31"/>
        <v>922006</v>
      </c>
      <c r="O61" s="711">
        <f>SUM(O56:O60)</f>
        <v>0</v>
      </c>
      <c r="P61" s="711">
        <f t="shared" si="31"/>
        <v>0</v>
      </c>
      <c r="Q61" s="711">
        <f t="shared" si="31"/>
        <v>0</v>
      </c>
      <c r="R61" s="711">
        <f t="shared" ref="R61:W61" si="32">SUM(R56:R60)</f>
        <v>0</v>
      </c>
      <c r="S61" s="711">
        <f t="shared" si="32"/>
        <v>0</v>
      </c>
      <c r="T61" s="711">
        <f t="shared" si="32"/>
        <v>0</v>
      </c>
      <c r="U61" s="711">
        <f t="shared" si="32"/>
        <v>0</v>
      </c>
      <c r="V61" s="711">
        <f t="shared" si="32"/>
        <v>0</v>
      </c>
      <c r="W61" s="711">
        <f t="shared" si="32"/>
        <v>0</v>
      </c>
      <c r="X61" s="1078">
        <f>SUM(X56:X60)</f>
        <v>0</v>
      </c>
      <c r="Y61" s="711">
        <f>SUM(Y56:Y60)</f>
        <v>0</v>
      </c>
      <c r="Z61" s="711">
        <f>SUM(Z56:Z60)</f>
        <v>0</v>
      </c>
      <c r="AA61" s="1273">
        <f>SUM(AA56:AA60)</f>
        <v>0</v>
      </c>
      <c r="AB61" s="975">
        <f>SUM(AB56:AB60)</f>
        <v>0</v>
      </c>
      <c r="AC61" s="34"/>
      <c r="AD61" s="34"/>
      <c r="AE61" s="34"/>
      <c r="AF61" s="34"/>
      <c r="AG61" s="34">
        <f>SUM(AG56:AG60)</f>
        <v>922006</v>
      </c>
      <c r="AH61" s="1078">
        <f t="shared" ref="AH61:AN61" si="33">SUM(AH56:AH60)</f>
        <v>0</v>
      </c>
      <c r="AI61" s="1273" t="e">
        <f t="shared" si="33"/>
        <v>#DIV/0!</v>
      </c>
      <c r="AJ61" s="1078">
        <f t="shared" si="33"/>
        <v>0</v>
      </c>
      <c r="AK61" s="1078">
        <f t="shared" si="33"/>
        <v>0</v>
      </c>
      <c r="AL61" s="1078">
        <f t="shared" si="33"/>
        <v>0</v>
      </c>
      <c r="AM61" s="1078">
        <f t="shared" si="33"/>
        <v>0</v>
      </c>
      <c r="AN61" s="1078">
        <f t="shared" si="33"/>
        <v>0</v>
      </c>
      <c r="AO61" s="1078">
        <f t="shared" ref="AO61:AZ61" si="34">SUM(AO56:AO60)</f>
        <v>0</v>
      </c>
      <c r="AP61" s="1078">
        <f t="shared" si="34"/>
        <v>0</v>
      </c>
      <c r="AQ61" s="1078">
        <f t="shared" si="34"/>
        <v>0</v>
      </c>
      <c r="AR61" s="1078">
        <f t="shared" si="34"/>
        <v>0</v>
      </c>
      <c r="AS61" s="1078">
        <f>SUM(AS56:AS60)</f>
        <v>0</v>
      </c>
      <c r="AT61" s="1078">
        <f t="shared" si="34"/>
        <v>0</v>
      </c>
      <c r="AU61" s="711">
        <f>SUM(AU56:AU60)</f>
        <v>22253</v>
      </c>
      <c r="AV61" s="1078">
        <f t="shared" si="34"/>
        <v>0</v>
      </c>
      <c r="AW61" s="975">
        <f t="shared" si="34"/>
        <v>0</v>
      </c>
      <c r="AX61" s="975">
        <f t="shared" si="34"/>
        <v>0</v>
      </c>
      <c r="AY61" s="34">
        <f t="shared" si="34"/>
        <v>0</v>
      </c>
      <c r="AZ61" s="34">
        <f t="shared" si="34"/>
        <v>0</v>
      </c>
      <c r="BA61" s="34" t="e">
        <f t="shared" si="30"/>
        <v>#DIV/0!</v>
      </c>
      <c r="BB61" s="34"/>
      <c r="BG61" s="975">
        <f>SUM(BG56:BG60)</f>
        <v>0</v>
      </c>
    </row>
    <row r="62" spans="1:59" s="41" customFormat="1" ht="18" customHeight="1">
      <c r="A62" s="32">
        <v>34</v>
      </c>
      <c r="B62" s="34" t="s">
        <v>462</v>
      </c>
      <c r="C62" s="34"/>
      <c r="D62" s="34"/>
      <c r="E62" s="74">
        <f>ResultSumEl!G57</f>
        <v>310555</v>
      </c>
      <c r="F62" s="973">
        <f>DFITAMA!$G57</f>
        <v>0</v>
      </c>
      <c r="G62" s="709">
        <f>BldGain!$G57</f>
        <v>0</v>
      </c>
      <c r="H62" s="709">
        <f>ColstripAFUDC!$G57</f>
        <v>0</v>
      </c>
      <c r="I62" s="709">
        <f>ColstripCommon!$G57</f>
        <v>0</v>
      </c>
      <c r="J62" s="709">
        <f>'KF-BP_Summ'!$G57</f>
        <v>0</v>
      </c>
      <c r="K62" s="709">
        <f>CustAdv!$G57</f>
        <v>0</v>
      </c>
      <c r="L62" s="709">
        <f>ID_DSM_Inv!$G57</f>
        <v>0</v>
      </c>
      <c r="M62" s="709"/>
      <c r="N62" s="74">
        <f>SUM(E62:M62)</f>
        <v>310555</v>
      </c>
      <c r="O62" s="709">
        <f>'DeprTrue-up'!$G57</f>
        <v>0</v>
      </c>
      <c r="P62" s="709">
        <f>BandO!$G57</f>
        <v>0</v>
      </c>
      <c r="Q62" s="973">
        <f>PropTax!$G57</f>
        <v>0</v>
      </c>
      <c r="R62" s="973">
        <f>UncollExp!$G57</f>
        <v>0</v>
      </c>
      <c r="S62" s="973">
        <f>RegExp!$G57</f>
        <v>0</v>
      </c>
      <c r="T62" s="709">
        <f>InjDam!$G57</f>
        <v>0</v>
      </c>
      <c r="U62" s="973">
        <f>FIT!$G57</f>
        <v>0</v>
      </c>
      <c r="V62" s="709">
        <f>ElimPowerCost!$G57</f>
        <v>0</v>
      </c>
      <c r="W62" s="709">
        <f>NezPerce!$G57</f>
        <v>0</v>
      </c>
      <c r="X62" s="1076"/>
      <c r="Y62" s="709">
        <f>ID_ClarkFork!$G57</f>
        <v>0</v>
      </c>
      <c r="Z62" s="709">
        <f>RevNormalztn!$G57</f>
        <v>0</v>
      </c>
      <c r="AA62" s="1271">
        <f>DebtInt!$G57</f>
        <v>0</v>
      </c>
      <c r="AB62" s="973"/>
      <c r="AC62" s="74"/>
      <c r="AD62" s="74"/>
      <c r="AE62" s="74"/>
      <c r="AF62" s="74"/>
      <c r="AG62" s="74">
        <f>SUM(N62:AF62)</f>
        <v>310555</v>
      </c>
      <c r="AH62" s="1076">
        <f>PFPSID!$G57</f>
        <v>0</v>
      </c>
      <c r="AI62" s="1271">
        <f>'PFProdFctr-ID'!$G57</f>
        <v>0</v>
      </c>
      <c r="AJ62" s="1076">
        <f>PFLabor!$G57</f>
        <v>0</v>
      </c>
      <c r="AK62" s="1076">
        <f>PFExec!$G57</f>
        <v>0</v>
      </c>
      <c r="AL62" s="1076">
        <f>PFTrans!$G57</f>
        <v>0</v>
      </c>
      <c r="AM62" s="1076">
        <f>PFCapx2008!$G57</f>
        <v>0</v>
      </c>
      <c r="AN62" s="1076">
        <f>PFCapx2009!$G57</f>
        <v>0</v>
      </c>
      <c r="AO62" s="1076">
        <f>PFAssetMgmt!$G57</f>
        <v>0</v>
      </c>
      <c r="AP62" s="1076">
        <f>PFSR_Relicense!$G57</f>
        <v>0</v>
      </c>
      <c r="AQ62" s="1076">
        <f>PFCDAtribe!$G57</f>
        <v>0</v>
      </c>
      <c r="AR62" s="1076">
        <f>PFMoLease!$G57</f>
        <v>0</v>
      </c>
      <c r="AS62" s="1076">
        <f>PFColstripEmiss!$G57</f>
        <v>0</v>
      </c>
      <c r="AT62" s="1076">
        <f>PFIncentives!$G57</f>
        <v>0</v>
      </c>
      <c r="AU62" s="709">
        <f>PFID_AMR!$G57</f>
        <v>0</v>
      </c>
      <c r="AV62" s="1076">
        <f>PFCS2!$G57</f>
        <v>0</v>
      </c>
      <c r="AW62" s="973">
        <f>PFEmpBen!$G57</f>
        <v>0</v>
      </c>
      <c r="AX62" s="973">
        <f>PFInsur!$G57</f>
        <v>0</v>
      </c>
      <c r="AY62" s="74"/>
      <c r="AZ62" s="74"/>
      <c r="BA62" s="74">
        <f t="shared" si="30"/>
        <v>310555</v>
      </c>
      <c r="BB62" s="34"/>
      <c r="BG62" s="973">
        <f>PFNoxon2010!$G57</f>
        <v>0</v>
      </c>
    </row>
    <row r="63" spans="1:59" s="41" customFormat="1">
      <c r="A63" s="32">
        <v>35</v>
      </c>
      <c r="B63" s="34" t="s">
        <v>463</v>
      </c>
      <c r="C63" s="34"/>
      <c r="D63" s="34"/>
      <c r="E63" s="75">
        <f>ResultSumEl!G58</f>
        <v>3664</v>
      </c>
      <c r="F63" s="974">
        <f>DFITAMA!$G58</f>
        <v>0</v>
      </c>
      <c r="G63" s="710">
        <f>BldGain!$G58</f>
        <v>0</v>
      </c>
      <c r="H63" s="710">
        <f>ColstripAFUDC!$G58</f>
        <v>0</v>
      </c>
      <c r="I63" s="710">
        <f>ColstripCommon!$G58</f>
        <v>0</v>
      </c>
      <c r="J63" s="710">
        <f>'KF-BP_Summ'!$G58</f>
        <v>0</v>
      </c>
      <c r="K63" s="710">
        <f>CustAdv!$G58</f>
        <v>0</v>
      </c>
      <c r="L63" s="710">
        <f>ID_DSM_Inv!$G58</f>
        <v>0</v>
      </c>
      <c r="M63" s="710"/>
      <c r="N63" s="75">
        <f>SUM(E63:M63)</f>
        <v>3664</v>
      </c>
      <c r="O63" s="1077">
        <f>'DeprTrue-up'!$G58</f>
        <v>0</v>
      </c>
      <c r="P63" s="710">
        <f>BandO!$G58</f>
        <v>0</v>
      </c>
      <c r="Q63" s="974">
        <f>PropTax!$G58</f>
        <v>0</v>
      </c>
      <c r="R63" s="974">
        <f>UncollExp!$G58</f>
        <v>0</v>
      </c>
      <c r="S63" s="974">
        <f>RegExp!$G58</f>
        <v>0</v>
      </c>
      <c r="T63" s="710">
        <f>InjDam!$G58</f>
        <v>0</v>
      </c>
      <c r="U63" s="974">
        <f>FIT!$G58</f>
        <v>0</v>
      </c>
      <c r="V63" s="710">
        <f>ElimPowerCost!$G58</f>
        <v>0</v>
      </c>
      <c r="W63" s="710">
        <f>NezPerce!$G58</f>
        <v>0</v>
      </c>
      <c r="X63" s="1077"/>
      <c r="Y63" s="710">
        <f>ID_ClarkFork!$G58</f>
        <v>0</v>
      </c>
      <c r="Z63" s="710">
        <f>RevNormalztn!$G58</f>
        <v>0</v>
      </c>
      <c r="AA63" s="1272">
        <f>DebtInt!$G58</f>
        <v>0</v>
      </c>
      <c r="AB63" s="974"/>
      <c r="AC63" s="75"/>
      <c r="AD63" s="75"/>
      <c r="AE63" s="75"/>
      <c r="AF63" s="75"/>
      <c r="AG63" s="75">
        <f>SUM(N63:AF63)</f>
        <v>3664</v>
      </c>
      <c r="AH63" s="1077">
        <f>PFPSID!$G58</f>
        <v>0</v>
      </c>
      <c r="AI63" s="1272">
        <f>'PFProdFctr-ID'!$G58</f>
        <v>0</v>
      </c>
      <c r="AJ63" s="1077">
        <f>PFLabor!$G58</f>
        <v>0</v>
      </c>
      <c r="AK63" s="1077">
        <f>PFExec!$G58</f>
        <v>0</v>
      </c>
      <c r="AL63" s="1077">
        <f>PFTrans!$G58</f>
        <v>0</v>
      </c>
      <c r="AM63" s="1077">
        <f>PFCapx2008!$G58</f>
        <v>0</v>
      </c>
      <c r="AN63" s="1077">
        <f>PFCapx2009!$G58</f>
        <v>0</v>
      </c>
      <c r="AO63" s="1077">
        <f>PFAssetMgmt!$G58</f>
        <v>0</v>
      </c>
      <c r="AP63" s="1077">
        <f>PFSR_Relicense!$G58</f>
        <v>0</v>
      </c>
      <c r="AQ63" s="1077">
        <f>PFCDAtribe!$G58</f>
        <v>0</v>
      </c>
      <c r="AR63" s="1077">
        <f>PFMoLease!$G58</f>
        <v>0</v>
      </c>
      <c r="AS63" s="1077">
        <f>PFColstripEmiss!$G58</f>
        <v>0</v>
      </c>
      <c r="AT63" s="1077">
        <f>PFIncentives!$G58</f>
        <v>0</v>
      </c>
      <c r="AU63" s="710">
        <f>PFID_AMR!$G58</f>
        <v>332</v>
      </c>
      <c r="AV63" s="1077">
        <f>PFCS2!$G58</f>
        <v>0</v>
      </c>
      <c r="AW63" s="974">
        <f>PFEmpBen!$G58</f>
        <v>0</v>
      </c>
      <c r="AX63" s="974">
        <f>PFInsur!$G58</f>
        <v>0</v>
      </c>
      <c r="AY63" s="75"/>
      <c r="AZ63" s="75"/>
      <c r="BA63" s="75">
        <f t="shared" si="30"/>
        <v>3996</v>
      </c>
      <c r="BB63" s="34"/>
      <c r="BG63" s="974">
        <f>PFNoxon2010!$G58</f>
        <v>0</v>
      </c>
    </row>
    <row r="64" spans="1:59" s="41" customFormat="1">
      <c r="A64" s="32">
        <v>36</v>
      </c>
      <c r="B64" s="34"/>
      <c r="C64" s="34" t="s">
        <v>464</v>
      </c>
      <c r="D64" s="34"/>
      <c r="E64" s="34">
        <f t="shared" ref="E64:Q64" si="35">SUM(E62:E63)</f>
        <v>314219</v>
      </c>
      <c r="F64" s="711">
        <f t="shared" si="35"/>
        <v>0</v>
      </c>
      <c r="G64" s="711">
        <f t="shared" si="35"/>
        <v>0</v>
      </c>
      <c r="H64" s="711">
        <f t="shared" si="35"/>
        <v>0</v>
      </c>
      <c r="I64" s="711">
        <f t="shared" si="35"/>
        <v>0</v>
      </c>
      <c r="J64" s="711">
        <f t="shared" si="35"/>
        <v>0</v>
      </c>
      <c r="K64" s="711">
        <f t="shared" si="35"/>
        <v>0</v>
      </c>
      <c r="L64" s="711">
        <f t="shared" si="35"/>
        <v>0</v>
      </c>
      <c r="M64" s="711"/>
      <c r="N64" s="34">
        <f t="shared" si="35"/>
        <v>314219</v>
      </c>
      <c r="O64" s="711">
        <f>SUM(O62:O63)</f>
        <v>0</v>
      </c>
      <c r="P64" s="711">
        <f t="shared" si="35"/>
        <v>0</v>
      </c>
      <c r="Q64" s="711">
        <f t="shared" si="35"/>
        <v>0</v>
      </c>
      <c r="R64" s="711">
        <f t="shared" ref="R64:W64" si="36">SUM(R62:R63)</f>
        <v>0</v>
      </c>
      <c r="S64" s="711">
        <f t="shared" si="36"/>
        <v>0</v>
      </c>
      <c r="T64" s="711">
        <f t="shared" si="36"/>
        <v>0</v>
      </c>
      <c r="U64" s="711">
        <f t="shared" si="36"/>
        <v>0</v>
      </c>
      <c r="V64" s="711">
        <f t="shared" si="36"/>
        <v>0</v>
      </c>
      <c r="W64" s="711">
        <f t="shared" si="36"/>
        <v>0</v>
      </c>
      <c r="X64" s="1078">
        <f>SUM(X62:X63)</f>
        <v>0</v>
      </c>
      <c r="Y64" s="711">
        <f>SUM(Y62:Y63)</f>
        <v>0</v>
      </c>
      <c r="Z64" s="711">
        <f>SUM(Z62:Z63)</f>
        <v>0</v>
      </c>
      <c r="AA64" s="1273">
        <f>SUM(AA62:AA63)</f>
        <v>0</v>
      </c>
      <c r="AB64" s="975">
        <f>SUM(AB62:AB63)</f>
        <v>0</v>
      </c>
      <c r="AC64" s="34"/>
      <c r="AD64" s="34"/>
      <c r="AE64" s="34"/>
      <c r="AF64" s="34"/>
      <c r="AG64" s="34">
        <f>SUM(AG62:AG63)</f>
        <v>314219</v>
      </c>
      <c r="AH64" s="1078">
        <f t="shared" ref="AH64:AN64" si="37">SUM(AH62:AH63)</f>
        <v>0</v>
      </c>
      <c r="AI64" s="1273">
        <f t="shared" si="37"/>
        <v>0</v>
      </c>
      <c r="AJ64" s="1078">
        <f t="shared" si="37"/>
        <v>0</v>
      </c>
      <c r="AK64" s="1078">
        <f t="shared" si="37"/>
        <v>0</v>
      </c>
      <c r="AL64" s="1078">
        <f t="shared" si="37"/>
        <v>0</v>
      </c>
      <c r="AM64" s="1078">
        <f t="shared" si="37"/>
        <v>0</v>
      </c>
      <c r="AN64" s="1078">
        <f t="shared" si="37"/>
        <v>0</v>
      </c>
      <c r="AO64" s="1078">
        <f t="shared" ref="AO64:AZ64" si="38">SUM(AO62:AO63)</f>
        <v>0</v>
      </c>
      <c r="AP64" s="1078">
        <f t="shared" si="38"/>
        <v>0</v>
      </c>
      <c r="AQ64" s="1078">
        <f t="shared" si="38"/>
        <v>0</v>
      </c>
      <c r="AR64" s="1078">
        <f t="shared" si="38"/>
        <v>0</v>
      </c>
      <c r="AS64" s="1078">
        <f>SUM(AS62:AS63)</f>
        <v>0</v>
      </c>
      <c r="AT64" s="1078">
        <f t="shared" si="38"/>
        <v>0</v>
      </c>
      <c r="AU64" s="711">
        <f>SUM(AU62:AU63)</f>
        <v>332</v>
      </c>
      <c r="AV64" s="1078">
        <f t="shared" si="38"/>
        <v>0</v>
      </c>
      <c r="AW64" s="975">
        <f t="shared" si="38"/>
        <v>0</v>
      </c>
      <c r="AX64" s="975">
        <f t="shared" si="38"/>
        <v>0</v>
      </c>
      <c r="AY64" s="34">
        <f t="shared" si="38"/>
        <v>0</v>
      </c>
      <c r="AZ64" s="34">
        <f t="shared" si="38"/>
        <v>0</v>
      </c>
      <c r="BA64" s="34">
        <f t="shared" si="30"/>
        <v>314551</v>
      </c>
      <c r="BB64" s="34"/>
      <c r="BG64" s="975">
        <f>SUM(BG62:BG63)</f>
        <v>0</v>
      </c>
    </row>
    <row r="65" spans="1:59" s="41" customFormat="1">
      <c r="A65" s="32">
        <v>37</v>
      </c>
      <c r="B65" s="34" t="s">
        <v>465</v>
      </c>
      <c r="C65" s="34"/>
      <c r="D65" s="34"/>
      <c r="E65" s="74">
        <f>ResultSumEl!G60</f>
        <v>0</v>
      </c>
      <c r="F65" s="973">
        <f>DFITAMA!$G60</f>
        <v>0</v>
      </c>
      <c r="G65" s="709">
        <f>BldGain!$G60</f>
        <v>0</v>
      </c>
      <c r="H65" s="709">
        <f>ColstripAFUDC!$G60</f>
        <v>0</v>
      </c>
      <c r="I65" s="709">
        <f>ColstripCommon!$G60</f>
        <v>0</v>
      </c>
      <c r="J65" s="709">
        <f>'KF-BP_Summ'!$G60</f>
        <v>0</v>
      </c>
      <c r="K65" s="709">
        <f>CustAdv!$G60</f>
        <v>0</v>
      </c>
      <c r="L65" s="709">
        <f>ID_DSM_Inv!$G60</f>
        <v>0</v>
      </c>
      <c r="M65" s="709"/>
      <c r="N65" s="74">
        <f>SUM(E65:M65)</f>
        <v>0</v>
      </c>
      <c r="O65" s="1076">
        <f>'DeprTrue-up'!$G60</f>
        <v>0</v>
      </c>
      <c r="P65" s="709">
        <f>BandO!$G60</f>
        <v>0</v>
      </c>
      <c r="Q65" s="973">
        <f>PropTax!$G60</f>
        <v>0</v>
      </c>
      <c r="R65" s="973">
        <f>UncollExp!$G60</f>
        <v>0</v>
      </c>
      <c r="S65" s="973">
        <f>RegExp!$G60</f>
        <v>0</v>
      </c>
      <c r="T65" s="709">
        <f>InjDam!$G60</f>
        <v>0</v>
      </c>
      <c r="U65" s="973">
        <f>FIT!$G60</f>
        <v>0</v>
      </c>
      <c r="V65" s="709">
        <f>ElimPowerCost!$G60</f>
        <v>0</v>
      </c>
      <c r="W65" s="709">
        <f>NezPerce!$G60</f>
        <v>0</v>
      </c>
      <c r="X65" s="1076"/>
      <c r="Y65" s="709">
        <f>ID_ClarkFork!$G60</f>
        <v>0</v>
      </c>
      <c r="Z65" s="709">
        <f>RevNormalztn!$G60</f>
        <v>0</v>
      </c>
      <c r="AA65" s="1271">
        <f>DebtInt!$G60</f>
        <v>0</v>
      </c>
      <c r="AB65" s="973"/>
      <c r="AC65" s="74"/>
      <c r="AD65" s="74"/>
      <c r="AE65" s="74"/>
      <c r="AF65" s="74"/>
      <c r="AG65" s="74">
        <f>SUM(N65:AF65)</f>
        <v>0</v>
      </c>
      <c r="AH65" s="1076">
        <f>PFPSID!$G60</f>
        <v>0</v>
      </c>
      <c r="AI65" s="1271">
        <f>'PFProdFctr-ID'!$G60</f>
        <v>0</v>
      </c>
      <c r="AJ65" s="1076">
        <f>PFLabor!$G60</f>
        <v>0</v>
      </c>
      <c r="AK65" s="1076">
        <f>PFExec!$G60</f>
        <v>0</v>
      </c>
      <c r="AL65" s="1076">
        <f>PFTrans!$G60</f>
        <v>0</v>
      </c>
      <c r="AM65" s="1076">
        <f>PFCapx2008!$G60</f>
        <v>0</v>
      </c>
      <c r="AN65" s="1076">
        <f>PFCapx2009!$G60</f>
        <v>0</v>
      </c>
      <c r="AO65" s="1076">
        <f>PFAssetMgmt!$G60</f>
        <v>0</v>
      </c>
      <c r="AP65" s="1076">
        <f>PFSR_Relicense!$G60</f>
        <v>0</v>
      </c>
      <c r="AQ65" s="1076">
        <f>PFCDAtribe!$G60</f>
        <v>0</v>
      </c>
      <c r="AR65" s="1076">
        <f>PFMoLease!$G60</f>
        <v>0</v>
      </c>
      <c r="AS65" s="1076">
        <f>PFColstripEmiss!$G60</f>
        <v>0</v>
      </c>
      <c r="AT65" s="1076">
        <f>PFIncentives!$G60</f>
        <v>0</v>
      </c>
      <c r="AU65" s="709">
        <f>PFID_AMR!$G60</f>
        <v>0</v>
      </c>
      <c r="AV65" s="1076">
        <f>PFCS2!$G60</f>
        <v>0</v>
      </c>
      <c r="AW65" s="973">
        <f>PFEmpBen!$G60</f>
        <v>0</v>
      </c>
      <c r="AX65" s="973">
        <f>PFInsur!$G60</f>
        <v>0</v>
      </c>
      <c r="AY65" s="74"/>
      <c r="AZ65" s="74"/>
      <c r="BA65" s="74">
        <f t="shared" si="30"/>
        <v>0</v>
      </c>
      <c r="BB65" s="34"/>
      <c r="BG65" s="973">
        <f>PFNoxon2010!$G60</f>
        <v>0</v>
      </c>
    </row>
    <row r="66" spans="1:59" s="41" customFormat="1">
      <c r="A66" s="32">
        <v>38</v>
      </c>
      <c r="B66" s="34" t="s">
        <v>466</v>
      </c>
      <c r="C66" s="34"/>
      <c r="D66" s="34"/>
      <c r="E66" s="75">
        <f>ResultSumEl!G61</f>
        <v>0</v>
      </c>
      <c r="F66" s="710">
        <f>DFITAMA!G61</f>
        <v>-82407</v>
      </c>
      <c r="G66" s="710">
        <f>BldGain!$G61</f>
        <v>0</v>
      </c>
      <c r="H66" s="710">
        <f>ColstripAFUDC!$G61</f>
        <v>0</v>
      </c>
      <c r="I66" s="710">
        <f>ColstripCommon!$G61</f>
        <v>0</v>
      </c>
      <c r="J66" s="710">
        <f>'KF-BP_Summ'!$G61</f>
        <v>0</v>
      </c>
      <c r="K66" s="710">
        <f>CustAdv!$G61</f>
        <v>0</v>
      </c>
      <c r="L66" s="710">
        <f>ID_DSM_Inv!$G61</f>
        <v>0</v>
      </c>
      <c r="M66" s="710"/>
      <c r="N66" s="75">
        <f>SUM(E66:M66)</f>
        <v>-82407</v>
      </c>
      <c r="O66" s="710">
        <f>'DeprTrue-up'!$G61</f>
        <v>0</v>
      </c>
      <c r="P66" s="710">
        <f>BandO!$G61</f>
        <v>0</v>
      </c>
      <c r="Q66" s="974">
        <f>PropTax!$G61</f>
        <v>0</v>
      </c>
      <c r="R66" s="974">
        <f>UncollExp!$G61</f>
        <v>0</v>
      </c>
      <c r="S66" s="974">
        <f>RegExp!$G61</f>
        <v>0</v>
      </c>
      <c r="T66" s="710">
        <f>InjDam!$G61</f>
        <v>0</v>
      </c>
      <c r="U66" s="974">
        <f>FIT!$G61</f>
        <v>0</v>
      </c>
      <c r="V66" s="710">
        <f>ElimPowerCost!$G61</f>
        <v>0</v>
      </c>
      <c r="W66" s="710">
        <f>NezPerce!$G61</f>
        <v>0</v>
      </c>
      <c r="X66" s="1077"/>
      <c r="Y66" s="710">
        <f>ID_ClarkFork!$G61</f>
        <v>0</v>
      </c>
      <c r="Z66" s="710">
        <f>RevNormalztn!$G61</f>
        <v>0</v>
      </c>
      <c r="AA66" s="1272">
        <f>DebtInt!$G61</f>
        <v>0</v>
      </c>
      <c r="AB66" s="974"/>
      <c r="AC66" s="75"/>
      <c r="AD66" s="75"/>
      <c r="AE66" s="75"/>
      <c r="AF66" s="75"/>
      <c r="AG66" s="75">
        <f>SUM(N66:AF66)</f>
        <v>-82407</v>
      </c>
      <c r="AH66" s="1077">
        <f>PFPSID!$G61</f>
        <v>0</v>
      </c>
      <c r="AI66" s="1272">
        <f>'PFProdFctr-ID'!$G61</f>
        <v>0</v>
      </c>
      <c r="AJ66" s="1077">
        <f>PFLabor!$G61</f>
        <v>0</v>
      </c>
      <c r="AK66" s="1077">
        <f>PFExec!$G61</f>
        <v>0</v>
      </c>
      <c r="AL66" s="1077">
        <f>PFTrans!$G61</f>
        <v>0</v>
      </c>
      <c r="AM66" s="1077">
        <f>PFCapx2008!$G61</f>
        <v>0</v>
      </c>
      <c r="AN66" s="1077">
        <f>PFCapx2009!$G61</f>
        <v>0</v>
      </c>
      <c r="AO66" s="1077">
        <f>PFAssetMgmt!$G61</f>
        <v>0</v>
      </c>
      <c r="AP66" s="1077">
        <f>PFSR_Relicense!$G61</f>
        <v>0</v>
      </c>
      <c r="AQ66" s="1077">
        <f>PFCDAtribe!$G61</f>
        <v>0</v>
      </c>
      <c r="AR66" s="1077">
        <f>PFMoLease!$G61</f>
        <v>0</v>
      </c>
      <c r="AS66" s="1077">
        <f>PFColstripEmiss!$G61</f>
        <v>0</v>
      </c>
      <c r="AT66" s="1077">
        <f>PFIncentives!$G61</f>
        <v>0</v>
      </c>
      <c r="AU66" s="710">
        <f>PFID_AMR!$G61</f>
        <v>-69</v>
      </c>
      <c r="AV66" s="1077">
        <f>PFCS2!$G61</f>
        <v>0</v>
      </c>
      <c r="AW66" s="974">
        <f>PFEmpBen!$G61</f>
        <v>0</v>
      </c>
      <c r="AX66" s="974">
        <f>PFInsur!$G61</f>
        <v>0</v>
      </c>
      <c r="AY66" s="75"/>
      <c r="AZ66" s="75"/>
      <c r="BA66" s="75">
        <f t="shared" si="30"/>
        <v>-82476</v>
      </c>
      <c r="BB66" s="34"/>
      <c r="BG66" s="974">
        <f>PFNoxon2010!$G61</f>
        <v>0</v>
      </c>
    </row>
    <row r="67" spans="1:59">
      <c r="A67" s="32"/>
      <c r="B67" s="34"/>
      <c r="C67" s="34"/>
      <c r="D67" s="34"/>
      <c r="E67" s="34"/>
      <c r="F67" s="975"/>
      <c r="G67" s="711"/>
      <c r="H67" s="711"/>
      <c r="I67" s="711"/>
      <c r="J67" s="711"/>
      <c r="K67" s="711"/>
      <c r="L67" s="711"/>
      <c r="M67" s="711"/>
      <c r="N67" s="34"/>
      <c r="O67" s="1078"/>
      <c r="P67" s="711"/>
      <c r="Q67" s="975"/>
      <c r="R67" s="975"/>
      <c r="S67" s="975"/>
      <c r="T67" s="711"/>
      <c r="U67" s="975"/>
      <c r="V67" s="711"/>
      <c r="W67" s="711"/>
      <c r="X67" s="1078"/>
      <c r="Y67" s="711"/>
      <c r="Z67" s="711"/>
      <c r="AA67" s="1273"/>
      <c r="AB67" s="975"/>
      <c r="AC67" s="34"/>
      <c r="AD67" s="34"/>
      <c r="AE67" s="34"/>
      <c r="AF67" s="34"/>
      <c r="AG67" s="34"/>
      <c r="AH67" s="1078"/>
      <c r="AI67" s="1273"/>
      <c r="AJ67" s="1078"/>
      <c r="AK67" s="1078"/>
      <c r="AL67" s="1078"/>
      <c r="AM67" s="1078"/>
      <c r="AN67" s="1078"/>
      <c r="AO67" s="1078"/>
      <c r="AP67" s="1078"/>
      <c r="AQ67" s="1078"/>
      <c r="AR67" s="1078"/>
      <c r="AS67" s="1078"/>
      <c r="AT67" s="1078"/>
      <c r="AU67" s="711"/>
      <c r="AV67" s="1078"/>
      <c r="AW67" s="975"/>
      <c r="AX67" s="975"/>
      <c r="BA67" s="34">
        <f t="shared" si="30"/>
        <v>0</v>
      </c>
      <c r="BB67" s="34"/>
      <c r="BG67" s="975"/>
    </row>
    <row r="68" spans="1:59" s="40" customFormat="1" ht="12.75" thickBot="1">
      <c r="A68" s="35">
        <v>39</v>
      </c>
      <c r="B68" s="33" t="s">
        <v>467</v>
      </c>
      <c r="C68" s="33"/>
      <c r="D68" s="33"/>
      <c r="E68" s="238">
        <f t="shared" ref="E68:Q68" si="39">E61-E64+E65+E66</f>
        <v>605157</v>
      </c>
      <c r="F68" s="713">
        <f t="shared" si="39"/>
        <v>-82407</v>
      </c>
      <c r="G68" s="713">
        <f t="shared" si="39"/>
        <v>0</v>
      </c>
      <c r="H68" s="713">
        <f t="shared" si="39"/>
        <v>0</v>
      </c>
      <c r="I68" s="713">
        <f t="shared" si="39"/>
        <v>0</v>
      </c>
      <c r="J68" s="713">
        <f t="shared" si="39"/>
        <v>0</v>
      </c>
      <c r="K68" s="713">
        <f>K61-K64+K65+K66</f>
        <v>0</v>
      </c>
      <c r="L68" s="713">
        <f>L61-L64+L65+L66</f>
        <v>2630</v>
      </c>
      <c r="M68" s="713"/>
      <c r="N68" s="238">
        <f t="shared" si="39"/>
        <v>525380</v>
      </c>
      <c r="O68" s="713">
        <f>O61-O64+O65+O66</f>
        <v>0</v>
      </c>
      <c r="P68" s="713">
        <f t="shared" si="39"/>
        <v>0</v>
      </c>
      <c r="Q68" s="713">
        <f t="shared" si="39"/>
        <v>0</v>
      </c>
      <c r="R68" s="713">
        <f t="shared" ref="R68:W68" si="40">R61-R64+R65+R66</f>
        <v>0</v>
      </c>
      <c r="S68" s="713">
        <f t="shared" si="40"/>
        <v>0</v>
      </c>
      <c r="T68" s="713">
        <f t="shared" si="40"/>
        <v>0</v>
      </c>
      <c r="U68" s="713">
        <f t="shared" si="40"/>
        <v>0</v>
      </c>
      <c r="V68" s="713">
        <f>V61-V64+V65+V66</f>
        <v>0</v>
      </c>
      <c r="W68" s="713">
        <f t="shared" si="40"/>
        <v>0</v>
      </c>
      <c r="X68" s="1080">
        <f>X61-X64+X65+X66</f>
        <v>0</v>
      </c>
      <c r="Y68" s="713">
        <f>Y61-Y64+Y65+Y66</f>
        <v>0</v>
      </c>
      <c r="Z68" s="713">
        <f>Z61-Z64+Z65+Z66</f>
        <v>0</v>
      </c>
      <c r="AA68" s="1275">
        <f>AA61-AA64+AA65+AA66</f>
        <v>0</v>
      </c>
      <c r="AB68" s="977">
        <f>AB61-AB64+AB65+AB66</f>
        <v>0</v>
      </c>
      <c r="AC68" s="238"/>
      <c r="AD68" s="238"/>
      <c r="AE68" s="238"/>
      <c r="AF68" s="238"/>
      <c r="AG68" s="238">
        <f t="shared" ref="AG68:AO68" si="41">AG61-AG64+AG65+AG66</f>
        <v>525380</v>
      </c>
      <c r="AH68" s="1080">
        <f t="shared" si="41"/>
        <v>0</v>
      </c>
      <c r="AI68" s="1275" t="e">
        <f t="shared" si="41"/>
        <v>#DIV/0!</v>
      </c>
      <c r="AJ68" s="1080">
        <f t="shared" si="41"/>
        <v>0</v>
      </c>
      <c r="AK68" s="1080">
        <f t="shared" si="41"/>
        <v>0</v>
      </c>
      <c r="AL68" s="1080">
        <f t="shared" si="41"/>
        <v>0</v>
      </c>
      <c r="AM68" s="1080">
        <f t="shared" si="41"/>
        <v>0</v>
      </c>
      <c r="AN68" s="1080">
        <f t="shared" si="41"/>
        <v>0</v>
      </c>
      <c r="AO68" s="1080">
        <f t="shared" si="41"/>
        <v>0</v>
      </c>
      <c r="AP68" s="1080">
        <f>AP61-AP64+AP65+AP66</f>
        <v>0</v>
      </c>
      <c r="AQ68" s="1080">
        <f>AQ61-AQ64+AQ65+AQ66</f>
        <v>0</v>
      </c>
      <c r="AR68" s="1080">
        <f t="shared" ref="AR68:AZ68" si="42">AR61-AR64+AR65+AR66</f>
        <v>0</v>
      </c>
      <c r="AS68" s="1080">
        <f>AS61-AS64+AS65+AS66</f>
        <v>0</v>
      </c>
      <c r="AT68" s="1080">
        <f t="shared" si="42"/>
        <v>0</v>
      </c>
      <c r="AU68" s="713">
        <f>AU61-AU64+AU65+AU66</f>
        <v>21852</v>
      </c>
      <c r="AV68" s="1080">
        <f t="shared" si="42"/>
        <v>0</v>
      </c>
      <c r="AW68" s="977">
        <f>AW61-AW64+AW65+AW66</f>
        <v>0</v>
      </c>
      <c r="AX68" s="977">
        <f t="shared" si="42"/>
        <v>0</v>
      </c>
      <c r="AY68" s="238">
        <f>AY61-AY64+AY65+AY66</f>
        <v>0</v>
      </c>
      <c r="AZ68" s="238">
        <f t="shared" si="42"/>
        <v>0</v>
      </c>
      <c r="BA68" s="238" t="e">
        <f t="shared" si="30"/>
        <v>#DIV/0!</v>
      </c>
      <c r="BB68" s="33"/>
      <c r="BG68" s="977">
        <f>BG61-BG64+BG65+BG66</f>
        <v>0</v>
      </c>
    </row>
    <row r="69" spans="1:59" ht="18" customHeight="1" thickTop="1">
      <c r="A69" s="32">
        <v>40</v>
      </c>
      <c r="B69" s="2" t="s">
        <v>468</v>
      </c>
      <c r="E69" s="942">
        <f>ROUND(E52/E68,4)</f>
        <v>6.9900000000000004E-2</v>
      </c>
      <c r="N69" s="37">
        <f>ROUND(N52/N68,4)</f>
        <v>8.0500000000000002E-2</v>
      </c>
      <c r="AG69" s="37">
        <f>ROUND(AG52/AG68,4)</f>
        <v>7.9899999999999999E-2</v>
      </c>
      <c r="BA69" s="37" t="e">
        <f>ROUND(BA52/BA68,4)</f>
        <v>#DIV/0!</v>
      </c>
    </row>
    <row r="70" spans="1:59">
      <c r="E70" s="37"/>
    </row>
    <row r="71" spans="1:59">
      <c r="D71" s="2" t="s">
        <v>537</v>
      </c>
      <c r="E71" s="942">
        <f>RevReq_Exh_ID!E43</f>
        <v>8.7400000000000005E-2</v>
      </c>
    </row>
    <row r="72" spans="1:59">
      <c r="D72" s="2" t="s">
        <v>396</v>
      </c>
      <c r="E72" s="1024">
        <f>'ConverFac_Exh-ID'!E23</f>
        <v>0.63956230000000003</v>
      </c>
    </row>
    <row r="73" spans="1:59">
      <c r="E73" s="721"/>
    </row>
    <row r="74" spans="1:59">
      <c r="D74" s="2" t="s">
        <v>538</v>
      </c>
      <c r="E74" s="721">
        <f>E68*$E$71-E52</f>
        <v>10577.721800000007</v>
      </c>
      <c r="F74" s="1050">
        <f t="shared" ref="F74:K74" si="43">F68*$E$71-F52</f>
        <v>-7202.3718000000008</v>
      </c>
      <c r="G74" s="1050">
        <f t="shared" si="43"/>
        <v>0</v>
      </c>
      <c r="H74" s="1050">
        <f t="shared" si="43"/>
        <v>0</v>
      </c>
      <c r="I74" s="1050">
        <f t="shared" si="43"/>
        <v>0</v>
      </c>
      <c r="J74" s="1050">
        <f t="shared" si="43"/>
        <v>0</v>
      </c>
      <c r="K74" s="1050">
        <f t="shared" si="43"/>
        <v>0</v>
      </c>
      <c r="L74" s="1050">
        <f>L68*$E$71-L52</f>
        <v>229.86200000000002</v>
      </c>
      <c r="O74" s="1050">
        <f>O68*$E$71-O52</f>
        <v>0</v>
      </c>
      <c r="P74" s="1050">
        <f t="shared" ref="P74:AA74" si="44">P68*$E$71-P52</f>
        <v>0</v>
      </c>
      <c r="Q74" s="1050">
        <f t="shared" si="44"/>
        <v>0</v>
      </c>
      <c r="R74" s="1050">
        <f t="shared" si="44"/>
        <v>0</v>
      </c>
      <c r="S74" s="1050">
        <f t="shared" si="44"/>
        <v>0</v>
      </c>
      <c r="T74" s="1050">
        <f t="shared" si="44"/>
        <v>0</v>
      </c>
      <c r="U74" s="1050">
        <f t="shared" si="44"/>
        <v>0</v>
      </c>
      <c r="V74" s="1050">
        <f t="shared" si="44"/>
        <v>0</v>
      </c>
      <c r="W74" s="1050">
        <f t="shared" si="44"/>
        <v>0</v>
      </c>
      <c r="X74" s="1050">
        <f t="shared" si="44"/>
        <v>0</v>
      </c>
      <c r="Y74" s="1050">
        <f t="shared" si="44"/>
        <v>336</v>
      </c>
      <c r="Z74" s="1050">
        <f t="shared" si="44"/>
        <v>0</v>
      </c>
      <c r="AA74" s="1277">
        <f t="shared" si="44"/>
        <v>0</v>
      </c>
      <c r="AH74" s="1082">
        <f t="shared" ref="AH74:AN74" si="45">AH68*$E$71-AH52</f>
        <v>222</v>
      </c>
      <c r="AI74" s="1277" t="e">
        <f t="shared" si="45"/>
        <v>#DIV/0!</v>
      </c>
      <c r="AJ74" s="1082">
        <f t="shared" si="45"/>
        <v>693</v>
      </c>
      <c r="AK74" s="1082">
        <f t="shared" si="45"/>
        <v>83</v>
      </c>
      <c r="AL74" s="1082">
        <f t="shared" si="45"/>
        <v>0</v>
      </c>
      <c r="AM74" s="1082">
        <f t="shared" si="45"/>
        <v>0</v>
      </c>
      <c r="AN74" s="1082">
        <f t="shared" si="45"/>
        <v>0</v>
      </c>
      <c r="AO74" s="1082">
        <f t="shared" ref="AO74:AZ74" si="46">AO68*$E$71-AO52</f>
        <v>0</v>
      </c>
      <c r="AP74" s="1082">
        <f t="shared" si="46"/>
        <v>0</v>
      </c>
      <c r="AQ74" s="1082">
        <f t="shared" si="46"/>
        <v>0</v>
      </c>
      <c r="AR74" s="1082">
        <f t="shared" si="46"/>
        <v>0</v>
      </c>
      <c r="AS74" s="1082">
        <f>AS68*$E$71-AS52</f>
        <v>0</v>
      </c>
      <c r="AT74" s="1082">
        <f t="shared" si="46"/>
        <v>0</v>
      </c>
      <c r="AU74" s="1050">
        <f>AU68*$E$71-AU52</f>
        <v>2598.8648000000003</v>
      </c>
      <c r="AV74" s="1082">
        <f>AV68*$E$71-AV52</f>
        <v>140</v>
      </c>
      <c r="AW74" s="1048">
        <f>AW68*$E$71-AW52</f>
        <v>0</v>
      </c>
      <c r="AX74" s="1048">
        <f t="shared" si="46"/>
        <v>0</v>
      </c>
      <c r="AY74" s="721">
        <f>AY68*$E$71-AY52</f>
        <v>0</v>
      </c>
      <c r="AZ74" s="721">
        <f t="shared" si="46"/>
        <v>0</v>
      </c>
      <c r="BA74" s="721" t="e">
        <f>BA68*$E$71-BA52</f>
        <v>#DIV/0!</v>
      </c>
      <c r="BG74" s="1082">
        <f>BG68*$E$71-BG52</f>
        <v>0</v>
      </c>
    </row>
    <row r="75" spans="1:59">
      <c r="D75" s="2" t="s">
        <v>293</v>
      </c>
      <c r="E75" s="721">
        <f>E74/$E$72</f>
        <v>16539.00143895287</v>
      </c>
      <c r="F75" s="1050">
        <f t="shared" ref="F75:K75" si="47">F74/$E$72</f>
        <v>-11261.407684599297</v>
      </c>
      <c r="G75" s="1050">
        <f t="shared" si="47"/>
        <v>0</v>
      </c>
      <c r="H75" s="1050">
        <f t="shared" si="47"/>
        <v>0</v>
      </c>
      <c r="I75" s="1050">
        <f t="shared" si="47"/>
        <v>0</v>
      </c>
      <c r="J75" s="1050">
        <f t="shared" si="47"/>
        <v>0</v>
      </c>
      <c r="K75" s="1050">
        <f t="shared" si="47"/>
        <v>0</v>
      </c>
      <c r="L75" s="1050">
        <f>L74/$E$72</f>
        <v>359.40517444508538</v>
      </c>
      <c r="O75" s="1050">
        <f>O74/$E$72</f>
        <v>0</v>
      </c>
      <c r="P75" s="1050">
        <f t="shared" ref="P75:AA75" si="48">P74/$E$72</f>
        <v>0</v>
      </c>
      <c r="Q75" s="1050">
        <f t="shared" si="48"/>
        <v>0</v>
      </c>
      <c r="R75" s="1050">
        <f t="shared" si="48"/>
        <v>0</v>
      </c>
      <c r="S75" s="1050">
        <f t="shared" si="48"/>
        <v>0</v>
      </c>
      <c r="T75" s="1050">
        <f t="shared" si="48"/>
        <v>0</v>
      </c>
      <c r="U75" s="1050">
        <f t="shared" si="48"/>
        <v>0</v>
      </c>
      <c r="V75" s="1050">
        <f t="shared" si="48"/>
        <v>0</v>
      </c>
      <c r="W75" s="1050">
        <f t="shared" si="48"/>
        <v>0</v>
      </c>
      <c r="X75" s="1050">
        <f t="shared" si="48"/>
        <v>0</v>
      </c>
      <c r="Y75" s="1050">
        <f t="shared" si="48"/>
        <v>525.35929650637627</v>
      </c>
      <c r="Z75" s="1050">
        <f t="shared" si="48"/>
        <v>0</v>
      </c>
      <c r="AA75" s="1277">
        <f t="shared" si="48"/>
        <v>0</v>
      </c>
      <c r="AH75" s="1082">
        <f>AH74/$E$72</f>
        <v>347.11239233457007</v>
      </c>
      <c r="AI75" s="1277" t="e">
        <f>AI74/$E$72</f>
        <v>#DIV/0!</v>
      </c>
      <c r="AJ75" s="1082">
        <f>AJ74/$E$72</f>
        <v>1083.5535490444011</v>
      </c>
      <c r="AK75" s="1082">
        <f>AK74/$E$72</f>
        <v>129.77625479175367</v>
      </c>
      <c r="AL75" s="1082">
        <f>AL74/$E$72</f>
        <v>0</v>
      </c>
      <c r="AM75" s="1082">
        <f t="shared" ref="AM75:AZ75" si="49">AM74/$E$72</f>
        <v>0</v>
      </c>
      <c r="AN75" s="1082">
        <f t="shared" si="49"/>
        <v>0</v>
      </c>
      <c r="AO75" s="1082">
        <f t="shared" si="49"/>
        <v>0</v>
      </c>
      <c r="AP75" s="1082">
        <f t="shared" si="49"/>
        <v>0</v>
      </c>
      <c r="AQ75" s="1082">
        <f t="shared" si="49"/>
        <v>0</v>
      </c>
      <c r="AR75" s="1082">
        <f t="shared" si="49"/>
        <v>0</v>
      </c>
      <c r="AS75" s="1082">
        <f>AS74/$E$72</f>
        <v>0</v>
      </c>
      <c r="AT75" s="1082">
        <f t="shared" si="49"/>
        <v>0</v>
      </c>
      <c r="AU75" s="1050">
        <f>AU74/$E$72</f>
        <v>4063.5053066761443</v>
      </c>
      <c r="AV75" s="1082">
        <f>AV74/$E$72</f>
        <v>218.8997068776568</v>
      </c>
      <c r="AW75" s="1048">
        <f t="shared" si="49"/>
        <v>0</v>
      </c>
      <c r="AX75" s="1048">
        <f t="shared" si="49"/>
        <v>0</v>
      </c>
      <c r="AY75" s="721">
        <f t="shared" si="49"/>
        <v>0</v>
      </c>
      <c r="AZ75" s="721">
        <f t="shared" si="49"/>
        <v>0</v>
      </c>
      <c r="BA75" s="721" t="e">
        <f>BA74/$E$72</f>
        <v>#DIV/0!</v>
      </c>
      <c r="BG75" s="1082">
        <f>BG74/$E$72</f>
        <v>0</v>
      </c>
    </row>
    <row r="77" spans="1:59">
      <c r="BA77" s="4" t="e">
        <f>SUM(E74:AV74)</f>
        <v>#DIV/0!</v>
      </c>
    </row>
    <row r="78" spans="1:59">
      <c r="BA78" s="4" t="e">
        <f>SUM(E75:AV75)</f>
        <v>#DIV/0!</v>
      </c>
    </row>
  </sheetData>
  <customSheetViews>
    <customSheetView guid="{A15D1962-B049-11D2-8670-0000832CEEE8}" scale="75" showPageBreaks="1" showGridLines="0" hiddenColumns="1" showRuler="0" topLeftCell="AA1">
      <selection activeCell="AC1" sqref="AC1:AE65536"/>
      <pageMargins left="0.76" right="0.65" top="0.75" bottom="0.5" header="0.5" footer="0.5"/>
      <pageSetup scale="74" orientation="portrait" horizontalDpi="300" verticalDpi="300" r:id="rId1"/>
      <headerFooter alignWithMargins="0">
        <oddHeader>&amp;L&amp;"Times,Regular"&amp;9KM  File: &amp;F&amp;R&amp;"Times,Regular"&amp;9Page &amp;P of &amp;N  &amp;D</oddHeader>
      </headerFooter>
    </customSheetView>
    <customSheetView guid="{6E1B8C45-B07F-11D2-B0DC-0000832CDFF0}" scale="75" showPageBreaks="1" showGridLines="0" printArea="1" hiddenColumns="1" showRuler="0">
      <selection activeCell="X1" sqref="X1:X65536"/>
      <pageMargins left="0.76" right="0.65" top="0.75" bottom="0.5" header="0.5" footer="0.5"/>
      <pageSetup scale="74" orientation="portrait" horizontalDpi="300" verticalDpi="300" r:id="rId2"/>
      <headerFooter alignWithMargins="0">
        <oddHeader>&amp;L&amp;"Times,Regular"&amp;9KM  File: &amp;F&amp;R&amp;"Times,Regular"&amp;9Page &amp;P of &amp;N  &amp;D</oddHeader>
      </headerFooter>
    </customSheetView>
  </customSheetViews>
  <phoneticPr fontId="0" type="noConversion"/>
  <pageMargins left="0.76" right="0.65" top="0.75" bottom="0.5" header="0.5" footer="0.5"/>
  <pageSetup scale="74" orientation="portrait" horizontalDpi="300" verticalDpi="300" r:id="rId3"/>
  <headerFooter alignWithMargins="0">
    <oddHeader>&amp;L&amp;"Times,Regular"&amp;9KM  File: &amp;F&amp;R&amp;"Times,Regular"&amp;9Page &amp;P of &amp;N  &amp;D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 codeName="Sheet51"/>
  <dimension ref="A1:H64"/>
  <sheetViews>
    <sheetView topLeftCell="A36" workbookViewId="0">
      <selection activeCell="F4" sqref="F4"/>
    </sheetView>
  </sheetViews>
  <sheetFormatPr defaultRowHeight="12.75"/>
  <cols>
    <col min="1" max="1" width="5.5703125" style="47" customWidth="1"/>
    <col min="2" max="2" width="26.140625" style="44" customWidth="1"/>
    <col min="3" max="3" width="12.42578125" style="44" customWidth="1"/>
    <col min="4" max="4" width="6.7109375" style="44" customWidth="1"/>
    <col min="5" max="8" width="12.42578125" style="44" customWidth="1"/>
  </cols>
  <sheetData>
    <row r="1" spans="1:8">
      <c r="A1" s="42" t="str">
        <f>Inputs!$D$6</f>
        <v>AVISTA UTILITIES</v>
      </c>
      <c r="B1" s="43"/>
      <c r="C1" s="42"/>
    </row>
    <row r="2" spans="1:8">
      <c r="A2" s="42" t="s">
        <v>142</v>
      </c>
      <c r="B2" s="43"/>
      <c r="C2" s="42"/>
      <c r="E2" s="42"/>
      <c r="F2" s="990" t="s">
        <v>508</v>
      </c>
      <c r="G2" s="42"/>
    </row>
    <row r="3" spans="1:8">
      <c r="A3" s="43" t="str">
        <f>WAElec09_08!$A$4</f>
        <v>TWELVE MONTHS ENDED SEPTEMBER 30, 2008</v>
      </c>
      <c r="B3" s="43"/>
      <c r="C3" s="42"/>
      <c r="E3" s="42"/>
      <c r="F3" s="990" t="s">
        <v>509</v>
      </c>
      <c r="G3" s="42"/>
    </row>
    <row r="4" spans="1:8">
      <c r="A4" s="42" t="s">
        <v>1</v>
      </c>
      <c r="B4" s="43"/>
      <c r="C4" s="42"/>
      <c r="E4" s="45"/>
      <c r="F4" s="670" t="s">
        <v>145</v>
      </c>
      <c r="G4" s="46"/>
    </row>
    <row r="5" spans="1:8">
      <c r="A5" s="47" t="s">
        <v>14</v>
      </c>
    </row>
    <row r="6" spans="1:8">
      <c r="A6" s="47" t="s">
        <v>146</v>
      </c>
      <c r="B6" s="48" t="s">
        <v>36</v>
      </c>
      <c r="C6" s="48"/>
      <c r="D6" s="47"/>
      <c r="E6" s="48" t="s">
        <v>147</v>
      </c>
      <c r="F6" s="48" t="s">
        <v>148</v>
      </c>
      <c r="G6" s="48" t="s">
        <v>128</v>
      </c>
      <c r="H6" s="49" t="s">
        <v>149</v>
      </c>
    </row>
    <row r="7" spans="1:8">
      <c r="B7" s="50" t="s">
        <v>85</v>
      </c>
    </row>
    <row r="8" spans="1:8">
      <c r="A8" s="51">
        <v>1</v>
      </c>
      <c r="B8" s="52" t="s">
        <v>86</v>
      </c>
      <c r="C8" s="53"/>
      <c r="D8" s="53"/>
      <c r="E8" s="54">
        <f>F8+G8</f>
        <v>0</v>
      </c>
      <c r="F8" s="54">
        <v>0</v>
      </c>
      <c r="G8" s="54">
        <v>0</v>
      </c>
      <c r="H8" s="53" t="str">
        <f t="shared" ref="H8:H13" si="0">IF(E8=F8+G8," ","ERROR")</f>
        <v xml:space="preserve"> </v>
      </c>
    </row>
    <row r="9" spans="1:8">
      <c r="A9" s="47">
        <v>2</v>
      </c>
      <c r="B9" s="50" t="s">
        <v>87</v>
      </c>
      <c r="E9" s="55"/>
      <c r="F9" s="55"/>
      <c r="G9" s="55"/>
      <c r="H9" s="53" t="str">
        <f t="shared" si="0"/>
        <v xml:space="preserve"> </v>
      </c>
    </row>
    <row r="10" spans="1:8">
      <c r="A10" s="47">
        <v>3</v>
      </c>
      <c r="B10" s="50" t="s">
        <v>150</v>
      </c>
      <c r="E10" s="55"/>
      <c r="F10" s="55"/>
      <c r="G10" s="55"/>
      <c r="H10" s="53" t="str">
        <f t="shared" si="0"/>
        <v xml:space="preserve"> </v>
      </c>
    </row>
    <row r="11" spans="1:8">
      <c r="A11" s="47">
        <v>4</v>
      </c>
      <c r="B11" s="50" t="s">
        <v>151</v>
      </c>
      <c r="E11" s="56">
        <f>E8+E9+E10</f>
        <v>0</v>
      </c>
      <c r="F11" s="56">
        <f>F8+F9+F10</f>
        <v>0</v>
      </c>
      <c r="G11" s="56">
        <f>G8+G9+G10</f>
        <v>0</v>
      </c>
      <c r="H11" s="53" t="str">
        <f t="shared" si="0"/>
        <v xml:space="preserve"> </v>
      </c>
    </row>
    <row r="12" spans="1:8">
      <c r="A12" s="47">
        <v>5</v>
      </c>
      <c r="B12" s="50" t="s">
        <v>90</v>
      </c>
      <c r="E12" s="55"/>
      <c r="F12" s="55"/>
      <c r="G12" s="55"/>
      <c r="H12" s="53" t="str">
        <f t="shared" si="0"/>
        <v xml:space="preserve"> </v>
      </c>
    </row>
    <row r="13" spans="1:8">
      <c r="A13" s="47">
        <v>6</v>
      </c>
      <c r="B13" s="50" t="s">
        <v>152</v>
      </c>
      <c r="E13" s="56">
        <f>E11+E12</f>
        <v>0</v>
      </c>
      <c r="F13" s="56">
        <f>F11+F12</f>
        <v>0</v>
      </c>
      <c r="G13" s="56">
        <f>G11+G12</f>
        <v>0</v>
      </c>
      <c r="H13" s="53" t="str">
        <f t="shared" si="0"/>
        <v xml:space="preserve"> </v>
      </c>
    </row>
    <row r="14" spans="1:8">
      <c r="E14" s="58"/>
      <c r="F14" s="58"/>
      <c r="G14" s="58"/>
      <c r="H14" s="53"/>
    </row>
    <row r="15" spans="1:8">
      <c r="B15" s="50" t="s">
        <v>92</v>
      </c>
      <c r="E15" s="58"/>
      <c r="F15" s="58"/>
      <c r="G15" s="58"/>
      <c r="H15" s="53"/>
    </row>
    <row r="16" spans="1:8">
      <c r="B16" s="50" t="s">
        <v>93</v>
      </c>
      <c r="E16" s="58"/>
      <c r="F16" s="58"/>
      <c r="G16" s="58"/>
      <c r="H16" s="53"/>
    </row>
    <row r="17" spans="1:8">
      <c r="A17" s="47">
        <v>7</v>
      </c>
      <c r="B17" s="50" t="s">
        <v>153</v>
      </c>
      <c r="E17" s="55"/>
      <c r="F17" s="55"/>
      <c r="G17" s="55"/>
      <c r="H17" s="53" t="str">
        <f>IF(E17=F17+G17," ","ERROR")</f>
        <v xml:space="preserve"> </v>
      </c>
    </row>
    <row r="18" spans="1:8">
      <c r="A18" s="47">
        <v>8</v>
      </c>
      <c r="B18" s="50" t="s">
        <v>154</v>
      </c>
      <c r="E18" s="55"/>
      <c r="F18" s="55"/>
      <c r="G18" s="55"/>
      <c r="H18" s="53" t="str">
        <f>IF(E18=F18+G18," ","ERROR")</f>
        <v xml:space="preserve"> </v>
      </c>
    </row>
    <row r="19" spans="1:8">
      <c r="A19" s="47">
        <v>9</v>
      </c>
      <c r="B19" s="50" t="s">
        <v>155</v>
      </c>
      <c r="E19" s="55"/>
      <c r="F19" s="55"/>
      <c r="G19" s="55"/>
      <c r="H19" s="53" t="str">
        <f>IF(E19=F19+G19," ","ERROR")</f>
        <v xml:space="preserve"> </v>
      </c>
    </row>
    <row r="20" spans="1:8">
      <c r="A20" s="47">
        <v>10</v>
      </c>
      <c r="B20" s="50" t="s">
        <v>156</v>
      </c>
      <c r="E20" s="55"/>
      <c r="F20" s="55"/>
      <c r="G20" s="55"/>
      <c r="H20" s="53" t="str">
        <f>IF(E20=F20+G20," ","ERROR")</f>
        <v xml:space="preserve"> </v>
      </c>
    </row>
    <row r="21" spans="1:8">
      <c r="A21" s="47">
        <v>11</v>
      </c>
      <c r="B21" s="50" t="s">
        <v>157</v>
      </c>
      <c r="E21" s="56">
        <f>E17+E18+E19+E20</f>
        <v>0</v>
      </c>
      <c r="F21" s="56">
        <f>F17+F18+F19+F20</f>
        <v>0</v>
      </c>
      <c r="G21" s="56">
        <f>G17+G18+G19+G20</f>
        <v>0</v>
      </c>
      <c r="H21" s="53" t="str">
        <f>IF(E21=F21+G21," ","ERROR")</f>
        <v xml:space="preserve"> </v>
      </c>
    </row>
    <row r="22" spans="1:8">
      <c r="E22" s="58"/>
      <c r="F22" s="58"/>
      <c r="G22" s="58"/>
      <c r="H22" s="53"/>
    </row>
    <row r="23" spans="1:8">
      <c r="B23" s="50" t="s">
        <v>98</v>
      </c>
      <c r="E23" s="58"/>
      <c r="F23" s="58"/>
      <c r="G23" s="58"/>
      <c r="H23" s="53"/>
    </row>
    <row r="24" spans="1:8">
      <c r="A24" s="47">
        <v>12</v>
      </c>
      <c r="B24" s="50" t="s">
        <v>153</v>
      </c>
      <c r="E24" s="55"/>
      <c r="F24" s="55"/>
      <c r="G24" s="55"/>
      <c r="H24" s="53" t="str">
        <f>IF(E24=F24+G24," ","ERROR")</f>
        <v xml:space="preserve"> </v>
      </c>
    </row>
    <row r="25" spans="1:8">
      <c r="A25" s="47">
        <v>13</v>
      </c>
      <c r="B25" s="50" t="s">
        <v>158</v>
      </c>
      <c r="E25" s="55"/>
      <c r="F25" s="55"/>
      <c r="G25" s="55"/>
      <c r="H25" s="53" t="str">
        <f>IF(E25=F25+G25," ","ERROR")</f>
        <v xml:space="preserve"> </v>
      </c>
    </row>
    <row r="26" spans="1:8">
      <c r="A26" s="47">
        <v>14</v>
      </c>
      <c r="B26" s="50" t="s">
        <v>156</v>
      </c>
      <c r="E26" s="55"/>
      <c r="F26" s="55"/>
      <c r="G26" s="55"/>
      <c r="H26" s="53" t="str">
        <f>IF(E26=F26+G26," ","ERROR")</f>
        <v xml:space="preserve"> </v>
      </c>
    </row>
    <row r="27" spans="1:8">
      <c r="A27" s="47">
        <v>15</v>
      </c>
      <c r="B27" s="50" t="s">
        <v>159</v>
      </c>
      <c r="E27" s="56">
        <f>E24+E25+E26</f>
        <v>0</v>
      </c>
      <c r="F27" s="56">
        <f>F24+F25+F26</f>
        <v>0</v>
      </c>
      <c r="G27" s="56">
        <f>G24+G25+G26</f>
        <v>0</v>
      </c>
      <c r="H27" s="53" t="str">
        <f>IF(E27=F27+G27," ","ERROR")</f>
        <v xml:space="preserve"> </v>
      </c>
    </row>
    <row r="28" spans="1:8">
      <c r="E28" s="58"/>
      <c r="F28" s="58"/>
      <c r="G28" s="58"/>
      <c r="H28" s="53"/>
    </row>
    <row r="29" spans="1:8">
      <c r="A29" s="47">
        <v>16</v>
      </c>
      <c r="B29" s="50" t="s">
        <v>101</v>
      </c>
      <c r="E29" s="55"/>
      <c r="F29" s="55"/>
      <c r="G29" s="55"/>
      <c r="H29" s="53" t="str">
        <f>IF(E29=F29+G29," ","ERROR")</f>
        <v xml:space="preserve"> </v>
      </c>
    </row>
    <row r="30" spans="1:8">
      <c r="A30" s="47">
        <v>17</v>
      </c>
      <c r="B30" s="50" t="s">
        <v>102</v>
      </c>
      <c r="E30" s="55"/>
      <c r="F30" s="55"/>
      <c r="G30" s="55"/>
      <c r="H30" s="53" t="str">
        <f>IF(E30=F30+G30," ","ERROR")</f>
        <v xml:space="preserve"> </v>
      </c>
    </row>
    <row r="31" spans="1:8">
      <c r="A31" s="47">
        <v>18</v>
      </c>
      <c r="B31" s="50" t="s">
        <v>160</v>
      </c>
      <c r="E31" s="55"/>
      <c r="F31" s="55"/>
      <c r="G31" s="55"/>
      <c r="H31" s="53" t="str">
        <f>IF(E31=F31+G31," ","ERROR")</f>
        <v xml:space="preserve"> </v>
      </c>
    </row>
    <row r="32" spans="1:8">
      <c r="E32" s="58"/>
      <c r="F32" s="58"/>
      <c r="G32" s="58"/>
      <c r="H32" s="53"/>
    </row>
    <row r="33" spans="1:8">
      <c r="B33" s="50" t="s">
        <v>104</v>
      </c>
      <c r="E33" s="58"/>
      <c r="F33" s="58"/>
      <c r="G33" s="58"/>
      <c r="H33" s="53"/>
    </row>
    <row r="34" spans="1:8">
      <c r="A34" s="47">
        <v>19</v>
      </c>
      <c r="B34" s="50" t="s">
        <v>153</v>
      </c>
      <c r="E34" s="55"/>
      <c r="F34" s="55"/>
      <c r="G34" s="55"/>
      <c r="H34" s="53" t="str">
        <f>IF(E34=F34+G34," ","ERROR")</f>
        <v xml:space="preserve"> </v>
      </c>
    </row>
    <row r="35" spans="1:8">
      <c r="A35" s="47">
        <v>20</v>
      </c>
      <c r="B35" s="50" t="s">
        <v>158</v>
      </c>
      <c r="E35" s="55"/>
      <c r="F35" s="55"/>
      <c r="G35" s="55"/>
      <c r="H35" s="53" t="str">
        <f>IF(E35=F35+G35," ","ERROR")</f>
        <v xml:space="preserve"> </v>
      </c>
    </row>
    <row r="36" spans="1:8">
      <c r="A36" s="47">
        <v>21</v>
      </c>
      <c r="B36" s="50" t="s">
        <v>156</v>
      </c>
      <c r="E36" s="55"/>
      <c r="F36" s="55"/>
      <c r="G36" s="55"/>
      <c r="H36" s="53" t="str">
        <f>IF(E36=F36+G36," ","ERROR")</f>
        <v xml:space="preserve"> </v>
      </c>
    </row>
    <row r="37" spans="1:8">
      <c r="A37" s="47">
        <v>22</v>
      </c>
      <c r="B37" s="50" t="s">
        <v>161</v>
      </c>
      <c r="E37" s="60">
        <f>E34+E35+E36</f>
        <v>0</v>
      </c>
      <c r="F37" s="60">
        <f>F34+F35+F36</f>
        <v>0</v>
      </c>
      <c r="G37" s="60">
        <f>G34+G35+G36</f>
        <v>0</v>
      </c>
      <c r="H37" s="53" t="str">
        <f>IF(E37=F37+G37," ","ERROR")</f>
        <v xml:space="preserve"> </v>
      </c>
    </row>
    <row r="38" spans="1:8">
      <c r="A38" s="47">
        <v>23</v>
      </c>
      <c r="B38" s="50" t="s">
        <v>106</v>
      </c>
      <c r="E38" s="61">
        <f>E21+E27+E29+E30+E31+E37</f>
        <v>0</v>
      </c>
      <c r="F38" s="61">
        <f>F21+F27+F29+F30+F31+F37</f>
        <v>0</v>
      </c>
      <c r="G38" s="61">
        <f>G21+G27+G29+G30+G31+G37</f>
        <v>0</v>
      </c>
      <c r="H38" s="53" t="str">
        <f>IF(E38=F38+G38," ","ERROR")</f>
        <v xml:space="preserve"> </v>
      </c>
    </row>
    <row r="39" spans="1:8">
      <c r="E39" s="58"/>
      <c r="F39" s="58"/>
      <c r="G39" s="58"/>
      <c r="H39" s="53"/>
    </row>
    <row r="40" spans="1:8">
      <c r="A40" s="47">
        <v>24</v>
      </c>
      <c r="B40" s="50" t="s">
        <v>162</v>
      </c>
      <c r="E40" s="58">
        <f>E13-E38</f>
        <v>0</v>
      </c>
      <c r="F40" s="58">
        <f>F13-F38</f>
        <v>0</v>
      </c>
      <c r="G40" s="58">
        <f>G13-G38</f>
        <v>0</v>
      </c>
      <c r="H40" s="53" t="str">
        <f>IF(E40=F40+G40," ","ERROR")</f>
        <v xml:space="preserve"> </v>
      </c>
    </row>
    <row r="41" spans="1:8">
      <c r="B41" s="50"/>
      <c r="E41" s="58"/>
      <c r="F41" s="58"/>
      <c r="G41" s="58"/>
      <c r="H41" s="53"/>
    </row>
    <row r="42" spans="1:8">
      <c r="B42" s="50" t="s">
        <v>163</v>
      </c>
      <c r="E42" s="58"/>
      <c r="F42" s="58"/>
      <c r="G42" s="58"/>
      <c r="H42" s="53"/>
    </row>
    <row r="43" spans="1:8">
      <c r="A43" s="47">
        <v>25</v>
      </c>
      <c r="B43" s="50" t="s">
        <v>164</v>
      </c>
      <c r="D43" s="62">
        <v>0.35</v>
      </c>
      <c r="E43" s="55">
        <f>F43+G43</f>
        <v>0</v>
      </c>
      <c r="F43" s="55">
        <f>ROUND(F40*D43,0)</f>
        <v>0</v>
      </c>
      <c r="G43" s="55">
        <f>ROUND(G40*D43,0)</f>
        <v>0</v>
      </c>
      <c r="H43" s="53" t="str">
        <f>IF(E43=F43+G43," ","ERROR")</f>
        <v xml:space="preserve"> </v>
      </c>
    </row>
    <row r="44" spans="1:8">
      <c r="A44" s="47">
        <v>26</v>
      </c>
      <c r="B44" s="50" t="s">
        <v>165</v>
      </c>
      <c r="E44" s="55"/>
      <c r="F44" s="55"/>
      <c r="G44" s="55"/>
      <c r="H44" s="53" t="str">
        <f>IF(E44=F44+G44," ","ERROR")</f>
        <v xml:space="preserve"> </v>
      </c>
    </row>
    <row r="45" spans="1:8">
      <c r="A45"/>
      <c r="B45"/>
      <c r="C45"/>
      <c r="D45"/>
      <c r="E45" s="913"/>
      <c r="F45" s="913"/>
      <c r="G45" s="913"/>
      <c r="H45" s="53" t="str">
        <f>IF(E45=F45+G45," ","ERROR")</f>
        <v xml:space="preserve"> </v>
      </c>
    </row>
    <row r="46" spans="1:8">
      <c r="A46" s="259"/>
      <c r="B46" s="262"/>
      <c r="C46" s="256"/>
      <c r="D46" s="256"/>
      <c r="E46" s="269"/>
      <c r="F46" s="269"/>
      <c r="G46" s="269"/>
      <c r="H46" s="53"/>
    </row>
    <row r="47" spans="1:8">
      <c r="A47" s="263">
        <v>27</v>
      </c>
      <c r="B47" s="264" t="s">
        <v>113</v>
      </c>
      <c r="C47" s="265"/>
      <c r="D47" s="265"/>
      <c r="E47" s="273">
        <f>E40-SUM(E43:E44)</f>
        <v>0</v>
      </c>
      <c r="F47" s="273">
        <f>F40-SUM(F43:F44)</f>
        <v>0</v>
      </c>
      <c r="G47" s="273">
        <f>G40-SUM(G43:G44)</f>
        <v>0</v>
      </c>
      <c r="H47" s="53" t="str">
        <f>IF(E47=F47+G47," ","ERROR")</f>
        <v xml:space="preserve"> </v>
      </c>
    </row>
    <row r="48" spans="1:8">
      <c r="A48" s="259"/>
      <c r="H48" s="53"/>
    </row>
    <row r="49" spans="1:8">
      <c r="A49" s="259"/>
      <c r="B49" s="50" t="s">
        <v>114</v>
      </c>
      <c r="H49" s="53"/>
    </row>
    <row r="50" spans="1:8">
      <c r="A50" s="259"/>
      <c r="B50" s="50" t="s">
        <v>115</v>
      </c>
      <c r="H50" s="53"/>
    </row>
    <row r="51" spans="1:8">
      <c r="A51" s="263">
        <v>28</v>
      </c>
      <c r="B51" s="52" t="s">
        <v>167</v>
      </c>
      <c r="C51" s="53"/>
      <c r="D51" s="53"/>
      <c r="E51" s="54"/>
      <c r="F51" s="54"/>
      <c r="G51" s="54"/>
      <c r="H51" s="53" t="str">
        <f t="shared" ref="H51:H61" si="1">IF(E51=F51+G51," ","ERROR")</f>
        <v xml:space="preserve"> </v>
      </c>
    </row>
    <row r="52" spans="1:8">
      <c r="A52" s="259">
        <v>29</v>
      </c>
      <c r="B52" s="50" t="s">
        <v>168</v>
      </c>
      <c r="E52" s="55">
        <f>F52+G52</f>
        <v>2630</v>
      </c>
      <c r="F52" s="55"/>
      <c r="G52" s="55">
        <v>2630</v>
      </c>
      <c r="H52" s="53" t="str">
        <f t="shared" si="1"/>
        <v xml:space="preserve"> </v>
      </c>
    </row>
    <row r="53" spans="1:8">
      <c r="A53" s="259">
        <v>30</v>
      </c>
      <c r="B53" s="50" t="s">
        <v>169</v>
      </c>
      <c r="E53" s="55"/>
      <c r="F53" s="55"/>
      <c r="G53" s="55"/>
      <c r="H53" s="53" t="str">
        <f t="shared" si="1"/>
        <v xml:space="preserve"> </v>
      </c>
    </row>
    <row r="54" spans="1:8">
      <c r="A54" s="259">
        <v>31</v>
      </c>
      <c r="B54" s="50" t="s">
        <v>170</v>
      </c>
      <c r="E54" s="55"/>
      <c r="F54" s="55"/>
      <c r="G54" s="55"/>
      <c r="H54" s="53" t="str">
        <f t="shared" si="1"/>
        <v xml:space="preserve"> </v>
      </c>
    </row>
    <row r="55" spans="1:8">
      <c r="A55" s="259">
        <v>32</v>
      </c>
      <c r="B55" s="50" t="s">
        <v>171</v>
      </c>
      <c r="E55" s="59"/>
      <c r="F55" s="59"/>
      <c r="G55" s="59"/>
      <c r="H55" s="53" t="str">
        <f t="shared" si="1"/>
        <v xml:space="preserve"> </v>
      </c>
    </row>
    <row r="56" spans="1:8">
      <c r="A56" s="259">
        <v>33</v>
      </c>
      <c r="B56" s="50" t="s">
        <v>172</v>
      </c>
      <c r="E56" s="58">
        <f>E51+E52+E53+E54+E55</f>
        <v>2630</v>
      </c>
      <c r="F56" s="58">
        <f>F51+F52+F53+F54+F55</f>
        <v>0</v>
      </c>
      <c r="G56" s="58">
        <f>G51+G52+G53+G54+G55</f>
        <v>2630</v>
      </c>
      <c r="H56" s="53" t="str">
        <f t="shared" si="1"/>
        <v xml:space="preserve"> </v>
      </c>
    </row>
    <row r="57" spans="1:8">
      <c r="A57" s="259">
        <v>34</v>
      </c>
      <c r="B57" s="50" t="s">
        <v>121</v>
      </c>
      <c r="E57" s="55">
        <f>F57+G57</f>
        <v>0</v>
      </c>
      <c r="F57" s="55"/>
      <c r="G57" s="55"/>
      <c r="H57" s="53" t="str">
        <f t="shared" si="1"/>
        <v xml:space="preserve"> </v>
      </c>
    </row>
    <row r="58" spans="1:8">
      <c r="A58" s="259">
        <v>35</v>
      </c>
      <c r="B58" s="50" t="s">
        <v>122</v>
      </c>
      <c r="E58" s="59"/>
      <c r="F58" s="59"/>
      <c r="G58" s="59"/>
      <c r="H58" s="53" t="str">
        <f t="shared" si="1"/>
        <v xml:space="preserve"> </v>
      </c>
    </row>
    <row r="59" spans="1:8">
      <c r="A59" s="259">
        <v>36</v>
      </c>
      <c r="B59" s="50" t="s">
        <v>173</v>
      </c>
      <c r="E59" s="58">
        <f>E57+E58</f>
        <v>0</v>
      </c>
      <c r="F59" s="58">
        <f>F57+F58</f>
        <v>0</v>
      </c>
      <c r="G59" s="58">
        <f>G57+G58</f>
        <v>0</v>
      </c>
      <c r="H59" s="53" t="str">
        <f t="shared" si="1"/>
        <v xml:space="preserve"> </v>
      </c>
    </row>
    <row r="60" spans="1:8">
      <c r="A60" s="259">
        <v>37</v>
      </c>
      <c r="B60" s="50" t="s">
        <v>124</v>
      </c>
      <c r="E60" s="55"/>
      <c r="F60" s="55"/>
      <c r="G60" s="55"/>
      <c r="H60" s="53" t="str">
        <f t="shared" si="1"/>
        <v xml:space="preserve"> </v>
      </c>
    </row>
    <row r="61" spans="1:8">
      <c r="A61" s="259">
        <v>38</v>
      </c>
      <c r="B61" s="50" t="s">
        <v>125</v>
      </c>
      <c r="E61" s="59">
        <f>F61+G61</f>
        <v>0</v>
      </c>
      <c r="F61" s="59"/>
      <c r="G61" s="59"/>
      <c r="H61" s="53" t="str">
        <f t="shared" si="1"/>
        <v xml:space="preserve"> </v>
      </c>
    </row>
    <row r="62" spans="1:8" ht="11.25" customHeight="1">
      <c r="A62" s="259"/>
      <c r="H62" s="53"/>
    </row>
    <row r="63" spans="1:8" ht="13.5" thickBot="1">
      <c r="A63" s="263">
        <v>39</v>
      </c>
      <c r="B63" s="52" t="s">
        <v>126</v>
      </c>
      <c r="C63" s="53"/>
      <c r="D63" s="53"/>
      <c r="E63" s="63">
        <f>E56-E59+E60+E61</f>
        <v>2630</v>
      </c>
      <c r="F63" s="63">
        <f>F56-F59+F60+F61</f>
        <v>0</v>
      </c>
      <c r="G63" s="63">
        <f>G56-G59+G60+G61</f>
        <v>2630</v>
      </c>
      <c r="H63" s="53" t="str">
        <f>IF(E63=F63+G63," ","ERROR")</f>
        <v xml:space="preserve"> </v>
      </c>
    </row>
    <row r="64" spans="1:8" ht="13.5" thickTop="1">
      <c r="A64" s="44"/>
      <c r="B64" s="69"/>
      <c r="C64" s="69"/>
      <c r="D64" s="69"/>
      <c r="E64" s="671"/>
      <c r="F64" s="672"/>
      <c r="G64" s="69"/>
      <c r="H64" s="69"/>
    </row>
  </sheetData>
  <customSheetViews>
    <customSheetView guid="{A15D1962-B049-11D2-8670-0000832CEEE8}" showRuler="0">
      <pageMargins left="0.75" right="0.75" top="1" bottom="1" header="0.5" footer="0.5"/>
      <headerFooter alignWithMargins="0">
        <oddHeader>&amp;A</oddHeader>
        <oddFooter>Page &amp;P</oddFooter>
      </headerFooter>
    </customSheetView>
    <customSheetView guid="{6E1B8C45-B07F-11D2-B0DC-0000832CDFF0}" showRuler="0">
      <pageMargins left="0.75" right="0.75" top="1" bottom="1" header="0.5" footer="0.5"/>
      <headerFooter alignWithMargins="0">
        <oddHeader>&amp;A</oddHeader>
        <oddFooter>Page &amp;P</oddFooter>
      </headerFooter>
    </customSheetView>
  </customSheetViews>
  <phoneticPr fontId="0" type="noConversion"/>
  <pageMargins left="0.75" right="0.75" top="0.5" bottom="0.18" header="0.48" footer="0"/>
  <pageSetup scale="87"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>
  <sheetPr codeName="Sheet26"/>
  <dimension ref="A1:H110"/>
  <sheetViews>
    <sheetView topLeftCell="A23" zoomScaleNormal="100" workbookViewId="0">
      <selection activeCell="F4" sqref="F4"/>
    </sheetView>
  </sheetViews>
  <sheetFormatPr defaultColWidth="12.42578125" defaultRowHeight="12"/>
  <cols>
    <col min="1" max="1" width="5.5703125" style="424" customWidth="1"/>
    <col min="2" max="2" width="26.140625" style="421" customWidth="1"/>
    <col min="3" max="3" width="12.42578125" style="421" customWidth="1"/>
    <col min="4" max="4" width="6.7109375" style="421" customWidth="1"/>
    <col min="5" max="16384" width="12.42578125" style="421"/>
  </cols>
  <sheetData>
    <row r="1" spans="1:8">
      <c r="A1" s="419" t="str">
        <f>Inputs!$D$6</f>
        <v>AVISTA UTILITIES</v>
      </c>
      <c r="B1" s="420"/>
      <c r="C1" s="419"/>
      <c r="F1" s="81"/>
    </row>
    <row r="2" spans="1:8">
      <c r="A2" s="419" t="s">
        <v>142</v>
      </c>
      <c r="B2" s="420"/>
      <c r="C2" s="419"/>
      <c r="E2" s="419" t="s">
        <v>585</v>
      </c>
      <c r="F2" s="419"/>
      <c r="G2" s="419"/>
    </row>
    <row r="3" spans="1:8">
      <c r="A3" s="420" t="str">
        <f>WAElec09_08!$A$4</f>
        <v>TWELVE MONTHS ENDED SEPTEMBER 30, 2008</v>
      </c>
      <c r="B3" s="420"/>
      <c r="C3" s="419"/>
      <c r="E3" s="419" t="s">
        <v>586</v>
      </c>
      <c r="F3" s="419"/>
      <c r="G3" s="419"/>
    </row>
    <row r="4" spans="1:8">
      <c r="A4" s="419" t="s">
        <v>1</v>
      </c>
      <c r="B4" s="420"/>
      <c r="C4" s="419"/>
      <c r="E4" s="422" t="s">
        <v>145</v>
      </c>
      <c r="F4" s="422"/>
      <c r="G4" s="423"/>
    </row>
    <row r="5" spans="1:8">
      <c r="A5" s="424" t="s">
        <v>14</v>
      </c>
    </row>
    <row r="6" spans="1:8" s="424" customFormat="1">
      <c r="A6" s="424" t="s">
        <v>146</v>
      </c>
      <c r="B6" s="425" t="s">
        <v>36</v>
      </c>
      <c r="C6" s="425"/>
      <c r="E6" s="425" t="s">
        <v>147</v>
      </c>
      <c r="F6" s="425" t="s">
        <v>148</v>
      </c>
      <c r="G6" s="425" t="s">
        <v>128</v>
      </c>
      <c r="H6" s="426" t="s">
        <v>149</v>
      </c>
    </row>
    <row r="7" spans="1:8">
      <c r="B7" s="427" t="s">
        <v>85</v>
      </c>
    </row>
    <row r="8" spans="1:8" s="430" customFormat="1">
      <c r="A8" s="428">
        <v>1</v>
      </c>
      <c r="B8" s="429" t="s">
        <v>86</v>
      </c>
      <c r="E8" s="431">
        <f>F8+G8</f>
        <v>0</v>
      </c>
      <c r="F8" s="431"/>
      <c r="G8" s="431"/>
      <c r="H8" s="430" t="str">
        <f t="shared" ref="H8:H13" si="0">IF(E8=F8+G8," ","ERROR")</f>
        <v xml:space="preserve"> </v>
      </c>
    </row>
    <row r="9" spans="1:8">
      <c r="A9" s="424">
        <v>2</v>
      </c>
      <c r="B9" s="427" t="s">
        <v>87</v>
      </c>
      <c r="E9" s="432"/>
      <c r="F9" s="432"/>
      <c r="G9" s="432"/>
      <c r="H9" s="430" t="str">
        <f t="shared" si="0"/>
        <v xml:space="preserve"> </v>
      </c>
    </row>
    <row r="10" spans="1:8">
      <c r="A10" s="424">
        <v>3</v>
      </c>
      <c r="B10" s="427" t="s">
        <v>150</v>
      </c>
      <c r="E10" s="432">
        <f>SUM(F10:G10)</f>
        <v>0</v>
      </c>
      <c r="F10" s="432"/>
      <c r="G10" s="432">
        <v>0</v>
      </c>
      <c r="H10" s="430" t="str">
        <f t="shared" si="0"/>
        <v xml:space="preserve"> </v>
      </c>
    </row>
    <row r="11" spans="1:8">
      <c r="A11" s="424">
        <v>4</v>
      </c>
      <c r="B11" s="427" t="s">
        <v>151</v>
      </c>
      <c r="E11" s="433">
        <f>E8+E9+E10</f>
        <v>0</v>
      </c>
      <c r="F11" s="433">
        <f>F8+F9+F10</f>
        <v>0</v>
      </c>
      <c r="G11" s="433">
        <f>G8+G9+G10</f>
        <v>0</v>
      </c>
      <c r="H11" s="430" t="str">
        <f t="shared" si="0"/>
        <v xml:space="preserve"> </v>
      </c>
    </row>
    <row r="12" spans="1:8">
      <c r="A12" s="424">
        <v>5</v>
      </c>
      <c r="B12" s="427" t="s">
        <v>90</v>
      </c>
      <c r="E12" s="432">
        <f>SUM(F12:G12)</f>
        <v>0</v>
      </c>
      <c r="F12" s="432"/>
      <c r="G12" s="432">
        <v>0</v>
      </c>
      <c r="H12" s="430" t="str">
        <f t="shared" si="0"/>
        <v xml:space="preserve"> </v>
      </c>
    </row>
    <row r="13" spans="1:8">
      <c r="A13" s="424">
        <v>6</v>
      </c>
      <c r="B13" s="427" t="s">
        <v>152</v>
      </c>
      <c r="E13" s="433">
        <f>E11+E12</f>
        <v>0</v>
      </c>
      <c r="F13" s="433">
        <f>F11+F12</f>
        <v>0</v>
      </c>
      <c r="G13" s="433">
        <f>G11+G12</f>
        <v>0</v>
      </c>
      <c r="H13" s="430" t="str">
        <f t="shared" si="0"/>
        <v xml:space="preserve"> </v>
      </c>
    </row>
    <row r="14" spans="1:8">
      <c r="E14" s="434"/>
      <c r="F14" s="434"/>
      <c r="G14" s="434"/>
      <c r="H14" s="430"/>
    </row>
    <row r="15" spans="1:8">
      <c r="B15" s="427" t="s">
        <v>92</v>
      </c>
      <c r="E15" s="434"/>
      <c r="F15" s="434"/>
      <c r="G15" s="434"/>
      <c r="H15" s="430"/>
    </row>
    <row r="16" spans="1:8">
      <c r="B16" s="427" t="s">
        <v>93</v>
      </c>
      <c r="E16" s="434"/>
      <c r="F16" s="434"/>
      <c r="G16" s="434"/>
      <c r="H16" s="430"/>
    </row>
    <row r="17" spans="1:8">
      <c r="A17" s="424">
        <v>7</v>
      </c>
      <c r="B17" s="427" t="s">
        <v>153</v>
      </c>
      <c r="E17" s="432">
        <f>SUM(F17:G17)</f>
        <v>523</v>
      </c>
      <c r="F17" s="432"/>
      <c r="G17" s="432">
        <v>523</v>
      </c>
      <c r="H17" s="430" t="str">
        <f>IF(E17=F17+G17," ","ERROR")</f>
        <v xml:space="preserve"> </v>
      </c>
    </row>
    <row r="18" spans="1:8">
      <c r="A18" s="424">
        <v>8</v>
      </c>
      <c r="B18" s="427" t="s">
        <v>154</v>
      </c>
      <c r="E18" s="432">
        <f>SUM(F18:G18)</f>
        <v>0</v>
      </c>
      <c r="F18" s="432"/>
      <c r="G18" s="432">
        <v>0</v>
      </c>
      <c r="H18" s="430" t="str">
        <f>IF(E18=F18+G18," ","ERROR")</f>
        <v xml:space="preserve"> </v>
      </c>
    </row>
    <row r="19" spans="1:8">
      <c r="A19" s="424">
        <v>9</v>
      </c>
      <c r="B19" s="427" t="s">
        <v>155</v>
      </c>
      <c r="E19" s="432"/>
      <c r="F19" s="432"/>
      <c r="G19" s="432"/>
      <c r="H19" s="430" t="str">
        <f>IF(E19=F19+G19," ","ERROR")</f>
        <v xml:space="preserve"> </v>
      </c>
    </row>
    <row r="20" spans="1:8">
      <c r="A20" s="424">
        <v>10</v>
      </c>
      <c r="B20" s="427" t="s">
        <v>156</v>
      </c>
      <c r="E20" s="432"/>
      <c r="F20" s="432"/>
      <c r="G20" s="432"/>
      <c r="H20" s="430" t="str">
        <f>IF(E20=F20+G20," ","ERROR")</f>
        <v xml:space="preserve"> </v>
      </c>
    </row>
    <row r="21" spans="1:8">
      <c r="A21" s="424">
        <v>11</v>
      </c>
      <c r="B21" s="427" t="s">
        <v>157</v>
      </c>
      <c r="E21" s="433">
        <f>E17+E18+E19+E20</f>
        <v>523</v>
      </c>
      <c r="F21" s="433">
        <f>F17+F18+F19+F20</f>
        <v>0</v>
      </c>
      <c r="G21" s="433">
        <f>G17+G18+G19+G20</f>
        <v>523</v>
      </c>
      <c r="H21" s="430" t="str">
        <f>IF(E21=F21+G21," ","ERROR")</f>
        <v xml:space="preserve"> </v>
      </c>
    </row>
    <row r="22" spans="1:8">
      <c r="E22" s="434"/>
      <c r="F22" s="434"/>
      <c r="G22" s="434"/>
      <c r="H22" s="430"/>
    </row>
    <row r="23" spans="1:8">
      <c r="B23" s="427" t="s">
        <v>98</v>
      </c>
      <c r="E23" s="434"/>
      <c r="F23" s="434"/>
      <c r="G23" s="434"/>
      <c r="H23" s="430"/>
    </row>
    <row r="24" spans="1:8">
      <c r="A24" s="424">
        <v>12</v>
      </c>
      <c r="B24" s="427" t="s">
        <v>153</v>
      </c>
      <c r="E24" s="432"/>
      <c r="F24" s="432"/>
      <c r="G24" s="432"/>
      <c r="H24" s="430" t="str">
        <f>IF(E24=F24+G24," ","ERROR")</f>
        <v xml:space="preserve"> </v>
      </c>
    </row>
    <row r="25" spans="1:8">
      <c r="A25" s="424">
        <v>13</v>
      </c>
      <c r="B25" s="427" t="s">
        <v>158</v>
      </c>
      <c r="E25" s="432"/>
      <c r="F25" s="432"/>
      <c r="G25" s="432"/>
      <c r="H25" s="430" t="str">
        <f>IF(E25=F25+G25," ","ERROR")</f>
        <v xml:space="preserve"> </v>
      </c>
    </row>
    <row r="26" spans="1:8">
      <c r="A26" s="424">
        <v>14</v>
      </c>
      <c r="B26" s="427" t="s">
        <v>156</v>
      </c>
      <c r="E26" s="432">
        <f>F26+G26</f>
        <v>-6</v>
      </c>
      <c r="F26" s="432"/>
      <c r="G26" s="916">
        <f>F109</f>
        <v>-6</v>
      </c>
      <c r="H26" s="430" t="str">
        <f>IF(E26=F26+G26," ","ERROR")</f>
        <v xml:space="preserve"> </v>
      </c>
    </row>
    <row r="27" spans="1:8">
      <c r="A27" s="424">
        <v>15</v>
      </c>
      <c r="B27" s="427" t="s">
        <v>159</v>
      </c>
      <c r="E27" s="433">
        <f>E24+E25+E26</f>
        <v>-6</v>
      </c>
      <c r="F27" s="433">
        <f>F24+F25+F26</f>
        <v>0</v>
      </c>
      <c r="G27" s="433">
        <f>G24+G25+G26</f>
        <v>-6</v>
      </c>
      <c r="H27" s="430" t="str">
        <f>IF(E27=F27+G27," ","ERROR")</f>
        <v xml:space="preserve"> </v>
      </c>
    </row>
    <row r="28" spans="1:8">
      <c r="E28" s="434"/>
      <c r="F28" s="434"/>
      <c r="G28" s="434"/>
      <c r="H28" s="430"/>
    </row>
    <row r="29" spans="1:8">
      <c r="A29" s="424">
        <v>16</v>
      </c>
      <c r="B29" s="427" t="s">
        <v>101</v>
      </c>
      <c r="E29" s="432"/>
      <c r="F29" s="432"/>
      <c r="G29" s="432"/>
      <c r="H29" s="430" t="str">
        <f>IF(E29=F29+G29," ","ERROR")</f>
        <v xml:space="preserve"> </v>
      </c>
    </row>
    <row r="30" spans="1:8">
      <c r="A30" s="424">
        <v>17</v>
      </c>
      <c r="B30" s="427" t="s">
        <v>102</v>
      </c>
      <c r="E30" s="432"/>
      <c r="F30" s="432"/>
      <c r="G30" s="432"/>
      <c r="H30" s="430" t="str">
        <f>IF(E30=F30+G30," ","ERROR")</f>
        <v xml:space="preserve"> </v>
      </c>
    </row>
    <row r="31" spans="1:8">
      <c r="A31" s="424">
        <v>18</v>
      </c>
      <c r="B31" s="427" t="s">
        <v>160</v>
      </c>
      <c r="E31" s="432"/>
      <c r="F31" s="432"/>
      <c r="G31" s="432"/>
      <c r="H31" s="430" t="str">
        <f>IF(E31=F31+G31," ","ERROR")</f>
        <v xml:space="preserve"> </v>
      </c>
    </row>
    <row r="32" spans="1:8">
      <c r="E32" s="434"/>
      <c r="F32" s="434"/>
      <c r="G32" s="434"/>
      <c r="H32" s="430"/>
    </row>
    <row r="33" spans="1:8">
      <c r="B33" s="427" t="s">
        <v>104</v>
      </c>
      <c r="E33" s="434"/>
      <c r="F33" s="434"/>
      <c r="G33" s="434"/>
      <c r="H33" s="841"/>
    </row>
    <row r="34" spans="1:8">
      <c r="A34" s="424">
        <v>19</v>
      </c>
      <c r="B34" s="427" t="s">
        <v>153</v>
      </c>
      <c r="E34" s="432">
        <f>F34+G34</f>
        <v>0</v>
      </c>
      <c r="F34" s="432"/>
      <c r="G34" s="432">
        <v>0</v>
      </c>
      <c r="H34" s="430" t="str">
        <f>IF(E34=F34+G34," ","ERROR")</f>
        <v xml:space="preserve"> </v>
      </c>
    </row>
    <row r="35" spans="1:8">
      <c r="A35" s="424">
        <v>20</v>
      </c>
      <c r="B35" s="427" t="s">
        <v>158</v>
      </c>
      <c r="E35" s="432"/>
      <c r="F35" s="432"/>
      <c r="G35" s="432"/>
      <c r="H35" s="430" t="str">
        <f>IF(E35=F35+G35," ","ERROR")</f>
        <v xml:space="preserve"> </v>
      </c>
    </row>
    <row r="36" spans="1:8">
      <c r="A36" s="424">
        <v>21</v>
      </c>
      <c r="B36" s="427" t="s">
        <v>156</v>
      </c>
      <c r="E36" s="432"/>
      <c r="F36" s="432"/>
      <c r="G36" s="432"/>
      <c r="H36" s="430" t="str">
        <f>IF(E36=F36+G36," ","ERROR")</f>
        <v xml:space="preserve"> </v>
      </c>
    </row>
    <row r="37" spans="1:8">
      <c r="A37" s="424">
        <v>22</v>
      </c>
      <c r="B37" s="427" t="s">
        <v>161</v>
      </c>
      <c r="E37" s="435">
        <f>E34+E35+E36</f>
        <v>0</v>
      </c>
      <c r="F37" s="435">
        <f>F34+F35+F36</f>
        <v>0</v>
      </c>
      <c r="G37" s="435">
        <f>G34+G35+G36</f>
        <v>0</v>
      </c>
      <c r="H37" s="430" t="str">
        <f>IF(E37=F37+G37," ","ERROR")</f>
        <v xml:space="preserve"> </v>
      </c>
    </row>
    <row r="38" spans="1:8">
      <c r="A38" s="424">
        <v>23</v>
      </c>
      <c r="B38" s="427" t="s">
        <v>106</v>
      </c>
      <c r="E38" s="436">
        <f>E21+E27+E29+E30+E31+E37</f>
        <v>517</v>
      </c>
      <c r="F38" s="436">
        <f>F21+F27+F29+F30+F31+F37</f>
        <v>0</v>
      </c>
      <c r="G38" s="436">
        <f>G21+G27+G29+G30+G31+G37</f>
        <v>517</v>
      </c>
      <c r="H38" s="430" t="str">
        <f>IF(E38=F38+G38," ","ERROR")</f>
        <v xml:space="preserve"> </v>
      </c>
    </row>
    <row r="39" spans="1:8">
      <c r="E39" s="434"/>
      <c r="F39" s="434"/>
      <c r="G39" s="434"/>
      <c r="H39" s="430"/>
    </row>
    <row r="40" spans="1:8">
      <c r="A40" s="424">
        <v>24</v>
      </c>
      <c r="B40" s="427" t="s">
        <v>162</v>
      </c>
      <c r="E40" s="434">
        <f>E13-E38</f>
        <v>-517</v>
      </c>
      <c r="F40" s="434">
        <f>F13-F38</f>
        <v>0</v>
      </c>
      <c r="G40" s="434">
        <f>G13-G38</f>
        <v>-517</v>
      </c>
      <c r="H40" s="430" t="str">
        <f>IF(E40=F40+G40," ","ERROR")</f>
        <v xml:space="preserve"> </v>
      </c>
    </row>
    <row r="41" spans="1:8">
      <c r="B41" s="427"/>
      <c r="E41" s="434"/>
      <c r="F41" s="434"/>
      <c r="G41" s="434"/>
      <c r="H41" s="430"/>
    </row>
    <row r="42" spans="1:8">
      <c r="B42" s="427" t="s">
        <v>163</v>
      </c>
      <c r="E42" s="434"/>
      <c r="F42" s="434"/>
      <c r="G42" s="434"/>
      <c r="H42" s="430"/>
    </row>
    <row r="43" spans="1:8">
      <c r="A43" s="424">
        <v>25</v>
      </c>
      <c r="B43" s="427" t="s">
        <v>164</v>
      </c>
      <c r="D43" s="437">
        <v>0.35</v>
      </c>
      <c r="E43" s="432">
        <f>F43+G43</f>
        <v>-181</v>
      </c>
      <c r="F43" s="432"/>
      <c r="G43" s="432">
        <f>ROUND(G40*$D$43,0)</f>
        <v>-181</v>
      </c>
      <c r="H43" s="430" t="str">
        <f>IF(E43=F43+G43," ","ERROR")</f>
        <v xml:space="preserve"> </v>
      </c>
    </row>
    <row r="44" spans="1:8">
      <c r="A44" s="424">
        <v>26</v>
      </c>
      <c r="B44" s="427" t="s">
        <v>165</v>
      </c>
      <c r="E44" s="432"/>
      <c r="F44" s="432"/>
      <c r="G44" s="432"/>
      <c r="H44" s="430" t="str">
        <f>IF(E44=F44+G44," ","ERROR")</f>
        <v xml:space="preserve"> </v>
      </c>
    </row>
    <row r="45" spans="1:8" ht="12.75">
      <c r="A45"/>
      <c r="B45"/>
      <c r="C45"/>
      <c r="D45"/>
      <c r="E45" s="913"/>
      <c r="F45" s="913"/>
      <c r="G45" s="913"/>
      <c r="H45" s="430" t="str">
        <f>IF(E45=F45+G45," ","ERROR")</f>
        <v xml:space="preserve"> </v>
      </c>
    </row>
    <row r="46" spans="1:8">
      <c r="A46" s="259"/>
      <c r="B46" s="262"/>
      <c r="C46" s="256"/>
      <c r="D46" s="256"/>
      <c r="E46" s="269"/>
      <c r="F46" s="269"/>
      <c r="G46" s="269"/>
      <c r="H46" s="430"/>
    </row>
    <row r="47" spans="1:8" s="430" customFormat="1">
      <c r="A47" s="263">
        <v>27</v>
      </c>
      <c r="B47" s="264" t="s">
        <v>113</v>
      </c>
      <c r="C47" s="265"/>
      <c r="D47" s="265"/>
      <c r="E47" s="273">
        <f>E40-SUM(E43:E44)</f>
        <v>-336</v>
      </c>
      <c r="F47" s="273">
        <f>F40-SUM(F43:F44)</f>
        <v>0</v>
      </c>
      <c r="G47" s="273">
        <f>G40-SUM(G43:G44)</f>
        <v>-336</v>
      </c>
      <c r="H47" s="430" t="str">
        <f>IF(E47=F47+G47," ","ERROR")</f>
        <v xml:space="preserve"> </v>
      </c>
    </row>
    <row r="48" spans="1:8">
      <c r="A48" s="259"/>
      <c r="H48" s="430"/>
    </row>
    <row r="49" spans="1:8">
      <c r="A49" s="259"/>
      <c r="B49" s="427" t="s">
        <v>114</v>
      </c>
      <c r="H49" s="430"/>
    </row>
    <row r="50" spans="1:8">
      <c r="A50" s="259"/>
      <c r="B50" s="427" t="s">
        <v>115</v>
      </c>
      <c r="H50" s="430"/>
    </row>
    <row r="51" spans="1:8" s="430" customFormat="1">
      <c r="A51" s="263">
        <v>28</v>
      </c>
      <c r="B51" s="429" t="s">
        <v>167</v>
      </c>
      <c r="E51" s="431"/>
      <c r="F51" s="431"/>
      <c r="G51" s="431"/>
      <c r="H51" s="430" t="str">
        <f t="shared" ref="H51:H61" si="1">IF(E51=F51+G51," ","ERROR")</f>
        <v xml:space="preserve"> </v>
      </c>
    </row>
    <row r="52" spans="1:8">
      <c r="A52" s="259">
        <v>29</v>
      </c>
      <c r="B52" s="427" t="s">
        <v>168</v>
      </c>
      <c r="E52" s="432"/>
      <c r="F52" s="432"/>
      <c r="G52" s="432"/>
      <c r="H52" s="430" t="str">
        <f t="shared" si="1"/>
        <v xml:space="preserve"> </v>
      </c>
    </row>
    <row r="53" spans="1:8">
      <c r="A53" s="259">
        <v>30</v>
      </c>
      <c r="B53" s="427" t="s">
        <v>169</v>
      </c>
      <c r="E53" s="432"/>
      <c r="F53" s="432"/>
      <c r="G53" s="432"/>
      <c r="H53" s="430" t="str">
        <f t="shared" si="1"/>
        <v xml:space="preserve"> </v>
      </c>
    </row>
    <row r="54" spans="1:8">
      <c r="A54" s="259">
        <v>31</v>
      </c>
      <c r="B54" s="427" t="s">
        <v>170</v>
      </c>
      <c r="E54" s="432"/>
      <c r="F54" s="432"/>
      <c r="G54" s="432"/>
      <c r="H54" s="430" t="str">
        <f t="shared" si="1"/>
        <v xml:space="preserve"> </v>
      </c>
    </row>
    <row r="55" spans="1:8">
      <c r="A55" s="259">
        <v>32</v>
      </c>
      <c r="B55" s="427" t="s">
        <v>171</v>
      </c>
      <c r="E55" s="438"/>
      <c r="F55" s="438"/>
      <c r="G55" s="438"/>
      <c r="H55" s="430" t="str">
        <f t="shared" si="1"/>
        <v xml:space="preserve"> </v>
      </c>
    </row>
    <row r="56" spans="1:8">
      <c r="A56" s="259">
        <v>33</v>
      </c>
      <c r="B56" s="427" t="s">
        <v>172</v>
      </c>
      <c r="E56" s="434">
        <f>E51+E52+E53+E54+E55</f>
        <v>0</v>
      </c>
      <c r="F56" s="434">
        <f>F51+F52+F53+F54+F55</f>
        <v>0</v>
      </c>
      <c r="G56" s="434">
        <f>G51+G52+G53+G54+G55</f>
        <v>0</v>
      </c>
      <c r="H56" s="430" t="str">
        <f t="shared" si="1"/>
        <v xml:space="preserve"> </v>
      </c>
    </row>
    <row r="57" spans="1:8">
      <c r="A57" s="259">
        <v>34</v>
      </c>
      <c r="B57" s="427" t="s">
        <v>121</v>
      </c>
      <c r="E57" s="432"/>
      <c r="F57" s="432"/>
      <c r="G57" s="432"/>
      <c r="H57" s="430" t="str">
        <f t="shared" si="1"/>
        <v xml:space="preserve"> </v>
      </c>
    </row>
    <row r="58" spans="1:8">
      <c r="A58" s="259">
        <v>35</v>
      </c>
      <c r="B58" s="427" t="s">
        <v>122</v>
      </c>
      <c r="E58" s="438"/>
      <c r="F58" s="438"/>
      <c r="G58" s="438"/>
      <c r="H58" s="430" t="str">
        <f t="shared" si="1"/>
        <v xml:space="preserve"> </v>
      </c>
    </row>
    <row r="59" spans="1:8">
      <c r="A59" s="259">
        <v>36</v>
      </c>
      <c r="B59" s="427" t="s">
        <v>173</v>
      </c>
      <c r="E59" s="434">
        <f>E57+E58</f>
        <v>0</v>
      </c>
      <c r="F59" s="434">
        <f>F57+F58</f>
        <v>0</v>
      </c>
      <c r="G59" s="434">
        <f>G57+G58</f>
        <v>0</v>
      </c>
      <c r="H59" s="430" t="str">
        <f t="shared" si="1"/>
        <v xml:space="preserve"> </v>
      </c>
    </row>
    <row r="60" spans="1:8">
      <c r="A60" s="259">
        <v>37</v>
      </c>
      <c r="B60" s="427" t="s">
        <v>124</v>
      </c>
      <c r="E60" s="432"/>
      <c r="F60" s="432"/>
      <c r="G60" s="432"/>
      <c r="H60" s="430" t="str">
        <f t="shared" si="1"/>
        <v xml:space="preserve"> </v>
      </c>
    </row>
    <row r="61" spans="1:8">
      <c r="A61" s="259">
        <v>38</v>
      </c>
      <c r="B61" s="427" t="s">
        <v>125</v>
      </c>
      <c r="E61" s="438"/>
      <c r="F61" s="438"/>
      <c r="G61" s="438"/>
      <c r="H61" s="430" t="str">
        <f t="shared" si="1"/>
        <v xml:space="preserve"> </v>
      </c>
    </row>
    <row r="62" spans="1:8" ht="9" customHeight="1">
      <c r="A62" s="259"/>
      <c r="H62" s="430"/>
    </row>
    <row r="63" spans="1:8" s="430" customFormat="1" ht="12.75" thickBot="1">
      <c r="A63" s="263">
        <v>39</v>
      </c>
      <c r="B63" s="429" t="s">
        <v>126</v>
      </c>
      <c r="E63" s="439">
        <f>E56-E59+E60+E61</f>
        <v>0</v>
      </c>
      <c r="F63" s="439">
        <f>F56-F59+F60+F61</f>
        <v>0</v>
      </c>
      <c r="G63" s="439">
        <f>G56-G59+G60+G61</f>
        <v>0</v>
      </c>
      <c r="H63" s="430" t="str">
        <f>IF(E63=F63+G63," ","ERROR")</f>
        <v xml:space="preserve"> </v>
      </c>
    </row>
    <row r="64" spans="1:8" ht="12.75" thickTop="1"/>
    <row r="65" spans="1:7">
      <c r="A65" s="327" t="str">
        <f>Inputs!$D$6</f>
        <v>AVISTA UTILITIES</v>
      </c>
      <c r="B65" s="327"/>
      <c r="C65" s="327"/>
      <c r="D65" s="349"/>
      <c r="E65" s="350"/>
      <c r="F65" s="349"/>
      <c r="G65" s="351"/>
    </row>
    <row r="66" spans="1:7">
      <c r="A66" s="327" t="s">
        <v>225</v>
      </c>
      <c r="B66" s="327"/>
      <c r="C66" s="327"/>
      <c r="D66" s="349"/>
      <c r="E66" s="350"/>
      <c r="F66" s="349"/>
      <c r="G66" s="351"/>
    </row>
    <row r="67" spans="1:7">
      <c r="A67" s="327" t="str">
        <f>A3</f>
        <v>TWELVE MONTHS ENDED SEPTEMBER 30, 2008</v>
      </c>
      <c r="B67" s="327"/>
      <c r="C67" s="327"/>
      <c r="D67" s="349"/>
      <c r="E67" s="350"/>
      <c r="F67" s="352" t="str">
        <f>E2</f>
        <v>CLARK FORK</v>
      </c>
      <c r="G67" s="349"/>
    </row>
    <row r="68" spans="1:7">
      <c r="A68" s="327" t="s">
        <v>226</v>
      </c>
      <c r="B68" s="327"/>
      <c r="C68" s="327"/>
      <c r="D68" s="349"/>
      <c r="E68" s="350"/>
      <c r="F68" s="352" t="str">
        <f>E3</f>
        <v>PM&amp;E ADJUSTMENT</v>
      </c>
      <c r="G68" s="349"/>
    </row>
    <row r="69" spans="1:7">
      <c r="A69" s="329"/>
      <c r="B69" s="349"/>
      <c r="C69" s="349"/>
      <c r="D69" s="349"/>
      <c r="E69" s="353"/>
      <c r="F69" s="352" t="str">
        <f>E4</f>
        <v>ELECTRIC</v>
      </c>
      <c r="G69" s="349"/>
    </row>
    <row r="70" spans="1:7">
      <c r="A70" s="329"/>
      <c r="B70" s="349"/>
      <c r="C70" s="349"/>
      <c r="D70" s="349"/>
      <c r="E70" s="350"/>
      <c r="F70" s="352"/>
      <c r="G70" s="356"/>
    </row>
    <row r="71" spans="1:7">
      <c r="A71" s="329"/>
      <c r="B71" s="357" t="s">
        <v>134</v>
      </c>
      <c r="C71" s="358"/>
      <c r="D71" s="349"/>
      <c r="E71" s="350"/>
      <c r="F71" s="354" t="s">
        <v>128</v>
      </c>
      <c r="G71" s="349"/>
    </row>
    <row r="72" spans="1:7">
      <c r="A72" s="329"/>
      <c r="B72" s="335" t="s">
        <v>85</v>
      </c>
      <c r="C72" s="349"/>
      <c r="D72" s="349"/>
      <c r="E72" s="349"/>
      <c r="F72" s="351"/>
      <c r="G72" s="349"/>
    </row>
    <row r="73" spans="1:7">
      <c r="A73" s="329"/>
      <c r="B73" s="337" t="s">
        <v>86</v>
      </c>
      <c r="C73" s="349"/>
      <c r="D73" s="349"/>
      <c r="E73" s="349"/>
      <c r="F73" s="359">
        <f>G8</f>
        <v>0</v>
      </c>
      <c r="G73" s="349"/>
    </row>
    <row r="74" spans="1:7">
      <c r="A74" s="329"/>
      <c r="B74" s="335" t="s">
        <v>87</v>
      </c>
      <c r="C74" s="349"/>
      <c r="D74" s="349"/>
      <c r="E74" s="349"/>
      <c r="F74" s="342">
        <f>G9</f>
        <v>0</v>
      </c>
      <c r="G74" s="349"/>
    </row>
    <row r="75" spans="1:7">
      <c r="A75" s="329"/>
      <c r="B75" s="335" t="s">
        <v>150</v>
      </c>
      <c r="C75" s="349"/>
      <c r="D75" s="349"/>
      <c r="E75" s="349"/>
      <c r="F75" s="345">
        <f>G10</f>
        <v>0</v>
      </c>
      <c r="G75" s="349"/>
    </row>
    <row r="76" spans="1:7">
      <c r="A76" s="329"/>
      <c r="B76" s="335" t="s">
        <v>151</v>
      </c>
      <c r="C76" s="349"/>
      <c r="D76" s="349"/>
      <c r="E76" s="349"/>
      <c r="F76" s="342">
        <f>SUM(F73:F75)</f>
        <v>0</v>
      </c>
      <c r="G76" s="349"/>
    </row>
    <row r="77" spans="1:7">
      <c r="A77" s="329"/>
      <c r="B77" s="335" t="s">
        <v>90</v>
      </c>
      <c r="C77" s="349"/>
      <c r="D77" s="349"/>
      <c r="E77" s="349"/>
      <c r="F77" s="345">
        <f>G12</f>
        <v>0</v>
      </c>
      <c r="G77" s="349"/>
    </row>
    <row r="78" spans="1:7">
      <c r="A78" s="329"/>
      <c r="B78" s="335" t="s">
        <v>152</v>
      </c>
      <c r="C78" s="349"/>
      <c r="D78" s="349"/>
      <c r="E78" s="349"/>
      <c r="F78" s="342">
        <f>F76+F77</f>
        <v>0</v>
      </c>
      <c r="G78" s="349"/>
    </row>
    <row r="79" spans="1:7">
      <c r="A79" s="329"/>
      <c r="B79" s="328"/>
      <c r="C79" s="349"/>
      <c r="D79" s="349"/>
      <c r="E79" s="349"/>
      <c r="F79" s="342"/>
      <c r="G79" s="349"/>
    </row>
    <row r="80" spans="1:7">
      <c r="A80" s="329"/>
      <c r="B80" s="335" t="s">
        <v>92</v>
      </c>
      <c r="C80" s="349"/>
      <c r="D80" s="349"/>
      <c r="E80" s="349"/>
      <c r="F80" s="342"/>
      <c r="G80" s="349"/>
    </row>
    <row r="81" spans="1:7">
      <c r="A81" s="329"/>
      <c r="B81" s="335" t="s">
        <v>93</v>
      </c>
      <c r="C81" s="349"/>
      <c r="D81" s="349"/>
      <c r="E81" s="349"/>
      <c r="F81" s="342"/>
      <c r="G81" s="349"/>
    </row>
    <row r="82" spans="1:7">
      <c r="A82" s="329"/>
      <c r="B82" s="335" t="s">
        <v>153</v>
      </c>
      <c r="C82" s="349"/>
      <c r="D82" s="349"/>
      <c r="E82" s="349"/>
      <c r="F82" s="342">
        <f>G17</f>
        <v>523</v>
      </c>
      <c r="G82" s="349"/>
    </row>
    <row r="83" spans="1:7">
      <c r="A83" s="329"/>
      <c r="B83" s="335" t="s">
        <v>154</v>
      </c>
      <c r="C83" s="349"/>
      <c r="D83" s="349"/>
      <c r="E83" s="349"/>
      <c r="F83" s="342">
        <f>G18</f>
        <v>0</v>
      </c>
      <c r="G83" s="349"/>
    </row>
    <row r="84" spans="1:7">
      <c r="A84" s="329"/>
      <c r="B84" s="335" t="s">
        <v>155</v>
      </c>
      <c r="C84" s="349"/>
      <c r="D84" s="349"/>
      <c r="E84" s="349"/>
      <c r="F84" s="342">
        <f>G19</f>
        <v>0</v>
      </c>
      <c r="G84" s="349"/>
    </row>
    <row r="85" spans="1:7">
      <c r="A85" s="329"/>
      <c r="B85" s="335" t="s">
        <v>156</v>
      </c>
      <c r="C85" s="349"/>
      <c r="D85" s="349"/>
      <c r="E85" s="349"/>
      <c r="F85" s="345">
        <f>G20</f>
        <v>0</v>
      </c>
      <c r="G85" s="349"/>
    </row>
    <row r="86" spans="1:7">
      <c r="A86" s="329"/>
      <c r="B86" s="335" t="s">
        <v>157</v>
      </c>
      <c r="C86" s="349"/>
      <c r="D86" s="349"/>
      <c r="E86" s="349"/>
      <c r="F86" s="342">
        <f>SUM(F82:F85)</f>
        <v>523</v>
      </c>
      <c r="G86" s="349"/>
    </row>
    <row r="87" spans="1:7">
      <c r="A87" s="329"/>
      <c r="B87" s="328"/>
      <c r="C87" s="349"/>
      <c r="D87" s="349"/>
      <c r="E87" s="349"/>
      <c r="F87" s="342"/>
      <c r="G87" s="349"/>
    </row>
    <row r="88" spans="1:7">
      <c r="A88" s="329"/>
      <c r="B88" s="335" t="s">
        <v>98</v>
      </c>
      <c r="C88" s="349"/>
      <c r="D88" s="349"/>
      <c r="E88" s="349"/>
      <c r="F88" s="342"/>
      <c r="G88" s="349"/>
    </row>
    <row r="89" spans="1:7">
      <c r="A89" s="329"/>
      <c r="B89" s="335" t="s">
        <v>153</v>
      </c>
      <c r="C89" s="349"/>
      <c r="D89" s="349"/>
      <c r="E89" s="349"/>
      <c r="F89" s="342">
        <f>G24</f>
        <v>0</v>
      </c>
      <c r="G89" s="349"/>
    </row>
    <row r="90" spans="1:7">
      <c r="A90" s="329"/>
      <c r="B90" s="335" t="s">
        <v>158</v>
      </c>
      <c r="C90" s="349"/>
      <c r="D90" s="349"/>
      <c r="E90" s="349"/>
      <c r="F90" s="342">
        <f>G25</f>
        <v>0</v>
      </c>
      <c r="G90" s="349"/>
    </row>
    <row r="91" spans="1:7">
      <c r="A91" s="328"/>
      <c r="B91" s="335" t="s">
        <v>156</v>
      </c>
      <c r="C91" s="349"/>
      <c r="D91" s="349"/>
      <c r="E91" s="349"/>
      <c r="F91" s="342"/>
      <c r="G91" s="349"/>
    </row>
    <row r="92" spans="1:7">
      <c r="A92" s="328"/>
      <c r="B92" s="335" t="s">
        <v>159</v>
      </c>
      <c r="C92" s="349"/>
      <c r="D92" s="349"/>
      <c r="E92" s="349"/>
      <c r="F92" s="341">
        <f>SUM(F89:F91)</f>
        <v>0</v>
      </c>
      <c r="G92" s="349"/>
    </row>
    <row r="93" spans="1:7">
      <c r="A93" s="328"/>
      <c r="B93" s="328"/>
      <c r="C93" s="349"/>
      <c r="D93" s="349"/>
      <c r="E93" s="349"/>
      <c r="F93" s="342"/>
      <c r="G93" s="349"/>
    </row>
    <row r="94" spans="1:7">
      <c r="A94" s="328"/>
      <c r="B94" s="335" t="s">
        <v>101</v>
      </c>
      <c r="C94" s="349"/>
      <c r="D94" s="349"/>
      <c r="E94" s="349"/>
      <c r="F94" s="342">
        <f>G29</f>
        <v>0</v>
      </c>
      <c r="G94" s="349"/>
    </row>
    <row r="95" spans="1:7">
      <c r="A95" s="328"/>
      <c r="B95" s="335" t="s">
        <v>102</v>
      </c>
      <c r="C95" s="349"/>
      <c r="D95" s="349"/>
      <c r="E95" s="349"/>
      <c r="F95" s="342">
        <f>G30</f>
        <v>0</v>
      </c>
      <c r="G95" s="349"/>
    </row>
    <row r="96" spans="1:7">
      <c r="A96" s="328"/>
      <c r="B96" s="335" t="s">
        <v>160</v>
      </c>
      <c r="C96" s="349"/>
      <c r="D96" s="349"/>
      <c r="E96" s="349"/>
      <c r="F96" s="342">
        <f>G31</f>
        <v>0</v>
      </c>
      <c r="G96" s="349"/>
    </row>
    <row r="97" spans="1:7">
      <c r="A97" s="328"/>
      <c r="B97" s="328"/>
      <c r="C97" s="349"/>
      <c r="D97" s="349"/>
      <c r="E97" s="349"/>
      <c r="F97" s="342"/>
      <c r="G97" s="349"/>
    </row>
    <row r="98" spans="1:7">
      <c r="A98" s="328"/>
      <c r="B98" s="335" t="s">
        <v>104</v>
      </c>
      <c r="C98" s="349"/>
      <c r="D98" s="349"/>
      <c r="E98" s="349"/>
      <c r="F98" s="342"/>
      <c r="G98" s="349"/>
    </row>
    <row r="99" spans="1:7">
      <c r="A99" s="328"/>
      <c r="B99" s="335" t="s">
        <v>153</v>
      </c>
      <c r="C99" s="349"/>
      <c r="D99" s="349"/>
      <c r="E99" s="349"/>
      <c r="F99" s="342">
        <f>G34</f>
        <v>0</v>
      </c>
      <c r="G99" s="349"/>
    </row>
    <row r="100" spans="1:7">
      <c r="A100" s="328"/>
      <c r="B100" s="335" t="s">
        <v>158</v>
      </c>
      <c r="C100" s="349"/>
      <c r="D100" s="349"/>
      <c r="E100" s="349"/>
      <c r="F100" s="342">
        <f>G35</f>
        <v>0</v>
      </c>
      <c r="G100" s="349"/>
    </row>
    <row r="101" spans="1:7">
      <c r="A101" s="328"/>
      <c r="B101" s="335" t="s">
        <v>156</v>
      </c>
      <c r="C101" s="349"/>
      <c r="D101" s="349"/>
      <c r="E101" s="349"/>
      <c r="F101" s="345">
        <f>G36</f>
        <v>0</v>
      </c>
      <c r="G101" s="349"/>
    </row>
    <row r="102" spans="1:7">
      <c r="A102" s="328"/>
      <c r="B102" s="335" t="s">
        <v>161</v>
      </c>
      <c r="C102" s="349"/>
      <c r="D102" s="349"/>
      <c r="E102" s="349"/>
      <c r="F102" s="342">
        <f>F99+F100+F101</f>
        <v>0</v>
      </c>
      <c r="G102" s="349"/>
    </row>
    <row r="103" spans="1:7">
      <c r="A103" s="328"/>
      <c r="B103" s="349"/>
      <c r="C103" s="349"/>
      <c r="D103" s="349"/>
      <c r="E103" s="349"/>
      <c r="F103" s="342"/>
      <c r="G103" s="349"/>
    </row>
    <row r="104" spans="1:7">
      <c r="A104" s="328"/>
      <c r="B104" s="349" t="s">
        <v>106</v>
      </c>
      <c r="C104" s="349"/>
      <c r="D104" s="349"/>
      <c r="E104" s="349"/>
      <c r="F104" s="344">
        <f>F86+F92+F94+F95+F96+F102</f>
        <v>523</v>
      </c>
      <c r="G104" s="349"/>
    </row>
    <row r="105" spans="1:7">
      <c r="A105" s="328"/>
      <c r="B105" s="349"/>
      <c r="C105" s="349"/>
      <c r="D105" s="349"/>
      <c r="E105" s="349"/>
      <c r="F105" s="342"/>
      <c r="G105" s="349"/>
    </row>
    <row r="106" spans="1:7">
      <c r="A106" s="328"/>
      <c r="B106" s="349" t="s">
        <v>227</v>
      </c>
      <c r="C106" s="349"/>
      <c r="D106" s="349"/>
      <c r="E106" s="349"/>
      <c r="F106" s="345">
        <f>F78-F104</f>
        <v>-523</v>
      </c>
      <c r="G106" s="349"/>
    </row>
    <row r="107" spans="1:7">
      <c r="A107" s="328"/>
      <c r="B107" s="349"/>
      <c r="C107" s="349"/>
      <c r="D107" s="349"/>
      <c r="E107" s="349"/>
      <c r="F107" s="342"/>
      <c r="G107" s="349"/>
    </row>
    <row r="108" spans="1:7">
      <c r="A108" s="328"/>
      <c r="B108" s="349" t="s">
        <v>228</v>
      </c>
      <c r="C108" s="349"/>
      <c r="D108" s="349"/>
      <c r="E108" s="350"/>
      <c r="F108" s="342"/>
      <c r="G108" s="349"/>
    </row>
    <row r="109" spans="1:7" ht="12.75" thickBot="1">
      <c r="A109" s="328"/>
      <c r="B109" s="360" t="s">
        <v>229</v>
      </c>
      <c r="C109" s="325">
        <f>Inputs!$D$4</f>
        <v>1.2215999999999999E-2</v>
      </c>
      <c r="D109" s="349"/>
      <c r="E109" s="350"/>
      <c r="F109" s="361">
        <f>ROUND(F106*C109,0)</f>
        <v>-6</v>
      </c>
      <c r="G109" s="349"/>
    </row>
    <row r="110" spans="1:7" ht="12.75" thickTop="1">
      <c r="A110" s="328"/>
      <c r="B110" s="349"/>
      <c r="C110" s="349"/>
      <c r="D110" s="349"/>
      <c r="E110" s="350"/>
      <c r="F110" s="349"/>
      <c r="G110" s="351"/>
    </row>
  </sheetData>
  <phoneticPr fontId="0" type="noConversion"/>
  <printOptions horizontalCentered="1"/>
  <pageMargins left="1" right="1" top="0.5" bottom="0.5" header="0.5" footer="0.5"/>
  <pageSetup scale="90" fitToHeight="2" orientation="portrait" horizontalDpi="300" verticalDpi="300" r:id="rId1"/>
  <headerFooter alignWithMargins="0"/>
  <rowBreaks count="1" manualBreakCount="1">
    <brk id="64" max="6" man="1"/>
  </rowBreaks>
  <colBreaks count="3" manualBreakCount="3">
    <brk id="7" max="1048575" man="1"/>
    <brk id="15" max="1048575" man="1"/>
    <brk id="23" max="1048575" man="1"/>
  </colBreaks>
</worksheet>
</file>

<file path=xl/worksheets/sheet69.xml><?xml version="1.0" encoding="utf-8"?>
<worksheet xmlns="http://schemas.openxmlformats.org/spreadsheetml/2006/main" xmlns:r="http://schemas.openxmlformats.org/officeDocument/2006/relationships">
  <sheetPr codeName="Sheet70"/>
  <dimension ref="A1:H110"/>
  <sheetViews>
    <sheetView topLeftCell="A4" zoomScaleNormal="100" workbookViewId="0">
      <selection activeCell="F4" sqref="F4"/>
    </sheetView>
  </sheetViews>
  <sheetFormatPr defaultRowHeight="12.75"/>
  <cols>
    <col min="1" max="1" width="5.5703125" style="47" customWidth="1"/>
    <col min="2" max="2" width="26.140625" style="44" customWidth="1"/>
    <col min="3" max="3" width="12.42578125" style="44" customWidth="1"/>
    <col min="4" max="4" width="6.7109375" style="44" customWidth="1"/>
    <col min="5" max="8" width="12.42578125" style="44" customWidth="1"/>
  </cols>
  <sheetData>
    <row r="1" spans="1:8">
      <c r="A1" s="42" t="str">
        <f>Inputs!$D$6</f>
        <v>AVISTA UTILITIES</v>
      </c>
      <c r="B1" s="43"/>
      <c r="C1" s="42"/>
    </row>
    <row r="2" spans="1:8">
      <c r="A2" s="42" t="s">
        <v>142</v>
      </c>
      <c r="B2" s="43"/>
      <c r="C2" s="42"/>
      <c r="E2" s="42"/>
      <c r="F2" s="456" t="s">
        <v>299</v>
      </c>
      <c r="G2" s="42"/>
    </row>
    <row r="3" spans="1:8">
      <c r="A3" s="43" t="str">
        <f>WAElec09_08!$A$4</f>
        <v>TWELVE MONTHS ENDED SEPTEMBER 30, 2008</v>
      </c>
      <c r="B3" s="43"/>
      <c r="C3" s="42"/>
      <c r="E3" s="42"/>
      <c r="F3" s="47" t="s">
        <v>587</v>
      </c>
      <c r="G3" s="42"/>
    </row>
    <row r="4" spans="1:8">
      <c r="A4" s="42" t="s">
        <v>1</v>
      </c>
      <c r="B4" s="43"/>
      <c r="C4" s="42"/>
      <c r="E4" s="45"/>
      <c r="F4" s="670" t="s">
        <v>145</v>
      </c>
      <c r="G4" s="46"/>
    </row>
    <row r="5" spans="1:8">
      <c r="A5" s="47" t="s">
        <v>14</v>
      </c>
    </row>
    <row r="6" spans="1:8">
      <c r="A6" s="47" t="s">
        <v>146</v>
      </c>
      <c r="B6" s="48" t="s">
        <v>36</v>
      </c>
      <c r="C6" s="48"/>
      <c r="D6" s="47"/>
      <c r="E6" s="48" t="s">
        <v>147</v>
      </c>
      <c r="F6" s="48" t="s">
        <v>148</v>
      </c>
      <c r="G6" s="48" t="s">
        <v>128</v>
      </c>
      <c r="H6" s="49" t="s">
        <v>149</v>
      </c>
    </row>
    <row r="7" spans="1:8">
      <c r="B7" s="50" t="s">
        <v>85</v>
      </c>
    </row>
    <row r="8" spans="1:8">
      <c r="A8" s="51">
        <v>1</v>
      </c>
      <c r="B8" s="52" t="s">
        <v>86</v>
      </c>
      <c r="C8" s="53"/>
      <c r="D8" s="53"/>
      <c r="E8" s="54">
        <f>F8+G8</f>
        <v>0</v>
      </c>
      <c r="F8" s="54">
        <v>0</v>
      </c>
      <c r="G8" s="54">
        <v>0</v>
      </c>
      <c r="H8" s="53" t="str">
        <f t="shared" ref="H8:H13" si="0">IF(E8=F8+G8," ","ERROR")</f>
        <v xml:space="preserve"> </v>
      </c>
    </row>
    <row r="9" spans="1:8">
      <c r="A9" s="47">
        <v>2</v>
      </c>
      <c r="B9" s="50" t="s">
        <v>87</v>
      </c>
      <c r="E9" s="55"/>
      <c r="F9" s="55"/>
      <c r="G9" s="55"/>
      <c r="H9" s="53" t="str">
        <f t="shared" si="0"/>
        <v xml:space="preserve"> </v>
      </c>
    </row>
    <row r="10" spans="1:8">
      <c r="A10" s="47">
        <v>3</v>
      </c>
      <c r="B10" s="50" t="s">
        <v>150</v>
      </c>
      <c r="E10" s="55"/>
      <c r="F10" s="55"/>
      <c r="G10" s="55"/>
      <c r="H10" s="53" t="str">
        <f t="shared" si="0"/>
        <v xml:space="preserve"> </v>
      </c>
    </row>
    <row r="11" spans="1:8">
      <c r="A11" s="47">
        <v>4</v>
      </c>
      <c r="B11" s="50" t="s">
        <v>151</v>
      </c>
      <c r="E11" s="56">
        <f>E8+E9+E10</f>
        <v>0</v>
      </c>
      <c r="F11" s="56">
        <f>F8+F9+F10</f>
        <v>0</v>
      </c>
      <c r="G11" s="56">
        <f>G8+G9+G10</f>
        <v>0</v>
      </c>
      <c r="H11" s="53" t="str">
        <f t="shared" si="0"/>
        <v xml:space="preserve"> </v>
      </c>
    </row>
    <row r="12" spans="1:8">
      <c r="A12" s="47">
        <v>5</v>
      </c>
      <c r="B12" s="50" t="s">
        <v>90</v>
      </c>
      <c r="E12" s="55"/>
      <c r="F12" s="55"/>
      <c r="G12" s="55"/>
      <c r="H12" s="53" t="str">
        <f t="shared" si="0"/>
        <v xml:space="preserve"> </v>
      </c>
    </row>
    <row r="13" spans="1:8">
      <c r="A13" s="47">
        <v>6</v>
      </c>
      <c r="B13" s="50" t="s">
        <v>152</v>
      </c>
      <c r="E13" s="56">
        <f>E11+E12</f>
        <v>0</v>
      </c>
      <c r="F13" s="56">
        <f>F11+F12</f>
        <v>0</v>
      </c>
      <c r="G13" s="56">
        <f>G11+G12</f>
        <v>0</v>
      </c>
      <c r="H13" s="53" t="str">
        <f t="shared" si="0"/>
        <v xml:space="preserve"> </v>
      </c>
    </row>
    <row r="14" spans="1:8">
      <c r="E14" s="58"/>
      <c r="F14" s="58"/>
      <c r="G14" s="58"/>
      <c r="H14" s="53"/>
    </row>
    <row r="15" spans="1:8">
      <c r="B15" s="50" t="s">
        <v>92</v>
      </c>
      <c r="E15" s="58"/>
      <c r="F15" s="58"/>
      <c r="G15" s="58"/>
      <c r="H15" s="53"/>
    </row>
    <row r="16" spans="1:8">
      <c r="B16" s="50" t="s">
        <v>93</v>
      </c>
      <c r="E16" s="58"/>
      <c r="F16" s="58"/>
      <c r="G16" s="58"/>
      <c r="H16" s="53"/>
    </row>
    <row r="17" spans="1:8">
      <c r="A17" s="47">
        <v>7</v>
      </c>
      <c r="B17" s="50" t="s">
        <v>153</v>
      </c>
      <c r="E17" s="55">
        <f>F17+G17</f>
        <v>0</v>
      </c>
      <c r="F17" s="55">
        <v>0</v>
      </c>
      <c r="G17" s="55">
        <v>0</v>
      </c>
      <c r="H17" s="53" t="str">
        <f>IF(E17=F17+G17," ","ERROR")</f>
        <v xml:space="preserve"> </v>
      </c>
    </row>
    <row r="18" spans="1:8">
      <c r="A18" s="47">
        <v>8</v>
      </c>
      <c r="B18" s="50" t="s">
        <v>154</v>
      </c>
      <c r="E18" s="55"/>
      <c r="F18" s="55"/>
      <c r="G18" s="55"/>
      <c r="H18" s="53" t="str">
        <f>IF(E18=F18+G18," ","ERROR")</f>
        <v xml:space="preserve"> </v>
      </c>
    </row>
    <row r="19" spans="1:8">
      <c r="A19" s="47">
        <v>9</v>
      </c>
      <c r="B19" s="50" t="s">
        <v>155</v>
      </c>
      <c r="E19" s="55">
        <f>F19+G19</f>
        <v>0</v>
      </c>
      <c r="F19" s="55">
        <v>0</v>
      </c>
      <c r="G19" s="55"/>
      <c r="H19" s="53" t="str">
        <f>IF(E19=F19+G19," ","ERROR")</f>
        <v xml:space="preserve"> </v>
      </c>
    </row>
    <row r="20" spans="1:8">
      <c r="A20" s="47">
        <v>10</v>
      </c>
      <c r="B20" s="50" t="s">
        <v>156</v>
      </c>
      <c r="E20" s="55">
        <f>F20+G20</f>
        <v>0</v>
      </c>
      <c r="F20" s="55"/>
      <c r="G20" s="55"/>
      <c r="H20" s="53" t="str">
        <f>IF(E20=F20+G20," ","ERROR")</f>
        <v xml:space="preserve"> </v>
      </c>
    </row>
    <row r="21" spans="1:8">
      <c r="A21" s="47">
        <v>11</v>
      </c>
      <c r="B21" s="50" t="s">
        <v>157</v>
      </c>
      <c r="E21" s="56">
        <f>E17+E18+E19+E20</f>
        <v>0</v>
      </c>
      <c r="F21" s="56">
        <f>F17+F18+F19+F20</f>
        <v>0</v>
      </c>
      <c r="G21" s="56">
        <f>G17+G18+G19+G20</f>
        <v>0</v>
      </c>
      <c r="H21" s="53" t="str">
        <f>IF(E21=F21+G21," ","ERROR")</f>
        <v xml:space="preserve"> </v>
      </c>
    </row>
    <row r="22" spans="1:8">
      <c r="E22" s="58"/>
      <c r="F22" s="58"/>
      <c r="G22" s="58"/>
      <c r="H22" s="53"/>
    </row>
    <row r="23" spans="1:8">
      <c r="B23" s="50" t="s">
        <v>98</v>
      </c>
      <c r="E23" s="58"/>
      <c r="F23" s="58"/>
      <c r="G23" s="58"/>
      <c r="H23" s="53"/>
    </row>
    <row r="24" spans="1:8">
      <c r="A24" s="47">
        <v>12</v>
      </c>
      <c r="B24" s="50" t="s">
        <v>153</v>
      </c>
      <c r="E24" s="55">
        <f>F24+G24</f>
        <v>0</v>
      </c>
      <c r="F24" s="55">
        <v>0</v>
      </c>
      <c r="G24" s="55">
        <v>0</v>
      </c>
      <c r="H24" s="53" t="str">
        <f>IF(E24=F24+G24," ","ERROR")</f>
        <v xml:space="preserve"> </v>
      </c>
    </row>
    <row r="25" spans="1:8">
      <c r="A25" s="47">
        <v>13</v>
      </c>
      <c r="B25" s="50" t="s">
        <v>158</v>
      </c>
      <c r="E25" s="55">
        <f>F25+G25</f>
        <v>692</v>
      </c>
      <c r="F25" s="55"/>
      <c r="G25" s="55">
        <v>692</v>
      </c>
      <c r="H25" s="53" t="str">
        <f>IF(E25=F25+G25," ","ERROR")</f>
        <v xml:space="preserve"> </v>
      </c>
    </row>
    <row r="26" spans="1:8">
      <c r="A26" s="47">
        <v>14</v>
      </c>
      <c r="B26" s="50" t="s">
        <v>156</v>
      </c>
      <c r="E26" s="55">
        <f>F26+G26</f>
        <v>322</v>
      </c>
      <c r="F26" s="55">
        <v>0</v>
      </c>
      <c r="G26" s="916">
        <f>F109+334</f>
        <v>322</v>
      </c>
      <c r="H26" s="53" t="str">
        <f>IF(E26=F26+G26," ","ERROR")</f>
        <v xml:space="preserve"> </v>
      </c>
    </row>
    <row r="27" spans="1:8">
      <c r="A27" s="47">
        <v>15</v>
      </c>
      <c r="B27" s="50" t="s">
        <v>159</v>
      </c>
      <c r="E27" s="56">
        <f>E24+E25+E26</f>
        <v>1014</v>
      </c>
      <c r="F27" s="56">
        <f>F24+F25+F26</f>
        <v>0</v>
      </c>
      <c r="G27" s="56">
        <f>G24+G25+G26</f>
        <v>1014</v>
      </c>
      <c r="H27" s="53" t="str">
        <f>IF(E27=F27+G27," ","ERROR")</f>
        <v xml:space="preserve"> </v>
      </c>
    </row>
    <row r="28" spans="1:8">
      <c r="E28" s="58"/>
      <c r="F28" s="58"/>
      <c r="G28" s="58"/>
      <c r="H28" s="53"/>
    </row>
    <row r="29" spans="1:8">
      <c r="A29" s="47">
        <v>16</v>
      </c>
      <c r="B29" s="50" t="s">
        <v>101</v>
      </c>
      <c r="E29" s="55">
        <f>SUM(F29:G29)</f>
        <v>0</v>
      </c>
      <c r="F29" s="55">
        <v>0</v>
      </c>
      <c r="G29" s="55">
        <v>0</v>
      </c>
      <c r="H29" s="53" t="str">
        <f>IF(E29=F29+G29," ","ERROR")</f>
        <v xml:space="preserve"> </v>
      </c>
    </row>
    <row r="30" spans="1:8">
      <c r="A30" s="47">
        <v>17</v>
      </c>
      <c r="B30" s="50" t="s">
        <v>102</v>
      </c>
      <c r="E30" s="55">
        <f>SUM(F30:G30)</f>
        <v>0</v>
      </c>
      <c r="F30" s="55">
        <v>0</v>
      </c>
      <c r="G30" s="55">
        <v>0</v>
      </c>
      <c r="H30" s="53" t="str">
        <f>IF(E30=F30+G30," ","ERROR")</f>
        <v xml:space="preserve"> </v>
      </c>
    </row>
    <row r="31" spans="1:8">
      <c r="A31" s="47">
        <v>18</v>
      </c>
      <c r="B31" s="50" t="s">
        <v>160</v>
      </c>
      <c r="E31" s="55">
        <f>SUM(F31:G31)</f>
        <v>0</v>
      </c>
      <c r="F31" s="55">
        <v>0</v>
      </c>
      <c r="G31" s="55">
        <v>0</v>
      </c>
      <c r="H31" s="53" t="str">
        <f>IF(E31=F31+G31," ","ERROR")</f>
        <v xml:space="preserve"> </v>
      </c>
    </row>
    <row r="32" spans="1:8">
      <c r="E32" s="58"/>
      <c r="F32" s="58"/>
      <c r="G32" s="58"/>
      <c r="H32" s="53"/>
    </row>
    <row r="33" spans="1:8">
      <c r="B33" s="50" t="s">
        <v>104</v>
      </c>
      <c r="E33" s="58"/>
      <c r="F33" s="58"/>
      <c r="G33" s="58"/>
      <c r="H33" s="53"/>
    </row>
    <row r="34" spans="1:8">
      <c r="A34" s="47">
        <v>19</v>
      </c>
      <c r="B34" s="50" t="s">
        <v>153</v>
      </c>
      <c r="E34" s="55">
        <f>SUM(F34:G34)</f>
        <v>0</v>
      </c>
      <c r="F34" s="55">
        <v>0</v>
      </c>
      <c r="G34" s="55">
        <v>0</v>
      </c>
      <c r="H34" s="53" t="str">
        <f>IF(E34=F34+G34," ","ERROR")</f>
        <v xml:space="preserve"> </v>
      </c>
    </row>
    <row r="35" spans="1:8">
      <c r="A35" s="47">
        <v>20</v>
      </c>
      <c r="B35" s="50" t="s">
        <v>158</v>
      </c>
      <c r="E35" s="55"/>
      <c r="F35" s="55"/>
      <c r="G35" s="55"/>
      <c r="H35" s="53" t="str">
        <f>IF(E35=F35+G35," ","ERROR")</f>
        <v xml:space="preserve"> </v>
      </c>
    </row>
    <row r="36" spans="1:8">
      <c r="A36" s="47">
        <v>21</v>
      </c>
      <c r="B36" s="50" t="s">
        <v>156</v>
      </c>
      <c r="E36" s="55"/>
      <c r="F36" s="55"/>
      <c r="G36" s="55"/>
      <c r="H36" s="53" t="str">
        <f>IF(E36=F36+G36," ","ERROR")</f>
        <v xml:space="preserve"> </v>
      </c>
    </row>
    <row r="37" spans="1:8">
      <c r="A37" s="47">
        <v>22</v>
      </c>
      <c r="B37" s="50" t="s">
        <v>161</v>
      </c>
      <c r="E37" s="60">
        <f>E34+E35+E36</f>
        <v>0</v>
      </c>
      <c r="F37" s="60">
        <f>F34+F35+F36</f>
        <v>0</v>
      </c>
      <c r="G37" s="60">
        <f>G34+G35+G36</f>
        <v>0</v>
      </c>
      <c r="H37" s="53" t="str">
        <f>IF(E37=F37+G37," ","ERROR")</f>
        <v xml:space="preserve"> </v>
      </c>
    </row>
    <row r="38" spans="1:8">
      <c r="A38" s="47">
        <v>23</v>
      </c>
      <c r="B38" s="50" t="s">
        <v>106</v>
      </c>
      <c r="E38" s="61">
        <f>E21+E27+E29+E30+E31+E37</f>
        <v>1014</v>
      </c>
      <c r="F38" s="61">
        <f>F21+F27+F29+F30+F31+F37</f>
        <v>0</v>
      </c>
      <c r="G38" s="61">
        <f>G21+G27+G29+G30+G31+G37</f>
        <v>1014</v>
      </c>
      <c r="H38" s="53" t="str">
        <f>IF(E38=F38+G38," ","ERROR")</f>
        <v xml:space="preserve"> </v>
      </c>
    </row>
    <row r="39" spans="1:8">
      <c r="E39" s="58"/>
      <c r="F39" s="58"/>
      <c r="G39" s="58"/>
      <c r="H39" s="53"/>
    </row>
    <row r="40" spans="1:8">
      <c r="A40" s="47">
        <v>24</v>
      </c>
      <c r="B40" s="50" t="s">
        <v>162</v>
      </c>
      <c r="E40" s="58">
        <f>E13-E38</f>
        <v>-1014</v>
      </c>
      <c r="F40" s="58">
        <f>F13-F38</f>
        <v>0</v>
      </c>
      <c r="G40" s="58">
        <f>G13-G38</f>
        <v>-1014</v>
      </c>
      <c r="H40" s="53" t="str">
        <f>IF(E40=F40+G40," ","ERROR")</f>
        <v xml:space="preserve"> </v>
      </c>
    </row>
    <row r="41" spans="1:8">
      <c r="B41" s="50"/>
      <c r="E41" s="58"/>
      <c r="F41" s="58"/>
      <c r="G41" s="58"/>
      <c r="H41" s="53"/>
    </row>
    <row r="42" spans="1:8">
      <c r="B42" s="50" t="s">
        <v>163</v>
      </c>
      <c r="E42" s="58"/>
      <c r="F42" s="58"/>
      <c r="G42" s="58"/>
      <c r="H42" s="53"/>
    </row>
    <row r="43" spans="1:8">
      <c r="A43" s="47">
        <v>25</v>
      </c>
      <c r="B43" s="50" t="s">
        <v>164</v>
      </c>
      <c r="D43" s="62">
        <v>0.35</v>
      </c>
      <c r="E43" s="55">
        <f>F43+G43</f>
        <v>-325</v>
      </c>
      <c r="F43" s="55">
        <f>ROUND(F40*D43,0)</f>
        <v>0</v>
      </c>
      <c r="G43" s="55">
        <v>-325</v>
      </c>
      <c r="H43" s="53" t="str">
        <f>IF(E43=F43+G43," ","ERROR")</f>
        <v xml:space="preserve"> </v>
      </c>
    </row>
    <row r="44" spans="1:8">
      <c r="A44" s="47">
        <v>26</v>
      </c>
      <c r="B44" s="50" t="s">
        <v>165</v>
      </c>
      <c r="E44" s="55"/>
      <c r="F44" s="55"/>
      <c r="G44" s="55"/>
      <c r="H44" s="53" t="str">
        <f>IF(E44=F44+G44," ","ERROR")</f>
        <v xml:space="preserve"> </v>
      </c>
    </row>
    <row r="45" spans="1:8">
      <c r="A45"/>
      <c r="B45"/>
      <c r="C45"/>
      <c r="D45"/>
      <c r="E45" s="913"/>
      <c r="F45" s="913"/>
      <c r="G45" s="913"/>
      <c r="H45" s="53" t="str">
        <f>IF(E45=F45+G45," ","ERROR")</f>
        <v xml:space="preserve"> </v>
      </c>
    </row>
    <row r="46" spans="1:8">
      <c r="A46" s="259"/>
      <c r="B46" s="262"/>
      <c r="C46" s="256"/>
      <c r="D46" s="256"/>
      <c r="E46" s="269"/>
      <c r="F46" s="269"/>
      <c r="G46" s="269"/>
      <c r="H46" s="53"/>
    </row>
    <row r="47" spans="1:8">
      <c r="A47" s="263">
        <v>27</v>
      </c>
      <c r="B47" s="264" t="s">
        <v>113</v>
      </c>
      <c r="C47" s="265"/>
      <c r="D47" s="265"/>
      <c r="E47" s="273">
        <f>E40-SUM(E43:E44)</f>
        <v>-689</v>
      </c>
      <c r="F47" s="273">
        <f>F40-SUM(F43:F44)</f>
        <v>0</v>
      </c>
      <c r="G47" s="273">
        <f>G40-SUM(G43:G44)</f>
        <v>-689</v>
      </c>
      <c r="H47" s="53" t="str">
        <f>IF(E47=F47+G47," ","ERROR")</f>
        <v xml:space="preserve"> </v>
      </c>
    </row>
    <row r="48" spans="1:8">
      <c r="A48" s="259"/>
      <c r="H48" s="53"/>
    </row>
    <row r="49" spans="1:8">
      <c r="A49" s="259"/>
      <c r="B49" s="50" t="s">
        <v>114</v>
      </c>
      <c r="H49" s="53"/>
    </row>
    <row r="50" spans="1:8">
      <c r="A50" s="259"/>
      <c r="B50" s="50" t="s">
        <v>115</v>
      </c>
      <c r="H50" s="53"/>
    </row>
    <row r="51" spans="1:8">
      <c r="A51" s="263">
        <v>28</v>
      </c>
      <c r="B51" s="52" t="s">
        <v>167</v>
      </c>
      <c r="C51" s="53"/>
      <c r="D51" s="53"/>
      <c r="E51" s="54"/>
      <c r="F51" s="54"/>
      <c r="G51" s="54"/>
      <c r="H51" s="53" t="str">
        <f t="shared" ref="H51:H61" si="1">IF(E51=F51+G51," ","ERROR")</f>
        <v xml:space="preserve"> </v>
      </c>
    </row>
    <row r="52" spans="1:8">
      <c r="A52" s="259">
        <v>29</v>
      </c>
      <c r="B52" s="50" t="s">
        <v>168</v>
      </c>
      <c r="E52" s="55">
        <f>F52+G52</f>
        <v>0</v>
      </c>
      <c r="F52" s="55"/>
      <c r="G52" s="55"/>
      <c r="H52" s="53" t="str">
        <f t="shared" si="1"/>
        <v xml:space="preserve"> </v>
      </c>
    </row>
    <row r="53" spans="1:8">
      <c r="A53" s="259">
        <v>30</v>
      </c>
      <c r="B53" s="50" t="s">
        <v>169</v>
      </c>
      <c r="E53" s="55">
        <f>F53+G53</f>
        <v>0</v>
      </c>
      <c r="F53" s="55"/>
      <c r="G53" s="55"/>
      <c r="H53" s="53" t="str">
        <f t="shared" si="1"/>
        <v xml:space="preserve"> </v>
      </c>
    </row>
    <row r="54" spans="1:8">
      <c r="A54" s="259">
        <v>31</v>
      </c>
      <c r="B54" s="50" t="s">
        <v>170</v>
      </c>
      <c r="E54" s="55">
        <f>F54+G54</f>
        <v>22253</v>
      </c>
      <c r="F54" s="55"/>
      <c r="G54" s="55">
        <v>22253</v>
      </c>
      <c r="H54" s="53" t="str">
        <f t="shared" si="1"/>
        <v xml:space="preserve"> </v>
      </c>
    </row>
    <row r="55" spans="1:8">
      <c r="A55" s="259">
        <v>32</v>
      </c>
      <c r="B55" s="50" t="s">
        <v>171</v>
      </c>
      <c r="E55" s="59"/>
      <c r="F55" s="59"/>
      <c r="G55" s="59"/>
      <c r="H55" s="53" t="str">
        <f t="shared" si="1"/>
        <v xml:space="preserve"> </v>
      </c>
    </row>
    <row r="56" spans="1:8">
      <c r="A56" s="259">
        <v>33</v>
      </c>
      <c r="B56" s="50" t="s">
        <v>172</v>
      </c>
      <c r="E56" s="58">
        <f>E51+E52+E53+E54+E55</f>
        <v>22253</v>
      </c>
      <c r="F56" s="58">
        <f>F51+F52+F53+F54+F55</f>
        <v>0</v>
      </c>
      <c r="G56" s="58">
        <f>G51+G52+G53+G54+G55</f>
        <v>22253</v>
      </c>
      <c r="H56" s="53" t="str">
        <f t="shared" si="1"/>
        <v xml:space="preserve"> </v>
      </c>
    </row>
    <row r="57" spans="1:8">
      <c r="A57" s="259">
        <v>34</v>
      </c>
      <c r="B57" s="50" t="s">
        <v>121</v>
      </c>
      <c r="E57" s="55">
        <f>F57+G57</f>
        <v>0</v>
      </c>
      <c r="F57" s="55"/>
      <c r="G57" s="55"/>
      <c r="H57" s="53" t="str">
        <f t="shared" si="1"/>
        <v xml:space="preserve"> </v>
      </c>
    </row>
    <row r="58" spans="1:8">
      <c r="A58" s="259">
        <v>35</v>
      </c>
      <c r="B58" s="50" t="s">
        <v>122</v>
      </c>
      <c r="E58" s="59">
        <f>F58+G58</f>
        <v>332</v>
      </c>
      <c r="F58" s="59"/>
      <c r="G58" s="59">
        <v>332</v>
      </c>
      <c r="H58" s="53" t="str">
        <f t="shared" si="1"/>
        <v xml:space="preserve"> </v>
      </c>
    </row>
    <row r="59" spans="1:8">
      <c r="A59" s="259">
        <v>36</v>
      </c>
      <c r="B59" s="50" t="s">
        <v>173</v>
      </c>
      <c r="E59" s="58">
        <f>E57+E58</f>
        <v>332</v>
      </c>
      <c r="F59" s="58">
        <f>F57+F58</f>
        <v>0</v>
      </c>
      <c r="G59" s="58">
        <f>G57+G58</f>
        <v>332</v>
      </c>
      <c r="H59" s="53" t="str">
        <f t="shared" si="1"/>
        <v xml:space="preserve"> </v>
      </c>
    </row>
    <row r="60" spans="1:8">
      <c r="A60" s="259">
        <v>37</v>
      </c>
      <c r="B60" s="50" t="s">
        <v>124</v>
      </c>
      <c r="E60" s="55"/>
      <c r="F60" s="55"/>
      <c r="G60" s="55"/>
      <c r="H60" s="53" t="str">
        <f t="shared" si="1"/>
        <v xml:space="preserve"> </v>
      </c>
    </row>
    <row r="61" spans="1:8">
      <c r="A61" s="259">
        <v>38</v>
      </c>
      <c r="B61" s="50" t="s">
        <v>125</v>
      </c>
      <c r="E61" s="59">
        <f>F61+G61</f>
        <v>-69</v>
      </c>
      <c r="F61" s="59"/>
      <c r="G61" s="59">
        <v>-69</v>
      </c>
      <c r="H61" s="53" t="str">
        <f t="shared" si="1"/>
        <v xml:space="preserve"> </v>
      </c>
    </row>
    <row r="62" spans="1:8" ht="11.25" customHeight="1">
      <c r="A62" s="259"/>
      <c r="H62" s="53"/>
    </row>
    <row r="63" spans="1:8" ht="13.5" thickBot="1">
      <c r="A63" s="263">
        <v>39</v>
      </c>
      <c r="B63" s="52" t="s">
        <v>126</v>
      </c>
      <c r="C63" s="53"/>
      <c r="D63" s="53"/>
      <c r="E63" s="63">
        <f>E56-E59+E60+E61</f>
        <v>21852</v>
      </c>
      <c r="F63" s="63">
        <f>F56-F59+F60+F61</f>
        <v>0</v>
      </c>
      <c r="G63" s="63">
        <f>G56-G59+G60+G61</f>
        <v>21852</v>
      </c>
      <c r="H63" s="53" t="str">
        <f>IF(E63=F63+G63," ","ERROR")</f>
        <v xml:space="preserve"> </v>
      </c>
    </row>
    <row r="64" spans="1:8" ht="13.5" thickTop="1">
      <c r="A64" s="44"/>
      <c r="B64" s="69"/>
      <c r="C64" s="69"/>
      <c r="D64" s="69"/>
      <c r="E64" s="671"/>
      <c r="F64" s="672"/>
      <c r="G64" s="69"/>
      <c r="H64" s="69"/>
    </row>
    <row r="65" spans="1:7">
      <c r="A65" s="420" t="str">
        <f>Inputs!$D$6</f>
        <v>AVISTA UTILITIES</v>
      </c>
      <c r="B65" s="420"/>
      <c r="C65" s="420"/>
      <c r="D65" s="440"/>
      <c r="E65" s="441"/>
      <c r="F65" s="440"/>
      <c r="G65" s="442"/>
    </row>
    <row r="66" spans="1:7">
      <c r="A66" s="420" t="s">
        <v>225</v>
      </c>
      <c r="B66" s="420"/>
      <c r="C66" s="420"/>
      <c r="D66" s="440"/>
      <c r="E66" s="441"/>
      <c r="F66" s="440"/>
      <c r="G66" s="442"/>
    </row>
    <row r="67" spans="1:7">
      <c r="A67" s="420" t="str">
        <f>A3</f>
        <v>TWELVE MONTHS ENDED SEPTEMBER 30, 2008</v>
      </c>
      <c r="B67" s="420"/>
      <c r="C67" s="420"/>
      <c r="D67" s="440"/>
      <c r="E67" s="441"/>
      <c r="F67" s="443" t="str">
        <f>F2</f>
        <v>PRO FORMA</v>
      </c>
      <c r="G67" s="440"/>
    </row>
    <row r="68" spans="1:7">
      <c r="A68" s="420" t="s">
        <v>226</v>
      </c>
      <c r="B68" s="420"/>
      <c r="C68" s="420"/>
      <c r="D68" s="440"/>
      <c r="E68" s="441"/>
      <c r="F68" s="443" t="str">
        <f>F3</f>
        <v>ID AMR</v>
      </c>
      <c r="G68" s="440"/>
    </row>
    <row r="69" spans="1:7">
      <c r="A69" s="424"/>
      <c r="B69" s="440"/>
      <c r="C69" s="440"/>
      <c r="D69" s="440"/>
      <c r="E69" s="444"/>
      <c r="F69" s="445" t="str">
        <f>F4</f>
        <v>ELECTRIC</v>
      </c>
      <c r="G69" s="440"/>
    </row>
    <row r="70" spans="1:7">
      <c r="A70" s="424"/>
      <c r="B70" s="440"/>
      <c r="C70" s="440"/>
      <c r="D70" s="440"/>
      <c r="E70" s="441"/>
      <c r="F70" s="443"/>
      <c r="G70" s="447"/>
    </row>
    <row r="71" spans="1:7">
      <c r="A71" s="424"/>
      <c r="B71" s="448" t="s">
        <v>134</v>
      </c>
      <c r="C71" s="449"/>
      <c r="D71" s="440"/>
      <c r="E71" s="441"/>
      <c r="F71" s="445" t="s">
        <v>128</v>
      </c>
      <c r="G71" s="440"/>
    </row>
    <row r="72" spans="1:7">
      <c r="A72" s="424"/>
      <c r="B72" s="427" t="s">
        <v>85</v>
      </c>
      <c r="C72" s="440"/>
      <c r="D72" s="440"/>
      <c r="E72" s="440"/>
      <c r="F72" s="442"/>
      <c r="G72" s="440"/>
    </row>
    <row r="73" spans="1:7">
      <c r="A73" s="424"/>
      <c r="B73" s="429" t="s">
        <v>86</v>
      </c>
      <c r="C73" s="440"/>
      <c r="D73" s="440"/>
      <c r="E73" s="440"/>
      <c r="F73" s="450">
        <f>G8</f>
        <v>0</v>
      </c>
      <c r="G73" s="440"/>
    </row>
    <row r="74" spans="1:7">
      <c r="A74" s="424"/>
      <c r="B74" s="427" t="s">
        <v>87</v>
      </c>
      <c r="C74" s="440"/>
      <c r="D74" s="440"/>
      <c r="E74" s="440"/>
      <c r="F74" s="434">
        <f>G9</f>
        <v>0</v>
      </c>
      <c r="G74" s="440"/>
    </row>
    <row r="75" spans="1:7">
      <c r="A75" s="424"/>
      <c r="B75" s="427" t="s">
        <v>150</v>
      </c>
      <c r="C75" s="440"/>
      <c r="D75" s="440"/>
      <c r="E75" s="440"/>
      <c r="F75" s="436">
        <f>G10</f>
        <v>0</v>
      </c>
      <c r="G75" s="440"/>
    </row>
    <row r="76" spans="1:7">
      <c r="A76" s="424"/>
      <c r="B76" s="427" t="s">
        <v>151</v>
      </c>
      <c r="C76" s="440"/>
      <c r="D76" s="440"/>
      <c r="E76" s="440"/>
      <c r="F76" s="434">
        <f>SUM(F73:F75)</f>
        <v>0</v>
      </c>
      <c r="G76" s="440"/>
    </row>
    <row r="77" spans="1:7">
      <c r="A77" s="424"/>
      <c r="B77" s="427" t="s">
        <v>90</v>
      </c>
      <c r="C77" s="440"/>
      <c r="D77" s="440"/>
      <c r="E77" s="440"/>
      <c r="F77" s="436">
        <f>G12</f>
        <v>0</v>
      </c>
      <c r="G77" s="440"/>
    </row>
    <row r="78" spans="1:7">
      <c r="A78" s="424"/>
      <c r="B78" s="427" t="s">
        <v>152</v>
      </c>
      <c r="C78" s="440"/>
      <c r="D78" s="440"/>
      <c r="E78" s="440"/>
      <c r="F78" s="434">
        <f>F76+F77</f>
        <v>0</v>
      </c>
      <c r="G78" s="440"/>
    </row>
    <row r="79" spans="1:7">
      <c r="A79" s="424"/>
      <c r="B79" s="421"/>
      <c r="C79" s="440"/>
      <c r="D79" s="440"/>
      <c r="E79" s="440"/>
      <c r="F79" s="434"/>
      <c r="G79" s="440"/>
    </row>
    <row r="80" spans="1:7">
      <c r="A80" s="424"/>
      <c r="B80" s="427" t="s">
        <v>92</v>
      </c>
      <c r="C80" s="440"/>
      <c r="D80" s="440"/>
      <c r="E80" s="440"/>
      <c r="F80" s="434"/>
      <c r="G80" s="440"/>
    </row>
    <row r="81" spans="1:7">
      <c r="A81" s="424"/>
      <c r="B81" s="427" t="s">
        <v>93</v>
      </c>
      <c r="C81" s="440"/>
      <c r="D81" s="440"/>
      <c r="E81" s="440"/>
      <c r="F81" s="434"/>
      <c r="G81" s="440"/>
    </row>
    <row r="82" spans="1:7">
      <c r="A82" s="424"/>
      <c r="B82" s="427" t="s">
        <v>153</v>
      </c>
      <c r="C82" s="440"/>
      <c r="D82" s="440"/>
      <c r="E82" s="440"/>
      <c r="F82" s="434">
        <f>G17</f>
        <v>0</v>
      </c>
      <c r="G82" s="440"/>
    </row>
    <row r="83" spans="1:7">
      <c r="A83" s="424"/>
      <c r="B83" s="427" t="s">
        <v>154</v>
      </c>
      <c r="C83" s="440"/>
      <c r="D83" s="440"/>
      <c r="E83" s="440"/>
      <c r="F83" s="434">
        <f>G18</f>
        <v>0</v>
      </c>
      <c r="G83" s="440"/>
    </row>
    <row r="84" spans="1:7">
      <c r="A84" s="424"/>
      <c r="B84" s="427" t="s">
        <v>155</v>
      </c>
      <c r="C84" s="440"/>
      <c r="D84" s="440"/>
      <c r="E84" s="440"/>
      <c r="F84" s="434">
        <f>G19</f>
        <v>0</v>
      </c>
      <c r="G84" s="440"/>
    </row>
    <row r="85" spans="1:7">
      <c r="A85" s="424"/>
      <c r="B85" s="427" t="s">
        <v>156</v>
      </c>
      <c r="C85" s="440"/>
      <c r="D85" s="440"/>
      <c r="E85" s="440"/>
      <c r="F85" s="436">
        <f>G20</f>
        <v>0</v>
      </c>
      <c r="G85" s="440"/>
    </row>
    <row r="86" spans="1:7">
      <c r="A86" s="424"/>
      <c r="B86" s="427" t="s">
        <v>157</v>
      </c>
      <c r="C86" s="440"/>
      <c r="D86" s="440"/>
      <c r="E86" s="440"/>
      <c r="F86" s="434">
        <f>SUM(F82:F85)</f>
        <v>0</v>
      </c>
      <c r="G86" s="440"/>
    </row>
    <row r="87" spans="1:7">
      <c r="A87" s="424"/>
      <c r="B87" s="421"/>
      <c r="C87" s="440"/>
      <c r="D87" s="440"/>
      <c r="E87" s="440"/>
      <c r="F87" s="434"/>
      <c r="G87" s="440"/>
    </row>
    <row r="88" spans="1:7">
      <c r="A88" s="424"/>
      <c r="B88" s="427" t="s">
        <v>98</v>
      </c>
      <c r="C88" s="440"/>
      <c r="D88" s="440"/>
      <c r="E88" s="440"/>
      <c r="F88" s="434"/>
      <c r="G88" s="440"/>
    </row>
    <row r="89" spans="1:7">
      <c r="A89" s="424"/>
      <c r="B89" s="427" t="s">
        <v>153</v>
      </c>
      <c r="C89" s="440"/>
      <c r="D89" s="440"/>
      <c r="E89" s="440"/>
      <c r="F89" s="434">
        <f>G24</f>
        <v>0</v>
      </c>
      <c r="G89" s="440"/>
    </row>
    <row r="90" spans="1:7">
      <c r="A90" s="424"/>
      <c r="B90" s="427" t="s">
        <v>158</v>
      </c>
      <c r="C90" s="440"/>
      <c r="D90" s="440"/>
      <c r="E90" s="440"/>
      <c r="F90" s="434">
        <f>G25</f>
        <v>692</v>
      </c>
      <c r="G90" s="440"/>
    </row>
    <row r="91" spans="1:7">
      <c r="A91" s="421"/>
      <c r="B91" s="427" t="s">
        <v>156</v>
      </c>
      <c r="C91" s="440"/>
      <c r="D91" s="440"/>
      <c r="E91" s="440"/>
      <c r="F91" s="434">
        <v>330</v>
      </c>
      <c r="G91" s="440"/>
    </row>
    <row r="92" spans="1:7">
      <c r="A92" s="421"/>
      <c r="B92" s="427" t="s">
        <v>159</v>
      </c>
      <c r="C92" s="440"/>
      <c r="D92" s="440"/>
      <c r="E92" s="440"/>
      <c r="F92" s="433">
        <f>SUM(F89:F91)</f>
        <v>1022</v>
      </c>
      <c r="G92" s="440"/>
    </row>
    <row r="93" spans="1:7">
      <c r="A93" s="421"/>
      <c r="B93" s="421"/>
      <c r="C93" s="440"/>
      <c r="D93" s="440"/>
      <c r="E93" s="440"/>
      <c r="F93" s="434"/>
      <c r="G93" s="440"/>
    </row>
    <row r="94" spans="1:7">
      <c r="A94" s="421"/>
      <c r="B94" s="427" t="s">
        <v>101</v>
      </c>
      <c r="C94" s="440"/>
      <c r="D94" s="440"/>
      <c r="E94" s="440"/>
      <c r="F94" s="434">
        <f>G29</f>
        <v>0</v>
      </c>
      <c r="G94" s="440"/>
    </row>
    <row r="95" spans="1:7">
      <c r="A95" s="421"/>
      <c r="B95" s="427" t="s">
        <v>102</v>
      </c>
      <c r="C95" s="440"/>
      <c r="D95" s="440"/>
      <c r="E95" s="440"/>
      <c r="F95" s="434">
        <f>G30</f>
        <v>0</v>
      </c>
      <c r="G95" s="440"/>
    </row>
    <row r="96" spans="1:7">
      <c r="A96" s="421"/>
      <c r="B96" s="427" t="s">
        <v>160</v>
      </c>
      <c r="C96" s="440"/>
      <c r="D96" s="440"/>
      <c r="E96" s="440"/>
      <c r="F96" s="434">
        <f>G31</f>
        <v>0</v>
      </c>
      <c r="G96" s="440"/>
    </row>
    <row r="97" spans="1:7">
      <c r="A97" s="421"/>
      <c r="B97" s="421"/>
      <c r="C97" s="440"/>
      <c r="D97" s="440"/>
      <c r="E97" s="440"/>
      <c r="F97" s="434"/>
      <c r="G97" s="440"/>
    </row>
    <row r="98" spans="1:7">
      <c r="A98" s="421"/>
      <c r="B98" s="427" t="s">
        <v>104</v>
      </c>
      <c r="C98" s="440"/>
      <c r="D98" s="440"/>
      <c r="E98" s="440"/>
      <c r="F98" s="434"/>
      <c r="G98" s="440"/>
    </row>
    <row r="99" spans="1:7">
      <c r="A99" s="421"/>
      <c r="B99" s="427" t="s">
        <v>153</v>
      </c>
      <c r="C99" s="440"/>
      <c r="D99" s="440"/>
      <c r="E99" s="440"/>
      <c r="F99" s="434">
        <f>G34</f>
        <v>0</v>
      </c>
      <c r="G99" s="440"/>
    </row>
    <row r="100" spans="1:7">
      <c r="A100" s="421"/>
      <c r="B100" s="427" t="s">
        <v>158</v>
      </c>
      <c r="C100" s="440"/>
      <c r="D100" s="440"/>
      <c r="E100" s="440"/>
      <c r="F100" s="434">
        <f>G35</f>
        <v>0</v>
      </c>
      <c r="G100" s="440"/>
    </row>
    <row r="101" spans="1:7">
      <c r="A101" s="421"/>
      <c r="B101" s="427" t="s">
        <v>156</v>
      </c>
      <c r="C101" s="440"/>
      <c r="D101" s="440"/>
      <c r="E101" s="440"/>
      <c r="F101" s="436">
        <f>G36</f>
        <v>0</v>
      </c>
      <c r="G101" s="440"/>
    </row>
    <row r="102" spans="1:7">
      <c r="A102" s="421"/>
      <c r="B102" s="427" t="s">
        <v>161</v>
      </c>
      <c r="C102" s="440"/>
      <c r="D102" s="440"/>
      <c r="E102" s="440"/>
      <c r="F102" s="434">
        <f>F99+F100+F101</f>
        <v>0</v>
      </c>
      <c r="G102" s="440"/>
    </row>
    <row r="103" spans="1:7">
      <c r="A103" s="421"/>
      <c r="B103" s="440"/>
      <c r="C103" s="440"/>
      <c r="D103" s="440"/>
      <c r="E103" s="440"/>
      <c r="F103" s="434"/>
      <c r="G103" s="440"/>
    </row>
    <row r="104" spans="1:7">
      <c r="A104" s="421"/>
      <c r="B104" s="440" t="s">
        <v>106</v>
      </c>
      <c r="C104" s="440"/>
      <c r="D104" s="440"/>
      <c r="E104" s="440"/>
      <c r="F104" s="435">
        <f>F86+F92+F94+F95+F96+F102</f>
        <v>1022</v>
      </c>
      <c r="G104" s="440"/>
    </row>
    <row r="105" spans="1:7">
      <c r="A105" s="421"/>
      <c r="B105" s="440"/>
      <c r="C105" s="440"/>
      <c r="D105" s="440"/>
      <c r="E105" s="440"/>
      <c r="F105" s="434"/>
      <c r="G105" s="440"/>
    </row>
    <row r="106" spans="1:7">
      <c r="A106" s="421"/>
      <c r="B106" s="440" t="s">
        <v>227</v>
      </c>
      <c r="C106" s="440"/>
      <c r="D106" s="440"/>
      <c r="E106" s="440"/>
      <c r="F106" s="436">
        <f>F78-F104</f>
        <v>-1022</v>
      </c>
      <c r="G106" s="440"/>
    </row>
    <row r="107" spans="1:7">
      <c r="A107" s="421"/>
      <c r="B107" s="440"/>
      <c r="C107" s="440"/>
      <c r="D107" s="440"/>
      <c r="E107" s="440"/>
      <c r="F107" s="434"/>
      <c r="G107" s="440"/>
    </row>
    <row r="108" spans="1:7">
      <c r="A108" s="421"/>
      <c r="B108" s="440" t="s">
        <v>228</v>
      </c>
      <c r="C108" s="440"/>
      <c r="D108" s="440"/>
      <c r="E108" s="441"/>
      <c r="F108" s="434"/>
      <c r="G108" s="440"/>
    </row>
    <row r="109" spans="1:7" ht="13.5" thickBot="1">
      <c r="A109" s="421"/>
      <c r="B109" s="451" t="s">
        <v>229</v>
      </c>
      <c r="C109" s="452">
        <f>Inputs!$D$4</f>
        <v>1.2215999999999999E-2</v>
      </c>
      <c r="D109" s="440"/>
      <c r="E109" s="441"/>
      <c r="F109" s="439">
        <f>ROUND(F106*C109,0)</f>
        <v>-12</v>
      </c>
      <c r="G109" s="440"/>
    </row>
    <row r="110" spans="1:7" ht="13.5" thickTop="1">
      <c r="A110" s="421"/>
      <c r="B110" s="440"/>
      <c r="C110" s="440"/>
      <c r="D110" s="440"/>
      <c r="E110" s="441"/>
      <c r="F110" s="442"/>
      <c r="G110" s="440"/>
    </row>
  </sheetData>
  <phoneticPr fontId="0" type="noConversion"/>
  <pageMargins left="1" right="1" top="0.5" bottom="0.25" header="0.5" footer="0.5"/>
  <pageSetup scale="90" orientation="portrait" r:id="rId1"/>
  <headerFooter alignWithMargins="0"/>
  <rowBreaks count="1" manualBreakCount="1">
    <brk id="64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H110"/>
  <sheetViews>
    <sheetView workbookViewId="0">
      <selection activeCell="G51" sqref="G51"/>
    </sheetView>
  </sheetViews>
  <sheetFormatPr defaultColWidth="12.42578125" defaultRowHeight="12"/>
  <cols>
    <col min="1" max="1" width="5.5703125" style="259" customWidth="1"/>
    <col min="2" max="2" width="26.140625" style="256" customWidth="1"/>
    <col min="3" max="3" width="12.42578125" style="256" customWidth="1"/>
    <col min="4" max="4" width="6.7109375" style="256" customWidth="1"/>
    <col min="5" max="7" width="12.42578125" style="256" customWidth="1"/>
    <col min="8" max="8" width="14.42578125" style="256" customWidth="1"/>
    <col min="9" max="16384" width="12.42578125" style="256"/>
  </cols>
  <sheetData>
    <row r="1" spans="1:8">
      <c r="A1" s="254" t="str">
        <f>Inputs!$D$6</f>
        <v>AVISTA UTILITIES</v>
      </c>
      <c r="B1" s="255"/>
      <c r="C1" s="254"/>
    </row>
    <row r="2" spans="1:8">
      <c r="A2" s="254" t="s">
        <v>142</v>
      </c>
      <c r="B2" s="255"/>
      <c r="C2" s="254"/>
      <c r="E2" s="254" t="s">
        <v>220</v>
      </c>
      <c r="F2" s="254"/>
      <c r="G2" s="254"/>
    </row>
    <row r="3" spans="1:8">
      <c r="A3" s="255" t="str">
        <f>WAElec09_08!$A$4</f>
        <v>TWELVE MONTHS ENDED SEPTEMBER 30, 2008</v>
      </c>
      <c r="B3" s="255"/>
      <c r="C3" s="254"/>
      <c r="E3" s="254" t="s">
        <v>221</v>
      </c>
      <c r="F3" s="254"/>
      <c r="G3" s="254"/>
    </row>
    <row r="4" spans="1:8">
      <c r="A4" s="254" t="s">
        <v>1</v>
      </c>
      <c r="B4" s="255"/>
      <c r="C4" s="254"/>
      <c r="E4" s="257" t="s">
        <v>145</v>
      </c>
      <c r="F4" s="257"/>
      <c r="G4" s="258"/>
    </row>
    <row r="5" spans="1:8">
      <c r="A5" s="259" t="s">
        <v>14</v>
      </c>
    </row>
    <row r="6" spans="1:8" s="259" customFormat="1">
      <c r="A6" s="259" t="s">
        <v>146</v>
      </c>
      <c r="B6" s="260" t="s">
        <v>36</v>
      </c>
      <c r="C6" s="260"/>
      <c r="E6" s="260" t="s">
        <v>147</v>
      </c>
      <c r="F6" s="260" t="s">
        <v>148</v>
      </c>
      <c r="G6" s="260" t="s">
        <v>128</v>
      </c>
      <c r="H6" s="261" t="s">
        <v>149</v>
      </c>
    </row>
    <row r="7" spans="1:8">
      <c r="B7" s="262" t="s">
        <v>85</v>
      </c>
    </row>
    <row r="8" spans="1:8" s="265" customFormat="1">
      <c r="A8" s="263">
        <v>1</v>
      </c>
      <c r="B8" s="264" t="s">
        <v>86</v>
      </c>
      <c r="E8" s="266">
        <f>F8+G8</f>
        <v>0</v>
      </c>
      <c r="F8" s="266"/>
      <c r="G8" s="266"/>
      <c r="H8" s="265" t="str">
        <f t="shared" ref="H8:H13" si="0">IF(E8=F8+G8," ","ERROR")</f>
        <v xml:space="preserve"> </v>
      </c>
    </row>
    <row r="9" spans="1:8">
      <c r="A9" s="259">
        <v>2</v>
      </c>
      <c r="B9" s="262" t="s">
        <v>87</v>
      </c>
      <c r="E9" s="267"/>
      <c r="F9" s="267"/>
      <c r="G9" s="267"/>
      <c r="H9" s="265" t="str">
        <f t="shared" si="0"/>
        <v xml:space="preserve"> </v>
      </c>
    </row>
    <row r="10" spans="1:8">
      <c r="A10" s="259">
        <v>3</v>
      </c>
      <c r="B10" s="262" t="s">
        <v>150</v>
      </c>
      <c r="E10" s="267"/>
      <c r="F10" s="267"/>
      <c r="G10" s="267"/>
      <c r="H10" s="265" t="str">
        <f t="shared" si="0"/>
        <v xml:space="preserve"> </v>
      </c>
    </row>
    <row r="11" spans="1:8">
      <c r="A11" s="259">
        <v>4</v>
      </c>
      <c r="B11" s="262" t="s">
        <v>151</v>
      </c>
      <c r="E11" s="268">
        <f>E8+E9+E10</f>
        <v>0</v>
      </c>
      <c r="F11" s="268">
        <f>F8+F9+F10</f>
        <v>0</v>
      </c>
      <c r="G11" s="268">
        <f>G8+G9+G10</f>
        <v>0</v>
      </c>
      <c r="H11" s="265" t="str">
        <f t="shared" si="0"/>
        <v xml:space="preserve"> </v>
      </c>
    </row>
    <row r="12" spans="1:8">
      <c r="A12" s="259">
        <v>5</v>
      </c>
      <c r="B12" s="262" t="s">
        <v>90</v>
      </c>
      <c r="E12" s="267"/>
      <c r="F12" s="267"/>
      <c r="G12" s="267"/>
      <c r="H12" s="265" t="str">
        <f t="shared" si="0"/>
        <v xml:space="preserve"> </v>
      </c>
    </row>
    <row r="13" spans="1:8">
      <c r="A13" s="259">
        <v>6</v>
      </c>
      <c r="B13" s="262" t="s">
        <v>152</v>
      </c>
      <c r="E13" s="268">
        <f>E11+E12</f>
        <v>0</v>
      </c>
      <c r="F13" s="268">
        <f>F11+F12</f>
        <v>0</v>
      </c>
      <c r="G13" s="268">
        <f>G11+G12</f>
        <v>0</v>
      </c>
      <c r="H13" s="265" t="str">
        <f t="shared" si="0"/>
        <v xml:space="preserve"> </v>
      </c>
    </row>
    <row r="14" spans="1:8">
      <c r="E14" s="269"/>
      <c r="F14" s="269"/>
      <c r="G14" s="269"/>
      <c r="H14" s="265"/>
    </row>
    <row r="15" spans="1:8">
      <c r="B15" s="262" t="s">
        <v>92</v>
      </c>
      <c r="E15" s="269"/>
      <c r="F15" s="269"/>
      <c r="G15" s="269"/>
      <c r="H15" s="265"/>
    </row>
    <row r="16" spans="1:8">
      <c r="B16" s="262" t="s">
        <v>93</v>
      </c>
      <c r="E16" s="269"/>
      <c r="F16" s="269"/>
      <c r="G16" s="269"/>
      <c r="H16" s="265"/>
    </row>
    <row r="17" spans="1:8">
      <c r="A17" s="259">
        <v>7</v>
      </c>
      <c r="B17" s="262" t="s">
        <v>153</v>
      </c>
      <c r="E17" s="267"/>
      <c r="F17" s="267"/>
      <c r="G17" s="267"/>
      <c r="H17" s="265" t="str">
        <f>IF(E17=F17+G17," ","ERROR")</f>
        <v xml:space="preserve"> </v>
      </c>
    </row>
    <row r="18" spans="1:8">
      <c r="A18" s="259">
        <v>8</v>
      </c>
      <c r="B18" s="262" t="s">
        <v>154</v>
      </c>
      <c r="E18" s="267"/>
      <c r="F18" s="267"/>
      <c r="G18" s="267"/>
      <c r="H18" s="265" t="str">
        <f>IF(E18=F18+G18," ","ERROR")</f>
        <v xml:space="preserve"> </v>
      </c>
    </row>
    <row r="19" spans="1:8">
      <c r="A19" s="259">
        <v>9</v>
      </c>
      <c r="B19" s="262" t="s">
        <v>155</v>
      </c>
      <c r="E19" s="267"/>
      <c r="F19" s="267"/>
      <c r="G19" s="267"/>
      <c r="H19" s="265" t="str">
        <f>IF(E19=F19+G19," ","ERROR")</f>
        <v xml:space="preserve"> </v>
      </c>
    </row>
    <row r="20" spans="1:8">
      <c r="A20" s="259">
        <v>10</v>
      </c>
      <c r="B20" s="262" t="s">
        <v>156</v>
      </c>
      <c r="E20" s="267"/>
      <c r="F20" s="267"/>
      <c r="G20" s="267"/>
      <c r="H20" s="265" t="str">
        <f>IF(E20=F20+G20," ","ERROR")</f>
        <v xml:space="preserve"> </v>
      </c>
    </row>
    <row r="21" spans="1:8">
      <c r="A21" s="259">
        <v>11</v>
      </c>
      <c r="B21" s="262" t="s">
        <v>157</v>
      </c>
      <c r="E21" s="268">
        <f>E17+E18+E19+E20</f>
        <v>0</v>
      </c>
      <c r="F21" s="268">
        <f>F17+F18+F19+F20</f>
        <v>0</v>
      </c>
      <c r="G21" s="268">
        <f>G17+G18+G19+G20</f>
        <v>0</v>
      </c>
      <c r="H21" s="265" t="str">
        <f>IF(E21=F21+G21," ","ERROR")</f>
        <v xml:space="preserve"> </v>
      </c>
    </row>
    <row r="22" spans="1:8">
      <c r="E22" s="269"/>
      <c r="F22" s="269"/>
      <c r="G22" s="269"/>
      <c r="H22" s="265"/>
    </row>
    <row r="23" spans="1:8">
      <c r="B23" s="262" t="s">
        <v>98</v>
      </c>
      <c r="E23" s="269"/>
      <c r="F23" s="269"/>
      <c r="G23" s="269"/>
      <c r="H23" s="265"/>
    </row>
    <row r="24" spans="1:8">
      <c r="A24" s="259">
        <v>12</v>
      </c>
      <c r="B24" s="262" t="s">
        <v>153</v>
      </c>
      <c r="E24" s="267"/>
      <c r="F24" s="267"/>
      <c r="G24" s="267"/>
      <c r="H24" s="265" t="str">
        <f>IF(E24=F24+G24," ","ERROR")</f>
        <v xml:space="preserve"> </v>
      </c>
    </row>
    <row r="25" spans="1:8">
      <c r="A25" s="259">
        <v>13</v>
      </c>
      <c r="B25" s="262" t="s">
        <v>158</v>
      </c>
      <c r="E25" s="267"/>
      <c r="F25" s="267"/>
      <c r="G25" s="267"/>
      <c r="H25" s="265" t="str">
        <f>IF(E25=F25+G25," ","ERROR")</f>
        <v xml:space="preserve"> </v>
      </c>
    </row>
    <row r="26" spans="1:8">
      <c r="A26" s="259">
        <v>14</v>
      </c>
      <c r="B26" s="262" t="s">
        <v>156</v>
      </c>
      <c r="E26" s="267">
        <f>F26+G26</f>
        <v>0</v>
      </c>
      <c r="F26" s="267">
        <v>0</v>
      </c>
      <c r="G26" s="267">
        <f>G109</f>
        <v>0</v>
      </c>
      <c r="H26" s="265" t="str">
        <f>IF(E26=F26+G26," ","ERROR")</f>
        <v xml:space="preserve"> </v>
      </c>
    </row>
    <row r="27" spans="1:8">
      <c r="A27" s="259">
        <v>15</v>
      </c>
      <c r="B27" s="262" t="s">
        <v>159</v>
      </c>
      <c r="E27" s="268">
        <f>E24+E25+E26</f>
        <v>0</v>
      </c>
      <c r="F27" s="268">
        <f>F24+F25+F26</f>
        <v>0</v>
      </c>
      <c r="G27" s="268">
        <f>G24+G25+G26</f>
        <v>0</v>
      </c>
      <c r="H27" s="265" t="str">
        <f>IF(E27=F27+G27," ","ERROR")</f>
        <v xml:space="preserve"> </v>
      </c>
    </row>
    <row r="28" spans="1:8">
      <c r="E28" s="269"/>
      <c r="F28" s="269"/>
      <c r="G28" s="269"/>
      <c r="H28" s="265"/>
    </row>
    <row r="29" spans="1:8">
      <c r="A29" s="259">
        <v>16</v>
      </c>
      <c r="B29" s="262" t="s">
        <v>101</v>
      </c>
      <c r="E29" s="267"/>
      <c r="F29" s="267"/>
      <c r="G29" s="267"/>
      <c r="H29" s="265" t="str">
        <f>IF(E29=F29+G29," ","ERROR")</f>
        <v xml:space="preserve"> </v>
      </c>
    </row>
    <row r="30" spans="1:8">
      <c r="A30" s="259">
        <v>17</v>
      </c>
      <c r="B30" s="262" t="s">
        <v>102</v>
      </c>
      <c r="E30" s="267"/>
      <c r="F30" s="267"/>
      <c r="G30" s="267"/>
      <c r="H30" s="265" t="str">
        <f>IF(E30=F30+G30," ","ERROR")</f>
        <v xml:space="preserve"> </v>
      </c>
    </row>
    <row r="31" spans="1:8">
      <c r="A31" s="259">
        <v>18</v>
      </c>
      <c r="B31" s="262" t="s">
        <v>160</v>
      </c>
      <c r="E31" s="267"/>
      <c r="F31" s="267"/>
      <c r="G31" s="267"/>
      <c r="H31" s="265" t="str">
        <f>IF(E31=F31+G31," ","ERROR")</f>
        <v xml:space="preserve"> </v>
      </c>
    </row>
    <row r="32" spans="1:8">
      <c r="E32" s="269"/>
      <c r="F32" s="269"/>
      <c r="G32" s="269"/>
      <c r="H32" s="265"/>
    </row>
    <row r="33" spans="1:8">
      <c r="B33" s="262" t="s">
        <v>104</v>
      </c>
      <c r="E33" s="269"/>
      <c r="F33" s="269"/>
      <c r="G33" s="269"/>
      <c r="H33" s="265"/>
    </row>
    <row r="34" spans="1:8">
      <c r="A34" s="259">
        <v>19</v>
      </c>
      <c r="B34" s="262" t="s">
        <v>153</v>
      </c>
      <c r="E34" s="267"/>
      <c r="F34" s="267"/>
      <c r="G34" s="267"/>
      <c r="H34" s="265" t="str">
        <f>IF(E34=F34+G34," ","ERROR")</f>
        <v xml:space="preserve"> </v>
      </c>
    </row>
    <row r="35" spans="1:8">
      <c r="A35" s="259">
        <v>20</v>
      </c>
      <c r="B35" s="262" t="s">
        <v>158</v>
      </c>
      <c r="E35" s="267"/>
      <c r="F35" s="267"/>
      <c r="G35" s="267"/>
      <c r="H35" s="265" t="str">
        <f>IF(E35=F35+G35," ","ERROR")</f>
        <v xml:space="preserve"> </v>
      </c>
    </row>
    <row r="36" spans="1:8">
      <c r="A36" s="259">
        <v>21</v>
      </c>
      <c r="B36" s="262" t="s">
        <v>156</v>
      </c>
      <c r="E36" s="267"/>
      <c r="F36" s="267"/>
      <c r="G36" s="267"/>
      <c r="H36" s="265" t="str">
        <f>IF(E36=F36+G36," ","ERROR")</f>
        <v xml:space="preserve"> </v>
      </c>
    </row>
    <row r="37" spans="1:8">
      <c r="A37" s="259">
        <v>22</v>
      </c>
      <c r="B37" s="262" t="s">
        <v>161</v>
      </c>
      <c r="E37" s="270">
        <f>E34+E35+E36</f>
        <v>0</v>
      </c>
      <c r="F37" s="270">
        <f>F34+F35+F36</f>
        <v>0</v>
      </c>
      <c r="G37" s="270">
        <f>G34+G35+G36</f>
        <v>0</v>
      </c>
      <c r="H37" s="265" t="str">
        <f>IF(E37=F37+G37," ","ERROR")</f>
        <v xml:space="preserve"> </v>
      </c>
    </row>
    <row r="38" spans="1:8">
      <c r="A38" s="259">
        <v>23</v>
      </c>
      <c r="B38" s="262" t="s">
        <v>106</v>
      </c>
      <c r="E38" s="271">
        <f>E21+E27+E29+E30+E31+E37</f>
        <v>0</v>
      </c>
      <c r="F38" s="271">
        <f>F21+F27+F29+F30+F31+F37</f>
        <v>0</v>
      </c>
      <c r="G38" s="271">
        <f>G21+G27+G29+G30+G31+G37</f>
        <v>0</v>
      </c>
      <c r="H38" s="265" t="str">
        <f>IF(E38=F38+G38," ","ERROR")</f>
        <v xml:space="preserve"> </v>
      </c>
    </row>
    <row r="39" spans="1:8">
      <c r="E39" s="269"/>
      <c r="F39" s="269"/>
      <c r="G39" s="269"/>
      <c r="H39" s="265"/>
    </row>
    <row r="40" spans="1:8">
      <c r="A40" s="259">
        <v>24</v>
      </c>
      <c r="B40" s="262" t="s">
        <v>162</v>
      </c>
      <c r="E40" s="269">
        <f>E13-E38</f>
        <v>0</v>
      </c>
      <c r="F40" s="269">
        <f>F13-F38</f>
        <v>0</v>
      </c>
      <c r="G40" s="269">
        <f>G13-G38</f>
        <v>0</v>
      </c>
      <c r="H40" s="265" t="str">
        <f>IF(E40=F40+G40," ","ERROR")</f>
        <v xml:space="preserve"> </v>
      </c>
    </row>
    <row r="41" spans="1:8">
      <c r="B41" s="262"/>
      <c r="E41" s="269"/>
      <c r="F41" s="269"/>
      <c r="G41" s="269"/>
      <c r="H41" s="265"/>
    </row>
    <row r="42" spans="1:8">
      <c r="B42" s="262" t="s">
        <v>163</v>
      </c>
      <c r="E42" s="269"/>
      <c r="F42" s="269"/>
      <c r="G42" s="269"/>
      <c r="H42" s="265"/>
    </row>
    <row r="43" spans="1:8">
      <c r="A43" s="259">
        <v>25</v>
      </c>
      <c r="B43" s="262" t="s">
        <v>222</v>
      </c>
      <c r="E43" s="267">
        <f>F43+G43</f>
        <v>0</v>
      </c>
      <c r="F43" s="267">
        <v>0</v>
      </c>
      <c r="G43" s="267">
        <v>0</v>
      </c>
      <c r="H43" s="265" t="str">
        <f>IF(E43=F43+G43," ","ERROR")</f>
        <v xml:space="preserve"> </v>
      </c>
    </row>
    <row r="44" spans="1:8">
      <c r="A44" s="259">
        <v>26</v>
      </c>
      <c r="B44" s="262" t="s">
        <v>165</v>
      </c>
      <c r="E44" s="267">
        <f>F44+G44</f>
        <v>0</v>
      </c>
      <c r="F44" s="267">
        <v>0</v>
      </c>
      <c r="G44" s="267">
        <v>0</v>
      </c>
      <c r="H44" s="265" t="str">
        <f>IF(E44=F44+G44," ","ERROR")</f>
        <v xml:space="preserve"> </v>
      </c>
    </row>
    <row r="45" spans="1:8" customFormat="1" ht="12.75">
      <c r="E45" s="913"/>
      <c r="F45" s="913"/>
      <c r="G45" s="913"/>
    </row>
    <row r="46" spans="1:8">
      <c r="B46" s="262"/>
      <c r="E46" s="269"/>
      <c r="F46" s="269"/>
      <c r="G46" s="269"/>
      <c r="H46" s="265"/>
    </row>
    <row r="47" spans="1:8" s="265" customFormat="1">
      <c r="A47" s="263">
        <v>27</v>
      </c>
      <c r="B47" s="264" t="s">
        <v>113</v>
      </c>
      <c r="E47" s="273">
        <f>E40-SUM(E43:E44)</f>
        <v>0</v>
      </c>
      <c r="F47" s="273">
        <f>F40-SUM(F43:F44)</f>
        <v>0</v>
      </c>
      <c r="G47" s="273">
        <f>G40-SUM(G43:G44)</f>
        <v>0</v>
      </c>
      <c r="H47" s="265" t="str">
        <f>IF(E47=F47+G47," ","ERROR")</f>
        <v xml:space="preserve"> </v>
      </c>
    </row>
    <row r="48" spans="1:8">
      <c r="H48" s="265"/>
    </row>
    <row r="49" spans="1:8">
      <c r="B49" s="262" t="s">
        <v>114</v>
      </c>
      <c r="H49" s="265"/>
    </row>
    <row r="50" spans="1:8">
      <c r="B50" s="262" t="s">
        <v>115</v>
      </c>
      <c r="H50" s="265"/>
    </row>
    <row r="51" spans="1:8" s="265" customFormat="1">
      <c r="A51" s="263">
        <v>28</v>
      </c>
      <c r="B51" s="264" t="s">
        <v>167</v>
      </c>
      <c r="E51" s="266"/>
      <c r="F51" s="266"/>
      <c r="G51" s="266"/>
      <c r="H51" s="265" t="str">
        <f t="shared" ref="H51:H61" si="1">IF(E51=F51+G51," ","ERROR")</f>
        <v xml:space="preserve"> </v>
      </c>
    </row>
    <row r="52" spans="1:8">
      <c r="A52" s="259">
        <v>29</v>
      </c>
      <c r="B52" s="262" t="s">
        <v>168</v>
      </c>
      <c r="E52" s="267"/>
      <c r="F52" s="267"/>
      <c r="G52" s="267"/>
      <c r="H52" s="265" t="str">
        <f t="shared" si="1"/>
        <v xml:space="preserve"> </v>
      </c>
    </row>
    <row r="53" spans="1:8">
      <c r="A53" s="259">
        <v>30</v>
      </c>
      <c r="B53" s="262" t="s">
        <v>169</v>
      </c>
      <c r="E53" s="267"/>
      <c r="F53" s="267"/>
      <c r="G53" s="267"/>
      <c r="H53" s="265" t="str">
        <f t="shared" si="1"/>
        <v xml:space="preserve"> </v>
      </c>
    </row>
    <row r="54" spans="1:8">
      <c r="A54" s="259">
        <v>31</v>
      </c>
      <c r="B54" s="262" t="s">
        <v>170</v>
      </c>
      <c r="E54" s="267"/>
      <c r="F54" s="267"/>
      <c r="G54" s="267"/>
      <c r="H54" s="265" t="str">
        <f t="shared" si="1"/>
        <v xml:space="preserve"> </v>
      </c>
    </row>
    <row r="55" spans="1:8">
      <c r="A55" s="259">
        <v>32</v>
      </c>
      <c r="B55" s="262" t="s">
        <v>171</v>
      </c>
      <c r="E55" s="272"/>
      <c r="F55" s="272"/>
      <c r="G55" s="272"/>
      <c r="H55" s="265" t="str">
        <f t="shared" si="1"/>
        <v xml:space="preserve"> </v>
      </c>
    </row>
    <row r="56" spans="1:8">
      <c r="A56" s="259">
        <v>33</v>
      </c>
      <c r="B56" s="262" t="s">
        <v>172</v>
      </c>
      <c r="E56" s="269">
        <f>E51+E52+E53+E54+E55</f>
        <v>0</v>
      </c>
      <c r="F56" s="269">
        <f>F51+F52+F53+F54+F55</f>
        <v>0</v>
      </c>
      <c r="G56" s="269">
        <f>G51+G52+G53+G54+G55</f>
        <v>0</v>
      </c>
      <c r="H56" s="265" t="str">
        <f t="shared" si="1"/>
        <v xml:space="preserve"> </v>
      </c>
    </row>
    <row r="57" spans="1:8">
      <c r="A57" s="259">
        <v>34</v>
      </c>
      <c r="B57" s="262" t="s">
        <v>121</v>
      </c>
      <c r="E57" s="267"/>
      <c r="F57" s="267"/>
      <c r="G57" s="267"/>
      <c r="H57" s="265" t="str">
        <f t="shared" si="1"/>
        <v xml:space="preserve"> </v>
      </c>
    </row>
    <row r="58" spans="1:8">
      <c r="A58" s="259">
        <v>35</v>
      </c>
      <c r="B58" s="262" t="s">
        <v>122</v>
      </c>
      <c r="E58" s="272"/>
      <c r="F58" s="272"/>
      <c r="G58" s="272"/>
      <c r="H58" s="265" t="str">
        <f t="shared" si="1"/>
        <v xml:space="preserve"> </v>
      </c>
    </row>
    <row r="59" spans="1:8">
      <c r="A59" s="259">
        <v>36</v>
      </c>
      <c r="B59" s="262" t="s">
        <v>173</v>
      </c>
      <c r="E59" s="269">
        <f>E57+E58</f>
        <v>0</v>
      </c>
      <c r="F59" s="269">
        <f>F57+F58</f>
        <v>0</v>
      </c>
      <c r="G59" s="269">
        <f>G57+G58</f>
        <v>0</v>
      </c>
      <c r="H59" s="265" t="str">
        <f t="shared" si="1"/>
        <v xml:space="preserve"> </v>
      </c>
    </row>
    <row r="60" spans="1:8">
      <c r="A60" s="259">
        <v>37</v>
      </c>
      <c r="B60" s="262" t="s">
        <v>124</v>
      </c>
      <c r="E60" s="267"/>
      <c r="F60" s="267"/>
      <c r="G60" s="267"/>
      <c r="H60" s="265" t="str">
        <f t="shared" si="1"/>
        <v xml:space="preserve"> </v>
      </c>
    </row>
    <row r="61" spans="1:8">
      <c r="A61" s="259">
        <v>38</v>
      </c>
      <c r="B61" s="262" t="s">
        <v>125</v>
      </c>
      <c r="E61" s="272">
        <f>F61+G61</f>
        <v>-225120</v>
      </c>
      <c r="F61" s="951">
        <v>-142713</v>
      </c>
      <c r="G61" s="951">
        <v>-82407</v>
      </c>
      <c r="H61" s="265" t="str">
        <f t="shared" si="1"/>
        <v xml:space="preserve"> </v>
      </c>
    </row>
    <row r="62" spans="1:8">
      <c r="H62" s="265"/>
    </row>
    <row r="63" spans="1:8" s="265" customFormat="1" ht="12.75" thickBot="1">
      <c r="A63" s="263">
        <v>39</v>
      </c>
      <c r="B63" s="264" t="s">
        <v>126</v>
      </c>
      <c r="E63" s="274">
        <f>E56-E59+E60+E61</f>
        <v>-225120</v>
      </c>
      <c r="F63" s="274">
        <f>F56-F59+F60+F61</f>
        <v>-142713</v>
      </c>
      <c r="G63" s="274">
        <f>G56-G59+G60+G61</f>
        <v>-82407</v>
      </c>
      <c r="H63" s="265" t="str">
        <f>IF(E63=F63+G63," ","ERROR")</f>
        <v xml:space="preserve"> </v>
      </c>
    </row>
    <row r="64" spans="1:8" ht="12.75" thickTop="1">
      <c r="A64" s="275"/>
      <c r="B64" s="276"/>
      <c r="C64" s="276"/>
      <c r="D64" s="276"/>
      <c r="E64" s="276"/>
      <c r="F64" s="276"/>
      <c r="G64" s="276"/>
    </row>
    <row r="65" spans="1:8">
      <c r="A65" s="277"/>
      <c r="B65" s="277"/>
      <c r="C65" s="277"/>
      <c r="D65" s="278"/>
      <c r="E65" s="279"/>
      <c r="F65" s="949"/>
      <c r="G65" s="950"/>
      <c r="H65" s="281"/>
    </row>
    <row r="66" spans="1:8">
      <c r="A66" s="277"/>
      <c r="B66" s="277"/>
      <c r="C66" s="277"/>
      <c r="D66" s="278"/>
      <c r="E66" s="279"/>
      <c r="F66" s="949"/>
      <c r="G66" s="950"/>
      <c r="H66" s="281"/>
    </row>
    <row r="67" spans="1:8">
      <c r="A67" s="277"/>
      <c r="B67" s="277"/>
      <c r="C67" s="277"/>
      <c r="D67" s="278"/>
      <c r="E67" s="279"/>
      <c r="G67" s="282"/>
      <c r="H67" s="281"/>
    </row>
    <row r="68" spans="1:8">
      <c r="A68" s="277"/>
      <c r="B68" s="277"/>
      <c r="C68" s="277"/>
      <c r="D68" s="278"/>
      <c r="E68" s="279"/>
      <c r="F68" s="278"/>
      <c r="G68" s="282"/>
      <c r="H68" s="281"/>
    </row>
    <row r="69" spans="1:8">
      <c r="A69" s="275"/>
      <c r="B69" s="278"/>
      <c r="C69" s="278"/>
      <c r="D69" s="278"/>
      <c r="E69" s="279"/>
      <c r="F69" s="278"/>
      <c r="G69" s="282"/>
      <c r="H69" s="279"/>
    </row>
    <row r="70" spans="1:8">
      <c r="A70" s="275"/>
      <c r="B70" s="278"/>
      <c r="C70" s="278"/>
      <c r="D70" s="278"/>
      <c r="E70" s="279"/>
      <c r="F70" s="278"/>
      <c r="G70" s="282"/>
      <c r="H70" s="281"/>
    </row>
    <row r="71" spans="1:8">
      <c r="A71" s="275"/>
      <c r="B71" s="283"/>
      <c r="C71" s="278"/>
      <c r="D71" s="278"/>
      <c r="E71" s="279"/>
      <c r="F71" s="278"/>
      <c r="G71" s="282"/>
      <c r="H71" s="281"/>
    </row>
    <row r="72" spans="1:8">
      <c r="A72" s="275"/>
      <c r="B72" s="284"/>
      <c r="C72" s="278"/>
      <c r="D72" s="278"/>
      <c r="E72" s="278"/>
      <c r="F72" s="278"/>
      <c r="G72" s="280"/>
      <c r="H72" s="285"/>
    </row>
    <row r="73" spans="1:8">
      <c r="A73" s="275"/>
      <c r="B73" s="286"/>
      <c r="C73" s="278"/>
      <c r="D73" s="278"/>
      <c r="E73" s="278"/>
      <c r="F73" s="278"/>
      <c r="G73" s="287"/>
      <c r="H73" s="285"/>
    </row>
    <row r="74" spans="1:8">
      <c r="A74" s="275"/>
      <c r="B74" s="284"/>
      <c r="C74" s="278"/>
      <c r="D74" s="278"/>
      <c r="E74" s="278"/>
      <c r="F74" s="278"/>
      <c r="G74" s="288"/>
      <c r="H74" s="285"/>
    </row>
    <row r="75" spans="1:8">
      <c r="A75" s="275"/>
      <c r="B75" s="284"/>
      <c r="C75" s="278"/>
      <c r="D75" s="278"/>
      <c r="E75" s="278"/>
      <c r="F75" s="278"/>
      <c r="G75" s="288"/>
      <c r="H75" s="285"/>
    </row>
    <row r="76" spans="1:8">
      <c r="A76" s="275"/>
      <c r="B76" s="284"/>
      <c r="C76" s="278"/>
      <c r="D76" s="278"/>
      <c r="E76" s="278"/>
      <c r="F76" s="278"/>
      <c r="G76" s="288"/>
      <c r="H76" s="285"/>
    </row>
    <row r="77" spans="1:8">
      <c r="A77" s="275"/>
      <c r="B77" s="284"/>
      <c r="C77" s="278"/>
      <c r="D77" s="278"/>
      <c r="E77" s="278"/>
      <c r="F77" s="278"/>
      <c r="G77" s="288"/>
      <c r="H77" s="285"/>
    </row>
    <row r="78" spans="1:8">
      <c r="A78" s="275"/>
      <c r="B78" s="284"/>
      <c r="C78" s="278"/>
      <c r="D78" s="278"/>
      <c r="E78" s="278"/>
      <c r="F78" s="278"/>
      <c r="G78" s="288"/>
      <c r="H78" s="285"/>
    </row>
    <row r="79" spans="1:8">
      <c r="A79" s="275"/>
      <c r="B79" s="276"/>
      <c r="C79" s="278"/>
      <c r="D79" s="278"/>
      <c r="E79" s="278"/>
      <c r="F79" s="278"/>
      <c r="G79" s="288"/>
      <c r="H79" s="285"/>
    </row>
    <row r="80" spans="1:8">
      <c r="A80" s="275"/>
      <c r="B80" s="284"/>
      <c r="C80" s="278"/>
      <c r="D80" s="278"/>
      <c r="E80" s="278"/>
      <c r="F80" s="278"/>
      <c r="G80" s="288"/>
      <c r="H80" s="285"/>
    </row>
    <row r="81" spans="1:8">
      <c r="A81" s="275"/>
      <c r="B81" s="284"/>
      <c r="C81" s="278"/>
      <c r="D81" s="278"/>
      <c r="E81" s="278"/>
      <c r="F81" s="278"/>
      <c r="G81" s="288"/>
      <c r="H81" s="285"/>
    </row>
    <row r="82" spans="1:8">
      <c r="A82" s="275"/>
      <c r="B82" s="284"/>
      <c r="C82" s="278"/>
      <c r="D82" s="278"/>
      <c r="E82" s="278"/>
      <c r="F82" s="278"/>
      <c r="G82" s="288"/>
      <c r="H82" s="285"/>
    </row>
    <row r="83" spans="1:8">
      <c r="A83" s="275"/>
      <c r="B83" s="284"/>
      <c r="C83" s="278"/>
      <c r="D83" s="278"/>
      <c r="E83" s="278"/>
      <c r="F83" s="278"/>
      <c r="G83" s="288"/>
      <c r="H83" s="285"/>
    </row>
    <row r="84" spans="1:8">
      <c r="A84" s="275"/>
      <c r="B84" s="284"/>
      <c r="C84" s="278"/>
      <c r="D84" s="278"/>
      <c r="E84" s="278"/>
      <c r="F84" s="278"/>
      <c r="G84" s="288"/>
      <c r="H84" s="285"/>
    </row>
    <row r="85" spans="1:8">
      <c r="A85" s="275"/>
      <c r="B85" s="284"/>
      <c r="C85" s="278"/>
      <c r="D85" s="278"/>
      <c r="E85" s="278"/>
      <c r="F85" s="278"/>
      <c r="G85" s="288"/>
      <c r="H85" s="285"/>
    </row>
    <row r="86" spans="1:8">
      <c r="A86" s="275"/>
      <c r="B86" s="284"/>
      <c r="C86" s="278"/>
      <c r="D86" s="278"/>
      <c r="E86" s="278"/>
      <c r="F86" s="278"/>
      <c r="G86" s="288"/>
      <c r="H86" s="285"/>
    </row>
    <row r="87" spans="1:8">
      <c r="A87" s="275"/>
      <c r="B87" s="276"/>
      <c r="C87" s="278"/>
      <c r="D87" s="278"/>
      <c r="E87" s="278"/>
      <c r="F87" s="278"/>
      <c r="G87" s="288"/>
      <c r="H87" s="285"/>
    </row>
    <row r="88" spans="1:8">
      <c r="A88" s="275"/>
      <c r="B88" s="284"/>
      <c r="C88" s="278"/>
      <c r="D88" s="278"/>
      <c r="E88" s="278"/>
      <c r="F88" s="278"/>
      <c r="G88" s="288"/>
      <c r="H88" s="285"/>
    </row>
    <row r="89" spans="1:8">
      <c r="A89" s="275"/>
      <c r="B89" s="284"/>
      <c r="C89" s="278"/>
      <c r="D89" s="278"/>
      <c r="E89" s="278"/>
      <c r="F89" s="278"/>
      <c r="G89" s="288"/>
      <c r="H89" s="285"/>
    </row>
    <row r="90" spans="1:8">
      <c r="A90" s="275"/>
      <c r="B90" s="284"/>
      <c r="C90" s="278"/>
      <c r="D90" s="278"/>
      <c r="E90" s="278"/>
      <c r="F90" s="278"/>
      <c r="G90" s="288"/>
      <c r="H90" s="285"/>
    </row>
    <row r="91" spans="1:8">
      <c r="A91" s="276"/>
      <c r="B91" s="284"/>
      <c r="C91" s="278"/>
      <c r="D91" s="278"/>
      <c r="E91" s="278"/>
      <c r="F91" s="278"/>
      <c r="G91" s="288"/>
      <c r="H91" s="285"/>
    </row>
    <row r="92" spans="1:8">
      <c r="A92" s="276"/>
      <c r="B92" s="284"/>
      <c r="C92" s="278"/>
      <c r="D92" s="278"/>
      <c r="E92" s="278"/>
      <c r="F92" s="278"/>
      <c r="G92" s="288"/>
      <c r="H92" s="285"/>
    </row>
    <row r="93" spans="1:8">
      <c r="A93" s="276"/>
      <c r="B93" s="276"/>
      <c r="C93" s="278"/>
      <c r="D93" s="278"/>
      <c r="E93" s="278"/>
      <c r="F93" s="278"/>
      <c r="G93" s="288"/>
      <c r="H93" s="285"/>
    </row>
    <row r="94" spans="1:8">
      <c r="A94" s="276"/>
      <c r="B94" s="284"/>
      <c r="C94" s="278"/>
      <c r="D94" s="278"/>
      <c r="E94" s="278"/>
      <c r="F94" s="278"/>
      <c r="G94" s="288"/>
      <c r="H94" s="285"/>
    </row>
    <row r="95" spans="1:8">
      <c r="A95" s="276"/>
      <c r="B95" s="284"/>
      <c r="C95" s="278"/>
      <c r="D95" s="278"/>
      <c r="E95" s="278"/>
      <c r="F95" s="278"/>
      <c r="G95" s="288"/>
      <c r="H95" s="285"/>
    </row>
    <row r="96" spans="1:8">
      <c r="A96" s="276"/>
      <c r="B96" s="284"/>
      <c r="C96" s="278"/>
      <c r="D96" s="278"/>
      <c r="E96" s="278"/>
      <c r="F96" s="278"/>
      <c r="G96" s="288"/>
      <c r="H96" s="285"/>
    </row>
    <row r="97" spans="1:8">
      <c r="A97" s="276"/>
      <c r="B97" s="276"/>
      <c r="C97" s="278"/>
      <c r="D97" s="278"/>
      <c r="E97" s="278"/>
      <c r="F97" s="278"/>
      <c r="G97" s="288"/>
      <c r="H97" s="285"/>
    </row>
    <row r="98" spans="1:8">
      <c r="A98" s="276"/>
      <c r="B98" s="284"/>
      <c r="C98" s="278"/>
      <c r="D98" s="278"/>
      <c r="E98" s="278"/>
      <c r="F98" s="278"/>
      <c r="G98" s="288"/>
      <c r="H98" s="285"/>
    </row>
    <row r="99" spans="1:8">
      <c r="A99" s="276"/>
      <c r="B99" s="284"/>
      <c r="C99" s="278"/>
      <c r="D99" s="278"/>
      <c r="E99" s="278"/>
      <c r="F99" s="278"/>
      <c r="G99" s="288"/>
      <c r="H99" s="285"/>
    </row>
    <row r="100" spans="1:8">
      <c r="A100" s="276"/>
      <c r="B100" s="284"/>
      <c r="C100" s="278"/>
      <c r="D100" s="278"/>
      <c r="E100" s="278"/>
      <c r="F100" s="278"/>
      <c r="G100" s="288"/>
      <c r="H100" s="285"/>
    </row>
    <row r="101" spans="1:8">
      <c r="A101" s="276"/>
      <c r="B101" s="284"/>
      <c r="C101" s="278"/>
      <c r="D101" s="278"/>
      <c r="E101" s="278"/>
      <c r="F101" s="278"/>
      <c r="G101" s="288"/>
      <c r="H101" s="285"/>
    </row>
    <row r="102" spans="1:8">
      <c r="A102" s="276"/>
      <c r="B102" s="284"/>
      <c r="C102" s="278"/>
      <c r="D102" s="278"/>
      <c r="E102" s="278"/>
      <c r="F102" s="278"/>
      <c r="G102" s="288"/>
      <c r="H102" s="285"/>
    </row>
    <row r="103" spans="1:8">
      <c r="A103" s="276"/>
      <c r="B103" s="278"/>
      <c r="C103" s="278"/>
      <c r="D103" s="278"/>
      <c r="E103" s="278"/>
      <c r="F103" s="278"/>
      <c r="G103" s="288"/>
      <c r="H103" s="285"/>
    </row>
    <row r="104" spans="1:8">
      <c r="A104" s="276"/>
      <c r="B104" s="278"/>
      <c r="C104" s="278"/>
      <c r="D104" s="278"/>
      <c r="E104" s="278"/>
      <c r="F104" s="278"/>
      <c r="G104" s="288"/>
      <c r="H104" s="285"/>
    </row>
    <row r="105" spans="1:8">
      <c r="A105" s="276"/>
      <c r="B105" s="278"/>
      <c r="C105" s="278"/>
      <c r="D105" s="278"/>
      <c r="E105" s="278"/>
      <c r="F105" s="278"/>
      <c r="G105" s="288"/>
      <c r="H105" s="285"/>
    </row>
    <row r="106" spans="1:8">
      <c r="A106" s="276"/>
      <c r="B106" s="278"/>
      <c r="C106" s="278"/>
      <c r="D106" s="278"/>
      <c r="E106" s="278"/>
      <c r="F106" s="278"/>
      <c r="G106" s="288"/>
      <c r="H106" s="285"/>
    </row>
    <row r="107" spans="1:8">
      <c r="A107" s="276"/>
      <c r="B107" s="278"/>
      <c r="C107" s="278"/>
      <c r="D107" s="278"/>
      <c r="E107" s="278"/>
      <c r="F107" s="278"/>
      <c r="G107" s="288"/>
      <c r="H107" s="285"/>
    </row>
    <row r="108" spans="1:8">
      <c r="A108" s="276"/>
      <c r="B108" s="278"/>
      <c r="C108" s="278"/>
      <c r="D108" s="278"/>
      <c r="E108" s="279"/>
      <c r="F108" s="278"/>
      <c r="G108" s="288"/>
      <c r="H108" s="285"/>
    </row>
    <row r="109" spans="1:8">
      <c r="A109" s="276"/>
      <c r="B109" s="283"/>
      <c r="C109" s="289"/>
      <c r="D109" s="278"/>
      <c r="E109" s="279"/>
      <c r="F109" s="278"/>
      <c r="G109" s="287"/>
      <c r="H109" s="285"/>
    </row>
    <row r="110" spans="1:8">
      <c r="A110" s="276"/>
      <c r="B110" s="278"/>
      <c r="C110" s="278"/>
      <c r="D110" s="278"/>
      <c r="E110" s="279"/>
      <c r="F110" s="278"/>
      <c r="G110" s="280"/>
      <c r="H110" s="285"/>
    </row>
  </sheetData>
  <customSheetViews>
    <customSheetView guid="{A15D1962-B049-11D2-8670-0000832CEEE8}" showPageBreaks="1" fitToPage="1" showRuler="0" topLeftCell="A63">
      <selection activeCell="F64" sqref="F64"/>
      <pageMargins left="0.75" right="0.75" top="0.5" bottom="0.5" header="0.5" footer="0.5"/>
      <pageSetup scale="74" orientation="portrait" horizontalDpi="4294967292" verticalDpi="0" r:id="rId1"/>
      <headerFooter alignWithMargins="0"/>
    </customSheetView>
    <customSheetView guid="{6E1B8C45-B07F-11D2-B0DC-0000832CDFF0}" showPageBreaks="1" printArea="1" showRuler="0">
      <selection sqref="A1:IV65536"/>
      <pageMargins left="1" right="1" top="0.5" bottom="0.5" header="0.5" footer="0.5"/>
      <pageSetup scale="90" orientation="portrait" horizontalDpi="4294967292" verticalDpi="0" r:id="rId2"/>
      <headerFooter alignWithMargins="0"/>
    </customSheetView>
  </customSheetViews>
  <phoneticPr fontId="0" type="noConversion"/>
  <pageMargins left="1" right="1" top="0.5" bottom="0.5" header="0.5" footer="0.5"/>
  <pageSetup scale="90" orientation="portrait" horizontalDpi="4294967292" r:id="rId3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>
  <sheetPr codeName="Sheet67"/>
  <dimension ref="A1:H64"/>
  <sheetViews>
    <sheetView topLeftCell="B2" workbookViewId="0">
      <selection activeCell="G8" sqref="G8"/>
    </sheetView>
  </sheetViews>
  <sheetFormatPr defaultRowHeight="12.75"/>
  <cols>
    <col min="1" max="1" width="5.5703125" style="47" customWidth="1"/>
    <col min="2" max="2" width="26.140625" style="44" customWidth="1"/>
    <col min="3" max="3" width="12.42578125" style="44" customWidth="1"/>
    <col min="4" max="4" width="6.7109375" style="44" customWidth="1"/>
    <col min="5" max="8" width="12.42578125" style="44" customWidth="1"/>
  </cols>
  <sheetData>
    <row r="1" spans="1:8">
      <c r="A1" s="42" t="str">
        <f>Inputs!$D$6</f>
        <v>AVISTA UTILITIES</v>
      </c>
      <c r="B1" s="43"/>
      <c r="C1" s="42"/>
      <c r="F1" s="47" t="s">
        <v>618</v>
      </c>
    </row>
    <row r="2" spans="1:8">
      <c r="A2" s="42" t="s">
        <v>142</v>
      </c>
      <c r="B2" s="43"/>
      <c r="C2" s="42"/>
      <c r="E2" s="42"/>
      <c r="F2" s="456" t="s">
        <v>299</v>
      </c>
      <c r="G2" s="42"/>
    </row>
    <row r="3" spans="1:8">
      <c r="A3" s="43" t="str">
        <f>WAElec09_08!$A$4</f>
        <v>TWELVE MONTHS ENDED SEPTEMBER 30, 2008</v>
      </c>
      <c r="B3" s="43"/>
      <c r="C3" s="42"/>
      <c r="E3" s="42"/>
      <c r="F3" s="47"/>
      <c r="G3" s="42"/>
    </row>
    <row r="4" spans="1:8">
      <c r="A4" s="42" t="s">
        <v>1</v>
      </c>
      <c r="B4" s="43"/>
      <c r="C4" s="42"/>
      <c r="E4" s="45"/>
      <c r="F4" s="670" t="s">
        <v>145</v>
      </c>
      <c r="G4" s="46"/>
    </row>
    <row r="5" spans="1:8">
      <c r="A5" s="47" t="s">
        <v>14</v>
      </c>
    </row>
    <row r="6" spans="1:8">
      <c r="A6" s="47" t="s">
        <v>146</v>
      </c>
      <c r="B6" s="48" t="s">
        <v>36</v>
      </c>
      <c r="C6" s="48"/>
      <c r="D6" s="47"/>
      <c r="E6" s="48" t="s">
        <v>147</v>
      </c>
      <c r="F6" s="48" t="s">
        <v>148</v>
      </c>
      <c r="G6" s="48" t="s">
        <v>128</v>
      </c>
      <c r="H6" s="49" t="s">
        <v>149</v>
      </c>
    </row>
    <row r="7" spans="1:8">
      <c r="B7" s="50" t="s">
        <v>85</v>
      </c>
    </row>
    <row r="8" spans="1:8">
      <c r="A8" s="51">
        <v>1</v>
      </c>
      <c r="B8" s="52" t="s">
        <v>86</v>
      </c>
      <c r="C8" s="53"/>
      <c r="D8" s="53"/>
      <c r="E8" s="54">
        <f>F8+G8</f>
        <v>0</v>
      </c>
      <c r="F8" s="54">
        <v>0</v>
      </c>
      <c r="G8" s="54">
        <v>0</v>
      </c>
      <c r="H8" s="53" t="str">
        <f t="shared" ref="H8:H13" si="0">IF(E8=F8+G8," ","ERROR")</f>
        <v xml:space="preserve"> </v>
      </c>
    </row>
    <row r="9" spans="1:8">
      <c r="A9" s="47">
        <v>2</v>
      </c>
      <c r="B9" s="50" t="s">
        <v>87</v>
      </c>
      <c r="E9" s="55"/>
      <c r="F9" s="55"/>
      <c r="G9" s="55"/>
      <c r="H9" s="53" t="str">
        <f t="shared" si="0"/>
        <v xml:space="preserve"> </v>
      </c>
    </row>
    <row r="10" spans="1:8">
      <c r="A10" s="47">
        <v>3</v>
      </c>
      <c r="B10" s="50" t="s">
        <v>150</v>
      </c>
      <c r="E10" s="55"/>
      <c r="F10" s="55"/>
      <c r="G10" s="55"/>
      <c r="H10" s="53" t="str">
        <f t="shared" si="0"/>
        <v xml:space="preserve"> </v>
      </c>
    </row>
    <row r="11" spans="1:8">
      <c r="A11" s="47">
        <v>4</v>
      </c>
      <c r="B11" s="50" t="s">
        <v>151</v>
      </c>
      <c r="E11" s="56">
        <f>E8+E9+E10</f>
        <v>0</v>
      </c>
      <c r="F11" s="56">
        <f>F8+F9+F10</f>
        <v>0</v>
      </c>
      <c r="G11" s="56">
        <f>G8+G9+G10</f>
        <v>0</v>
      </c>
      <c r="H11" s="53" t="str">
        <f t="shared" si="0"/>
        <v xml:space="preserve"> </v>
      </c>
    </row>
    <row r="12" spans="1:8">
      <c r="A12" s="47">
        <v>5</v>
      </c>
      <c r="B12" s="50" t="s">
        <v>90</v>
      </c>
      <c r="E12" s="55"/>
      <c r="F12" s="55"/>
      <c r="G12" s="55"/>
      <c r="H12" s="53" t="str">
        <f t="shared" si="0"/>
        <v xml:space="preserve"> </v>
      </c>
    </row>
    <row r="13" spans="1:8">
      <c r="A13" s="47">
        <v>6</v>
      </c>
      <c r="B13" s="50" t="s">
        <v>152</v>
      </c>
      <c r="E13" s="56">
        <f>E11+E12</f>
        <v>0</v>
      </c>
      <c r="F13" s="56">
        <f>F11+F12</f>
        <v>0</v>
      </c>
      <c r="G13" s="56">
        <f>G11+G12</f>
        <v>0</v>
      </c>
      <c r="H13" s="53" t="str">
        <f t="shared" si="0"/>
        <v xml:space="preserve"> </v>
      </c>
    </row>
    <row r="14" spans="1:8">
      <c r="E14" s="58"/>
      <c r="F14" s="58"/>
      <c r="G14" s="58"/>
      <c r="H14" s="53"/>
    </row>
    <row r="15" spans="1:8">
      <c r="B15" s="50" t="s">
        <v>92</v>
      </c>
      <c r="E15" s="58"/>
      <c r="F15" s="58"/>
      <c r="G15" s="58"/>
      <c r="H15" s="53"/>
    </row>
    <row r="16" spans="1:8">
      <c r="B16" s="50" t="s">
        <v>93</v>
      </c>
      <c r="E16" s="58"/>
      <c r="F16" s="58"/>
      <c r="G16" s="58"/>
      <c r="H16" s="53"/>
    </row>
    <row r="17" spans="1:8">
      <c r="A17" s="47">
        <v>7</v>
      </c>
      <c r="B17" s="50" t="s">
        <v>153</v>
      </c>
      <c r="E17" s="55">
        <f>F17+G17</f>
        <v>0</v>
      </c>
      <c r="F17" s="55">
        <v>0</v>
      </c>
      <c r="G17" s="55">
        <v>0</v>
      </c>
      <c r="H17" s="53" t="str">
        <f>IF(E17=F17+G17," ","ERROR")</f>
        <v xml:space="preserve"> </v>
      </c>
    </row>
    <row r="18" spans="1:8">
      <c r="A18" s="47">
        <v>8</v>
      </c>
      <c r="B18" s="50" t="s">
        <v>154</v>
      </c>
      <c r="E18" s="55"/>
      <c r="F18" s="55"/>
      <c r="G18" s="55"/>
      <c r="H18" s="53" t="str">
        <f>IF(E18=F18+G18," ","ERROR")</f>
        <v xml:space="preserve"> </v>
      </c>
    </row>
    <row r="19" spans="1:8">
      <c r="A19" s="47">
        <v>9</v>
      </c>
      <c r="B19" s="50" t="s">
        <v>155</v>
      </c>
      <c r="E19" s="55">
        <f>F19+G19</f>
        <v>215</v>
      </c>
      <c r="F19" s="55">
        <v>0</v>
      </c>
      <c r="G19" s="55">
        <v>215</v>
      </c>
      <c r="H19" s="53" t="str">
        <f>IF(E19=F19+G19," ","ERROR")</f>
        <v xml:space="preserve"> </v>
      </c>
    </row>
    <row r="20" spans="1:8">
      <c r="A20" s="47">
        <v>10</v>
      </c>
      <c r="B20" s="50" t="s">
        <v>156</v>
      </c>
      <c r="E20" s="55">
        <f>F20+G20</f>
        <v>0</v>
      </c>
      <c r="F20" s="55"/>
      <c r="G20" s="55"/>
      <c r="H20" s="53" t="str">
        <f>IF(E20=F20+G20," ","ERROR")</f>
        <v xml:space="preserve"> </v>
      </c>
    </row>
    <row r="21" spans="1:8">
      <c r="A21" s="47">
        <v>11</v>
      </c>
      <c r="B21" s="50" t="s">
        <v>157</v>
      </c>
      <c r="E21" s="56">
        <f>E17+E18+E19+E20</f>
        <v>215</v>
      </c>
      <c r="F21" s="56">
        <f>F17+F18+F19+F20</f>
        <v>0</v>
      </c>
      <c r="G21" s="56">
        <f>G17+G18+G19+G20</f>
        <v>215</v>
      </c>
      <c r="H21" s="53" t="str">
        <f>IF(E21=F21+G21," ","ERROR")</f>
        <v xml:space="preserve"> </v>
      </c>
    </row>
    <row r="22" spans="1:8">
      <c r="E22" s="58"/>
      <c r="F22" s="58"/>
      <c r="G22" s="58"/>
      <c r="H22" s="53"/>
    </row>
    <row r="23" spans="1:8">
      <c r="B23" s="50" t="s">
        <v>98</v>
      </c>
      <c r="E23" s="58"/>
      <c r="F23" s="58"/>
      <c r="G23" s="58"/>
      <c r="H23" s="53"/>
    </row>
    <row r="24" spans="1:8">
      <c r="A24" s="47">
        <v>12</v>
      </c>
      <c r="B24" s="50" t="s">
        <v>153</v>
      </c>
      <c r="E24" s="55">
        <f>F24+G24</f>
        <v>0</v>
      </c>
      <c r="F24" s="55">
        <v>0</v>
      </c>
      <c r="G24" s="55">
        <v>0</v>
      </c>
      <c r="H24" s="53" t="str">
        <f>IF(E24=F24+G24," ","ERROR")</f>
        <v xml:space="preserve"> </v>
      </c>
    </row>
    <row r="25" spans="1:8">
      <c r="A25" s="47">
        <v>13</v>
      </c>
      <c r="B25" s="50" t="s">
        <v>158</v>
      </c>
      <c r="E25" s="55"/>
      <c r="F25" s="55"/>
      <c r="G25" s="55"/>
      <c r="H25" s="53" t="str">
        <f>IF(E25=F25+G25," ","ERROR")</f>
        <v xml:space="preserve"> </v>
      </c>
    </row>
    <row r="26" spans="1:8">
      <c r="A26" s="47">
        <v>14</v>
      </c>
      <c r="B26" s="50" t="s">
        <v>156</v>
      </c>
      <c r="E26" s="55">
        <f>F26+G26</f>
        <v>0</v>
      </c>
      <c r="F26" s="55">
        <v>0</v>
      </c>
      <c r="G26" s="916">
        <v>0</v>
      </c>
      <c r="H26" s="53" t="str">
        <f>IF(E26=F26+G26," ","ERROR")</f>
        <v xml:space="preserve"> </v>
      </c>
    </row>
    <row r="27" spans="1:8">
      <c r="A27" s="47">
        <v>15</v>
      </c>
      <c r="B27" s="50" t="s">
        <v>159</v>
      </c>
      <c r="E27" s="56">
        <f>E24+E25+E26</f>
        <v>0</v>
      </c>
      <c r="F27" s="56">
        <f>F24+F25+F26</f>
        <v>0</v>
      </c>
      <c r="G27" s="56">
        <f>G24+G25+G26</f>
        <v>0</v>
      </c>
      <c r="H27" s="53" t="str">
        <f>IF(E27=F27+G27," ","ERROR")</f>
        <v xml:space="preserve"> </v>
      </c>
    </row>
    <row r="28" spans="1:8">
      <c r="E28" s="58"/>
      <c r="F28" s="58"/>
      <c r="G28" s="58"/>
      <c r="H28" s="53"/>
    </row>
    <row r="29" spans="1:8">
      <c r="A29" s="47">
        <v>16</v>
      </c>
      <c r="B29" s="50" t="s">
        <v>101</v>
      </c>
      <c r="E29" s="55">
        <f>SUM(F29:G29)</f>
        <v>0</v>
      </c>
      <c r="F29" s="55">
        <v>0</v>
      </c>
      <c r="G29" s="55">
        <v>0</v>
      </c>
      <c r="H29" s="53" t="str">
        <f>IF(E29=F29+G29," ","ERROR")</f>
        <v xml:space="preserve"> </v>
      </c>
    </row>
    <row r="30" spans="1:8">
      <c r="A30" s="47">
        <v>17</v>
      </c>
      <c r="B30" s="50" t="s">
        <v>102</v>
      </c>
      <c r="E30" s="55">
        <f>SUM(F30:G30)</f>
        <v>0</v>
      </c>
      <c r="F30" s="55">
        <v>0</v>
      </c>
      <c r="G30" s="55">
        <v>0</v>
      </c>
      <c r="H30" s="53" t="str">
        <f>IF(E30=F30+G30," ","ERROR")</f>
        <v xml:space="preserve"> </v>
      </c>
    </row>
    <row r="31" spans="1:8">
      <c r="A31" s="47">
        <v>18</v>
      </c>
      <c r="B31" s="50" t="s">
        <v>160</v>
      </c>
      <c r="E31" s="55">
        <f>SUM(F31:G31)</f>
        <v>0</v>
      </c>
      <c r="F31" s="55">
        <v>0</v>
      </c>
      <c r="G31" s="55">
        <v>0</v>
      </c>
      <c r="H31" s="53" t="str">
        <f>IF(E31=F31+G31," ","ERROR")</f>
        <v xml:space="preserve"> </v>
      </c>
    </row>
    <row r="32" spans="1:8">
      <c r="E32" s="58"/>
      <c r="F32" s="58"/>
      <c r="G32" s="58"/>
      <c r="H32" s="53"/>
    </row>
    <row r="33" spans="1:8">
      <c r="B33" s="50" t="s">
        <v>104</v>
      </c>
      <c r="E33" s="58"/>
      <c r="F33" s="58"/>
      <c r="G33" s="58"/>
      <c r="H33" s="53"/>
    </row>
    <row r="34" spans="1:8">
      <c r="A34" s="47">
        <v>19</v>
      </c>
      <c r="B34" s="50" t="s">
        <v>153</v>
      </c>
      <c r="E34" s="55">
        <f>SUM(F34:G34)</f>
        <v>0</v>
      </c>
      <c r="F34" s="55">
        <v>0</v>
      </c>
      <c r="G34" s="55">
        <v>0</v>
      </c>
      <c r="H34" s="53" t="str">
        <f>IF(E34=F34+G34," ","ERROR")</f>
        <v xml:space="preserve"> </v>
      </c>
    </row>
    <row r="35" spans="1:8">
      <c r="A35" s="47">
        <v>20</v>
      </c>
      <c r="B35" s="50" t="s">
        <v>158</v>
      </c>
      <c r="E35" s="55"/>
      <c r="F35" s="55"/>
      <c r="G35" s="55"/>
      <c r="H35" s="53" t="str">
        <f>IF(E35=F35+G35," ","ERROR")</f>
        <v xml:space="preserve"> </v>
      </c>
    </row>
    <row r="36" spans="1:8">
      <c r="A36" s="47">
        <v>21</v>
      </c>
      <c r="B36" s="50" t="s">
        <v>156</v>
      </c>
      <c r="E36" s="55"/>
      <c r="F36" s="55"/>
      <c r="G36" s="55"/>
      <c r="H36" s="53" t="str">
        <f>IF(E36=F36+G36," ","ERROR")</f>
        <v xml:space="preserve"> </v>
      </c>
    </row>
    <row r="37" spans="1:8">
      <c r="A37" s="47">
        <v>22</v>
      </c>
      <c r="B37" s="50" t="s">
        <v>161</v>
      </c>
      <c r="E37" s="60">
        <f>E34+E35+E36</f>
        <v>0</v>
      </c>
      <c r="F37" s="60">
        <f>F34+F35+F36</f>
        <v>0</v>
      </c>
      <c r="G37" s="60">
        <f>G34+G35+G36</f>
        <v>0</v>
      </c>
      <c r="H37" s="53" t="str">
        <f>IF(E37=F37+G37," ","ERROR")</f>
        <v xml:space="preserve"> </v>
      </c>
    </row>
    <row r="38" spans="1:8">
      <c r="A38" s="47">
        <v>23</v>
      </c>
      <c r="B38" s="50" t="s">
        <v>106</v>
      </c>
      <c r="E38" s="61">
        <f>E21+E27+E29+E30+E31+E37</f>
        <v>215</v>
      </c>
      <c r="F38" s="61">
        <f>F21+F27+F29+F30+F31+F37</f>
        <v>0</v>
      </c>
      <c r="G38" s="61">
        <f>G21+G27+G29+G30+G31+G37</f>
        <v>215</v>
      </c>
      <c r="H38" s="53" t="str">
        <f>IF(E38=F38+G38," ","ERROR")</f>
        <v xml:space="preserve"> </v>
      </c>
    </row>
    <row r="39" spans="1:8">
      <c r="E39" s="58"/>
      <c r="F39" s="58"/>
      <c r="G39" s="58"/>
      <c r="H39" s="53"/>
    </row>
    <row r="40" spans="1:8">
      <c r="A40" s="47">
        <v>24</v>
      </c>
      <c r="B40" s="50" t="s">
        <v>162</v>
      </c>
      <c r="E40" s="58">
        <f>E13-E38</f>
        <v>-215</v>
      </c>
      <c r="F40" s="58">
        <f>F13-F38</f>
        <v>0</v>
      </c>
      <c r="G40" s="58">
        <f>G13-G38</f>
        <v>-215</v>
      </c>
      <c r="H40" s="53" t="str">
        <f>IF(E40=F40+G40," ","ERROR")</f>
        <v xml:space="preserve"> </v>
      </c>
    </row>
    <row r="41" spans="1:8">
      <c r="B41" s="50"/>
      <c r="E41" s="58"/>
      <c r="F41" s="58"/>
      <c r="G41" s="58"/>
      <c r="H41" s="53"/>
    </row>
    <row r="42" spans="1:8">
      <c r="B42" s="50" t="s">
        <v>163</v>
      </c>
      <c r="E42" s="58"/>
      <c r="F42" s="58"/>
      <c r="G42" s="58"/>
      <c r="H42" s="53"/>
    </row>
    <row r="43" spans="1:8">
      <c r="A43" s="47">
        <v>25</v>
      </c>
      <c r="B43" s="50" t="s">
        <v>164</v>
      </c>
      <c r="D43" s="62"/>
      <c r="E43" s="55"/>
      <c r="F43" s="55"/>
      <c r="G43" s="55"/>
      <c r="H43" s="53" t="str">
        <f>IF(E43=F43+G43," ","ERROR")</f>
        <v xml:space="preserve"> </v>
      </c>
    </row>
    <row r="44" spans="1:8">
      <c r="A44" s="47">
        <v>26</v>
      </c>
      <c r="B44" s="50" t="s">
        <v>165</v>
      </c>
      <c r="D44" s="62">
        <v>0.35</v>
      </c>
      <c r="E44" s="55">
        <f>F44+G44</f>
        <v>-75</v>
      </c>
      <c r="F44" s="55">
        <f>ROUND(F41*D44,0)</f>
        <v>0</v>
      </c>
      <c r="G44" s="55">
        <f>ROUND(G40*D44,0)</f>
        <v>-75</v>
      </c>
      <c r="H44" s="53" t="str">
        <f>IF(E44=F44+G44," ","ERROR")</f>
        <v xml:space="preserve"> </v>
      </c>
    </row>
    <row r="45" spans="1:8">
      <c r="A45"/>
      <c r="B45"/>
      <c r="C45"/>
      <c r="D45"/>
      <c r="E45" s="913"/>
      <c r="F45" s="913"/>
      <c r="G45" s="913"/>
      <c r="H45" s="53" t="str">
        <f>IF(E45=F45+G45," ","ERROR")</f>
        <v xml:space="preserve"> </v>
      </c>
    </row>
    <row r="46" spans="1:8">
      <c r="A46" s="259"/>
      <c r="B46" s="262"/>
      <c r="C46" s="256"/>
      <c r="D46" s="256"/>
      <c r="E46" s="269"/>
      <c r="F46" s="269"/>
      <c r="G46" s="269"/>
      <c r="H46" s="53"/>
    </row>
    <row r="47" spans="1:8">
      <c r="A47" s="263">
        <v>27</v>
      </c>
      <c r="B47" s="264" t="s">
        <v>113</v>
      </c>
      <c r="C47" s="265"/>
      <c r="D47" s="265"/>
      <c r="E47" s="273">
        <f>E40-SUM(E44)</f>
        <v>-140</v>
      </c>
      <c r="F47" s="273">
        <f>F40-SUM(F44)</f>
        <v>0</v>
      </c>
      <c r="G47" s="273">
        <f>G40-SUM(G44)</f>
        <v>-140</v>
      </c>
      <c r="H47" s="53" t="str">
        <f>IF(E47=F47+G47," ","ERROR")</f>
        <v xml:space="preserve"> </v>
      </c>
    </row>
    <row r="48" spans="1:8">
      <c r="A48" s="259"/>
      <c r="H48" s="53"/>
    </row>
    <row r="49" spans="1:8">
      <c r="A49" s="259"/>
      <c r="B49" s="50" t="s">
        <v>114</v>
      </c>
      <c r="H49" s="53"/>
    </row>
    <row r="50" spans="1:8">
      <c r="A50" s="259"/>
      <c r="B50" s="50" t="s">
        <v>115</v>
      </c>
      <c r="H50" s="53"/>
    </row>
    <row r="51" spans="1:8">
      <c r="A51" s="263">
        <v>28</v>
      </c>
      <c r="B51" s="52" t="s">
        <v>167</v>
      </c>
      <c r="C51" s="53"/>
      <c r="D51" s="53"/>
      <c r="E51" s="54"/>
      <c r="F51" s="54"/>
      <c r="G51" s="54"/>
      <c r="H51" s="53" t="str">
        <f t="shared" ref="H51:H61" si="1">IF(E51=F51+G51," ","ERROR")</f>
        <v xml:space="preserve"> </v>
      </c>
    </row>
    <row r="52" spans="1:8">
      <c r="A52" s="259">
        <v>29</v>
      </c>
      <c r="B52" s="50" t="s">
        <v>168</v>
      </c>
      <c r="E52" s="55">
        <f>F52+G52</f>
        <v>0</v>
      </c>
      <c r="F52" s="55"/>
      <c r="G52" s="55"/>
      <c r="H52" s="53" t="str">
        <f t="shared" si="1"/>
        <v xml:space="preserve"> </v>
      </c>
    </row>
    <row r="53" spans="1:8">
      <c r="A53" s="259">
        <v>30</v>
      </c>
      <c r="B53" s="50" t="s">
        <v>169</v>
      </c>
      <c r="E53" s="55"/>
      <c r="F53" s="55"/>
      <c r="G53" s="55"/>
      <c r="H53" s="53" t="str">
        <f t="shared" si="1"/>
        <v xml:space="preserve"> </v>
      </c>
    </row>
    <row r="54" spans="1:8">
      <c r="A54" s="259">
        <v>31</v>
      </c>
      <c r="B54" s="50" t="s">
        <v>170</v>
      </c>
      <c r="E54" s="55"/>
      <c r="F54" s="55"/>
      <c r="G54" s="55"/>
      <c r="H54" s="53" t="str">
        <f t="shared" si="1"/>
        <v xml:space="preserve"> </v>
      </c>
    </row>
    <row r="55" spans="1:8">
      <c r="A55" s="259">
        <v>32</v>
      </c>
      <c r="B55" s="50" t="s">
        <v>171</v>
      </c>
      <c r="E55" s="59"/>
      <c r="F55" s="59"/>
      <c r="G55" s="59"/>
      <c r="H55" s="53" t="str">
        <f t="shared" si="1"/>
        <v xml:space="preserve"> </v>
      </c>
    </row>
    <row r="56" spans="1:8">
      <c r="A56" s="259">
        <v>33</v>
      </c>
      <c r="B56" s="50" t="s">
        <v>172</v>
      </c>
      <c r="E56" s="58">
        <f>E51+E52+E53+E54+E55</f>
        <v>0</v>
      </c>
      <c r="F56" s="58">
        <f>F51+F52+F53+F54+F55</f>
        <v>0</v>
      </c>
      <c r="G56" s="58">
        <f>G51+G52+G53+G54+G55</f>
        <v>0</v>
      </c>
      <c r="H56" s="53" t="str">
        <f t="shared" si="1"/>
        <v xml:space="preserve"> </v>
      </c>
    </row>
    <row r="57" spans="1:8">
      <c r="A57" s="259">
        <v>34</v>
      </c>
      <c r="B57" s="50" t="s">
        <v>121</v>
      </c>
      <c r="E57" s="55">
        <f>F57+G57</f>
        <v>0</v>
      </c>
      <c r="F57" s="55"/>
      <c r="G57" s="55"/>
      <c r="H57" s="53" t="str">
        <f t="shared" si="1"/>
        <v xml:space="preserve"> </v>
      </c>
    </row>
    <row r="58" spans="1:8">
      <c r="A58" s="259">
        <v>35</v>
      </c>
      <c r="B58" s="50" t="s">
        <v>122</v>
      </c>
      <c r="E58" s="59"/>
      <c r="F58" s="59"/>
      <c r="G58" s="59"/>
      <c r="H58" s="53" t="str">
        <f t="shared" si="1"/>
        <v xml:space="preserve"> </v>
      </c>
    </row>
    <row r="59" spans="1:8">
      <c r="A59" s="259">
        <v>36</v>
      </c>
      <c r="B59" s="50" t="s">
        <v>173</v>
      </c>
      <c r="E59" s="58">
        <f>E57+E58</f>
        <v>0</v>
      </c>
      <c r="F59" s="58">
        <f>F57+F58</f>
        <v>0</v>
      </c>
      <c r="G59" s="58">
        <f>G57+G58</f>
        <v>0</v>
      </c>
      <c r="H59" s="53" t="str">
        <f t="shared" si="1"/>
        <v xml:space="preserve"> </v>
      </c>
    </row>
    <row r="60" spans="1:8">
      <c r="A60" s="259">
        <v>37</v>
      </c>
      <c r="B60" s="50" t="s">
        <v>124</v>
      </c>
      <c r="E60" s="55"/>
      <c r="F60" s="55"/>
      <c r="G60" s="55"/>
      <c r="H60" s="53" t="str">
        <f t="shared" si="1"/>
        <v xml:space="preserve"> </v>
      </c>
    </row>
    <row r="61" spans="1:8">
      <c r="A61" s="259">
        <v>38</v>
      </c>
      <c r="B61" s="50" t="s">
        <v>125</v>
      </c>
      <c r="E61" s="59">
        <f>F61+G61</f>
        <v>0</v>
      </c>
      <c r="F61" s="59"/>
      <c r="G61" s="59"/>
      <c r="H61" s="53" t="str">
        <f t="shared" si="1"/>
        <v xml:space="preserve"> </v>
      </c>
    </row>
    <row r="62" spans="1:8" ht="11.25" customHeight="1">
      <c r="A62" s="259"/>
      <c r="H62" s="53"/>
    </row>
    <row r="63" spans="1:8" ht="13.5" thickBot="1">
      <c r="A63" s="263">
        <v>39</v>
      </c>
      <c r="B63" s="52" t="s">
        <v>126</v>
      </c>
      <c r="C63" s="53"/>
      <c r="D63" s="53"/>
      <c r="E63" s="63">
        <f>E56-E59+E60+E61</f>
        <v>0</v>
      </c>
      <c r="F63" s="63">
        <f>F56-F59+F60+F61</f>
        <v>0</v>
      </c>
      <c r="G63" s="63">
        <f>G56-G59+G60+G61</f>
        <v>0</v>
      </c>
      <c r="H63" s="53" t="str">
        <f>IF(E63=F63+G63," ","ERROR")</f>
        <v xml:space="preserve"> </v>
      </c>
    </row>
    <row r="64" spans="1:8" ht="13.5" thickTop="1">
      <c r="A64" s="44"/>
      <c r="B64" s="69"/>
      <c r="C64" s="69"/>
      <c r="D64" s="69"/>
      <c r="E64" s="671"/>
      <c r="F64" s="672"/>
      <c r="G64" s="69"/>
      <c r="H64" s="69"/>
    </row>
  </sheetData>
  <phoneticPr fontId="0" type="noConversion"/>
  <pageMargins left="1" right="1" top="0.5" bottom="0.25" header="0.5" footer="0.5"/>
  <pageSetup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H110"/>
  <sheetViews>
    <sheetView workbookViewId="0">
      <selection activeCell="F2" sqref="F2"/>
    </sheetView>
  </sheetViews>
  <sheetFormatPr defaultColWidth="12.42578125" defaultRowHeight="12"/>
  <cols>
    <col min="1" max="1" width="5.5703125" style="115" customWidth="1"/>
    <col min="2" max="2" width="26.140625" style="114" customWidth="1"/>
    <col min="3" max="3" width="12.42578125" style="114" customWidth="1"/>
    <col min="4" max="4" width="6.7109375" style="114" customWidth="1"/>
    <col min="5" max="16384" width="12.42578125" style="114"/>
  </cols>
  <sheetData>
    <row r="1" spans="1:8" ht="12" customHeight="1">
      <c r="A1" s="112" t="str">
        <f>Inputs!$D$6</f>
        <v>AVISTA UTILITIES</v>
      </c>
      <c r="B1" s="113"/>
      <c r="C1" s="112"/>
    </row>
    <row r="2" spans="1:8" ht="12" customHeight="1">
      <c r="A2" s="112" t="s">
        <v>142</v>
      </c>
      <c r="B2" s="113"/>
      <c r="C2" s="112"/>
      <c r="E2" s="112"/>
      <c r="F2" s="115" t="s">
        <v>223</v>
      </c>
      <c r="G2" s="112"/>
    </row>
    <row r="3" spans="1:8" ht="12" customHeight="1">
      <c r="A3" s="113" t="str">
        <f>WAElec09_08!$A$4</f>
        <v>TWELVE MONTHS ENDED SEPTEMBER 30, 2008</v>
      </c>
      <c r="B3" s="113"/>
      <c r="C3" s="112"/>
      <c r="E3" s="112"/>
      <c r="F3" s="115" t="s">
        <v>224</v>
      </c>
      <c r="G3" s="112"/>
    </row>
    <row r="4" spans="1:8" ht="12" customHeight="1">
      <c r="A4" s="112" t="s">
        <v>1</v>
      </c>
      <c r="B4" s="113"/>
      <c r="C4" s="112"/>
      <c r="E4" s="116"/>
      <c r="F4" s="117" t="s">
        <v>145</v>
      </c>
      <c r="G4" s="118"/>
    </row>
    <row r="5" spans="1:8" ht="12" customHeight="1">
      <c r="A5" s="115" t="s">
        <v>14</v>
      </c>
    </row>
    <row r="6" spans="1:8" s="115" customFormat="1" ht="12" customHeight="1">
      <c r="A6" s="115" t="s">
        <v>146</v>
      </c>
      <c r="B6" s="119" t="s">
        <v>36</v>
      </c>
      <c r="C6" s="119"/>
      <c r="E6" s="119" t="s">
        <v>147</v>
      </c>
      <c r="F6" s="119" t="s">
        <v>148</v>
      </c>
      <c r="G6" s="119" t="s">
        <v>128</v>
      </c>
      <c r="H6" s="120" t="s">
        <v>149</v>
      </c>
    </row>
    <row r="7" spans="1:8" ht="12" customHeight="1">
      <c r="B7" s="121" t="s">
        <v>85</v>
      </c>
    </row>
    <row r="8" spans="1:8" s="124" customFormat="1" ht="12" customHeight="1">
      <c r="A8" s="122">
        <v>1</v>
      </c>
      <c r="B8" s="123" t="s">
        <v>86</v>
      </c>
      <c r="E8" s="125">
        <f>F8+G8</f>
        <v>0</v>
      </c>
      <c r="F8" s="125"/>
      <c r="G8" s="125"/>
      <c r="H8" s="124" t="str">
        <f t="shared" ref="H8:H13" si="0">IF(E8=F8+G8," ","ERROR")</f>
        <v xml:space="preserve"> </v>
      </c>
    </row>
    <row r="9" spans="1:8" ht="12" customHeight="1">
      <c r="A9" s="115">
        <v>2</v>
      </c>
      <c r="B9" s="121" t="s">
        <v>87</v>
      </c>
      <c r="E9" s="126"/>
      <c r="F9" s="126"/>
      <c r="G9" s="126"/>
      <c r="H9" s="124" t="str">
        <f t="shared" si="0"/>
        <v xml:space="preserve"> </v>
      </c>
    </row>
    <row r="10" spans="1:8" ht="12" customHeight="1">
      <c r="A10" s="115">
        <v>3</v>
      </c>
      <c r="B10" s="121" t="s">
        <v>150</v>
      </c>
      <c r="E10" s="126"/>
      <c r="F10" s="126"/>
      <c r="G10" s="126"/>
      <c r="H10" s="124" t="str">
        <f t="shared" si="0"/>
        <v xml:space="preserve"> </v>
      </c>
    </row>
    <row r="11" spans="1:8" ht="12" customHeight="1">
      <c r="A11" s="115">
        <v>4</v>
      </c>
      <c r="B11" s="121" t="s">
        <v>151</v>
      </c>
      <c r="E11" s="127">
        <f>E8+E9+E10</f>
        <v>0</v>
      </c>
      <c r="F11" s="127">
        <f>F8+F9+F10</f>
        <v>0</v>
      </c>
      <c r="G11" s="127">
        <f>G8+G9+G10</f>
        <v>0</v>
      </c>
      <c r="H11" s="124" t="str">
        <f t="shared" si="0"/>
        <v xml:space="preserve"> </v>
      </c>
    </row>
    <row r="12" spans="1:8" ht="12" customHeight="1">
      <c r="A12" s="115">
        <v>5</v>
      </c>
      <c r="B12" s="121" t="s">
        <v>90</v>
      </c>
      <c r="E12" s="126"/>
      <c r="F12" s="126"/>
      <c r="G12" s="126"/>
      <c r="H12" s="124" t="str">
        <f t="shared" si="0"/>
        <v xml:space="preserve"> </v>
      </c>
    </row>
    <row r="13" spans="1:8" ht="12" customHeight="1">
      <c r="A13" s="115">
        <v>6</v>
      </c>
      <c r="B13" s="121" t="s">
        <v>152</v>
      </c>
      <c r="E13" s="127">
        <f>E11+E12</f>
        <v>0</v>
      </c>
      <c r="F13" s="127">
        <f>F11+F12</f>
        <v>0</v>
      </c>
      <c r="G13" s="127">
        <f>G11+G12</f>
        <v>0</v>
      </c>
      <c r="H13" s="124" t="str">
        <f t="shared" si="0"/>
        <v xml:space="preserve"> </v>
      </c>
    </row>
    <row r="14" spans="1:8" ht="12" customHeight="1">
      <c r="E14" s="128"/>
      <c r="F14" s="128"/>
      <c r="G14" s="128"/>
      <c r="H14" s="124"/>
    </row>
    <row r="15" spans="1:8" ht="12" customHeight="1">
      <c r="B15" s="121" t="s">
        <v>92</v>
      </c>
      <c r="E15" s="128"/>
      <c r="F15" s="128"/>
      <c r="G15" s="128"/>
      <c r="H15" s="124"/>
    </row>
    <row r="16" spans="1:8" ht="12" customHeight="1">
      <c r="B16" s="121" t="s">
        <v>93</v>
      </c>
      <c r="E16" s="128"/>
      <c r="F16" s="128"/>
      <c r="G16" s="128"/>
      <c r="H16" s="124"/>
    </row>
    <row r="17" spans="1:8" ht="12" customHeight="1">
      <c r="A17" s="115">
        <v>7</v>
      </c>
      <c r="B17" s="121" t="s">
        <v>153</v>
      </c>
      <c r="E17" s="126"/>
      <c r="F17" s="126"/>
      <c r="G17" s="126"/>
      <c r="H17" s="124" t="str">
        <f>IF(E17=F17+G17," ","ERROR")</f>
        <v xml:space="preserve"> </v>
      </c>
    </row>
    <row r="18" spans="1:8" ht="12" customHeight="1">
      <c r="A18" s="115">
        <v>8</v>
      </c>
      <c r="B18" s="121" t="s">
        <v>154</v>
      </c>
      <c r="E18" s="126"/>
      <c r="F18" s="126"/>
      <c r="G18" s="126"/>
      <c r="H18" s="124" t="str">
        <f>IF(E18=F18+G18," ","ERROR")</f>
        <v xml:space="preserve"> </v>
      </c>
    </row>
    <row r="19" spans="1:8" ht="12" customHeight="1">
      <c r="A19" s="115">
        <v>9</v>
      </c>
      <c r="B19" s="121" t="s">
        <v>155</v>
      </c>
      <c r="E19" s="126"/>
      <c r="F19" s="126"/>
      <c r="G19" s="126"/>
      <c r="H19" s="124" t="str">
        <f>IF(E19=F19+G19," ","ERROR")</f>
        <v xml:space="preserve"> </v>
      </c>
    </row>
    <row r="20" spans="1:8" ht="12" customHeight="1">
      <c r="A20" s="115">
        <v>10</v>
      </c>
      <c r="B20" s="121" t="s">
        <v>156</v>
      </c>
      <c r="E20" s="126"/>
      <c r="F20" s="126"/>
      <c r="G20" s="126"/>
      <c r="H20" s="124" t="str">
        <f>IF(E20=F20+G20," ","ERROR")</f>
        <v xml:space="preserve"> </v>
      </c>
    </row>
    <row r="21" spans="1:8" ht="12" customHeight="1">
      <c r="A21" s="115">
        <v>11</v>
      </c>
      <c r="B21" s="121" t="s">
        <v>157</v>
      </c>
      <c r="E21" s="127">
        <f>E17+E18+E19+E20</f>
        <v>0</v>
      </c>
      <c r="F21" s="127">
        <f>F17+F18+F19+F20</f>
        <v>0</v>
      </c>
      <c r="G21" s="127">
        <f>G17+G18+G19+G20</f>
        <v>0</v>
      </c>
      <c r="H21" s="124" t="str">
        <f>IF(E21=F21+G21," ","ERROR")</f>
        <v xml:space="preserve"> </v>
      </c>
    </row>
    <row r="22" spans="1:8" ht="12" customHeight="1">
      <c r="E22" s="128"/>
      <c r="F22" s="128"/>
      <c r="G22" s="128"/>
      <c r="H22" s="124"/>
    </row>
    <row r="23" spans="1:8" ht="12" customHeight="1">
      <c r="B23" s="121" t="s">
        <v>98</v>
      </c>
      <c r="E23" s="128"/>
      <c r="F23" s="128"/>
      <c r="G23" s="128"/>
      <c r="H23" s="124"/>
    </row>
    <row r="24" spans="1:8" ht="12" customHeight="1">
      <c r="A24" s="115">
        <v>12</v>
      </c>
      <c r="B24" s="121" t="s">
        <v>153</v>
      </c>
      <c r="E24" s="126"/>
      <c r="F24" s="126"/>
      <c r="G24" s="126"/>
      <c r="H24" s="124" t="str">
        <f>IF(E24=F24+G24," ","ERROR")</f>
        <v xml:space="preserve"> </v>
      </c>
    </row>
    <row r="25" spans="1:8" ht="12" customHeight="1">
      <c r="A25" s="115">
        <v>13</v>
      </c>
      <c r="B25" s="121" t="s">
        <v>158</v>
      </c>
      <c r="E25" s="126"/>
      <c r="F25" s="126"/>
      <c r="G25" s="126"/>
      <c r="H25" s="124" t="str">
        <f>IF(E25=F25+G25," ","ERROR")</f>
        <v xml:space="preserve"> </v>
      </c>
    </row>
    <row r="26" spans="1:8" ht="12" customHeight="1">
      <c r="A26" s="115">
        <v>14</v>
      </c>
      <c r="B26" s="121" t="s">
        <v>156</v>
      </c>
      <c r="E26" s="126">
        <f>F26+G26</f>
        <v>0</v>
      </c>
      <c r="F26" s="126"/>
      <c r="G26" s="126"/>
      <c r="H26" s="124" t="str">
        <f>IF(E26=F26+G26," ","ERROR")</f>
        <v xml:space="preserve"> </v>
      </c>
    </row>
    <row r="27" spans="1:8" ht="12" customHeight="1">
      <c r="A27" s="115">
        <v>15</v>
      </c>
      <c r="B27" s="121" t="s">
        <v>159</v>
      </c>
      <c r="E27" s="127">
        <f>E24+E25+E26</f>
        <v>0</v>
      </c>
      <c r="F27" s="127">
        <f>F24+F25+F26</f>
        <v>0</v>
      </c>
      <c r="G27" s="127">
        <f>G24+G25+G26</f>
        <v>0</v>
      </c>
      <c r="H27" s="124" t="str">
        <f>IF(E27=F27+G27," ","ERROR")</f>
        <v xml:space="preserve"> </v>
      </c>
    </row>
    <row r="28" spans="1:8" ht="12" customHeight="1">
      <c r="E28" s="128"/>
      <c r="F28" s="128"/>
      <c r="G28" s="128"/>
      <c r="H28" s="124"/>
    </row>
    <row r="29" spans="1:8" ht="12" customHeight="1">
      <c r="A29" s="115">
        <v>16</v>
      </c>
      <c r="B29" s="121" t="s">
        <v>101</v>
      </c>
      <c r="E29" s="126"/>
      <c r="F29" s="126"/>
      <c r="G29" s="126"/>
      <c r="H29" s="124" t="str">
        <f>IF(E29=F29+G29," ","ERROR")</f>
        <v xml:space="preserve"> </v>
      </c>
    </row>
    <row r="30" spans="1:8" ht="12" customHeight="1">
      <c r="A30" s="115">
        <v>17</v>
      </c>
      <c r="B30" s="121" t="s">
        <v>102</v>
      </c>
      <c r="E30" s="126"/>
      <c r="F30" s="126"/>
      <c r="G30" s="126"/>
      <c r="H30" s="124" t="str">
        <f>IF(E30=F30+G30," ","ERROR")</f>
        <v xml:space="preserve"> </v>
      </c>
    </row>
    <row r="31" spans="1:8" ht="12" customHeight="1">
      <c r="A31" s="115">
        <v>18</v>
      </c>
      <c r="B31" s="121" t="s">
        <v>160</v>
      </c>
      <c r="E31" s="126"/>
      <c r="F31" s="126"/>
      <c r="G31" s="126"/>
      <c r="H31" s="124" t="str">
        <f>IF(E31=F31+G31," ","ERROR")</f>
        <v xml:space="preserve"> </v>
      </c>
    </row>
    <row r="32" spans="1:8" ht="12" customHeight="1">
      <c r="E32" s="128"/>
      <c r="F32" s="128"/>
      <c r="G32" s="128"/>
      <c r="H32" s="124"/>
    </row>
    <row r="33" spans="1:8" ht="12" customHeight="1">
      <c r="B33" s="121" t="s">
        <v>104</v>
      </c>
      <c r="E33" s="128"/>
      <c r="F33" s="128"/>
      <c r="G33" s="128"/>
      <c r="H33" s="124"/>
    </row>
    <row r="34" spans="1:8" ht="12" customHeight="1">
      <c r="A34" s="115">
        <v>19</v>
      </c>
      <c r="B34" s="121" t="s">
        <v>153</v>
      </c>
      <c r="E34" s="126"/>
      <c r="F34" s="126"/>
      <c r="G34" s="126"/>
      <c r="H34" s="124" t="str">
        <f>IF(E34=F34+G34," ","ERROR")</f>
        <v xml:space="preserve"> </v>
      </c>
    </row>
    <row r="35" spans="1:8" ht="12" customHeight="1">
      <c r="A35" s="115">
        <v>20</v>
      </c>
      <c r="B35" s="121" t="s">
        <v>158</v>
      </c>
      <c r="E35" s="126"/>
      <c r="F35" s="126"/>
      <c r="G35" s="126"/>
      <c r="H35" s="124" t="str">
        <f>IF(E35=F35+G35," ","ERROR")</f>
        <v xml:space="preserve"> </v>
      </c>
    </row>
    <row r="36" spans="1:8" ht="12" customHeight="1">
      <c r="A36" s="115">
        <v>21</v>
      </c>
      <c r="B36" s="121" t="s">
        <v>156</v>
      </c>
      <c r="E36" s="126"/>
      <c r="F36" s="126"/>
      <c r="G36" s="126"/>
      <c r="H36" s="124" t="str">
        <f>IF(E36=F36+G36," ","ERROR")</f>
        <v xml:space="preserve"> </v>
      </c>
    </row>
    <row r="37" spans="1:8" ht="12" customHeight="1">
      <c r="A37" s="115">
        <v>22</v>
      </c>
      <c r="B37" s="121" t="s">
        <v>161</v>
      </c>
      <c r="E37" s="129">
        <f>E34+E35+E36</f>
        <v>0</v>
      </c>
      <c r="F37" s="129">
        <f>F34+F35+F36</f>
        <v>0</v>
      </c>
      <c r="G37" s="129">
        <f>G34+G35+G36</f>
        <v>0</v>
      </c>
      <c r="H37" s="124" t="str">
        <f>IF(E37=F37+G37," ","ERROR")</f>
        <v xml:space="preserve"> </v>
      </c>
    </row>
    <row r="38" spans="1:8" ht="12" customHeight="1">
      <c r="A38" s="115">
        <v>23</v>
      </c>
      <c r="B38" s="121" t="s">
        <v>106</v>
      </c>
      <c r="E38" s="130">
        <f>E21+E27+E29+E30+E31+E37</f>
        <v>0</v>
      </c>
      <c r="F38" s="130">
        <f>F21+F27+F29+F30+F31+F37</f>
        <v>0</v>
      </c>
      <c r="G38" s="130">
        <f>G21+G27+G29+G30+G31+G37</f>
        <v>0</v>
      </c>
      <c r="H38" s="124" t="str">
        <f>IF(E38=F38+G38," ","ERROR")</f>
        <v xml:space="preserve"> </v>
      </c>
    </row>
    <row r="39" spans="1:8" ht="12" customHeight="1">
      <c r="E39" s="128"/>
      <c r="F39" s="128"/>
      <c r="G39" s="128"/>
      <c r="H39" s="124"/>
    </row>
    <row r="40" spans="1:8" ht="12" customHeight="1">
      <c r="A40" s="115">
        <v>24</v>
      </c>
      <c r="B40" s="121" t="s">
        <v>162</v>
      </c>
      <c r="E40" s="128">
        <f>E13-E38</f>
        <v>0</v>
      </c>
      <c r="F40" s="128">
        <f>F13-F38</f>
        <v>0</v>
      </c>
      <c r="G40" s="128">
        <f>G13-G38</f>
        <v>0</v>
      </c>
      <c r="H40" s="124" t="str">
        <f>IF(E40=F40+G40," ","ERROR")</f>
        <v xml:space="preserve"> </v>
      </c>
    </row>
    <row r="41" spans="1:8" ht="12" customHeight="1">
      <c r="B41" s="121"/>
      <c r="E41" s="128"/>
      <c r="F41" s="128"/>
      <c r="G41" s="128"/>
      <c r="H41" s="124"/>
    </row>
    <row r="42" spans="1:8" ht="12" customHeight="1">
      <c r="B42" s="121" t="s">
        <v>163</v>
      </c>
      <c r="E42" s="128"/>
      <c r="F42" s="128"/>
      <c r="G42" s="128"/>
      <c r="H42" s="124"/>
    </row>
    <row r="43" spans="1:8" ht="12" customHeight="1">
      <c r="A43" s="115">
        <v>25</v>
      </c>
      <c r="B43" s="121" t="s">
        <v>164</v>
      </c>
      <c r="D43" s="131">
        <v>0.35</v>
      </c>
      <c r="E43" s="126">
        <f>F43+G43</f>
        <v>0</v>
      </c>
      <c r="F43" s="126">
        <f>ROUND(F40*D43,0)</f>
        <v>0</v>
      </c>
      <c r="G43" s="126">
        <f>ROUND(G40*0.34,0)</f>
        <v>0</v>
      </c>
      <c r="H43" s="124" t="str">
        <f>IF(E43=F43+G43," ","ERROR")</f>
        <v xml:space="preserve"> </v>
      </c>
    </row>
    <row r="44" spans="1:8" ht="12" customHeight="1">
      <c r="A44" s="115">
        <v>26</v>
      </c>
      <c r="B44" s="121" t="s">
        <v>165</v>
      </c>
      <c r="E44" s="126"/>
      <c r="F44" s="126"/>
      <c r="G44" s="126"/>
      <c r="H44" s="124" t="str">
        <f>IF(E44=F44+G44," ","ERROR")</f>
        <v xml:space="preserve"> </v>
      </c>
    </row>
    <row r="45" spans="1:8" ht="12" customHeight="1">
      <c r="A45"/>
      <c r="B45"/>
      <c r="C45"/>
      <c r="D45"/>
      <c r="E45" s="913"/>
      <c r="F45" s="913"/>
      <c r="G45" s="913"/>
      <c r="H45" s="124" t="str">
        <f>IF(E45=F45+G45," ","ERROR")</f>
        <v xml:space="preserve"> </v>
      </c>
    </row>
    <row r="46" spans="1:8" ht="12" customHeight="1">
      <c r="A46" s="259"/>
      <c r="B46" s="262"/>
      <c r="C46" s="256"/>
      <c r="D46" s="256"/>
      <c r="E46" s="269"/>
      <c r="F46" s="269"/>
      <c r="G46" s="269"/>
      <c r="H46" s="124"/>
    </row>
    <row r="47" spans="1:8" s="124" customFormat="1" ht="12" customHeight="1">
      <c r="A47" s="263">
        <v>27</v>
      </c>
      <c r="B47" s="264" t="s">
        <v>113</v>
      </c>
      <c r="C47" s="265"/>
      <c r="D47" s="265"/>
      <c r="E47" s="273">
        <f>E40-SUM(E43:E44)</f>
        <v>0</v>
      </c>
      <c r="F47" s="273">
        <f>F40-SUM(F43:F44)</f>
        <v>0</v>
      </c>
      <c r="G47" s="273">
        <f>G40-SUM(G43:G44)</f>
        <v>0</v>
      </c>
      <c r="H47" s="124" t="str">
        <f>IF(E47=F47+G47," ","ERROR")</f>
        <v xml:space="preserve"> </v>
      </c>
    </row>
    <row r="48" spans="1:8" ht="12" customHeight="1">
      <c r="A48" s="259"/>
      <c r="H48" s="124"/>
    </row>
    <row r="49" spans="1:8" ht="12" customHeight="1">
      <c r="A49" s="263">
        <v>28</v>
      </c>
      <c r="B49" s="121" t="s">
        <v>114</v>
      </c>
      <c r="H49" s="124"/>
    </row>
    <row r="50" spans="1:8" ht="12" customHeight="1">
      <c r="A50" s="259">
        <v>29</v>
      </c>
      <c r="B50" s="121" t="s">
        <v>115</v>
      </c>
      <c r="H50" s="124"/>
    </row>
    <row r="51" spans="1:8" s="124" customFormat="1" ht="12" customHeight="1">
      <c r="A51" s="259">
        <v>30</v>
      </c>
      <c r="B51" s="123" t="s">
        <v>167</v>
      </c>
      <c r="E51" s="125"/>
      <c r="F51" s="125"/>
      <c r="G51" s="125"/>
      <c r="H51" s="124" t="str">
        <f t="shared" ref="H51:H61" si="1">IF(E51=F51+G51," ","ERROR")</f>
        <v xml:space="preserve"> </v>
      </c>
    </row>
    <row r="52" spans="1:8" ht="12" customHeight="1">
      <c r="A52" s="259">
        <v>31</v>
      </c>
      <c r="B52" s="121" t="s">
        <v>168</v>
      </c>
      <c r="E52" s="126"/>
      <c r="F52" s="126"/>
      <c r="G52" s="126"/>
      <c r="H52" s="124" t="str">
        <f t="shared" si="1"/>
        <v xml:space="preserve"> </v>
      </c>
    </row>
    <row r="53" spans="1:8" ht="12" customHeight="1">
      <c r="A53" s="259">
        <v>32</v>
      </c>
      <c r="B53" s="121" t="s">
        <v>169</v>
      </c>
      <c r="E53" s="126"/>
      <c r="F53" s="126"/>
      <c r="G53" s="126"/>
      <c r="H53" s="124" t="str">
        <f t="shared" si="1"/>
        <v xml:space="preserve"> </v>
      </c>
    </row>
    <row r="54" spans="1:8" ht="12" customHeight="1">
      <c r="A54" s="259">
        <v>33</v>
      </c>
      <c r="B54" s="121" t="s">
        <v>170</v>
      </c>
      <c r="E54" s="126"/>
      <c r="F54" s="126"/>
      <c r="G54" s="126"/>
      <c r="H54" s="124" t="str">
        <f t="shared" si="1"/>
        <v xml:space="preserve"> </v>
      </c>
    </row>
    <row r="55" spans="1:8" ht="12" customHeight="1">
      <c r="A55" s="259">
        <v>34</v>
      </c>
      <c r="B55" s="121" t="s">
        <v>171</v>
      </c>
      <c r="E55" s="132"/>
      <c r="F55" s="132"/>
      <c r="G55" s="132"/>
      <c r="H55" s="124" t="str">
        <f t="shared" si="1"/>
        <v xml:space="preserve"> </v>
      </c>
    </row>
    <row r="56" spans="1:8" ht="12" customHeight="1">
      <c r="A56" s="259">
        <v>35</v>
      </c>
      <c r="B56" s="121" t="s">
        <v>172</v>
      </c>
      <c r="E56" s="128">
        <f>E51+E52+E53+E54+E55</f>
        <v>0</v>
      </c>
      <c r="F56" s="128">
        <f>F51+F52+F53+F54+F55</f>
        <v>0</v>
      </c>
      <c r="G56" s="128">
        <f>G51+G52+G53+G54+G55</f>
        <v>0</v>
      </c>
      <c r="H56" s="124" t="str">
        <f t="shared" si="1"/>
        <v xml:space="preserve"> </v>
      </c>
    </row>
    <row r="57" spans="1:8" ht="12" customHeight="1">
      <c r="A57" s="259">
        <v>36</v>
      </c>
      <c r="B57" s="121" t="s">
        <v>121</v>
      </c>
      <c r="E57" s="126"/>
      <c r="F57" s="126"/>
      <c r="G57" s="126"/>
      <c r="H57" s="124" t="str">
        <f t="shared" si="1"/>
        <v xml:space="preserve"> </v>
      </c>
    </row>
    <row r="58" spans="1:8" ht="12" customHeight="1">
      <c r="A58" s="259">
        <v>37</v>
      </c>
      <c r="B58" s="121" t="s">
        <v>122</v>
      </c>
      <c r="E58" s="132"/>
      <c r="F58" s="132"/>
      <c r="G58" s="132"/>
      <c r="H58" s="124" t="str">
        <f t="shared" si="1"/>
        <v xml:space="preserve"> </v>
      </c>
    </row>
    <row r="59" spans="1:8" ht="12" customHeight="1">
      <c r="A59" s="259">
        <v>38</v>
      </c>
      <c r="B59" s="121" t="s">
        <v>173</v>
      </c>
      <c r="E59" s="128">
        <f>E57+E58</f>
        <v>0</v>
      </c>
      <c r="F59" s="128">
        <f>F57+F58</f>
        <v>0</v>
      </c>
      <c r="G59" s="128">
        <f>G57+G58</f>
        <v>0</v>
      </c>
      <c r="H59" s="124" t="str">
        <f t="shared" si="1"/>
        <v xml:space="preserve"> </v>
      </c>
    </row>
    <row r="60" spans="1:8">
      <c r="A60" s="259"/>
      <c r="B60" s="121" t="s">
        <v>124</v>
      </c>
      <c r="E60" s="126">
        <f>SUM(F60:G60)</f>
        <v>-194</v>
      </c>
      <c r="F60" s="126">
        <v>-194</v>
      </c>
      <c r="G60" s="126">
        <v>0</v>
      </c>
      <c r="H60" s="124" t="str">
        <f t="shared" si="1"/>
        <v xml:space="preserve"> </v>
      </c>
    </row>
    <row r="61" spans="1:8">
      <c r="A61" s="263">
        <v>39</v>
      </c>
      <c r="B61" s="121" t="s">
        <v>125</v>
      </c>
      <c r="E61" s="132">
        <f>SUM(F61:G61)</f>
        <v>68</v>
      </c>
      <c r="F61" s="132">
        <v>68</v>
      </c>
      <c r="G61" s="132">
        <v>0</v>
      </c>
      <c r="H61" s="124" t="str">
        <f t="shared" si="1"/>
        <v xml:space="preserve"> </v>
      </c>
    </row>
    <row r="62" spans="1:8" ht="9" customHeight="1">
      <c r="H62" s="124"/>
    </row>
    <row r="63" spans="1:8" s="124" customFormat="1" ht="12.75" thickBot="1">
      <c r="A63" s="122">
        <v>41</v>
      </c>
      <c r="B63" s="123" t="s">
        <v>126</v>
      </c>
      <c r="E63" s="133">
        <f>E56-E59+E60+E61</f>
        <v>-126</v>
      </c>
      <c r="F63" s="133">
        <f>F56-F59+F60+F61</f>
        <v>-126</v>
      </c>
      <c r="G63" s="133">
        <f>G56-G59+G60+G61</f>
        <v>0</v>
      </c>
      <c r="H63" s="124" t="str">
        <f>IF(E63=F63+G63," ","ERROR")</f>
        <v xml:space="preserve"> </v>
      </c>
    </row>
    <row r="64" spans="1:8" ht="12.75" thickTop="1"/>
    <row r="65" spans="1:8">
      <c r="A65" s="113" t="str">
        <f>Inputs!$D$6</f>
        <v>AVISTA UTILITIES</v>
      </c>
      <c r="B65" s="113"/>
      <c r="C65" s="113"/>
      <c r="D65" s="134"/>
      <c r="E65" s="135"/>
      <c r="H65" s="135"/>
    </row>
    <row r="66" spans="1:8">
      <c r="A66" s="113" t="s">
        <v>225</v>
      </c>
      <c r="B66" s="113"/>
      <c r="C66" s="113"/>
      <c r="D66" s="134"/>
      <c r="E66" s="135"/>
      <c r="H66" s="135"/>
    </row>
    <row r="67" spans="1:8">
      <c r="A67" s="113" t="str">
        <f>A3</f>
        <v>TWELVE MONTHS ENDED SEPTEMBER 30, 2008</v>
      </c>
      <c r="B67" s="113"/>
      <c r="C67" s="113"/>
      <c r="D67" s="134"/>
      <c r="E67" s="135"/>
      <c r="H67" s="135"/>
    </row>
    <row r="68" spans="1:8">
      <c r="A68" s="113" t="s">
        <v>226</v>
      </c>
      <c r="B68" s="113"/>
      <c r="C68" s="113"/>
      <c r="D68" s="134"/>
      <c r="E68" s="135"/>
      <c r="H68" s="135"/>
    </row>
    <row r="69" spans="1:8">
      <c r="B69" s="134"/>
      <c r="C69" s="134"/>
      <c r="D69" s="134"/>
      <c r="E69" s="136"/>
      <c r="H69" s="137"/>
    </row>
    <row r="70" spans="1:8">
      <c r="B70" s="134"/>
      <c r="C70" s="134"/>
      <c r="D70" s="134"/>
      <c r="E70" s="135"/>
      <c r="H70" s="135"/>
    </row>
    <row r="71" spans="1:8">
      <c r="B71" s="138" t="s">
        <v>134</v>
      </c>
      <c r="C71" s="139"/>
      <c r="D71" s="134"/>
      <c r="E71" s="135"/>
      <c r="H71" s="135"/>
    </row>
    <row r="72" spans="1:8">
      <c r="B72" s="121" t="s">
        <v>85</v>
      </c>
      <c r="C72" s="134"/>
      <c r="D72" s="134"/>
      <c r="E72" s="134"/>
      <c r="H72" s="134"/>
    </row>
    <row r="73" spans="1:8">
      <c r="B73" s="123" t="s">
        <v>86</v>
      </c>
      <c r="C73" s="134"/>
      <c r="D73" s="134"/>
      <c r="E73" s="134"/>
      <c r="H73" s="134"/>
    </row>
    <row r="74" spans="1:8">
      <c r="B74" s="121" t="s">
        <v>87</v>
      </c>
      <c r="C74" s="134"/>
      <c r="D74" s="134"/>
      <c r="E74" s="134"/>
      <c r="H74" s="134"/>
    </row>
    <row r="75" spans="1:8">
      <c r="B75" s="121" t="s">
        <v>150</v>
      </c>
      <c r="C75" s="134"/>
      <c r="D75" s="134"/>
      <c r="E75" s="134"/>
      <c r="H75" s="134"/>
    </row>
    <row r="76" spans="1:8">
      <c r="B76" s="121" t="s">
        <v>151</v>
      </c>
      <c r="C76" s="134"/>
      <c r="D76" s="134"/>
      <c r="E76" s="134"/>
      <c r="H76" s="134"/>
    </row>
    <row r="77" spans="1:8">
      <c r="B77" s="121" t="s">
        <v>90</v>
      </c>
      <c r="C77" s="134"/>
      <c r="D77" s="134"/>
      <c r="E77" s="134"/>
      <c r="H77" s="134"/>
    </row>
    <row r="78" spans="1:8">
      <c r="B78" s="121" t="s">
        <v>152</v>
      </c>
      <c r="C78" s="134"/>
      <c r="D78" s="134"/>
      <c r="E78" s="134"/>
      <c r="H78" s="134"/>
    </row>
    <row r="79" spans="1:8">
      <c r="C79" s="134"/>
      <c r="D79" s="134"/>
      <c r="E79" s="134"/>
      <c r="H79" s="134"/>
    </row>
    <row r="80" spans="1:8">
      <c r="B80" s="121" t="s">
        <v>92</v>
      </c>
      <c r="C80" s="134"/>
      <c r="D80" s="134"/>
      <c r="E80" s="134"/>
      <c r="H80" s="134"/>
    </row>
    <row r="81" spans="1:8">
      <c r="B81" s="121" t="s">
        <v>93</v>
      </c>
      <c r="C81" s="134"/>
      <c r="D81" s="134"/>
      <c r="E81" s="134"/>
      <c r="H81" s="134"/>
    </row>
    <row r="82" spans="1:8">
      <c r="B82" s="121" t="s">
        <v>153</v>
      </c>
      <c r="C82" s="134"/>
      <c r="D82" s="134"/>
      <c r="E82" s="134"/>
      <c r="H82" s="134"/>
    </row>
    <row r="83" spans="1:8">
      <c r="B83" s="121" t="s">
        <v>154</v>
      </c>
      <c r="C83" s="134"/>
      <c r="D83" s="134"/>
      <c r="E83" s="134"/>
      <c r="H83" s="134"/>
    </row>
    <row r="84" spans="1:8">
      <c r="B84" s="121" t="s">
        <v>155</v>
      </c>
      <c r="C84" s="134"/>
      <c r="D84" s="134"/>
      <c r="E84" s="134"/>
      <c r="H84" s="134"/>
    </row>
    <row r="85" spans="1:8">
      <c r="B85" s="121" t="s">
        <v>156</v>
      </c>
      <c r="C85" s="134"/>
      <c r="D85" s="134"/>
      <c r="E85" s="134"/>
      <c r="H85" s="134"/>
    </row>
    <row r="86" spans="1:8">
      <c r="B86" s="121" t="s">
        <v>157</v>
      </c>
      <c r="C86" s="134"/>
      <c r="D86" s="134"/>
      <c r="E86" s="134"/>
      <c r="H86" s="134"/>
    </row>
    <row r="87" spans="1:8">
      <c r="C87" s="134"/>
      <c r="D87" s="134"/>
      <c r="E87" s="134"/>
      <c r="H87" s="134"/>
    </row>
    <row r="88" spans="1:8">
      <c r="B88" s="121" t="s">
        <v>98</v>
      </c>
      <c r="C88" s="134"/>
      <c r="D88" s="134"/>
      <c r="E88" s="134"/>
      <c r="H88" s="134"/>
    </row>
    <row r="89" spans="1:8">
      <c r="B89" s="121" t="s">
        <v>153</v>
      </c>
      <c r="C89" s="134"/>
      <c r="D89" s="134"/>
      <c r="E89" s="134"/>
      <c r="H89" s="134"/>
    </row>
    <row r="90" spans="1:8">
      <c r="B90" s="121" t="s">
        <v>158</v>
      </c>
      <c r="C90" s="134"/>
      <c r="D90" s="134"/>
      <c r="E90" s="134"/>
      <c r="H90" s="134"/>
    </row>
    <row r="91" spans="1:8">
      <c r="A91" s="114"/>
      <c r="B91" s="121" t="s">
        <v>156</v>
      </c>
      <c r="C91" s="134"/>
      <c r="D91" s="134"/>
      <c r="E91" s="134"/>
      <c r="H91" s="134"/>
    </row>
    <row r="92" spans="1:8">
      <c r="A92" s="114"/>
      <c r="B92" s="121" t="s">
        <v>159</v>
      </c>
      <c r="C92" s="134"/>
      <c r="D92" s="134"/>
      <c r="E92" s="134"/>
      <c r="H92" s="134"/>
    </row>
    <row r="93" spans="1:8">
      <c r="A93" s="114"/>
      <c r="C93" s="134"/>
      <c r="D93" s="134"/>
      <c r="E93" s="134"/>
      <c r="H93" s="134"/>
    </row>
    <row r="94" spans="1:8">
      <c r="A94" s="114"/>
      <c r="B94" s="121" t="s">
        <v>101</v>
      </c>
      <c r="C94" s="134"/>
      <c r="D94" s="134"/>
      <c r="E94" s="134"/>
      <c r="H94" s="134"/>
    </row>
    <row r="95" spans="1:8">
      <c r="A95" s="114"/>
      <c r="B95" s="121" t="s">
        <v>102</v>
      </c>
      <c r="C95" s="134"/>
      <c r="D95" s="134"/>
      <c r="E95" s="134"/>
      <c r="H95" s="134"/>
    </row>
    <row r="96" spans="1:8">
      <c r="A96" s="114"/>
      <c r="B96" s="121" t="s">
        <v>160</v>
      </c>
      <c r="C96" s="134"/>
      <c r="D96" s="134"/>
      <c r="E96" s="134"/>
      <c r="H96" s="134"/>
    </row>
    <row r="97" spans="1:8">
      <c r="A97" s="114"/>
      <c r="C97" s="134"/>
      <c r="D97" s="134"/>
      <c r="E97" s="134"/>
      <c r="H97" s="134"/>
    </row>
    <row r="98" spans="1:8">
      <c r="A98" s="114"/>
      <c r="B98" s="121" t="s">
        <v>104</v>
      </c>
      <c r="C98" s="134"/>
      <c r="D98" s="134"/>
      <c r="E98" s="134"/>
      <c r="H98" s="134"/>
    </row>
    <row r="99" spans="1:8">
      <c r="A99" s="114"/>
      <c r="B99" s="121" t="s">
        <v>153</v>
      </c>
      <c r="C99" s="134"/>
      <c r="D99" s="134"/>
      <c r="E99" s="134"/>
      <c r="H99" s="134"/>
    </row>
    <row r="100" spans="1:8">
      <c r="A100" s="114"/>
      <c r="B100" s="121" t="s">
        <v>158</v>
      </c>
      <c r="C100" s="134"/>
      <c r="D100" s="134"/>
      <c r="E100" s="134"/>
      <c r="H100" s="134"/>
    </row>
    <row r="101" spans="1:8">
      <c r="A101" s="114"/>
      <c r="B101" s="121" t="s">
        <v>156</v>
      </c>
      <c r="C101" s="134"/>
      <c r="D101" s="134"/>
      <c r="E101" s="134"/>
      <c r="H101" s="134"/>
    </row>
    <row r="102" spans="1:8">
      <c r="A102" s="114"/>
      <c r="B102" s="121" t="s">
        <v>161</v>
      </c>
      <c r="C102" s="134"/>
      <c r="D102" s="134"/>
      <c r="E102" s="134"/>
      <c r="H102" s="134"/>
    </row>
    <row r="103" spans="1:8">
      <c r="A103" s="114"/>
      <c r="B103" s="134"/>
      <c r="C103" s="134"/>
      <c r="D103" s="134"/>
      <c r="E103" s="134"/>
      <c r="H103" s="134"/>
    </row>
    <row r="104" spans="1:8">
      <c r="A104" s="114"/>
      <c r="B104" s="134" t="s">
        <v>106</v>
      </c>
      <c r="C104" s="134"/>
      <c r="D104" s="134"/>
      <c r="E104" s="134"/>
      <c r="H104" s="134"/>
    </row>
    <row r="105" spans="1:8">
      <c r="A105" s="114"/>
      <c r="B105" s="134"/>
      <c r="C105" s="134"/>
      <c r="D105" s="134"/>
      <c r="E105" s="134"/>
      <c r="H105" s="134"/>
    </row>
    <row r="106" spans="1:8">
      <c r="A106" s="114"/>
      <c r="B106" s="134" t="s">
        <v>227</v>
      </c>
      <c r="C106" s="134"/>
      <c r="D106" s="134"/>
      <c r="E106" s="134"/>
      <c r="H106" s="134"/>
    </row>
    <row r="107" spans="1:8">
      <c r="A107" s="114"/>
      <c r="B107" s="134"/>
      <c r="C107" s="134"/>
      <c r="D107" s="134"/>
      <c r="E107" s="134"/>
      <c r="H107" s="134"/>
    </row>
    <row r="108" spans="1:8">
      <c r="A108" s="114"/>
      <c r="B108" s="134" t="s">
        <v>228</v>
      </c>
      <c r="C108" s="134"/>
      <c r="D108" s="134"/>
      <c r="E108" s="135"/>
      <c r="H108" s="134"/>
    </row>
    <row r="109" spans="1:8">
      <c r="A109" s="114"/>
      <c r="B109" s="140" t="s">
        <v>229</v>
      </c>
      <c r="C109" s="141">
        <f>Inputs!$D$4</f>
        <v>1.2215999999999999E-2</v>
      </c>
      <c r="D109" s="134"/>
      <c r="E109" s="135"/>
      <c r="H109" s="134"/>
    </row>
    <row r="110" spans="1:8">
      <c r="A110" s="114"/>
      <c r="B110" s="134"/>
      <c r="C110" s="134"/>
      <c r="D110" s="134"/>
      <c r="E110" s="135"/>
      <c r="H110" s="134"/>
    </row>
  </sheetData>
  <customSheetViews>
    <customSheetView guid="{A15D1962-B049-11D2-8670-0000832CEEE8}" showPageBreaks="1" showRuler="0" topLeftCell="A53">
      <selection activeCell="A67" sqref="A67"/>
      <colBreaks count="2" manualBreakCount="2">
        <brk id="8" max="1048575" man="1"/>
        <brk id="16" max="1048575" man="1"/>
      </colBreaks>
      <pageMargins left="1" right="0.75" top="0.5" bottom="0.5" header="0.5" footer="0.5"/>
      <pageSetup scale="83" orientation="portrait" horizontalDpi="300" verticalDpi="300" r:id="rId1"/>
      <headerFooter alignWithMargins="0"/>
    </customSheetView>
    <customSheetView guid="{6E1B8C45-B07F-11D2-B0DC-0000832CDFF0}" showPageBreaks="1" printArea="1" showRuler="0">
      <selection activeCell="G36" sqref="G36"/>
      <colBreaks count="1" manualBreakCount="1">
        <brk id="8" max="1048575" man="1"/>
      </colBreaks>
      <pageMargins left="1" right="0.75" top="0.5" bottom="0.5" header="0.5" footer="0.5"/>
      <pageSetup scale="90" orientation="portrait" horizontalDpi="300" verticalDpi="300" r:id="rId2"/>
      <headerFooter alignWithMargins="0"/>
    </customSheetView>
  </customSheetViews>
  <phoneticPr fontId="0" type="noConversion"/>
  <pageMargins left="1" right="0.75" top="0.5" bottom="0.5" header="0.5" footer="0.5"/>
  <pageSetup scale="90" orientation="portrait" horizontalDpi="300" verticalDpi="300" r:id="rId3"/>
  <headerFooter alignWithMargins="0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H110"/>
  <sheetViews>
    <sheetView zoomScale="75" zoomScaleNormal="75" workbookViewId="0">
      <selection activeCell="E8" sqref="E8"/>
    </sheetView>
  </sheetViews>
  <sheetFormatPr defaultColWidth="12.42578125" defaultRowHeight="12"/>
  <cols>
    <col min="1" max="1" width="5.5703125" style="293" customWidth="1"/>
    <col min="2" max="2" width="26.140625" style="292" customWidth="1"/>
    <col min="3" max="3" width="12.42578125" style="292" customWidth="1"/>
    <col min="4" max="4" width="6.7109375" style="292" customWidth="1"/>
    <col min="5" max="16384" width="12.42578125" style="292"/>
  </cols>
  <sheetData>
    <row r="1" spans="1:8">
      <c r="A1" s="290" t="str">
        <f>Inputs!$D$6</f>
        <v>AVISTA UTILITIES</v>
      </c>
      <c r="B1" s="291"/>
      <c r="C1" s="290"/>
    </row>
    <row r="2" spans="1:8">
      <c r="A2" s="290" t="s">
        <v>142</v>
      </c>
      <c r="B2" s="291"/>
      <c r="C2" s="290"/>
      <c r="E2" s="290"/>
      <c r="F2" s="293" t="s">
        <v>230</v>
      </c>
      <c r="G2" s="290"/>
    </row>
    <row r="3" spans="1:8">
      <c r="A3" s="291" t="str">
        <f>WAElec09_08!$A$4</f>
        <v>TWELVE MONTHS ENDED SEPTEMBER 30, 2008</v>
      </c>
      <c r="B3" s="291"/>
      <c r="C3" s="290"/>
      <c r="E3" s="290"/>
      <c r="F3" s="293" t="s">
        <v>231</v>
      </c>
      <c r="G3" s="290"/>
    </row>
    <row r="4" spans="1:8">
      <c r="A4" s="290" t="s">
        <v>1</v>
      </c>
      <c r="B4" s="291"/>
      <c r="C4" s="290"/>
      <c r="E4" s="294"/>
      <c r="F4" s="295" t="s">
        <v>145</v>
      </c>
      <c r="G4" s="296"/>
    </row>
    <row r="5" spans="1:8">
      <c r="A5" s="293" t="s">
        <v>14</v>
      </c>
    </row>
    <row r="6" spans="1:8" s="293" customFormat="1">
      <c r="A6" s="293" t="s">
        <v>146</v>
      </c>
      <c r="B6" s="297" t="s">
        <v>36</v>
      </c>
      <c r="C6" s="297"/>
      <c r="E6" s="297" t="s">
        <v>147</v>
      </c>
      <c r="F6" s="297" t="s">
        <v>148</v>
      </c>
      <c r="G6" s="297" t="s">
        <v>128</v>
      </c>
      <c r="H6" s="298" t="s">
        <v>149</v>
      </c>
    </row>
    <row r="7" spans="1:8">
      <c r="B7" s="299" t="s">
        <v>85</v>
      </c>
    </row>
    <row r="8" spans="1:8" s="302" customFormat="1">
      <c r="A8" s="300">
        <v>1</v>
      </c>
      <c r="B8" s="301" t="s">
        <v>86</v>
      </c>
      <c r="E8" s="303">
        <f>F8+G8</f>
        <v>0</v>
      </c>
      <c r="F8" s="303"/>
      <c r="G8" s="303"/>
      <c r="H8" s="302" t="str">
        <f t="shared" ref="H8:H13" si="0">IF(E8=F8+G8," ","ERROR")</f>
        <v xml:space="preserve"> </v>
      </c>
    </row>
    <row r="9" spans="1:8">
      <c r="A9" s="293">
        <v>2</v>
      </c>
      <c r="B9" s="299" t="s">
        <v>87</v>
      </c>
      <c r="E9" s="304"/>
      <c r="F9" s="304"/>
      <c r="G9" s="304"/>
      <c r="H9" s="302" t="str">
        <f t="shared" si="0"/>
        <v xml:space="preserve"> </v>
      </c>
    </row>
    <row r="10" spans="1:8">
      <c r="A10" s="293">
        <v>3</v>
      </c>
      <c r="B10" s="299" t="s">
        <v>150</v>
      </c>
      <c r="E10" s="304"/>
      <c r="F10" s="304"/>
      <c r="G10" s="304"/>
      <c r="H10" s="302" t="str">
        <f t="shared" si="0"/>
        <v xml:space="preserve"> </v>
      </c>
    </row>
    <row r="11" spans="1:8">
      <c r="A11" s="293">
        <v>4</v>
      </c>
      <c r="B11" s="299" t="s">
        <v>151</v>
      </c>
      <c r="E11" s="305">
        <f>E8+E9+E10</f>
        <v>0</v>
      </c>
      <c r="F11" s="305">
        <f>F8+F9+F10</f>
        <v>0</v>
      </c>
      <c r="G11" s="305">
        <f>G8+G9+G10</f>
        <v>0</v>
      </c>
      <c r="H11" s="302" t="str">
        <f t="shared" si="0"/>
        <v xml:space="preserve"> </v>
      </c>
    </row>
    <row r="12" spans="1:8">
      <c r="A12" s="293">
        <v>5</v>
      </c>
      <c r="B12" s="299" t="s">
        <v>90</v>
      </c>
      <c r="E12" s="304"/>
      <c r="F12" s="304"/>
      <c r="G12" s="304"/>
      <c r="H12" s="302" t="str">
        <f t="shared" si="0"/>
        <v xml:space="preserve"> </v>
      </c>
    </row>
    <row r="13" spans="1:8">
      <c r="A13" s="293">
        <v>6</v>
      </c>
      <c r="B13" s="299" t="s">
        <v>152</v>
      </c>
      <c r="E13" s="305">
        <f>E11+E12</f>
        <v>0</v>
      </c>
      <c r="F13" s="305">
        <f>F11+F12</f>
        <v>0</v>
      </c>
      <c r="G13" s="305">
        <f>G11+G12</f>
        <v>0</v>
      </c>
      <c r="H13" s="302" t="str">
        <f t="shared" si="0"/>
        <v xml:space="preserve"> </v>
      </c>
    </row>
    <row r="14" spans="1:8">
      <c r="E14" s="306"/>
      <c r="F14" s="306"/>
      <c r="G14" s="306"/>
      <c r="H14" s="302"/>
    </row>
    <row r="15" spans="1:8">
      <c r="B15" s="299" t="s">
        <v>92</v>
      </c>
      <c r="E15" s="306"/>
      <c r="F15" s="306"/>
      <c r="G15" s="306"/>
      <c r="H15" s="302"/>
    </row>
    <row r="16" spans="1:8">
      <c r="B16" s="299" t="s">
        <v>93</v>
      </c>
      <c r="E16" s="306"/>
      <c r="F16" s="306"/>
      <c r="G16" s="306"/>
      <c r="H16" s="302"/>
    </row>
    <row r="17" spans="1:8">
      <c r="A17" s="293">
        <v>7</v>
      </c>
      <c r="B17" s="299" t="s">
        <v>153</v>
      </c>
      <c r="E17" s="304"/>
      <c r="F17" s="304"/>
      <c r="G17" s="304"/>
      <c r="H17" s="302" t="str">
        <f>IF(E17=F17+G17," ","ERROR")</f>
        <v xml:space="preserve"> </v>
      </c>
    </row>
    <row r="18" spans="1:8">
      <c r="A18" s="293">
        <v>8</v>
      </c>
      <c r="B18" s="299" t="s">
        <v>154</v>
      </c>
      <c r="E18" s="304"/>
      <c r="F18" s="304"/>
      <c r="G18" s="304"/>
      <c r="H18" s="302" t="str">
        <f>IF(E18=F18+G18," ","ERROR")</f>
        <v xml:space="preserve"> </v>
      </c>
    </row>
    <row r="19" spans="1:8">
      <c r="A19" s="293">
        <v>9</v>
      </c>
      <c r="B19" s="299" t="s">
        <v>155</v>
      </c>
      <c r="E19" s="304">
        <f>SUM(F19:G19)</f>
        <v>-202</v>
      </c>
      <c r="F19" s="304">
        <v>-202</v>
      </c>
      <c r="G19" s="304"/>
      <c r="H19" s="302" t="str">
        <f>IF(E19=F19+G19," ","ERROR")</f>
        <v xml:space="preserve"> </v>
      </c>
    </row>
    <row r="20" spans="1:8">
      <c r="A20" s="293">
        <v>10</v>
      </c>
      <c r="B20" s="299" t="s">
        <v>156</v>
      </c>
      <c r="E20" s="304"/>
      <c r="F20" s="304"/>
      <c r="G20" s="304"/>
      <c r="H20" s="302" t="str">
        <f>IF(E20=F20+G20," ","ERROR")</f>
        <v xml:space="preserve"> </v>
      </c>
    </row>
    <row r="21" spans="1:8">
      <c r="A21" s="293">
        <v>11</v>
      </c>
      <c r="B21" s="299" t="s">
        <v>157</v>
      </c>
      <c r="E21" s="305">
        <f>E17+E18+E19+E20</f>
        <v>-202</v>
      </c>
      <c r="F21" s="305">
        <f>F17+F18+F19+F20</f>
        <v>-202</v>
      </c>
      <c r="G21" s="305">
        <f>G17+G18+G19+G20</f>
        <v>0</v>
      </c>
      <c r="H21" s="302" t="str">
        <f>IF(E21=F21+G21," ","ERROR")</f>
        <v xml:space="preserve"> </v>
      </c>
    </row>
    <row r="22" spans="1:8">
      <c r="E22" s="306"/>
      <c r="F22" s="306"/>
      <c r="G22" s="306"/>
      <c r="H22" s="302"/>
    </row>
    <row r="23" spans="1:8">
      <c r="B23" s="299" t="s">
        <v>98</v>
      </c>
      <c r="E23" s="306"/>
      <c r="F23" s="306"/>
      <c r="G23" s="306"/>
      <c r="H23" s="302"/>
    </row>
    <row r="24" spans="1:8">
      <c r="A24" s="293">
        <v>12</v>
      </c>
      <c r="B24" s="299" t="s">
        <v>153</v>
      </c>
      <c r="E24" s="304"/>
      <c r="F24" s="304"/>
      <c r="G24" s="304"/>
      <c r="H24" s="302" t="str">
        <f>IF(E24=F24+G24," ","ERROR")</f>
        <v xml:space="preserve"> </v>
      </c>
    </row>
    <row r="25" spans="1:8">
      <c r="A25" s="293">
        <v>13</v>
      </c>
      <c r="B25" s="299" t="s">
        <v>158</v>
      </c>
      <c r="E25" s="304"/>
      <c r="F25" s="304"/>
      <c r="G25" s="304"/>
      <c r="H25" s="302" t="str">
        <f>IF(E25=F25+G25," ","ERROR")</f>
        <v xml:space="preserve"> </v>
      </c>
    </row>
    <row r="26" spans="1:8">
      <c r="A26" s="293">
        <v>14</v>
      </c>
      <c r="B26" s="299" t="s">
        <v>156</v>
      </c>
      <c r="E26" s="304">
        <f>F26+G26</f>
        <v>0</v>
      </c>
      <c r="F26" s="304"/>
      <c r="G26" s="304"/>
      <c r="H26" s="302" t="str">
        <f>IF(E26=F26+G26," ","ERROR")</f>
        <v xml:space="preserve"> </v>
      </c>
    </row>
    <row r="27" spans="1:8">
      <c r="A27" s="293">
        <v>15</v>
      </c>
      <c r="B27" s="299" t="s">
        <v>159</v>
      </c>
      <c r="E27" s="305">
        <f>E24+E25+E26</f>
        <v>0</v>
      </c>
      <c r="F27" s="305">
        <f>F24+F25+F26</f>
        <v>0</v>
      </c>
      <c r="G27" s="305">
        <f>G24+G25+G26</f>
        <v>0</v>
      </c>
      <c r="H27" s="302" t="str">
        <f>IF(E27=F27+G27," ","ERROR")</f>
        <v xml:space="preserve"> </v>
      </c>
    </row>
    <row r="28" spans="1:8">
      <c r="E28" s="306"/>
      <c r="F28" s="306"/>
      <c r="G28" s="306"/>
      <c r="H28" s="302"/>
    </row>
    <row r="29" spans="1:8">
      <c r="A29" s="293">
        <v>16</v>
      </c>
      <c r="B29" s="299" t="s">
        <v>101</v>
      </c>
      <c r="E29" s="304"/>
      <c r="F29" s="304"/>
      <c r="G29" s="304"/>
      <c r="H29" s="302" t="str">
        <f>IF(E29=F29+G29," ","ERROR")</f>
        <v xml:space="preserve"> </v>
      </c>
    </row>
    <row r="30" spans="1:8">
      <c r="A30" s="293">
        <v>17</v>
      </c>
      <c r="B30" s="299" t="s">
        <v>102</v>
      </c>
      <c r="E30" s="304"/>
      <c r="F30" s="304"/>
      <c r="G30" s="304"/>
      <c r="H30" s="302" t="str">
        <f>IF(E30=F30+G30," ","ERROR")</f>
        <v xml:space="preserve"> </v>
      </c>
    </row>
    <row r="31" spans="1:8">
      <c r="A31" s="293">
        <v>18</v>
      </c>
      <c r="B31" s="299" t="s">
        <v>160</v>
      </c>
      <c r="E31" s="304"/>
      <c r="F31" s="304"/>
      <c r="G31" s="304"/>
      <c r="H31" s="302" t="str">
        <f>IF(E31=F31+G31," ","ERROR")</f>
        <v xml:space="preserve"> </v>
      </c>
    </row>
    <row r="32" spans="1:8">
      <c r="E32" s="306"/>
      <c r="F32" s="306"/>
      <c r="G32" s="306"/>
      <c r="H32" s="302"/>
    </row>
    <row r="33" spans="1:8">
      <c r="B33" s="299" t="s">
        <v>104</v>
      </c>
      <c r="E33" s="306"/>
      <c r="F33" s="306"/>
      <c r="G33" s="306"/>
      <c r="H33" s="302"/>
    </row>
    <row r="34" spans="1:8">
      <c r="A34" s="293">
        <v>19</v>
      </c>
      <c r="B34" s="299" t="s">
        <v>153</v>
      </c>
      <c r="E34" s="304"/>
      <c r="F34" s="304"/>
      <c r="G34" s="304"/>
      <c r="H34" s="302" t="str">
        <f>IF(E34=F34+G34," ","ERROR")</f>
        <v xml:space="preserve"> </v>
      </c>
    </row>
    <row r="35" spans="1:8">
      <c r="A35" s="293">
        <v>20</v>
      </c>
      <c r="B35" s="299" t="s">
        <v>158</v>
      </c>
      <c r="E35" s="304"/>
      <c r="F35" s="304"/>
      <c r="G35" s="304"/>
      <c r="H35" s="302" t="str">
        <f>IF(E35=F35+G35," ","ERROR")</f>
        <v xml:space="preserve"> </v>
      </c>
    </row>
    <row r="36" spans="1:8">
      <c r="A36" s="293">
        <v>21</v>
      </c>
      <c r="B36" s="299" t="s">
        <v>156</v>
      </c>
      <c r="E36" s="304"/>
      <c r="F36" s="304"/>
      <c r="G36" s="304"/>
      <c r="H36" s="302" t="str">
        <f>IF(E36=F36+G36," ","ERROR")</f>
        <v xml:space="preserve"> </v>
      </c>
    </row>
    <row r="37" spans="1:8">
      <c r="A37" s="293">
        <v>22</v>
      </c>
      <c r="B37" s="299" t="s">
        <v>161</v>
      </c>
      <c r="E37" s="307">
        <f>E34+E35+E36</f>
        <v>0</v>
      </c>
      <c r="F37" s="307">
        <f>F34+F35+F36</f>
        <v>0</v>
      </c>
      <c r="G37" s="307">
        <f>G34+G35+G36</f>
        <v>0</v>
      </c>
      <c r="H37" s="302" t="str">
        <f>IF(E37=F37+G37," ","ERROR")</f>
        <v xml:space="preserve"> </v>
      </c>
    </row>
    <row r="38" spans="1:8">
      <c r="A38" s="293">
        <v>23</v>
      </c>
      <c r="B38" s="299" t="s">
        <v>106</v>
      </c>
      <c r="E38" s="308">
        <f>E21+E27+E29+E30+E31+E37</f>
        <v>-202</v>
      </c>
      <c r="F38" s="308">
        <f>F21+F27+F29+F30+F31+F37</f>
        <v>-202</v>
      </c>
      <c r="G38" s="308">
        <f>G21+G27+G29+G30+G31+G37</f>
        <v>0</v>
      </c>
      <c r="H38" s="302" t="str">
        <f>IF(E38=F38+G38," ","ERROR")</f>
        <v xml:space="preserve"> </v>
      </c>
    </row>
    <row r="39" spans="1:8">
      <c r="E39" s="306"/>
      <c r="F39" s="306"/>
      <c r="G39" s="306"/>
      <c r="H39" s="302"/>
    </row>
    <row r="40" spans="1:8">
      <c r="A40" s="293">
        <v>24</v>
      </c>
      <c r="B40" s="299" t="s">
        <v>162</v>
      </c>
      <c r="E40" s="306">
        <f>E13-E38</f>
        <v>202</v>
      </c>
      <c r="F40" s="306">
        <f>F13-F38</f>
        <v>202</v>
      </c>
      <c r="G40" s="306">
        <f>G13-G38</f>
        <v>0</v>
      </c>
      <c r="H40" s="302" t="str">
        <f>IF(E40=F40+G40," ","ERROR")</f>
        <v xml:space="preserve"> </v>
      </c>
    </row>
    <row r="41" spans="1:8">
      <c r="B41" s="299"/>
      <c r="E41" s="306"/>
      <c r="F41" s="306"/>
      <c r="G41" s="306"/>
      <c r="H41" s="302"/>
    </row>
    <row r="42" spans="1:8">
      <c r="B42" s="299" t="s">
        <v>163</v>
      </c>
      <c r="E42" s="306"/>
      <c r="F42" s="306"/>
      <c r="G42" s="306"/>
      <c r="H42" s="302"/>
    </row>
    <row r="43" spans="1:8">
      <c r="A43" s="293">
        <v>25</v>
      </c>
      <c r="B43" s="299" t="s">
        <v>164</v>
      </c>
      <c r="D43" s="309">
        <v>0.35</v>
      </c>
      <c r="E43" s="304">
        <f>F43+G43</f>
        <v>0</v>
      </c>
      <c r="F43" s="304"/>
      <c r="G43" s="304"/>
      <c r="H43" s="302" t="str">
        <f>IF(E43=F43+G43," ","ERROR")</f>
        <v xml:space="preserve"> </v>
      </c>
    </row>
    <row r="44" spans="1:8">
      <c r="A44" s="293">
        <v>26</v>
      </c>
      <c r="B44" s="299" t="s">
        <v>165</v>
      </c>
      <c r="E44" s="304"/>
      <c r="F44" s="304"/>
      <c r="G44" s="304"/>
      <c r="H44" s="302" t="str">
        <f>IF(E44=F44+G44," ","ERROR")</f>
        <v xml:space="preserve"> </v>
      </c>
    </row>
    <row r="45" spans="1:8" ht="12.75">
      <c r="A45"/>
      <c r="B45"/>
      <c r="C45"/>
      <c r="D45"/>
      <c r="E45" s="913"/>
      <c r="F45" s="913"/>
      <c r="G45" s="913"/>
      <c r="H45" s="302" t="str">
        <f>IF(E45=F45+G45," ","ERROR")</f>
        <v xml:space="preserve"> </v>
      </c>
    </row>
    <row r="46" spans="1:8">
      <c r="A46" s="259"/>
      <c r="B46" s="262"/>
      <c r="C46" s="256"/>
      <c r="D46" s="256"/>
      <c r="E46" s="269"/>
      <c r="F46" s="269"/>
      <c r="G46" s="269"/>
      <c r="H46" s="302"/>
    </row>
    <row r="47" spans="1:8" s="302" customFormat="1">
      <c r="A47" s="263">
        <v>27</v>
      </c>
      <c r="B47" s="264" t="s">
        <v>113</v>
      </c>
      <c r="C47" s="265"/>
      <c r="D47" s="265"/>
      <c r="E47" s="273">
        <f>E40-SUM(E43:E44)</f>
        <v>202</v>
      </c>
      <c r="F47" s="273">
        <f>F40-SUM(F43:F44)</f>
        <v>202</v>
      </c>
      <c r="G47" s="273">
        <f>G40-SUM(G43:G44)</f>
        <v>0</v>
      </c>
      <c r="H47" s="302" t="str">
        <f>IF(E47=F47+G47," ","ERROR")</f>
        <v xml:space="preserve"> </v>
      </c>
    </row>
    <row r="48" spans="1:8">
      <c r="A48" s="259"/>
      <c r="H48" s="302"/>
    </row>
    <row r="49" spans="1:8">
      <c r="A49" s="259"/>
      <c r="B49" s="299" t="s">
        <v>114</v>
      </c>
      <c r="H49" s="302"/>
    </row>
    <row r="50" spans="1:8">
      <c r="A50" s="259"/>
      <c r="B50" s="299" t="s">
        <v>115</v>
      </c>
      <c r="H50" s="302"/>
    </row>
    <row r="51" spans="1:8" s="302" customFormat="1">
      <c r="A51" s="263">
        <v>28</v>
      </c>
      <c r="B51" s="301" t="s">
        <v>167</v>
      </c>
      <c r="E51" s="303"/>
      <c r="F51" s="303"/>
      <c r="G51" s="303"/>
      <c r="H51" s="302" t="str">
        <f t="shared" ref="H51:H61" si="1">IF(E51=F51+G51," ","ERROR")</f>
        <v xml:space="preserve"> </v>
      </c>
    </row>
    <row r="52" spans="1:8">
      <c r="A52" s="259">
        <v>29</v>
      </c>
      <c r="B52" s="299" t="s">
        <v>168</v>
      </c>
      <c r="E52" s="304">
        <f>SUM(F52:G52)</f>
        <v>-7452</v>
      </c>
      <c r="F52" s="304">
        <v>-7452</v>
      </c>
      <c r="G52" s="304">
        <v>0</v>
      </c>
      <c r="H52" s="302" t="str">
        <f t="shared" si="1"/>
        <v xml:space="preserve"> </v>
      </c>
    </row>
    <row r="53" spans="1:8">
      <c r="A53" s="259">
        <v>30</v>
      </c>
      <c r="B53" s="299" t="s">
        <v>169</v>
      </c>
      <c r="E53" s="304"/>
      <c r="F53" s="304"/>
      <c r="G53" s="304"/>
      <c r="H53" s="302" t="str">
        <f t="shared" si="1"/>
        <v xml:space="preserve"> </v>
      </c>
    </row>
    <row r="54" spans="1:8">
      <c r="A54" s="259">
        <v>31</v>
      </c>
      <c r="B54" s="299" t="s">
        <v>170</v>
      </c>
      <c r="E54" s="304"/>
      <c r="F54" s="304"/>
      <c r="G54" s="304"/>
      <c r="H54" s="302" t="str">
        <f t="shared" si="1"/>
        <v xml:space="preserve"> </v>
      </c>
    </row>
    <row r="55" spans="1:8">
      <c r="A55" s="259">
        <v>32</v>
      </c>
      <c r="B55" s="299" t="s">
        <v>171</v>
      </c>
      <c r="E55" s="310"/>
      <c r="F55" s="310"/>
      <c r="G55" s="310"/>
      <c r="H55" s="302" t="str">
        <f t="shared" si="1"/>
        <v xml:space="preserve"> </v>
      </c>
    </row>
    <row r="56" spans="1:8">
      <c r="A56" s="259">
        <v>33</v>
      </c>
      <c r="B56" s="299" t="s">
        <v>172</v>
      </c>
      <c r="E56" s="306">
        <f>E51+E52+E53+E54+E55</f>
        <v>-7452</v>
      </c>
      <c r="F56" s="306">
        <f>F51+F52+F53+F54+F55</f>
        <v>-7452</v>
      </c>
      <c r="G56" s="306">
        <f>G51+G52+G53+G54+G55</f>
        <v>0</v>
      </c>
      <c r="H56" s="302" t="str">
        <f t="shared" si="1"/>
        <v xml:space="preserve"> </v>
      </c>
    </row>
    <row r="57" spans="1:8">
      <c r="A57" s="259">
        <v>34</v>
      </c>
      <c r="B57" s="299" t="s">
        <v>121</v>
      </c>
      <c r="E57" s="304">
        <f>SUM(F57:G57)</f>
        <v>-5496</v>
      </c>
      <c r="F57" s="304">
        <v>-5496</v>
      </c>
      <c r="G57" s="304">
        <v>0</v>
      </c>
      <c r="H57" s="302" t="str">
        <f t="shared" si="1"/>
        <v xml:space="preserve"> </v>
      </c>
    </row>
    <row r="58" spans="1:8">
      <c r="A58" s="259">
        <v>35</v>
      </c>
      <c r="B58" s="299" t="s">
        <v>122</v>
      </c>
      <c r="E58" s="310"/>
      <c r="F58" s="310"/>
      <c r="G58" s="310"/>
      <c r="H58" s="302" t="str">
        <f t="shared" si="1"/>
        <v xml:space="preserve"> </v>
      </c>
    </row>
    <row r="59" spans="1:8">
      <c r="A59" s="259">
        <v>36</v>
      </c>
      <c r="B59" s="299" t="s">
        <v>173</v>
      </c>
      <c r="E59" s="306">
        <f>E57+E58</f>
        <v>-5496</v>
      </c>
      <c r="F59" s="306">
        <f>F57+F58</f>
        <v>-5496</v>
      </c>
      <c r="G59" s="306">
        <f>G57+G58</f>
        <v>0</v>
      </c>
      <c r="H59" s="302" t="str">
        <f t="shared" si="1"/>
        <v xml:space="preserve"> </v>
      </c>
    </row>
    <row r="60" spans="1:8">
      <c r="A60" s="259">
        <v>37</v>
      </c>
      <c r="B60" s="299" t="s">
        <v>124</v>
      </c>
      <c r="E60" s="304"/>
      <c r="F60" s="304"/>
      <c r="G60" s="304"/>
      <c r="H60" s="302" t="str">
        <f t="shared" si="1"/>
        <v xml:space="preserve"> </v>
      </c>
    </row>
    <row r="61" spans="1:8">
      <c r="A61" s="259">
        <v>38</v>
      </c>
      <c r="B61" s="299" t="s">
        <v>125</v>
      </c>
      <c r="E61" s="310"/>
      <c r="F61" s="310"/>
      <c r="G61" s="310"/>
      <c r="H61" s="302" t="str">
        <f t="shared" si="1"/>
        <v xml:space="preserve"> </v>
      </c>
    </row>
    <row r="62" spans="1:8" ht="9" customHeight="1">
      <c r="A62" s="259"/>
      <c r="H62" s="302"/>
    </row>
    <row r="63" spans="1:8" s="302" customFormat="1" ht="12.75" thickBot="1">
      <c r="A63" s="263">
        <v>39</v>
      </c>
      <c r="B63" s="301" t="s">
        <v>126</v>
      </c>
      <c r="E63" s="311">
        <f>E56-E59+E60+E61</f>
        <v>-1956</v>
      </c>
      <c r="F63" s="311">
        <f>F56-F59+F60+F61</f>
        <v>-1956</v>
      </c>
      <c r="G63" s="311">
        <f>G56-G59+G60+G61</f>
        <v>0</v>
      </c>
      <c r="H63" s="302" t="str">
        <f>IF(E63=F63+G63," ","ERROR")</f>
        <v xml:space="preserve"> </v>
      </c>
    </row>
    <row r="64" spans="1:8" ht="12.75" thickTop="1">
      <c r="E64" s="312"/>
    </row>
    <row r="65" spans="1:8">
      <c r="A65" s="291" t="str">
        <f>Inputs!$D$6</f>
        <v>AVISTA UTILITIES</v>
      </c>
      <c r="B65" s="291"/>
      <c r="C65" s="291"/>
      <c r="D65" s="313"/>
      <c r="E65" s="314"/>
      <c r="F65" s="313"/>
      <c r="G65" s="315" t="s">
        <v>232</v>
      </c>
      <c r="H65" s="314"/>
    </row>
    <row r="66" spans="1:8">
      <c r="A66" s="291" t="s">
        <v>225</v>
      </c>
      <c r="B66" s="291"/>
      <c r="C66" s="291"/>
      <c r="D66" s="313"/>
      <c r="E66" s="314"/>
      <c r="F66" s="313"/>
      <c r="G66" s="316"/>
      <c r="H66" s="314"/>
    </row>
    <row r="67" spans="1:8">
      <c r="A67" s="291" t="str">
        <f>A3</f>
        <v>TWELVE MONTHS ENDED SEPTEMBER 30, 2008</v>
      </c>
      <c r="B67" s="291"/>
      <c r="C67" s="291"/>
      <c r="D67" s="313"/>
      <c r="E67" s="314"/>
      <c r="F67" s="313"/>
      <c r="G67" s="317" t="str">
        <f>F2</f>
        <v>COLSTRIP #3 AFUDC</v>
      </c>
      <c r="H67" s="314"/>
    </row>
    <row r="68" spans="1:8">
      <c r="A68" s="291" t="s">
        <v>226</v>
      </c>
      <c r="B68" s="291"/>
      <c r="C68" s="291"/>
      <c r="D68" s="313"/>
      <c r="E68" s="314"/>
      <c r="F68" s="313"/>
      <c r="G68" s="317" t="str">
        <f>F3</f>
        <v>ELIMINATION REALLOCATION</v>
      </c>
      <c r="H68" s="314"/>
    </row>
    <row r="69" spans="1:8">
      <c r="B69" s="313"/>
      <c r="C69" s="313"/>
      <c r="D69" s="313"/>
      <c r="E69" s="318"/>
      <c r="F69" s="319"/>
      <c r="G69" s="320" t="str">
        <f>F4</f>
        <v>ELECTRIC</v>
      </c>
      <c r="H69" s="321"/>
    </row>
    <row r="70" spans="1:8">
      <c r="B70" s="313"/>
      <c r="C70" s="313"/>
      <c r="D70" s="313"/>
      <c r="E70" s="314"/>
      <c r="F70" s="313"/>
      <c r="G70" s="317"/>
      <c r="H70" s="314"/>
    </row>
    <row r="71" spans="1:8">
      <c r="B71" s="322" t="s">
        <v>134</v>
      </c>
      <c r="C71" s="319"/>
      <c r="D71" s="313"/>
      <c r="E71" s="314"/>
      <c r="F71" s="313"/>
      <c r="G71" s="320" t="s">
        <v>128</v>
      </c>
      <c r="H71" s="314"/>
    </row>
    <row r="72" spans="1:8">
      <c r="B72" s="299" t="s">
        <v>85</v>
      </c>
      <c r="C72" s="313"/>
      <c r="D72" s="313"/>
      <c r="E72" s="313"/>
      <c r="F72" s="313"/>
      <c r="G72" s="316"/>
      <c r="H72" s="313"/>
    </row>
    <row r="73" spans="1:8">
      <c r="B73" s="301" t="s">
        <v>86</v>
      </c>
      <c r="C73" s="313"/>
      <c r="D73" s="313"/>
      <c r="E73" s="313"/>
      <c r="F73" s="313"/>
      <c r="G73" s="323">
        <f>G8</f>
        <v>0</v>
      </c>
      <c r="H73" s="313"/>
    </row>
    <row r="74" spans="1:8">
      <c r="B74" s="299" t="s">
        <v>87</v>
      </c>
      <c r="C74" s="313"/>
      <c r="D74" s="313"/>
      <c r="E74" s="313"/>
      <c r="F74" s="313"/>
      <c r="G74" s="306">
        <f>G9</f>
        <v>0</v>
      </c>
      <c r="H74" s="313"/>
    </row>
    <row r="75" spans="1:8">
      <c r="B75" s="299" t="s">
        <v>150</v>
      </c>
      <c r="C75" s="313"/>
      <c r="D75" s="313"/>
      <c r="E75" s="313"/>
      <c r="F75" s="313"/>
      <c r="G75" s="308">
        <f>G10</f>
        <v>0</v>
      </c>
      <c r="H75" s="313"/>
    </row>
    <row r="76" spans="1:8">
      <c r="B76" s="299" t="s">
        <v>151</v>
      </c>
      <c r="C76" s="313"/>
      <c r="D76" s="313"/>
      <c r="E76" s="313"/>
      <c r="F76" s="313"/>
      <c r="G76" s="306">
        <f>SUM(G73:G75)</f>
        <v>0</v>
      </c>
      <c r="H76" s="313"/>
    </row>
    <row r="77" spans="1:8">
      <c r="B77" s="299" t="s">
        <v>90</v>
      </c>
      <c r="C77" s="313"/>
      <c r="D77" s="313"/>
      <c r="E77" s="313"/>
      <c r="F77" s="313"/>
      <c r="G77" s="308">
        <f>G12</f>
        <v>0</v>
      </c>
      <c r="H77" s="313"/>
    </row>
    <row r="78" spans="1:8">
      <c r="B78" s="299" t="s">
        <v>152</v>
      </c>
      <c r="C78" s="313"/>
      <c r="D78" s="313"/>
      <c r="E78" s="313"/>
      <c r="F78" s="313"/>
      <c r="G78" s="306">
        <f>G76+G77</f>
        <v>0</v>
      </c>
      <c r="H78" s="313"/>
    </row>
    <row r="79" spans="1:8">
      <c r="C79" s="313"/>
      <c r="D79" s="313"/>
      <c r="E79" s="313"/>
      <c r="F79" s="313"/>
      <c r="G79" s="306"/>
      <c r="H79" s="313"/>
    </row>
    <row r="80" spans="1:8">
      <c r="B80" s="299" t="s">
        <v>92</v>
      </c>
      <c r="C80" s="313"/>
      <c r="D80" s="313"/>
      <c r="E80" s="313"/>
      <c r="F80" s="313"/>
      <c r="G80" s="306"/>
      <c r="H80" s="313"/>
    </row>
    <row r="81" spans="1:8">
      <c r="B81" s="299" t="s">
        <v>93</v>
      </c>
      <c r="C81" s="313"/>
      <c r="D81" s="313"/>
      <c r="E81" s="313"/>
      <c r="F81" s="313"/>
      <c r="G81" s="306"/>
      <c r="H81" s="313"/>
    </row>
    <row r="82" spans="1:8">
      <c r="B82" s="299" t="s">
        <v>153</v>
      </c>
      <c r="C82" s="313"/>
      <c r="D82" s="313"/>
      <c r="E82" s="313"/>
      <c r="F82" s="313"/>
      <c r="G82" s="306">
        <f>G17</f>
        <v>0</v>
      </c>
      <c r="H82" s="313"/>
    </row>
    <row r="83" spans="1:8">
      <c r="B83" s="299" t="s">
        <v>154</v>
      </c>
      <c r="C83" s="313"/>
      <c r="D83" s="313"/>
      <c r="E83" s="313"/>
      <c r="F83" s="313"/>
      <c r="G83" s="306">
        <f>G18</f>
        <v>0</v>
      </c>
      <c r="H83" s="313"/>
    </row>
    <row r="84" spans="1:8">
      <c r="B84" s="299" t="s">
        <v>155</v>
      </c>
      <c r="C84" s="313"/>
      <c r="D84" s="313"/>
      <c r="E84" s="313"/>
      <c r="F84" s="313"/>
      <c r="G84" s="306">
        <f>G19</f>
        <v>0</v>
      </c>
      <c r="H84" s="313"/>
    </row>
    <row r="85" spans="1:8">
      <c r="B85" s="299" t="s">
        <v>156</v>
      </c>
      <c r="C85" s="313"/>
      <c r="D85" s="313"/>
      <c r="E85" s="313"/>
      <c r="F85" s="313"/>
      <c r="G85" s="308">
        <f>G20</f>
        <v>0</v>
      </c>
      <c r="H85" s="313"/>
    </row>
    <row r="86" spans="1:8">
      <c r="B86" s="299" t="s">
        <v>157</v>
      </c>
      <c r="C86" s="313"/>
      <c r="D86" s="313"/>
      <c r="E86" s="313"/>
      <c r="F86" s="313"/>
      <c r="G86" s="306">
        <f>SUM(G82:G85)</f>
        <v>0</v>
      </c>
      <c r="H86" s="313"/>
    </row>
    <row r="87" spans="1:8">
      <c r="C87" s="313"/>
      <c r="D87" s="313"/>
      <c r="E87" s="313"/>
      <c r="F87" s="313"/>
      <c r="G87" s="306"/>
      <c r="H87" s="313"/>
    </row>
    <row r="88" spans="1:8">
      <c r="B88" s="299" t="s">
        <v>98</v>
      </c>
      <c r="C88" s="313"/>
      <c r="D88" s="313"/>
      <c r="E88" s="313"/>
      <c r="F88" s="313"/>
      <c r="G88" s="306"/>
      <c r="H88" s="313"/>
    </row>
    <row r="89" spans="1:8">
      <c r="B89" s="299" t="s">
        <v>153</v>
      </c>
      <c r="C89" s="313"/>
      <c r="D89" s="313"/>
      <c r="E89" s="313"/>
      <c r="F89" s="313"/>
      <c r="G89" s="306">
        <f>G24</f>
        <v>0</v>
      </c>
      <c r="H89" s="313"/>
    </row>
    <row r="90" spans="1:8">
      <c r="B90" s="299" t="s">
        <v>158</v>
      </c>
      <c r="C90" s="313"/>
      <c r="D90" s="313"/>
      <c r="E90" s="313"/>
      <c r="F90" s="313"/>
      <c r="G90" s="306">
        <f>G25</f>
        <v>0</v>
      </c>
      <c r="H90" s="313"/>
    </row>
    <row r="91" spans="1:8">
      <c r="A91" s="292"/>
      <c r="B91" s="299" t="s">
        <v>156</v>
      </c>
      <c r="C91" s="313"/>
      <c r="D91" s="313"/>
      <c r="E91" s="313"/>
      <c r="F91" s="313"/>
      <c r="G91" s="306"/>
      <c r="H91" s="313"/>
    </row>
    <row r="92" spans="1:8">
      <c r="A92" s="292"/>
      <c r="B92" s="299" t="s">
        <v>159</v>
      </c>
      <c r="C92" s="313"/>
      <c r="D92" s="313"/>
      <c r="E92" s="313"/>
      <c r="F92" s="313"/>
      <c r="G92" s="305">
        <f>SUM(G89:G91)</f>
        <v>0</v>
      </c>
      <c r="H92" s="313"/>
    </row>
    <row r="93" spans="1:8">
      <c r="A93" s="292"/>
      <c r="C93" s="313"/>
      <c r="D93" s="313"/>
      <c r="E93" s="313"/>
      <c r="F93" s="313"/>
      <c r="G93" s="306"/>
      <c r="H93" s="313"/>
    </row>
    <row r="94" spans="1:8">
      <c r="A94" s="292"/>
      <c r="B94" s="299" t="s">
        <v>101</v>
      </c>
      <c r="C94" s="313"/>
      <c r="D94" s="313"/>
      <c r="E94" s="313"/>
      <c r="F94" s="313"/>
      <c r="G94" s="306">
        <f>G29</f>
        <v>0</v>
      </c>
      <c r="H94" s="313"/>
    </row>
    <row r="95" spans="1:8">
      <c r="A95" s="292"/>
      <c r="B95" s="299" t="s">
        <v>102</v>
      </c>
      <c r="C95" s="313"/>
      <c r="D95" s="313"/>
      <c r="E95" s="313"/>
      <c r="F95" s="313"/>
      <c r="G95" s="306">
        <f>G30</f>
        <v>0</v>
      </c>
      <c r="H95" s="313"/>
    </row>
    <row r="96" spans="1:8">
      <c r="A96" s="292"/>
      <c r="B96" s="299" t="s">
        <v>160</v>
      </c>
      <c r="C96" s="313"/>
      <c r="D96" s="313"/>
      <c r="E96" s="313"/>
      <c r="F96" s="313"/>
      <c r="G96" s="306">
        <f>G31</f>
        <v>0</v>
      </c>
      <c r="H96" s="313"/>
    </row>
    <row r="97" spans="1:8">
      <c r="A97" s="292"/>
      <c r="C97" s="313"/>
      <c r="D97" s="313"/>
      <c r="E97" s="313"/>
      <c r="F97" s="313"/>
      <c r="G97" s="306"/>
      <c r="H97" s="313"/>
    </row>
    <row r="98" spans="1:8">
      <c r="A98" s="292"/>
      <c r="B98" s="299" t="s">
        <v>104</v>
      </c>
      <c r="C98" s="313"/>
      <c r="D98" s="313"/>
      <c r="E98" s="313"/>
      <c r="F98" s="313"/>
      <c r="G98" s="306"/>
      <c r="H98" s="313"/>
    </row>
    <row r="99" spans="1:8">
      <c r="A99" s="292"/>
      <c r="B99" s="299" t="s">
        <v>153</v>
      </c>
      <c r="C99" s="313"/>
      <c r="D99" s="313"/>
      <c r="E99" s="313"/>
      <c r="F99" s="313"/>
      <c r="G99" s="306">
        <f>G34</f>
        <v>0</v>
      </c>
      <c r="H99" s="313"/>
    </row>
    <row r="100" spans="1:8">
      <c r="A100" s="292"/>
      <c r="B100" s="299" t="s">
        <v>158</v>
      </c>
      <c r="C100" s="313"/>
      <c r="D100" s="313"/>
      <c r="E100" s="313"/>
      <c r="F100" s="313"/>
      <c r="G100" s="306">
        <f>G35</f>
        <v>0</v>
      </c>
      <c r="H100" s="313"/>
    </row>
    <row r="101" spans="1:8">
      <c r="A101" s="292"/>
      <c r="B101" s="299" t="s">
        <v>156</v>
      </c>
      <c r="C101" s="313"/>
      <c r="D101" s="313"/>
      <c r="E101" s="313"/>
      <c r="F101" s="313"/>
      <c r="G101" s="308">
        <f>G36</f>
        <v>0</v>
      </c>
      <c r="H101" s="313"/>
    </row>
    <row r="102" spans="1:8">
      <c r="A102" s="292"/>
      <c r="B102" s="299" t="s">
        <v>161</v>
      </c>
      <c r="C102" s="313"/>
      <c r="D102" s="313"/>
      <c r="E102" s="313"/>
      <c r="F102" s="313"/>
      <c r="G102" s="306">
        <f>G99+G100+G101</f>
        <v>0</v>
      </c>
      <c r="H102" s="313"/>
    </row>
    <row r="103" spans="1:8">
      <c r="A103" s="292"/>
      <c r="B103" s="313"/>
      <c r="C103" s="313"/>
      <c r="D103" s="313"/>
      <c r="E103" s="313"/>
      <c r="F103" s="313"/>
      <c r="G103" s="306"/>
      <c r="H103" s="313"/>
    </row>
    <row r="104" spans="1:8">
      <c r="A104" s="292"/>
      <c r="B104" s="313" t="s">
        <v>106</v>
      </c>
      <c r="C104" s="313"/>
      <c r="D104" s="313"/>
      <c r="E104" s="313"/>
      <c r="F104" s="313"/>
      <c r="G104" s="307">
        <f>G86+G92+G94+G95+G96+G102</f>
        <v>0</v>
      </c>
      <c r="H104" s="313"/>
    </row>
    <row r="105" spans="1:8">
      <c r="A105" s="292"/>
      <c r="B105" s="313"/>
      <c r="C105" s="313"/>
      <c r="D105" s="313"/>
      <c r="E105" s="313"/>
      <c r="F105" s="313"/>
      <c r="G105" s="306"/>
      <c r="H105" s="313"/>
    </row>
    <row r="106" spans="1:8">
      <c r="A106" s="292"/>
      <c r="B106" s="313" t="s">
        <v>227</v>
      </c>
      <c r="C106" s="313"/>
      <c r="D106" s="313"/>
      <c r="E106" s="313"/>
      <c r="F106" s="313"/>
      <c r="G106" s="308">
        <f>G78-G104</f>
        <v>0</v>
      </c>
      <c r="H106" s="313"/>
    </row>
    <row r="107" spans="1:8">
      <c r="A107" s="292"/>
      <c r="B107" s="313"/>
      <c r="C107" s="313"/>
      <c r="D107" s="313"/>
      <c r="E107" s="313"/>
      <c r="F107" s="313"/>
      <c r="G107" s="306"/>
      <c r="H107" s="313"/>
    </row>
    <row r="108" spans="1:8">
      <c r="A108" s="292"/>
      <c r="B108" s="313" t="s">
        <v>228</v>
      </c>
      <c r="C108" s="313"/>
      <c r="D108" s="313"/>
      <c r="E108" s="314"/>
      <c r="F108" s="313"/>
      <c r="G108" s="306"/>
      <c r="H108" s="313"/>
    </row>
    <row r="109" spans="1:8" ht="12.75" thickBot="1">
      <c r="A109" s="292"/>
      <c r="B109" s="324" t="s">
        <v>229</v>
      </c>
      <c r="C109" s="325"/>
      <c r="D109" s="313"/>
      <c r="E109" s="314"/>
      <c r="F109" s="313"/>
      <c r="G109" s="311">
        <f>ROUND(G106*C109,0)</f>
        <v>0</v>
      </c>
      <c r="H109" s="313"/>
    </row>
    <row r="110" spans="1:8" ht="12.75" thickTop="1">
      <c r="A110" s="292"/>
      <c r="B110" s="313"/>
      <c r="C110" s="313"/>
      <c r="D110" s="313"/>
      <c r="E110" s="314"/>
      <c r="F110" s="313"/>
      <c r="G110" s="316"/>
      <c r="H110" s="313"/>
    </row>
  </sheetData>
  <customSheetViews>
    <customSheetView guid="{A15D1962-B049-11D2-8670-0000832CEEE8}" scale="75" showPageBreaks="1" showRuler="0" topLeftCell="A45">
      <selection activeCell="A67" sqref="A67"/>
      <rowBreaks count="1" manualBreakCount="1">
        <brk id="65" max="65535" man="1"/>
      </rowBreaks>
      <colBreaks count="2" manualBreakCount="2">
        <brk id="8" max="1048575" man="1"/>
        <brk id="16" max="1048575" man="1"/>
      </colBreaks>
      <pageMargins left="0.75" right="0.75" top="0.5" bottom="0.5" header="0.5" footer="0.5"/>
      <printOptions horizontalCentered="1"/>
      <pageSetup scale="83" orientation="portrait" horizontalDpi="300" verticalDpi="300" r:id="rId1"/>
      <headerFooter alignWithMargins="0"/>
    </customSheetView>
    <customSheetView guid="{6E1B8C45-B07F-11D2-B0DC-0000832CDFF0}" scale="75" showPageBreaks="1" printArea="1" showRuler="0" topLeftCell="A45">
      <selection activeCell="A45" sqref="A1:IV65536"/>
      <rowBreaks count="1" manualBreakCount="1">
        <brk id="65" max="65535" man="1"/>
      </rowBreaks>
      <colBreaks count="1" manualBreakCount="1">
        <brk id="8" max="1048575" man="1"/>
      </colBreaks>
      <pageMargins left="1" right="0.75" top="0.5" bottom="0.5" header="0.5" footer="0.5"/>
      <printOptions horizontalCentered="1"/>
      <pageSetup scale="90" orientation="portrait" horizontalDpi="300" verticalDpi="300" r:id="rId2"/>
      <headerFooter alignWithMargins="0"/>
    </customSheetView>
  </customSheetViews>
  <phoneticPr fontId="0" type="noConversion"/>
  <printOptions horizontalCentered="1"/>
  <pageMargins left="1" right="0.75" top="0.5" bottom="0.5" header="0.5" footer="0.5"/>
  <pageSetup scale="90" orientation="portrait" horizontalDpi="300" verticalDpi="300" r:id="rId3"/>
  <headerFooter alignWithMargins="0"/>
  <rowBreaks count="1" manualBreakCount="1">
    <brk id="65" max="65535" man="1"/>
  </rowBreaks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2009-01-23T08:00:00+00:00</OpenedDate>
    <Date1 xmlns="dc463f71-b30c-4ab2-9473-d307f9d35888">2009-09-30T07:00:00+00:00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090134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CEE90129439E84DA799E573E626D7C9" ma:contentTypeVersion="123" ma:contentTypeDescription="" ma:contentTypeScope="" ma:versionID="2c61966dbd9e2250be38591c4b9692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7FE628-20F5-449A-8E8E-6EC145A73547}"/>
</file>

<file path=customXml/itemProps2.xml><?xml version="1.0" encoding="utf-8"?>
<ds:datastoreItem xmlns:ds="http://schemas.openxmlformats.org/officeDocument/2006/customXml" ds:itemID="{2CE5CE8C-4F40-4C02-A0E3-E735A30AB6E4}"/>
</file>

<file path=customXml/itemProps3.xml><?xml version="1.0" encoding="utf-8"?>
<ds:datastoreItem xmlns:ds="http://schemas.openxmlformats.org/officeDocument/2006/customXml" ds:itemID="{CC241D1B-7444-4DAD-932F-2609EF4E443C}"/>
</file>

<file path=customXml/itemProps4.xml><?xml version="1.0" encoding="utf-8"?>
<ds:datastoreItem xmlns:ds="http://schemas.openxmlformats.org/officeDocument/2006/customXml" ds:itemID="{D216EF4F-53AD-4963-8C6C-922DFE32FF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70</vt:i4>
      </vt:variant>
      <vt:variant>
        <vt:lpstr>Named Ranges</vt:lpstr>
      </vt:variant>
      <vt:variant>
        <vt:i4>80</vt:i4>
      </vt:variant>
    </vt:vector>
  </HeadingPairs>
  <TitlesOfParts>
    <vt:vector size="150" baseType="lpstr">
      <vt:lpstr>Proposed Rates-WA</vt:lpstr>
      <vt:lpstr>RevReq_Exh_WA</vt:lpstr>
      <vt:lpstr>ConverFac_Exh-WA</vt:lpstr>
      <vt:lpstr>WAElec09_08</vt:lpstr>
      <vt:lpstr>PFRstmtSheet</vt:lpstr>
      <vt:lpstr>ResultSumEl</vt:lpstr>
      <vt:lpstr>DFITAMA</vt:lpstr>
      <vt:lpstr>BldGain</vt:lpstr>
      <vt:lpstr>ColstripAFUDC</vt:lpstr>
      <vt:lpstr>ColstripCommon</vt:lpstr>
      <vt:lpstr>KF-BP_Summ</vt:lpstr>
      <vt:lpstr>CustAdv</vt:lpstr>
      <vt:lpstr>DeprTrue-up</vt:lpstr>
      <vt:lpstr>WA-SettleEx</vt:lpstr>
      <vt:lpstr>BandO</vt:lpstr>
      <vt:lpstr>PropTax</vt:lpstr>
      <vt:lpstr>UncollExp</vt:lpstr>
      <vt:lpstr>RegExp</vt:lpstr>
      <vt:lpstr>InjDam</vt:lpstr>
      <vt:lpstr>FIT</vt:lpstr>
      <vt:lpstr>ElimPowerCost</vt:lpstr>
      <vt:lpstr>NezPerce</vt:lpstr>
      <vt:lpstr>GainsLoss</vt:lpstr>
      <vt:lpstr>ElimAR</vt:lpstr>
      <vt:lpstr>SubSpace</vt:lpstr>
      <vt:lpstr>ExciseTax</vt:lpstr>
      <vt:lpstr>RevNormalztn</vt:lpstr>
      <vt:lpstr>MiscRestate</vt:lpstr>
      <vt:lpstr>DebtInt</vt:lpstr>
      <vt:lpstr>DebtCalc</vt:lpstr>
      <vt:lpstr>Inputs</vt:lpstr>
      <vt:lpstr>PFPSWA</vt:lpstr>
      <vt:lpstr>PFProdFctr-WA</vt:lpstr>
      <vt:lpstr>Retail Revenue Credit</vt:lpstr>
      <vt:lpstr>PFLabor</vt:lpstr>
      <vt:lpstr>PFExec</vt:lpstr>
      <vt:lpstr>PFTrans</vt:lpstr>
      <vt:lpstr>PFCapx2008</vt:lpstr>
      <vt:lpstr>PFCapx2009</vt:lpstr>
      <vt:lpstr>PFNoxon2010</vt:lpstr>
      <vt:lpstr>PFInfoServ</vt:lpstr>
      <vt:lpstr>PFAssetMgmt</vt:lpstr>
      <vt:lpstr>PFSR_Relicense</vt:lpstr>
      <vt:lpstr>PFCDAtribe</vt:lpstr>
      <vt:lpstr>PFColstripEmiss</vt:lpstr>
      <vt:lpstr>PFMoLease</vt:lpstr>
      <vt:lpstr>PFIncentives</vt:lpstr>
      <vt:lpstr>PFO&amp;MPlant</vt:lpstr>
      <vt:lpstr>PFEmpBen</vt:lpstr>
      <vt:lpstr>PFInsur</vt:lpstr>
      <vt:lpstr>PFClarkFork</vt:lpstr>
      <vt:lpstr>PF20open</vt:lpstr>
      <vt:lpstr>ExhEMA2</vt:lpstr>
      <vt:lpstr>NOT USED AFTER THIS TAB</vt:lpstr>
      <vt:lpstr>PSWA-not used</vt:lpstr>
      <vt:lpstr>CWIPAllocDebt</vt:lpstr>
      <vt:lpstr>WARateNorm</vt:lpstr>
      <vt:lpstr>SYSElec12_05</vt:lpstr>
      <vt:lpstr>PFDebtIntnot used</vt:lpstr>
      <vt:lpstr>PFPSID</vt:lpstr>
      <vt:lpstr>PFProdFctr-ID</vt:lpstr>
      <vt:lpstr>ProdFctrCalc-ID</vt:lpstr>
      <vt:lpstr>RevReq_Exh_ID</vt:lpstr>
      <vt:lpstr>Proposed Rates-ID</vt:lpstr>
      <vt:lpstr>ConverFac_Exh-ID</vt:lpstr>
      <vt:lpstr>IDElec12_07</vt:lpstr>
      <vt:lpstr>ID_DSM_Inv</vt:lpstr>
      <vt:lpstr>ID_ClarkFork</vt:lpstr>
      <vt:lpstr>PFID_AMR</vt:lpstr>
      <vt:lpstr>PFCS2</vt:lpstr>
      <vt:lpstr>ID_Elec</vt:lpstr>
      <vt:lpstr>BandO!Print_Area</vt:lpstr>
      <vt:lpstr>BldGain!Print_Area</vt:lpstr>
      <vt:lpstr>ColstripAFUDC!Print_Area</vt:lpstr>
      <vt:lpstr>ColstripCommon!Print_Area</vt:lpstr>
      <vt:lpstr>'ConverFac_Exh-ID'!Print_Area</vt:lpstr>
      <vt:lpstr>'ConverFac_Exh-WA'!Print_Area</vt:lpstr>
      <vt:lpstr>CustAdv!Print_Area</vt:lpstr>
      <vt:lpstr>CWIPAllocDebt!Print_Area</vt:lpstr>
      <vt:lpstr>DebtCalc!Print_Area</vt:lpstr>
      <vt:lpstr>DebtInt!Print_Area</vt:lpstr>
      <vt:lpstr>'DeprTrue-up'!Print_Area</vt:lpstr>
      <vt:lpstr>DFITAMA!Print_Area</vt:lpstr>
      <vt:lpstr>ElimAR!Print_Area</vt:lpstr>
      <vt:lpstr>ElimPowerCost!Print_Area</vt:lpstr>
      <vt:lpstr>ExciseTax!Print_Area</vt:lpstr>
      <vt:lpstr>FIT!Print_Area</vt:lpstr>
      <vt:lpstr>GainsLoss!Print_Area</vt:lpstr>
      <vt:lpstr>ID_ClarkFork!Print_Area</vt:lpstr>
      <vt:lpstr>ID_DSM_Inv!Print_Area</vt:lpstr>
      <vt:lpstr>IDElec12_07!Print_Area</vt:lpstr>
      <vt:lpstr>InjDam!Print_Area</vt:lpstr>
      <vt:lpstr>'KF-BP_Summ'!Print_Area</vt:lpstr>
      <vt:lpstr>MiscRestate!Print_Area</vt:lpstr>
      <vt:lpstr>NezPerce!Print_Area</vt:lpstr>
      <vt:lpstr>PF20open!Print_Area</vt:lpstr>
      <vt:lpstr>PFAssetMgmt!Print_Area</vt:lpstr>
      <vt:lpstr>PFCapx2009!Print_Area</vt:lpstr>
      <vt:lpstr>PFCDAtribe!Print_Area</vt:lpstr>
      <vt:lpstr>PFClarkFork!Print_Area</vt:lpstr>
      <vt:lpstr>PFColstripEmiss!Print_Area</vt:lpstr>
      <vt:lpstr>PFCS2!Print_Area</vt:lpstr>
      <vt:lpstr>'PFDebtIntnot used'!Print_Area</vt:lpstr>
      <vt:lpstr>PFEmpBen!Print_Area</vt:lpstr>
      <vt:lpstr>PFID_AMR!Print_Area</vt:lpstr>
      <vt:lpstr>PFIncentives!Print_Area</vt:lpstr>
      <vt:lpstr>PFInfoServ!Print_Area</vt:lpstr>
      <vt:lpstr>PFInsur!Print_Area</vt:lpstr>
      <vt:lpstr>PFMoLease!Print_Area</vt:lpstr>
      <vt:lpstr>PFNoxon2010!Print_Area</vt:lpstr>
      <vt:lpstr>'PFO&amp;MPlant'!Print_Area</vt:lpstr>
      <vt:lpstr>'PFProdFctr-ID'!Print_Area</vt:lpstr>
      <vt:lpstr>'PFProdFctr-WA'!Print_Area</vt:lpstr>
      <vt:lpstr>PFPSID!Print_Area</vt:lpstr>
      <vt:lpstr>PFPSWA!Print_Area</vt:lpstr>
      <vt:lpstr>PFRstmtSheet!Print_Area</vt:lpstr>
      <vt:lpstr>PFSR_Relicense!Print_Area</vt:lpstr>
      <vt:lpstr>'ProdFctrCalc-ID'!Print_Area</vt:lpstr>
      <vt:lpstr>'Proposed Rates-ID'!Print_Area</vt:lpstr>
      <vt:lpstr>'Proposed Rates-WA'!Print_Area</vt:lpstr>
      <vt:lpstr>PropTax!Print_Area</vt:lpstr>
      <vt:lpstr>'PSWA-not used'!Print_Area</vt:lpstr>
      <vt:lpstr>RegExp!Print_Area</vt:lpstr>
      <vt:lpstr>ResultSumEl!Print_Area</vt:lpstr>
      <vt:lpstr>'Retail Revenue Credit'!Print_Area</vt:lpstr>
      <vt:lpstr>RevReq_Exh_ID!Print_Area</vt:lpstr>
      <vt:lpstr>RevReq_Exh_WA!Print_Area</vt:lpstr>
      <vt:lpstr>SubSpace!Print_Area</vt:lpstr>
      <vt:lpstr>SYSElec12_05!Print_Area</vt:lpstr>
      <vt:lpstr>UncollExp!Print_Area</vt:lpstr>
      <vt:lpstr>WAElec09_08!Print_Area</vt:lpstr>
      <vt:lpstr>WARateNorm!Print_Area</vt:lpstr>
      <vt:lpstr>'WA-SettleEx'!Print_Area</vt:lpstr>
      <vt:lpstr>'ProdFctrCalc-ID'!Print_for_CBReport</vt:lpstr>
      <vt:lpstr>'Retail Revenue Credit'!Print_for_CBReport</vt:lpstr>
      <vt:lpstr>Print_for_CBReport</vt:lpstr>
      <vt:lpstr>'ProdFctrCalc-ID'!Print_for_Checking</vt:lpstr>
      <vt:lpstr>'Retail Revenue Credit'!Print_for_Checking</vt:lpstr>
      <vt:lpstr>Print_for_Checking</vt:lpstr>
      <vt:lpstr>CWIPAllocDebt!Print_Titles</vt:lpstr>
      <vt:lpstr>IDElec12_07!Print_Titles</vt:lpstr>
      <vt:lpstr>'Retail Revenue Credit'!Print_Titles</vt:lpstr>
      <vt:lpstr>SYSElec12_05!Print_Titles</vt:lpstr>
      <vt:lpstr>WAElec09_08!Print_Titles</vt:lpstr>
      <vt:lpstr>IDElec12_07!proforma</vt:lpstr>
      <vt:lpstr>SYSElec12_05!proforma</vt:lpstr>
      <vt:lpstr>IDElec12_07!restated</vt:lpstr>
      <vt:lpstr>SYSElec12_05!restated</vt:lpstr>
      <vt:lpstr>Summary</vt:lpstr>
      <vt:lpstr>WA_Elec</vt:lpstr>
    </vt:vector>
  </TitlesOfParts>
  <Company>Micron Electronics,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rzk7kq</cp:lastModifiedBy>
  <cp:lastPrinted>2009-01-20T00:07:03Z</cp:lastPrinted>
  <dcterms:created xsi:type="dcterms:W3CDTF">1997-05-15T21:41:44Z</dcterms:created>
  <dcterms:modified xsi:type="dcterms:W3CDTF">2009-09-29T00:07:07Z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0x0101006E56B4D1795A2E4DB2F0B01679ED314A00ACEE90129439E84DA799E573E626D7C9</vt:lpwstr>
  </property>
  <property fmtid="{D5CDD505-2E9C-101B-9397-08002B2CF9AE}" pid="3" name="_docset_NoMedatataSyncRequired">
    <vt:lpwstr>False</vt:lpwstr>
  </property>
</Properties>
</file>