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12420" yWindow="0" windowWidth="16005" windowHeight="15600" tabRatio="693" firstSheet="3" activeTab="8"/>
  </bookViews>
  <sheets>
    <sheet name="prices" sheetId="11" r:id="rId1"/>
    <sheet name="Earns." sheetId="13" r:id="rId2"/>
    <sheet name="DATA" sheetId="1" r:id="rId3"/>
    <sheet name="SGH-6" sheetId="2" r:id="rId4"/>
    <sheet name="SGH-7,p1" sheetId="3" r:id="rId5"/>
    <sheet name="SGH-7,p2" sheetId="4" r:id="rId6"/>
    <sheet name="SGH-9" sheetId="5" r:id="rId7"/>
    <sheet name="SGH-10" sheetId="6" r:id="rId8"/>
    <sheet name="SGH-11" sheetId="10" r:id="rId9"/>
    <sheet name="SGH-13" sheetId="7" r:id="rId10"/>
    <sheet name="SGH-14,p1" sheetId="8" r:id="rId11"/>
    <sheet name="SGH-14,p2" sheetId="9" r:id="rId12"/>
    <sheet name="Sheet1" sheetId="14" r:id="rId13"/>
  </sheets>
  <definedNames>
    <definedName name="_xlnm.Print_Area" localSheetId="7">'SGH-10'!$A$1:$E$27</definedName>
    <definedName name="_xlnm.Print_Area" localSheetId="8">'SGH-11'!$A$1:$D$44</definedName>
    <definedName name="_xlnm.Print_Area" localSheetId="9">'SGH-13'!$A$1:$G$34</definedName>
    <definedName name="_xlnm.Print_Area" localSheetId="10">'SGH-14,p1'!$A$1:$K$32</definedName>
    <definedName name="_xlnm.Print_Area" localSheetId="11">'SGH-14,p2'!$A$1:$K$31</definedName>
    <definedName name="_xlnm.Print_Area" localSheetId="3">'SGH-6'!$A$1:$K$243</definedName>
    <definedName name="_xlnm.Print_Area" localSheetId="4">'SGH-7,p1'!$A$1:$M$41</definedName>
    <definedName name="_xlnm.Print_Area" localSheetId="5">'SGH-7,p2'!$A$1:$M$26</definedName>
    <definedName name="_xlnm.Print_Area" localSheetId="6">'SGH-9'!$A$1:$F$31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4" l="1"/>
  <c r="E15" i="14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E19" i="2"/>
  <c r="C21" i="1"/>
  <c r="I19" i="10"/>
  <c r="I21" i="10"/>
  <c r="C20" i="4"/>
  <c r="D20" i="4"/>
  <c r="E20" i="4"/>
  <c r="I34" i="4"/>
  <c r="F28" i="3"/>
  <c r="F29" i="3"/>
  <c r="F30" i="3"/>
  <c r="F31" i="3"/>
  <c r="F32" i="3"/>
  <c r="F33" i="3"/>
  <c r="F34" i="3"/>
  <c r="F35" i="3"/>
  <c r="F36" i="3"/>
  <c r="F37" i="3"/>
  <c r="F38" i="3"/>
  <c r="F39" i="3"/>
  <c r="F27" i="3"/>
  <c r="AZ5" i="1"/>
  <c r="B11" i="7"/>
  <c r="F32" i="11"/>
  <c r="B5" i="1"/>
  <c r="C11" i="7"/>
  <c r="D11" i="7"/>
  <c r="AZ6" i="1"/>
  <c r="B12" i="7"/>
  <c r="F67" i="11"/>
  <c r="B6" i="1"/>
  <c r="C12" i="7"/>
  <c r="D12" i="7"/>
  <c r="AZ7" i="1"/>
  <c r="B13" i="7"/>
  <c r="F102" i="11"/>
  <c r="B7" i="1"/>
  <c r="C13" i="7"/>
  <c r="D13" i="7"/>
  <c r="AZ8" i="1"/>
  <c r="B14" i="7"/>
  <c r="F137" i="11"/>
  <c r="B8" i="1"/>
  <c r="C14" i="7"/>
  <c r="D14" i="7"/>
  <c r="AZ9" i="1"/>
  <c r="B15" i="7"/>
  <c r="C15" i="7"/>
  <c r="D15" i="7"/>
  <c r="AZ10" i="1"/>
  <c r="B16" i="7"/>
  <c r="F172" i="11"/>
  <c r="B10" i="1"/>
  <c r="C16" i="7"/>
  <c r="D16" i="7"/>
  <c r="AZ11" i="1"/>
  <c r="B17" i="7"/>
  <c r="F207" i="11"/>
  <c r="B11" i="1"/>
  <c r="C17" i="7"/>
  <c r="D17" i="7"/>
  <c r="AZ12" i="1"/>
  <c r="B18" i="7"/>
  <c r="F242" i="11"/>
  <c r="B12" i="1"/>
  <c r="C18" i="7"/>
  <c r="D18" i="7"/>
  <c r="AZ13" i="1"/>
  <c r="B19" i="7"/>
  <c r="F277" i="11"/>
  <c r="B13" i="1"/>
  <c r="C19" i="7"/>
  <c r="D19" i="7"/>
  <c r="AZ14" i="1"/>
  <c r="B20" i="7"/>
  <c r="F312" i="11"/>
  <c r="B14" i="1"/>
  <c r="C20" i="7"/>
  <c r="D20" i="7"/>
  <c r="AZ15" i="1"/>
  <c r="B21" i="7"/>
  <c r="F347" i="11"/>
  <c r="B15" i="1"/>
  <c r="C21" i="7"/>
  <c r="D21" i="7"/>
  <c r="AZ16" i="1"/>
  <c r="B22" i="7"/>
  <c r="F382" i="11"/>
  <c r="B16" i="1"/>
  <c r="C22" i="7"/>
  <c r="D22" i="7"/>
  <c r="AZ17" i="1"/>
  <c r="B23" i="7"/>
  <c r="F417" i="11"/>
  <c r="B17" i="1"/>
  <c r="C23" i="7"/>
  <c r="D23" i="7"/>
  <c r="D25" i="7"/>
  <c r="BA6" i="1"/>
  <c r="BA7" i="1"/>
  <c r="BA8" i="1"/>
  <c r="BA9" i="1"/>
  <c r="BA10" i="1"/>
  <c r="BA11" i="1"/>
  <c r="BA12" i="1"/>
  <c r="BA13" i="1"/>
  <c r="BA14" i="1"/>
  <c r="BA15" i="1"/>
  <c r="BA16" i="1"/>
  <c r="BA17" i="1"/>
  <c r="BA5" i="1"/>
  <c r="C49" i="13"/>
  <c r="C26" i="13"/>
  <c r="I43" i="1"/>
  <c r="H43" i="1"/>
  <c r="G43" i="1"/>
  <c r="E43" i="1"/>
  <c r="F43" i="1"/>
  <c r="F34" i="11"/>
  <c r="F69" i="11"/>
  <c r="C32" i="11"/>
  <c r="D32" i="11"/>
  <c r="E32" i="11"/>
  <c r="G32" i="11"/>
  <c r="C33" i="11"/>
  <c r="D33" i="11"/>
  <c r="E33" i="11"/>
  <c r="F33" i="11"/>
  <c r="G33" i="11"/>
  <c r="C34" i="11"/>
  <c r="D34" i="11"/>
  <c r="E34" i="11"/>
  <c r="G34" i="11"/>
  <c r="C35" i="11"/>
  <c r="D35" i="11"/>
  <c r="E35" i="11"/>
  <c r="F35" i="11"/>
  <c r="G35" i="11"/>
  <c r="C67" i="11"/>
  <c r="D67" i="11"/>
  <c r="E67" i="11"/>
  <c r="G67" i="11"/>
  <c r="C68" i="11"/>
  <c r="D68" i="11"/>
  <c r="E68" i="11"/>
  <c r="F68" i="11"/>
  <c r="G68" i="11"/>
  <c r="C69" i="11"/>
  <c r="D69" i="11"/>
  <c r="E69" i="11"/>
  <c r="G69" i="11"/>
  <c r="C70" i="11"/>
  <c r="D70" i="11"/>
  <c r="E70" i="11"/>
  <c r="F70" i="11"/>
  <c r="G70" i="11"/>
  <c r="C102" i="11"/>
  <c r="D102" i="11"/>
  <c r="E102" i="11"/>
  <c r="G102" i="11"/>
  <c r="C103" i="11"/>
  <c r="D103" i="11"/>
  <c r="E103" i="11"/>
  <c r="F103" i="11"/>
  <c r="G103" i="11"/>
  <c r="C104" i="11"/>
  <c r="D104" i="11"/>
  <c r="E104" i="11"/>
  <c r="F104" i="11"/>
  <c r="G104" i="11"/>
  <c r="C105" i="11"/>
  <c r="D105" i="11"/>
  <c r="E105" i="11"/>
  <c r="F105" i="11"/>
  <c r="G105" i="11"/>
  <c r="C137" i="11"/>
  <c r="D137" i="11"/>
  <c r="E137" i="11"/>
  <c r="G137" i="11"/>
  <c r="C138" i="11"/>
  <c r="D138" i="11"/>
  <c r="E138" i="11"/>
  <c r="F138" i="11"/>
  <c r="G138" i="11"/>
  <c r="C139" i="11"/>
  <c r="D139" i="11"/>
  <c r="E139" i="11"/>
  <c r="F139" i="11"/>
  <c r="G139" i="11"/>
  <c r="C140" i="11"/>
  <c r="D140" i="11"/>
  <c r="E140" i="11"/>
  <c r="F140" i="11"/>
  <c r="G140" i="11"/>
  <c r="C172" i="11"/>
  <c r="D172" i="11"/>
  <c r="E172" i="11"/>
  <c r="G172" i="11"/>
  <c r="C173" i="11"/>
  <c r="D173" i="11"/>
  <c r="E173" i="11"/>
  <c r="F173" i="11"/>
  <c r="G173" i="11"/>
  <c r="C174" i="11"/>
  <c r="D174" i="11"/>
  <c r="E174" i="11"/>
  <c r="F174" i="11"/>
  <c r="G174" i="11"/>
  <c r="C175" i="11"/>
  <c r="D175" i="11"/>
  <c r="E175" i="11"/>
  <c r="F175" i="11"/>
  <c r="G175" i="11"/>
  <c r="C207" i="11"/>
  <c r="D207" i="11"/>
  <c r="E207" i="11"/>
  <c r="G207" i="11"/>
  <c r="C208" i="11"/>
  <c r="D208" i="11"/>
  <c r="E208" i="11"/>
  <c r="F208" i="11"/>
  <c r="G208" i="11"/>
  <c r="C209" i="11"/>
  <c r="D209" i="11"/>
  <c r="E209" i="11"/>
  <c r="F209" i="11"/>
  <c r="G209" i="11"/>
  <c r="C210" i="11"/>
  <c r="D210" i="11"/>
  <c r="E210" i="11"/>
  <c r="F210" i="11"/>
  <c r="G210" i="11"/>
  <c r="C242" i="11"/>
  <c r="D242" i="11"/>
  <c r="E242" i="11"/>
  <c r="G242" i="11"/>
  <c r="C243" i="11"/>
  <c r="D243" i="11"/>
  <c r="E243" i="11"/>
  <c r="F243" i="11"/>
  <c r="G243" i="11"/>
  <c r="C244" i="11"/>
  <c r="D244" i="11"/>
  <c r="E244" i="11"/>
  <c r="F244" i="11"/>
  <c r="G244" i="11"/>
  <c r="C245" i="11"/>
  <c r="D245" i="11"/>
  <c r="E245" i="11"/>
  <c r="F245" i="11"/>
  <c r="G245" i="11"/>
  <c r="C277" i="11"/>
  <c r="D277" i="11"/>
  <c r="E277" i="11"/>
  <c r="G277" i="11"/>
  <c r="C278" i="11"/>
  <c r="D278" i="11"/>
  <c r="E278" i="11"/>
  <c r="F278" i="11"/>
  <c r="G278" i="11"/>
  <c r="C279" i="11"/>
  <c r="D279" i="11"/>
  <c r="E279" i="11"/>
  <c r="F279" i="11"/>
  <c r="G279" i="11"/>
  <c r="C280" i="11"/>
  <c r="D280" i="11"/>
  <c r="E280" i="11"/>
  <c r="F280" i="11"/>
  <c r="G280" i="11"/>
  <c r="C312" i="11"/>
  <c r="D312" i="11"/>
  <c r="E312" i="11"/>
  <c r="G312" i="11"/>
  <c r="C313" i="11"/>
  <c r="D313" i="11"/>
  <c r="E313" i="11"/>
  <c r="F313" i="11"/>
  <c r="G313" i="11"/>
  <c r="C314" i="11"/>
  <c r="D314" i="11"/>
  <c r="E314" i="11"/>
  <c r="F314" i="11"/>
  <c r="G314" i="11"/>
  <c r="C315" i="11"/>
  <c r="D315" i="11"/>
  <c r="E315" i="11"/>
  <c r="F315" i="11"/>
  <c r="G315" i="11"/>
  <c r="C347" i="11"/>
  <c r="D347" i="11"/>
  <c r="E347" i="11"/>
  <c r="G347" i="11"/>
  <c r="C348" i="11"/>
  <c r="D348" i="11"/>
  <c r="E348" i="11"/>
  <c r="F348" i="11"/>
  <c r="G348" i="11"/>
  <c r="C349" i="11"/>
  <c r="D349" i="11"/>
  <c r="E349" i="11"/>
  <c r="F349" i="11"/>
  <c r="G349" i="11"/>
  <c r="C350" i="11"/>
  <c r="D350" i="11"/>
  <c r="E350" i="11"/>
  <c r="F350" i="11"/>
  <c r="G350" i="11"/>
  <c r="C382" i="11"/>
  <c r="D382" i="11"/>
  <c r="E382" i="11"/>
  <c r="G382" i="11"/>
  <c r="C383" i="11"/>
  <c r="D383" i="11"/>
  <c r="E383" i="11"/>
  <c r="F383" i="11"/>
  <c r="G383" i="11"/>
  <c r="C384" i="11"/>
  <c r="D384" i="11"/>
  <c r="E384" i="11"/>
  <c r="F384" i="11"/>
  <c r="G384" i="11"/>
  <c r="C385" i="11"/>
  <c r="D385" i="11"/>
  <c r="E385" i="11"/>
  <c r="F385" i="11"/>
  <c r="G385" i="11"/>
  <c r="C417" i="11"/>
  <c r="D417" i="11"/>
  <c r="E417" i="11"/>
  <c r="G417" i="11"/>
  <c r="C418" i="11"/>
  <c r="D418" i="11"/>
  <c r="E418" i="11"/>
  <c r="F418" i="11"/>
  <c r="G418" i="11"/>
  <c r="C419" i="11"/>
  <c r="D419" i="11"/>
  <c r="E419" i="11"/>
  <c r="F419" i="11"/>
  <c r="G419" i="11"/>
  <c r="C420" i="11"/>
  <c r="D420" i="11"/>
  <c r="E420" i="11"/>
  <c r="F420" i="11"/>
  <c r="G420" i="11"/>
  <c r="D26" i="13"/>
  <c r="D49" i="13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V27" i="1"/>
  <c r="W27" i="1"/>
  <c r="X27" i="1"/>
  <c r="Y27" i="1"/>
  <c r="Z27" i="1"/>
  <c r="AA27" i="1"/>
  <c r="AB27" i="1"/>
  <c r="AC27" i="1"/>
  <c r="X29" i="1"/>
  <c r="Z29" i="1"/>
  <c r="AB29" i="1"/>
  <c r="N45" i="1"/>
  <c r="F5" i="2"/>
  <c r="A13" i="2"/>
  <c r="A14" i="2"/>
  <c r="G14" i="2"/>
  <c r="I14" i="2"/>
  <c r="L14" i="2"/>
  <c r="A15" i="2"/>
  <c r="G15" i="2"/>
  <c r="I15" i="2"/>
  <c r="A16" i="2"/>
  <c r="G16" i="2"/>
  <c r="I16" i="2"/>
  <c r="A17" i="2"/>
  <c r="G17" i="2"/>
  <c r="I17" i="2"/>
  <c r="A18" i="2"/>
  <c r="G18" i="2"/>
  <c r="I18" i="2"/>
  <c r="L18" i="2"/>
  <c r="G19" i="2"/>
  <c r="J19" i="2"/>
  <c r="A20" i="2"/>
  <c r="C20" i="2"/>
  <c r="D20" i="2"/>
  <c r="E20" i="2"/>
  <c r="I20" i="2"/>
  <c r="J20" i="2"/>
  <c r="A21" i="2"/>
  <c r="C21" i="2"/>
  <c r="D21" i="2"/>
  <c r="E21" i="2"/>
  <c r="I21" i="2"/>
  <c r="J21" i="2"/>
  <c r="A22" i="2"/>
  <c r="C22" i="2"/>
  <c r="D22" i="2"/>
  <c r="E22" i="2"/>
  <c r="G22" i="2"/>
  <c r="I22" i="2"/>
  <c r="J22" i="2"/>
  <c r="L22" i="2"/>
  <c r="A29" i="2"/>
  <c r="A30" i="2"/>
  <c r="C30" i="2"/>
  <c r="D30" i="2"/>
  <c r="E30" i="2"/>
  <c r="G30" i="2"/>
  <c r="I30" i="2"/>
  <c r="C31" i="2"/>
  <c r="D31" i="2"/>
  <c r="E31" i="2"/>
  <c r="C32" i="2"/>
  <c r="D32" i="2"/>
  <c r="E32" i="2"/>
  <c r="C33" i="2"/>
  <c r="D33" i="2"/>
  <c r="E33" i="2"/>
  <c r="L30" i="2"/>
  <c r="A31" i="2"/>
  <c r="G31" i="2"/>
  <c r="I31" i="2"/>
  <c r="A32" i="2"/>
  <c r="G32" i="2"/>
  <c r="I32" i="2"/>
  <c r="I34" i="2"/>
  <c r="L32" i="2"/>
  <c r="A33" i="2"/>
  <c r="G33" i="2"/>
  <c r="I33" i="2"/>
  <c r="A34" i="2"/>
  <c r="C34" i="2"/>
  <c r="D34" i="2"/>
  <c r="E34" i="2"/>
  <c r="G34" i="2"/>
  <c r="E35" i="2"/>
  <c r="G35" i="2"/>
  <c r="J35" i="2"/>
  <c r="A36" i="2"/>
  <c r="C36" i="2"/>
  <c r="D36" i="2"/>
  <c r="E36" i="2"/>
  <c r="I36" i="2"/>
  <c r="J36" i="2"/>
  <c r="A37" i="2"/>
  <c r="C37" i="2"/>
  <c r="D37" i="2"/>
  <c r="E37" i="2"/>
  <c r="I37" i="2"/>
  <c r="J37" i="2"/>
  <c r="A38" i="2"/>
  <c r="C38" i="2"/>
  <c r="D38" i="2"/>
  <c r="E38" i="2"/>
  <c r="G38" i="2"/>
  <c r="I38" i="2"/>
  <c r="J38" i="2"/>
  <c r="A45" i="2"/>
  <c r="A46" i="2"/>
  <c r="C46" i="2"/>
  <c r="D46" i="2"/>
  <c r="E46" i="2"/>
  <c r="G46" i="2"/>
  <c r="I46" i="2"/>
  <c r="A47" i="2"/>
  <c r="C47" i="2"/>
  <c r="D47" i="2"/>
  <c r="E47" i="2"/>
  <c r="G47" i="2"/>
  <c r="I47" i="2"/>
  <c r="A48" i="2"/>
  <c r="C48" i="2"/>
  <c r="D48" i="2"/>
  <c r="E48" i="2"/>
  <c r="G48" i="2"/>
  <c r="I48" i="2"/>
  <c r="A49" i="2"/>
  <c r="C49" i="2"/>
  <c r="D49" i="2"/>
  <c r="E49" i="2"/>
  <c r="G49" i="2"/>
  <c r="I49" i="2"/>
  <c r="A50" i="2"/>
  <c r="C50" i="2"/>
  <c r="D50" i="2"/>
  <c r="E50" i="2"/>
  <c r="G50" i="2"/>
  <c r="I50" i="2"/>
  <c r="E51" i="2"/>
  <c r="G51" i="2"/>
  <c r="J51" i="2"/>
  <c r="A52" i="2"/>
  <c r="C52" i="2"/>
  <c r="D52" i="2"/>
  <c r="E52" i="2"/>
  <c r="I52" i="2"/>
  <c r="J52" i="2"/>
  <c r="A53" i="2"/>
  <c r="C53" i="2"/>
  <c r="D53" i="2"/>
  <c r="E53" i="2"/>
  <c r="I53" i="2"/>
  <c r="J53" i="2"/>
  <c r="A54" i="2"/>
  <c r="C54" i="2"/>
  <c r="D54" i="2"/>
  <c r="E54" i="2"/>
  <c r="G54" i="2"/>
  <c r="I54" i="2"/>
  <c r="J54" i="2"/>
  <c r="F59" i="2"/>
  <c r="A67" i="2"/>
  <c r="A68" i="2"/>
  <c r="C68" i="2"/>
  <c r="D68" i="2"/>
  <c r="E68" i="2"/>
  <c r="G68" i="2"/>
  <c r="I68" i="2"/>
  <c r="A69" i="2"/>
  <c r="C69" i="2"/>
  <c r="D69" i="2"/>
  <c r="E69" i="2"/>
  <c r="G69" i="2"/>
  <c r="I69" i="2"/>
  <c r="A70" i="2"/>
  <c r="C70" i="2"/>
  <c r="D70" i="2"/>
  <c r="E70" i="2"/>
  <c r="G70" i="2"/>
  <c r="I70" i="2"/>
  <c r="A71" i="2"/>
  <c r="C71" i="2"/>
  <c r="D71" i="2"/>
  <c r="E71" i="2"/>
  <c r="G71" i="2"/>
  <c r="I71" i="2"/>
  <c r="A72" i="2"/>
  <c r="C72" i="2"/>
  <c r="D72" i="2"/>
  <c r="E72" i="2"/>
  <c r="G72" i="2"/>
  <c r="I72" i="2"/>
  <c r="E73" i="2"/>
  <c r="G73" i="2"/>
  <c r="J73" i="2"/>
  <c r="A74" i="2"/>
  <c r="C74" i="2"/>
  <c r="D74" i="2"/>
  <c r="E74" i="2"/>
  <c r="I74" i="2"/>
  <c r="J74" i="2"/>
  <c r="A75" i="2"/>
  <c r="C75" i="2"/>
  <c r="D75" i="2"/>
  <c r="E75" i="2"/>
  <c r="I75" i="2"/>
  <c r="J75" i="2"/>
  <c r="A76" i="2"/>
  <c r="C76" i="2"/>
  <c r="D76" i="2"/>
  <c r="E76" i="2"/>
  <c r="G76" i="2"/>
  <c r="I76" i="2"/>
  <c r="J76" i="2"/>
  <c r="A83" i="2"/>
  <c r="A84" i="2"/>
  <c r="C84" i="2"/>
  <c r="D84" i="2"/>
  <c r="E84" i="2"/>
  <c r="G84" i="2"/>
  <c r="I84" i="2"/>
  <c r="A85" i="2"/>
  <c r="C85" i="2"/>
  <c r="D85" i="2"/>
  <c r="E85" i="2"/>
  <c r="G85" i="2"/>
  <c r="I85" i="2"/>
  <c r="A86" i="2"/>
  <c r="C86" i="2"/>
  <c r="D86" i="2"/>
  <c r="E86" i="2"/>
  <c r="G86" i="2"/>
  <c r="I86" i="2"/>
  <c r="A87" i="2"/>
  <c r="C87" i="2"/>
  <c r="D87" i="2"/>
  <c r="E87" i="2"/>
  <c r="G87" i="2"/>
  <c r="I87" i="2"/>
  <c r="A88" i="2"/>
  <c r="C88" i="2"/>
  <c r="D88" i="2"/>
  <c r="E88" i="2"/>
  <c r="G88" i="2"/>
  <c r="I88" i="2"/>
  <c r="E89" i="2"/>
  <c r="G89" i="2"/>
  <c r="J89" i="2"/>
  <c r="A90" i="2"/>
  <c r="C90" i="2"/>
  <c r="D90" i="2"/>
  <c r="E90" i="2"/>
  <c r="I90" i="2"/>
  <c r="J90" i="2"/>
  <c r="A91" i="2"/>
  <c r="C91" i="2"/>
  <c r="D91" i="2"/>
  <c r="E91" i="2"/>
  <c r="I91" i="2"/>
  <c r="J91" i="2"/>
  <c r="A92" i="2"/>
  <c r="C92" i="2"/>
  <c r="D92" i="2"/>
  <c r="E92" i="2"/>
  <c r="G92" i="2"/>
  <c r="I92" i="2"/>
  <c r="J92" i="2"/>
  <c r="A99" i="2"/>
  <c r="A100" i="2"/>
  <c r="C100" i="2"/>
  <c r="D100" i="2"/>
  <c r="E100" i="2"/>
  <c r="G100" i="2"/>
  <c r="I100" i="2"/>
  <c r="A101" i="2"/>
  <c r="C101" i="2"/>
  <c r="D101" i="2"/>
  <c r="E101" i="2"/>
  <c r="G101" i="2"/>
  <c r="I101" i="2"/>
  <c r="A102" i="2"/>
  <c r="C102" i="2"/>
  <c r="D102" i="2"/>
  <c r="E102" i="2"/>
  <c r="G102" i="2"/>
  <c r="I102" i="2"/>
  <c r="A103" i="2"/>
  <c r="C103" i="2"/>
  <c r="D103" i="2"/>
  <c r="E103" i="2"/>
  <c r="G103" i="2"/>
  <c r="I103" i="2"/>
  <c r="A104" i="2"/>
  <c r="C104" i="2"/>
  <c r="D104" i="2"/>
  <c r="E104" i="2"/>
  <c r="G104" i="2"/>
  <c r="I104" i="2"/>
  <c r="E105" i="2"/>
  <c r="G105" i="2"/>
  <c r="J105" i="2"/>
  <c r="A106" i="2"/>
  <c r="C106" i="2"/>
  <c r="D106" i="2"/>
  <c r="E106" i="2"/>
  <c r="I106" i="2"/>
  <c r="J106" i="2"/>
  <c r="A107" i="2"/>
  <c r="C107" i="2"/>
  <c r="D107" i="2"/>
  <c r="E107" i="2"/>
  <c r="I107" i="2"/>
  <c r="J107" i="2"/>
  <c r="A108" i="2"/>
  <c r="C108" i="2"/>
  <c r="D108" i="2"/>
  <c r="E108" i="2"/>
  <c r="G108" i="2"/>
  <c r="I108" i="2"/>
  <c r="J108" i="2"/>
  <c r="F113" i="2"/>
  <c r="A121" i="2"/>
  <c r="A122" i="2"/>
  <c r="C122" i="2"/>
  <c r="D122" i="2"/>
  <c r="E122" i="2"/>
  <c r="G122" i="2"/>
  <c r="I122" i="2"/>
  <c r="A123" i="2"/>
  <c r="C123" i="2"/>
  <c r="D123" i="2"/>
  <c r="E123" i="2"/>
  <c r="G123" i="2"/>
  <c r="I123" i="2"/>
  <c r="A124" i="2"/>
  <c r="C124" i="2"/>
  <c r="D124" i="2"/>
  <c r="E124" i="2"/>
  <c r="G124" i="2"/>
  <c r="I124" i="2"/>
  <c r="A125" i="2"/>
  <c r="C125" i="2"/>
  <c r="D125" i="2"/>
  <c r="E125" i="2"/>
  <c r="G125" i="2"/>
  <c r="I125" i="2"/>
  <c r="A126" i="2"/>
  <c r="C126" i="2"/>
  <c r="D126" i="2"/>
  <c r="E126" i="2"/>
  <c r="G126" i="2"/>
  <c r="I126" i="2"/>
  <c r="E127" i="2"/>
  <c r="G127" i="2"/>
  <c r="J127" i="2"/>
  <c r="A128" i="2"/>
  <c r="C128" i="2"/>
  <c r="D128" i="2"/>
  <c r="E128" i="2"/>
  <c r="I128" i="2"/>
  <c r="J128" i="2"/>
  <c r="A129" i="2"/>
  <c r="C129" i="2"/>
  <c r="D129" i="2"/>
  <c r="E129" i="2"/>
  <c r="I129" i="2"/>
  <c r="J129" i="2"/>
  <c r="A130" i="2"/>
  <c r="C130" i="2"/>
  <c r="D130" i="2"/>
  <c r="E130" i="2"/>
  <c r="G130" i="2"/>
  <c r="I130" i="2"/>
  <c r="J130" i="2"/>
  <c r="A137" i="2"/>
  <c r="A138" i="2"/>
  <c r="C138" i="2"/>
  <c r="D138" i="2"/>
  <c r="E138" i="2"/>
  <c r="G138" i="2"/>
  <c r="I138" i="2"/>
  <c r="A139" i="2"/>
  <c r="C139" i="2"/>
  <c r="D139" i="2"/>
  <c r="E139" i="2"/>
  <c r="G139" i="2"/>
  <c r="I139" i="2"/>
  <c r="A140" i="2"/>
  <c r="C140" i="2"/>
  <c r="D140" i="2"/>
  <c r="E140" i="2"/>
  <c r="G140" i="2"/>
  <c r="I140" i="2"/>
  <c r="A141" i="2"/>
  <c r="C141" i="2"/>
  <c r="D141" i="2"/>
  <c r="E141" i="2"/>
  <c r="G141" i="2"/>
  <c r="I141" i="2"/>
  <c r="A142" i="2"/>
  <c r="C142" i="2"/>
  <c r="D142" i="2"/>
  <c r="E142" i="2"/>
  <c r="G142" i="2"/>
  <c r="I142" i="2"/>
  <c r="E143" i="2"/>
  <c r="G143" i="2"/>
  <c r="J143" i="2"/>
  <c r="A144" i="2"/>
  <c r="C144" i="2"/>
  <c r="D144" i="2"/>
  <c r="E144" i="2"/>
  <c r="I144" i="2"/>
  <c r="J144" i="2"/>
  <c r="A145" i="2"/>
  <c r="C145" i="2"/>
  <c r="D145" i="2"/>
  <c r="E145" i="2"/>
  <c r="I145" i="2"/>
  <c r="J145" i="2"/>
  <c r="A146" i="2"/>
  <c r="C146" i="2"/>
  <c r="D146" i="2"/>
  <c r="E146" i="2"/>
  <c r="G146" i="2"/>
  <c r="I146" i="2"/>
  <c r="J146" i="2"/>
  <c r="A153" i="2"/>
  <c r="A154" i="2"/>
  <c r="C154" i="2"/>
  <c r="D154" i="2"/>
  <c r="E154" i="2"/>
  <c r="G154" i="2"/>
  <c r="I154" i="2"/>
  <c r="A155" i="2"/>
  <c r="C155" i="2"/>
  <c r="D155" i="2"/>
  <c r="E155" i="2"/>
  <c r="G155" i="2"/>
  <c r="I155" i="2"/>
  <c r="A156" i="2"/>
  <c r="C156" i="2"/>
  <c r="D156" i="2"/>
  <c r="E156" i="2"/>
  <c r="G156" i="2"/>
  <c r="I156" i="2"/>
  <c r="A157" i="2"/>
  <c r="C157" i="2"/>
  <c r="D157" i="2"/>
  <c r="E157" i="2"/>
  <c r="G157" i="2"/>
  <c r="I157" i="2"/>
  <c r="A158" i="2"/>
  <c r="C158" i="2"/>
  <c r="D158" i="2"/>
  <c r="E158" i="2"/>
  <c r="G158" i="2"/>
  <c r="I158" i="2"/>
  <c r="E159" i="2"/>
  <c r="G159" i="2"/>
  <c r="J159" i="2"/>
  <c r="A160" i="2"/>
  <c r="C160" i="2"/>
  <c r="D160" i="2"/>
  <c r="E160" i="2"/>
  <c r="I160" i="2"/>
  <c r="J160" i="2"/>
  <c r="A161" i="2"/>
  <c r="C161" i="2"/>
  <c r="D161" i="2"/>
  <c r="E161" i="2"/>
  <c r="I161" i="2"/>
  <c r="J161" i="2"/>
  <c r="A162" i="2"/>
  <c r="C162" i="2"/>
  <c r="D162" i="2"/>
  <c r="E162" i="2"/>
  <c r="G162" i="2"/>
  <c r="I162" i="2"/>
  <c r="J162" i="2"/>
  <c r="F169" i="2"/>
  <c r="A177" i="2"/>
  <c r="A178" i="2"/>
  <c r="C178" i="2"/>
  <c r="D178" i="2"/>
  <c r="E178" i="2"/>
  <c r="G178" i="2"/>
  <c r="I178" i="2"/>
  <c r="A179" i="2"/>
  <c r="C179" i="2"/>
  <c r="D179" i="2"/>
  <c r="E179" i="2"/>
  <c r="G179" i="2"/>
  <c r="I179" i="2"/>
  <c r="A180" i="2"/>
  <c r="C180" i="2"/>
  <c r="D180" i="2"/>
  <c r="E180" i="2"/>
  <c r="G180" i="2"/>
  <c r="I180" i="2"/>
  <c r="A181" i="2"/>
  <c r="C181" i="2"/>
  <c r="D181" i="2"/>
  <c r="E181" i="2"/>
  <c r="G181" i="2"/>
  <c r="I181" i="2"/>
  <c r="A182" i="2"/>
  <c r="C182" i="2"/>
  <c r="D182" i="2"/>
  <c r="E182" i="2"/>
  <c r="G182" i="2"/>
  <c r="I182" i="2"/>
  <c r="E183" i="2"/>
  <c r="G183" i="2"/>
  <c r="J183" i="2"/>
  <c r="A184" i="2"/>
  <c r="C184" i="2"/>
  <c r="D184" i="2"/>
  <c r="E184" i="2"/>
  <c r="I184" i="2"/>
  <c r="J184" i="2"/>
  <c r="A185" i="2"/>
  <c r="C185" i="2"/>
  <c r="D185" i="2"/>
  <c r="E185" i="2"/>
  <c r="I185" i="2"/>
  <c r="J185" i="2"/>
  <c r="A186" i="2"/>
  <c r="C186" i="2"/>
  <c r="D186" i="2"/>
  <c r="E186" i="2"/>
  <c r="G186" i="2"/>
  <c r="I186" i="2"/>
  <c r="J186" i="2"/>
  <c r="A193" i="2"/>
  <c r="A194" i="2"/>
  <c r="C194" i="2"/>
  <c r="D194" i="2"/>
  <c r="E194" i="2"/>
  <c r="G194" i="2"/>
  <c r="I194" i="2"/>
  <c r="A195" i="2"/>
  <c r="C195" i="2"/>
  <c r="D195" i="2"/>
  <c r="E195" i="2"/>
  <c r="G195" i="2"/>
  <c r="I195" i="2"/>
  <c r="A196" i="2"/>
  <c r="C196" i="2"/>
  <c r="D196" i="2"/>
  <c r="E196" i="2"/>
  <c r="G196" i="2"/>
  <c r="I196" i="2"/>
  <c r="A197" i="2"/>
  <c r="C197" i="2"/>
  <c r="D197" i="2"/>
  <c r="E197" i="2"/>
  <c r="G197" i="2"/>
  <c r="I197" i="2"/>
  <c r="L197" i="2"/>
  <c r="A198" i="2"/>
  <c r="C198" i="2"/>
  <c r="D198" i="2"/>
  <c r="E198" i="2"/>
  <c r="G198" i="2"/>
  <c r="I198" i="2"/>
  <c r="E199" i="2"/>
  <c r="G199" i="2"/>
  <c r="J199" i="2"/>
  <c r="A200" i="2"/>
  <c r="C200" i="2"/>
  <c r="D200" i="2"/>
  <c r="E200" i="2"/>
  <c r="I200" i="2"/>
  <c r="J200" i="2"/>
  <c r="A201" i="2"/>
  <c r="C201" i="2"/>
  <c r="D201" i="2"/>
  <c r="E201" i="2"/>
  <c r="I201" i="2"/>
  <c r="J201" i="2"/>
  <c r="A202" i="2"/>
  <c r="C202" i="2"/>
  <c r="D202" i="2"/>
  <c r="E202" i="2"/>
  <c r="G202" i="2"/>
  <c r="I202" i="2"/>
  <c r="J202" i="2"/>
  <c r="A209" i="2"/>
  <c r="A210" i="2"/>
  <c r="C210" i="2"/>
  <c r="D210" i="2"/>
  <c r="E210" i="2"/>
  <c r="G210" i="2"/>
  <c r="I210" i="2"/>
  <c r="A211" i="2"/>
  <c r="C211" i="2"/>
  <c r="D211" i="2"/>
  <c r="E211" i="2"/>
  <c r="G211" i="2"/>
  <c r="I211" i="2"/>
  <c r="A212" i="2"/>
  <c r="C212" i="2"/>
  <c r="D212" i="2"/>
  <c r="E212" i="2"/>
  <c r="G212" i="2"/>
  <c r="I212" i="2"/>
  <c r="A213" i="2"/>
  <c r="C213" i="2"/>
  <c r="D213" i="2"/>
  <c r="E213" i="2"/>
  <c r="G213" i="2"/>
  <c r="I213" i="2"/>
  <c r="A214" i="2"/>
  <c r="C214" i="2"/>
  <c r="D214" i="2"/>
  <c r="E214" i="2"/>
  <c r="G214" i="2"/>
  <c r="I214" i="2"/>
  <c r="E215" i="2"/>
  <c r="G215" i="2"/>
  <c r="J215" i="2"/>
  <c r="A216" i="2"/>
  <c r="C216" i="2"/>
  <c r="D216" i="2"/>
  <c r="E216" i="2"/>
  <c r="I216" i="2"/>
  <c r="J216" i="2"/>
  <c r="A217" i="2"/>
  <c r="C217" i="2"/>
  <c r="D217" i="2"/>
  <c r="E217" i="2"/>
  <c r="I217" i="2"/>
  <c r="J217" i="2"/>
  <c r="A218" i="2"/>
  <c r="C218" i="2"/>
  <c r="D218" i="2"/>
  <c r="E218" i="2"/>
  <c r="G218" i="2"/>
  <c r="I218" i="2"/>
  <c r="J218" i="2"/>
  <c r="F224" i="2"/>
  <c r="A232" i="2"/>
  <c r="A233" i="2"/>
  <c r="C233" i="2"/>
  <c r="D233" i="2"/>
  <c r="E233" i="2"/>
  <c r="G233" i="2"/>
  <c r="I233" i="2"/>
  <c r="A234" i="2"/>
  <c r="C234" i="2"/>
  <c r="D234" i="2"/>
  <c r="E234" i="2"/>
  <c r="G234" i="2"/>
  <c r="I234" i="2"/>
  <c r="A235" i="2"/>
  <c r="C235" i="2"/>
  <c r="D235" i="2"/>
  <c r="E235" i="2"/>
  <c r="G235" i="2"/>
  <c r="I235" i="2"/>
  <c r="A236" i="2"/>
  <c r="C236" i="2"/>
  <c r="D236" i="2"/>
  <c r="E236" i="2"/>
  <c r="G236" i="2"/>
  <c r="I236" i="2"/>
  <c r="A237" i="2"/>
  <c r="C237" i="2"/>
  <c r="D237" i="2"/>
  <c r="E237" i="2"/>
  <c r="G237" i="2"/>
  <c r="I237" i="2"/>
  <c r="E238" i="2"/>
  <c r="G238" i="2"/>
  <c r="J238" i="2"/>
  <c r="A239" i="2"/>
  <c r="C239" i="2"/>
  <c r="D239" i="2"/>
  <c r="E239" i="2"/>
  <c r="I239" i="2"/>
  <c r="J239" i="2"/>
  <c r="A240" i="2"/>
  <c r="C240" i="2"/>
  <c r="D240" i="2"/>
  <c r="E240" i="2"/>
  <c r="I240" i="2"/>
  <c r="J240" i="2"/>
  <c r="A241" i="2"/>
  <c r="C241" i="2"/>
  <c r="D241" i="2"/>
  <c r="E241" i="2"/>
  <c r="G241" i="2"/>
  <c r="I241" i="2"/>
  <c r="J241" i="2"/>
  <c r="A248" i="2"/>
  <c r="A249" i="2"/>
  <c r="C249" i="2"/>
  <c r="D249" i="2"/>
  <c r="E249" i="2"/>
  <c r="G249" i="2"/>
  <c r="I249" i="2"/>
  <c r="A250" i="2"/>
  <c r="C250" i="2"/>
  <c r="D250" i="2"/>
  <c r="E250" i="2"/>
  <c r="G250" i="2"/>
  <c r="I250" i="2"/>
  <c r="A251" i="2"/>
  <c r="C251" i="2"/>
  <c r="D251" i="2"/>
  <c r="E251" i="2"/>
  <c r="G251" i="2"/>
  <c r="I251" i="2"/>
  <c r="A252" i="2"/>
  <c r="C252" i="2"/>
  <c r="D252" i="2"/>
  <c r="E252" i="2"/>
  <c r="G252" i="2"/>
  <c r="I252" i="2"/>
  <c r="A253" i="2"/>
  <c r="C253" i="2"/>
  <c r="D253" i="2"/>
  <c r="E253" i="2"/>
  <c r="G253" i="2"/>
  <c r="I253" i="2"/>
  <c r="E254" i="2"/>
  <c r="G254" i="2"/>
  <c r="J254" i="2"/>
  <c r="A255" i="2"/>
  <c r="C255" i="2"/>
  <c r="D255" i="2"/>
  <c r="E255" i="2"/>
  <c r="I255" i="2"/>
  <c r="J255" i="2"/>
  <c r="A256" i="2"/>
  <c r="C256" i="2"/>
  <c r="D256" i="2"/>
  <c r="E256" i="2"/>
  <c r="I256" i="2"/>
  <c r="J256" i="2"/>
  <c r="A257" i="2"/>
  <c r="C257" i="2"/>
  <c r="D257" i="2"/>
  <c r="E257" i="2"/>
  <c r="G257" i="2"/>
  <c r="I257" i="2"/>
  <c r="J257" i="2"/>
  <c r="A264" i="2"/>
  <c r="A265" i="2"/>
  <c r="C265" i="2"/>
  <c r="D265" i="2"/>
  <c r="E265" i="2"/>
  <c r="G265" i="2"/>
  <c r="I265" i="2"/>
  <c r="A266" i="2"/>
  <c r="C266" i="2"/>
  <c r="D266" i="2"/>
  <c r="E266" i="2"/>
  <c r="G266" i="2"/>
  <c r="I266" i="2"/>
  <c r="A267" i="2"/>
  <c r="C267" i="2"/>
  <c r="D267" i="2"/>
  <c r="E267" i="2"/>
  <c r="G267" i="2"/>
  <c r="I267" i="2"/>
  <c r="A268" i="2"/>
  <c r="C268" i="2"/>
  <c r="D268" i="2"/>
  <c r="E268" i="2"/>
  <c r="G268" i="2"/>
  <c r="I268" i="2"/>
  <c r="A269" i="2"/>
  <c r="C269" i="2"/>
  <c r="D269" i="2"/>
  <c r="E269" i="2"/>
  <c r="G269" i="2"/>
  <c r="I269" i="2"/>
  <c r="E270" i="2"/>
  <c r="G270" i="2"/>
  <c r="J270" i="2"/>
  <c r="A271" i="2"/>
  <c r="C271" i="2"/>
  <c r="D271" i="2"/>
  <c r="E271" i="2"/>
  <c r="I271" i="2"/>
  <c r="J271" i="2"/>
  <c r="A272" i="2"/>
  <c r="C272" i="2"/>
  <c r="D272" i="2"/>
  <c r="E272" i="2"/>
  <c r="I272" i="2"/>
  <c r="J272" i="2"/>
  <c r="A273" i="2"/>
  <c r="C273" i="2"/>
  <c r="D273" i="2"/>
  <c r="E273" i="2"/>
  <c r="G273" i="2"/>
  <c r="I273" i="2"/>
  <c r="J273" i="2"/>
  <c r="F279" i="2"/>
  <c r="A287" i="2"/>
  <c r="A288" i="2"/>
  <c r="C288" i="2"/>
  <c r="D288" i="2"/>
  <c r="E288" i="2"/>
  <c r="G288" i="2"/>
  <c r="I288" i="2"/>
  <c r="A289" i="2"/>
  <c r="C289" i="2"/>
  <c r="D289" i="2"/>
  <c r="E289" i="2"/>
  <c r="G289" i="2"/>
  <c r="I289" i="2"/>
  <c r="A290" i="2"/>
  <c r="C290" i="2"/>
  <c r="D290" i="2"/>
  <c r="E290" i="2"/>
  <c r="G290" i="2"/>
  <c r="I290" i="2"/>
  <c r="A291" i="2"/>
  <c r="C291" i="2"/>
  <c r="D291" i="2"/>
  <c r="E291" i="2"/>
  <c r="G291" i="2"/>
  <c r="I291" i="2"/>
  <c r="A292" i="2"/>
  <c r="C292" i="2"/>
  <c r="D292" i="2"/>
  <c r="E292" i="2"/>
  <c r="G292" i="2"/>
  <c r="I292" i="2"/>
  <c r="E293" i="2"/>
  <c r="G293" i="2"/>
  <c r="J293" i="2"/>
  <c r="A294" i="2"/>
  <c r="C294" i="2"/>
  <c r="D294" i="2"/>
  <c r="E294" i="2"/>
  <c r="I294" i="2"/>
  <c r="J294" i="2"/>
  <c r="A295" i="2"/>
  <c r="C295" i="2"/>
  <c r="D295" i="2"/>
  <c r="E295" i="2"/>
  <c r="I295" i="2"/>
  <c r="J295" i="2"/>
  <c r="A296" i="2"/>
  <c r="C296" i="2"/>
  <c r="D296" i="2"/>
  <c r="E296" i="2"/>
  <c r="G296" i="2"/>
  <c r="I296" i="2"/>
  <c r="J296" i="2"/>
  <c r="A303" i="2"/>
  <c r="A304" i="2"/>
  <c r="C304" i="2"/>
  <c r="D304" i="2"/>
  <c r="E304" i="2"/>
  <c r="G304" i="2"/>
  <c r="I304" i="2"/>
  <c r="A305" i="2"/>
  <c r="C305" i="2"/>
  <c r="D305" i="2"/>
  <c r="E305" i="2"/>
  <c r="G305" i="2"/>
  <c r="I305" i="2"/>
  <c r="A306" i="2"/>
  <c r="C306" i="2"/>
  <c r="D306" i="2"/>
  <c r="E306" i="2"/>
  <c r="G306" i="2"/>
  <c r="I306" i="2"/>
  <c r="A307" i="2"/>
  <c r="C307" i="2"/>
  <c r="D307" i="2"/>
  <c r="E307" i="2"/>
  <c r="G307" i="2"/>
  <c r="I307" i="2"/>
  <c r="A308" i="2"/>
  <c r="C308" i="2"/>
  <c r="D308" i="2"/>
  <c r="E308" i="2"/>
  <c r="G308" i="2"/>
  <c r="I308" i="2"/>
  <c r="E309" i="2"/>
  <c r="G309" i="2"/>
  <c r="J309" i="2"/>
  <c r="A310" i="2"/>
  <c r="C310" i="2"/>
  <c r="D310" i="2"/>
  <c r="E310" i="2"/>
  <c r="I310" i="2"/>
  <c r="J310" i="2"/>
  <c r="A311" i="2"/>
  <c r="C311" i="2"/>
  <c r="D311" i="2"/>
  <c r="E311" i="2"/>
  <c r="I311" i="2"/>
  <c r="J311" i="2"/>
  <c r="A312" i="2"/>
  <c r="C312" i="2"/>
  <c r="D312" i="2"/>
  <c r="E312" i="2"/>
  <c r="G312" i="2"/>
  <c r="I312" i="2"/>
  <c r="J312" i="2"/>
  <c r="A319" i="2"/>
  <c r="A320" i="2"/>
  <c r="C320" i="2"/>
  <c r="D320" i="2"/>
  <c r="E320" i="2"/>
  <c r="G320" i="2"/>
  <c r="I320" i="2"/>
  <c r="A321" i="2"/>
  <c r="C321" i="2"/>
  <c r="D321" i="2"/>
  <c r="E321" i="2"/>
  <c r="G321" i="2"/>
  <c r="I321" i="2"/>
  <c r="A322" i="2"/>
  <c r="C322" i="2"/>
  <c r="D322" i="2"/>
  <c r="E322" i="2"/>
  <c r="G322" i="2"/>
  <c r="I322" i="2"/>
  <c r="A323" i="2"/>
  <c r="C323" i="2"/>
  <c r="D323" i="2"/>
  <c r="E323" i="2"/>
  <c r="G323" i="2"/>
  <c r="I323" i="2"/>
  <c r="A324" i="2"/>
  <c r="C324" i="2"/>
  <c r="D324" i="2"/>
  <c r="E324" i="2"/>
  <c r="G324" i="2"/>
  <c r="I324" i="2"/>
  <c r="E325" i="2"/>
  <c r="G325" i="2"/>
  <c r="J325" i="2"/>
  <c r="A326" i="2"/>
  <c r="C326" i="2"/>
  <c r="D326" i="2"/>
  <c r="E326" i="2"/>
  <c r="I326" i="2"/>
  <c r="J326" i="2"/>
  <c r="A327" i="2"/>
  <c r="C327" i="2"/>
  <c r="D327" i="2"/>
  <c r="E327" i="2"/>
  <c r="I327" i="2"/>
  <c r="J327" i="2"/>
  <c r="A328" i="2"/>
  <c r="C328" i="2"/>
  <c r="D328" i="2"/>
  <c r="E328" i="2"/>
  <c r="G328" i="2"/>
  <c r="I328" i="2"/>
  <c r="J328" i="2"/>
  <c r="I2" i="3"/>
  <c r="B8" i="3"/>
  <c r="J8" i="3"/>
  <c r="M8" i="3"/>
  <c r="P8" i="3"/>
  <c r="B9" i="3"/>
  <c r="J9" i="3"/>
  <c r="M9" i="3"/>
  <c r="P9" i="3"/>
  <c r="B10" i="3"/>
  <c r="J10" i="3"/>
  <c r="M10" i="3"/>
  <c r="P10" i="3"/>
  <c r="B11" i="3"/>
  <c r="J11" i="3"/>
  <c r="M11" i="3"/>
  <c r="P11" i="3"/>
  <c r="B12" i="3"/>
  <c r="J12" i="3"/>
  <c r="M12" i="3"/>
  <c r="P12" i="3"/>
  <c r="B13" i="3"/>
  <c r="J13" i="3"/>
  <c r="M13" i="3"/>
  <c r="P13" i="3"/>
  <c r="B14" i="3"/>
  <c r="J14" i="3"/>
  <c r="M14" i="3"/>
  <c r="P14" i="3"/>
  <c r="B15" i="3"/>
  <c r="J15" i="3"/>
  <c r="M15" i="3"/>
  <c r="P15" i="3"/>
  <c r="B16" i="3"/>
  <c r="J16" i="3"/>
  <c r="M16" i="3"/>
  <c r="P16" i="3"/>
  <c r="B17" i="3"/>
  <c r="J17" i="3"/>
  <c r="M17" i="3"/>
  <c r="P17" i="3"/>
  <c r="B18" i="3"/>
  <c r="J18" i="3"/>
  <c r="M18" i="3"/>
  <c r="P18" i="3"/>
  <c r="B19" i="3"/>
  <c r="J19" i="3"/>
  <c r="M19" i="3"/>
  <c r="P19" i="3"/>
  <c r="B20" i="3"/>
  <c r="J20" i="3"/>
  <c r="M20" i="3"/>
  <c r="P20" i="3"/>
  <c r="P23" i="3"/>
  <c r="J25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G2" i="4"/>
  <c r="A8" i="4"/>
  <c r="B8" i="4"/>
  <c r="C8" i="4"/>
  <c r="D8" i="4"/>
  <c r="E8" i="4"/>
  <c r="F8" i="4"/>
  <c r="G8" i="4"/>
  <c r="H8" i="4"/>
  <c r="I8" i="4"/>
  <c r="J8" i="4"/>
  <c r="K8" i="4"/>
  <c r="L8" i="4"/>
  <c r="M8" i="4"/>
  <c r="A9" i="4"/>
  <c r="B9" i="4"/>
  <c r="C9" i="4"/>
  <c r="D9" i="4"/>
  <c r="E9" i="4"/>
  <c r="F9" i="4"/>
  <c r="G9" i="4"/>
  <c r="H9" i="4"/>
  <c r="I9" i="4"/>
  <c r="J9" i="4"/>
  <c r="K9" i="4"/>
  <c r="L9" i="4"/>
  <c r="M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A20" i="4"/>
  <c r="B20" i="4"/>
  <c r="F20" i="4"/>
  <c r="G20" i="4"/>
  <c r="H20" i="4"/>
  <c r="I20" i="4"/>
  <c r="J20" i="4"/>
  <c r="K20" i="4"/>
  <c r="L20" i="4"/>
  <c r="M20" i="4"/>
  <c r="C21" i="4"/>
  <c r="D21" i="4"/>
  <c r="E21" i="4"/>
  <c r="G21" i="4"/>
  <c r="H21" i="4"/>
  <c r="I21" i="4"/>
  <c r="K21" i="4"/>
  <c r="L21" i="4"/>
  <c r="M21" i="4"/>
  <c r="B22" i="4"/>
  <c r="D22" i="4"/>
  <c r="F22" i="4"/>
  <c r="H22" i="4"/>
  <c r="J22" i="4"/>
  <c r="L22" i="4"/>
  <c r="D2" i="5"/>
  <c r="C7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E24" i="5"/>
  <c r="C2" i="6"/>
  <c r="A10" i="6"/>
  <c r="B10" i="6"/>
  <c r="D10" i="6"/>
  <c r="E10" i="6"/>
  <c r="A11" i="6"/>
  <c r="B11" i="6"/>
  <c r="D11" i="6"/>
  <c r="E11" i="6"/>
  <c r="A12" i="6"/>
  <c r="B12" i="6"/>
  <c r="D12" i="6"/>
  <c r="E12" i="6"/>
  <c r="A13" i="6"/>
  <c r="B13" i="6"/>
  <c r="D13" i="6"/>
  <c r="E13" i="6"/>
  <c r="A14" i="6"/>
  <c r="B14" i="6"/>
  <c r="D14" i="6"/>
  <c r="E14" i="6"/>
  <c r="A15" i="6"/>
  <c r="B15" i="6"/>
  <c r="D15" i="6"/>
  <c r="E15" i="6"/>
  <c r="A16" i="6"/>
  <c r="B16" i="6"/>
  <c r="D16" i="6"/>
  <c r="E16" i="6"/>
  <c r="A17" i="6"/>
  <c r="B17" i="6"/>
  <c r="D17" i="6"/>
  <c r="E17" i="6"/>
  <c r="A18" i="6"/>
  <c r="B18" i="6"/>
  <c r="D18" i="6"/>
  <c r="E18" i="6"/>
  <c r="A19" i="6"/>
  <c r="B19" i="6"/>
  <c r="D19" i="6"/>
  <c r="E19" i="6"/>
  <c r="A20" i="6"/>
  <c r="B20" i="6"/>
  <c r="D20" i="6"/>
  <c r="E20" i="6"/>
  <c r="A21" i="6"/>
  <c r="B21" i="6"/>
  <c r="D21" i="6"/>
  <c r="E21" i="6"/>
  <c r="A22" i="6"/>
  <c r="B22" i="6"/>
  <c r="D22" i="6"/>
  <c r="E22" i="6"/>
  <c r="E24" i="6"/>
  <c r="E26" i="6"/>
  <c r="D60" i="6"/>
  <c r="D61" i="6"/>
  <c r="C2" i="10"/>
  <c r="D19" i="10"/>
  <c r="I39" i="10"/>
  <c r="J39" i="10"/>
  <c r="K39" i="10"/>
  <c r="L39" i="10"/>
  <c r="D2" i="7"/>
  <c r="G9" i="7"/>
  <c r="A11" i="7"/>
  <c r="F11" i="7"/>
  <c r="G11" i="7"/>
  <c r="A12" i="7"/>
  <c r="F12" i="7"/>
  <c r="G12" i="7"/>
  <c r="A13" i="7"/>
  <c r="F13" i="7"/>
  <c r="G13" i="7"/>
  <c r="A14" i="7"/>
  <c r="F14" i="7"/>
  <c r="G14" i="7"/>
  <c r="A15" i="7"/>
  <c r="F15" i="7"/>
  <c r="G15" i="7"/>
  <c r="A16" i="7"/>
  <c r="F16" i="7"/>
  <c r="G16" i="7"/>
  <c r="A17" i="7"/>
  <c r="F17" i="7"/>
  <c r="G17" i="7"/>
  <c r="A18" i="7"/>
  <c r="F18" i="7"/>
  <c r="G18" i="7"/>
  <c r="A19" i="7"/>
  <c r="F19" i="7"/>
  <c r="G19" i="7"/>
  <c r="A20" i="7"/>
  <c r="F20" i="7"/>
  <c r="G20" i="7"/>
  <c r="A21" i="7"/>
  <c r="F21" i="7"/>
  <c r="G21" i="7"/>
  <c r="A22" i="7"/>
  <c r="F22" i="7"/>
  <c r="G22" i="7"/>
  <c r="A23" i="7"/>
  <c r="F23" i="7"/>
  <c r="G23" i="7"/>
  <c r="F25" i="7"/>
  <c r="E27" i="7"/>
  <c r="D30" i="7"/>
  <c r="G30" i="7"/>
  <c r="F32" i="7"/>
  <c r="F2" i="8"/>
  <c r="A10" i="8"/>
  <c r="C10" i="8"/>
  <c r="E10" i="8"/>
  <c r="G10" i="8"/>
  <c r="I10" i="8"/>
  <c r="K10" i="8"/>
  <c r="A11" i="8"/>
  <c r="C11" i="8"/>
  <c r="E11" i="8"/>
  <c r="G11" i="8"/>
  <c r="I11" i="8"/>
  <c r="K11" i="8"/>
  <c r="A12" i="8"/>
  <c r="C12" i="8"/>
  <c r="E12" i="8"/>
  <c r="G12" i="8"/>
  <c r="I12" i="8"/>
  <c r="K12" i="8"/>
  <c r="A13" i="8"/>
  <c r="C13" i="8"/>
  <c r="E13" i="8"/>
  <c r="G13" i="8"/>
  <c r="I13" i="8"/>
  <c r="K13" i="8"/>
  <c r="A14" i="8"/>
  <c r="C14" i="8"/>
  <c r="E14" i="8"/>
  <c r="G14" i="8"/>
  <c r="I14" i="8"/>
  <c r="K14" i="8"/>
  <c r="A15" i="8"/>
  <c r="C15" i="8"/>
  <c r="E15" i="8"/>
  <c r="G15" i="8"/>
  <c r="I15" i="8"/>
  <c r="K15" i="8"/>
  <c r="A16" i="8"/>
  <c r="C16" i="8"/>
  <c r="E16" i="8"/>
  <c r="G16" i="8"/>
  <c r="I16" i="8"/>
  <c r="K16" i="8"/>
  <c r="A17" i="8"/>
  <c r="C17" i="8"/>
  <c r="E17" i="8"/>
  <c r="G17" i="8"/>
  <c r="I17" i="8"/>
  <c r="K17" i="8"/>
  <c r="A18" i="8"/>
  <c r="C18" i="8"/>
  <c r="E18" i="8"/>
  <c r="G18" i="8"/>
  <c r="I18" i="8"/>
  <c r="K18" i="8"/>
  <c r="A19" i="8"/>
  <c r="C19" i="8"/>
  <c r="E19" i="8"/>
  <c r="G19" i="8"/>
  <c r="I19" i="8"/>
  <c r="K19" i="8"/>
  <c r="A20" i="8"/>
  <c r="C20" i="8"/>
  <c r="E20" i="8"/>
  <c r="G20" i="8"/>
  <c r="I20" i="8"/>
  <c r="K20" i="8"/>
  <c r="A21" i="8"/>
  <c r="C21" i="8"/>
  <c r="E21" i="8"/>
  <c r="G21" i="8"/>
  <c r="I21" i="8"/>
  <c r="K21" i="8"/>
  <c r="A22" i="8"/>
  <c r="C22" i="8"/>
  <c r="E22" i="8"/>
  <c r="G22" i="8"/>
  <c r="I22" i="8"/>
  <c r="K22" i="8"/>
  <c r="K24" i="8"/>
  <c r="K26" i="8"/>
  <c r="F2" i="9"/>
  <c r="A10" i="9"/>
  <c r="C10" i="9"/>
  <c r="E10" i="9"/>
  <c r="G10" i="9"/>
  <c r="I10" i="9"/>
  <c r="K10" i="9"/>
  <c r="A11" i="9"/>
  <c r="C11" i="9"/>
  <c r="E11" i="9"/>
  <c r="G11" i="9"/>
  <c r="I11" i="9"/>
  <c r="K11" i="9"/>
  <c r="A12" i="9"/>
  <c r="C12" i="9"/>
  <c r="E12" i="9"/>
  <c r="G12" i="9"/>
  <c r="I12" i="9"/>
  <c r="K12" i="9"/>
  <c r="A13" i="9"/>
  <c r="C13" i="9"/>
  <c r="E13" i="9"/>
  <c r="G13" i="9"/>
  <c r="I13" i="9"/>
  <c r="K13" i="9"/>
  <c r="A14" i="9"/>
  <c r="C14" i="9"/>
  <c r="E14" i="9"/>
  <c r="G14" i="9"/>
  <c r="I14" i="9"/>
  <c r="K14" i="9"/>
  <c r="A15" i="9"/>
  <c r="C15" i="9"/>
  <c r="E15" i="9"/>
  <c r="G15" i="9"/>
  <c r="I15" i="9"/>
  <c r="K15" i="9"/>
  <c r="A16" i="9"/>
  <c r="C16" i="9"/>
  <c r="E16" i="9"/>
  <c r="G16" i="9"/>
  <c r="I16" i="9"/>
  <c r="K16" i="9"/>
  <c r="A17" i="9"/>
  <c r="C17" i="9"/>
  <c r="E17" i="9"/>
  <c r="G17" i="9"/>
  <c r="I17" i="9"/>
  <c r="K17" i="9"/>
  <c r="A18" i="9"/>
  <c r="C18" i="9"/>
  <c r="E18" i="9"/>
  <c r="G18" i="9"/>
  <c r="I18" i="9"/>
  <c r="K18" i="9"/>
  <c r="A19" i="9"/>
  <c r="C19" i="9"/>
  <c r="E19" i="9"/>
  <c r="G19" i="9"/>
  <c r="I19" i="9"/>
  <c r="K19" i="9"/>
  <c r="A20" i="9"/>
  <c r="C20" i="9"/>
  <c r="E20" i="9"/>
  <c r="G20" i="9"/>
  <c r="I20" i="9"/>
  <c r="K20" i="9"/>
  <c r="A21" i="9"/>
  <c r="C21" i="9"/>
  <c r="E21" i="9"/>
  <c r="G21" i="9"/>
  <c r="I21" i="9"/>
  <c r="K21" i="9"/>
  <c r="A22" i="9"/>
  <c r="C22" i="9"/>
  <c r="E22" i="9"/>
  <c r="G22" i="9"/>
  <c r="I22" i="9"/>
  <c r="K22" i="9"/>
  <c r="K24" i="9"/>
  <c r="K26" i="9"/>
</calcChain>
</file>

<file path=xl/sharedStrings.xml><?xml version="1.0" encoding="utf-8"?>
<sst xmlns="http://schemas.openxmlformats.org/spreadsheetml/2006/main" count="981" uniqueCount="224">
  <si>
    <t>5YR HIST</t>
  </si>
  <si>
    <t>(Exhibit__(SGH-6))</t>
    <phoneticPr fontId="5" type="noConversion"/>
  </si>
  <si>
    <t>(Exhibit--(SGH-5))</t>
    <phoneticPr fontId="5" type="noConversion"/>
  </si>
  <si>
    <t>STOCK PRICE, DIVIDEND YIELDS</t>
    <phoneticPr fontId="5" type="noConversion"/>
  </si>
  <si>
    <t>V.L. PROJECTED</t>
    <phoneticPr fontId="5" type="noConversion"/>
  </si>
  <si>
    <t xml:space="preserve"> PROJECTED</t>
    <phoneticPr fontId="5" type="noConversion"/>
  </si>
  <si>
    <t>Stock prices = 30-day closing average, data from Yahoo!Finance.com.</t>
    <phoneticPr fontId="5" type="noConversion"/>
  </si>
  <si>
    <t>Zacks</t>
    <phoneticPr fontId="5" type="noConversion"/>
  </si>
  <si>
    <t>IBES</t>
    <phoneticPr fontId="5" type="noConversion"/>
  </si>
  <si>
    <t>Page 1 of 5</t>
    <phoneticPr fontId="5" type="noConversion"/>
  </si>
  <si>
    <t>Page 2 of 5</t>
    <phoneticPr fontId="5" type="noConversion"/>
  </si>
  <si>
    <t>Page 3 of 5</t>
    <phoneticPr fontId="5" type="noConversion"/>
  </si>
  <si>
    <t>Page 4 of 5</t>
    <phoneticPr fontId="5" type="noConversion"/>
  </si>
  <si>
    <t>IBES</t>
    <phoneticPr fontId="5" type="noConversion"/>
  </si>
  <si>
    <t>sel &amp; opin</t>
  </si>
  <si>
    <t>T-Bill</t>
  </si>
  <si>
    <t xml:space="preserve"> T-Bonds</t>
  </si>
  <si>
    <t>ROE(decimal)</t>
  </si>
  <si>
    <t>BVPS</t>
  </si>
  <si>
    <t>SHARES OUTST</t>
  </si>
  <si>
    <t>5-yr EPS g</t>
    <phoneticPr fontId="5" type="noConversion"/>
  </si>
  <si>
    <t>COST OF EQUITY</t>
  </si>
  <si>
    <t>k=</t>
  </si>
  <si>
    <t>(1-</t>
  </si>
  <si>
    <t>)/</t>
  </si>
  <si>
    <t>=</t>
  </si>
  <si>
    <t>g</t>
  </si>
  <si>
    <t>Average Market-to-Book Ratio</t>
  </si>
  <si>
    <t>EQUITY CAPITAL</t>
  </si>
  <si>
    <t>STANDARD DEVIATION</t>
  </si>
  <si>
    <t>PROJECTED</t>
  </si>
  <si>
    <t>sv=g*(1-(1/(M/B)))</t>
  </si>
  <si>
    <t>(</t>
  </si>
  <si>
    <t>-</t>
  </si>
  <si>
    <t>(1/</t>
  </si>
  <si>
    <t>))</t>
  </si>
  <si>
    <t>R.O.E.</t>
  </si>
  <si>
    <t>Date</t>
  </si>
  <si>
    <t>Open</t>
  </si>
  <si>
    <t>High</t>
  </si>
  <si>
    <t>Low</t>
  </si>
  <si>
    <t>Close</t>
  </si>
  <si>
    <t>MIN</t>
  </si>
  <si>
    <t>MAX</t>
  </si>
  <si>
    <t>MEDIAN</t>
  </si>
  <si>
    <t>Mean</t>
  </si>
  <si>
    <t>DCF</t>
  </si>
  <si>
    <t>Growth</t>
  </si>
  <si>
    <t>average beta††</t>
    <phoneticPr fontId="5" type="noConversion"/>
  </si>
  <si>
    <t>(PER SHARE)</t>
  </si>
  <si>
    <t>AVERAGE</t>
  </si>
  <si>
    <t>SHARES OUTST.</t>
  </si>
  <si>
    <t>SHARE</t>
  </si>
  <si>
    <t>RATIO</t>
  </si>
  <si>
    <t>RETURN</t>
  </si>
  <si>
    <t>"g"</t>
  </si>
  <si>
    <t>($/SHARE)</t>
  </si>
  <si>
    <t>(MILLIONS)</t>
  </si>
  <si>
    <t>DCF COST OF EQUITY CAPITAL</t>
  </si>
  <si>
    <t>DIVIDEND YIELD</t>
  </si>
  <si>
    <t>GROWTH RATE</t>
  </si>
  <si>
    <t>AVERAGES</t>
  </si>
  <si>
    <t>&amp; VL</t>
  </si>
  <si>
    <t>AVGS.</t>
  </si>
  <si>
    <t>GROWTH RATE COMPARISON</t>
  </si>
  <si>
    <t>DCF COST OF</t>
  </si>
  <si>
    <t>k = rf + B (rm - rf)</t>
  </si>
  <si>
    <t>Note: Equity returns and retention ratios based on Value Line current year projections.</t>
  </si>
  <si>
    <t>g*= expected growth in number of shares outstanding</t>
  </si>
  <si>
    <t>Value Line Projected</t>
  </si>
  <si>
    <t>Value Line Historic</t>
  </si>
  <si>
    <t>5-yr Compound Hist.</t>
  </si>
  <si>
    <t>BV GROWTH</t>
  </si>
  <si>
    <t xml:space="preserve"> </t>
    <phoneticPr fontId="5" type="noConversion"/>
  </si>
  <si>
    <t>growth rates from THOMPSON/IBES through Yahoo!Finance</t>
    <phoneticPr fontId="5" type="noConversion"/>
  </si>
  <si>
    <t>DCF GROWTH RATE PARAMETERS</t>
  </si>
  <si>
    <t>COMPANY</t>
  </si>
  <si>
    <t xml:space="preserve">INTERNAL </t>
  </si>
  <si>
    <t>GROWTH</t>
  </si>
  <si>
    <t>IDACORP, Inc.</t>
  </si>
  <si>
    <t>Note: Equity returns and retention ratios based on Value Line three- to five-year projections.</t>
  </si>
  <si>
    <t>CAPM COST OF EQUITY CAPITAL</t>
  </si>
  <si>
    <t>AVERAGE GROWTH</t>
  </si>
  <si>
    <t>DCF GROWTH RATES</t>
  </si>
  <si>
    <t>br</t>
  </si>
  <si>
    <t>+</t>
  </si>
  <si>
    <t>growth rates from Zack's through Zacks.com</t>
    <phoneticPr fontId="5" type="noConversion"/>
  </si>
  <si>
    <t>Page 5 of 5</t>
  </si>
  <si>
    <t xml:space="preserve"> AVERAGE</t>
  </si>
  <si>
    <t>MODIFIED EARNINGS-PRICE RATIO ANALYSIS</t>
  </si>
  <si>
    <t>EARNINGS-</t>
  </si>
  <si>
    <t>(Per Share)</t>
  </si>
  <si>
    <t>(Per share)</t>
  </si>
  <si>
    <t>AVG. STOCK PRICE</t>
  </si>
  <si>
    <t>Pinnacle West Capital</t>
  </si>
  <si>
    <t>Portland General</t>
  </si>
  <si>
    <t>Xcel Energy, Inc.</t>
  </si>
  <si>
    <t>SCALE</t>
  </si>
  <si>
    <t>BBB-=0</t>
  </si>
  <si>
    <t>BBB=1</t>
  </si>
  <si>
    <t>BBB+=2</t>
  </si>
  <si>
    <t>A-=3</t>
  </si>
  <si>
    <t>A=4</t>
  </si>
  <si>
    <t>A+=5</t>
  </si>
  <si>
    <t>AA-=6</t>
  </si>
  <si>
    <t>AVERAGE</t>
    <phoneticPr fontId="4"/>
  </si>
  <si>
    <t>earns in '15</t>
    <phoneticPr fontId="5" type="noConversion"/>
  </si>
  <si>
    <t>IBES</t>
    <phoneticPr fontId="4"/>
  </si>
  <si>
    <t>UTILITES</t>
  </si>
  <si>
    <t>average</t>
  </si>
  <si>
    <t>2017-2019</t>
    <phoneticPr fontId="4"/>
  </si>
  <si>
    <t>TE</t>
    <phoneticPr fontId="4"/>
  </si>
  <si>
    <t>ALE</t>
    <phoneticPr fontId="4"/>
  </si>
  <si>
    <t>OGE</t>
    <phoneticPr fontId="4"/>
  </si>
  <si>
    <t>WR</t>
    <phoneticPr fontId="4"/>
  </si>
  <si>
    <t>IDA</t>
    <phoneticPr fontId="4"/>
  </si>
  <si>
    <t>NWE</t>
    <phoneticPr fontId="4"/>
  </si>
  <si>
    <t>PNW</t>
    <phoneticPr fontId="4"/>
  </si>
  <si>
    <t>POR</t>
    <phoneticPr fontId="4"/>
  </si>
  <si>
    <t>XEL</t>
    <phoneticPr fontId="4"/>
  </si>
  <si>
    <t>DIVIDEND*</t>
    <phoneticPr fontId="5" type="noConversion"/>
  </si>
  <si>
    <t>DIVIDEND YIELD</t>
    <phoneticPr fontId="5" type="noConversion"/>
  </si>
  <si>
    <t>Average</t>
    <phoneticPr fontId="5" type="noConversion"/>
  </si>
  <si>
    <t>BAA</t>
    <phoneticPr fontId="4"/>
  </si>
  <si>
    <t>Last Year</t>
    <phoneticPr fontId="4"/>
  </si>
  <si>
    <t>*Current  T-Bond yields, six-week average yield from Value Line Selection &amp; Opinion.</t>
    <phoneticPr fontId="5" type="noConversion"/>
  </si>
  <si>
    <t>CURRENT M.E.P.R.</t>
  </si>
  <si>
    <t>company</t>
  </si>
  <si>
    <t>5-yr EPS</t>
  </si>
  <si>
    <t>PROJECTED M.E.P.R.</t>
  </si>
  <si>
    <t>NAME/</t>
  </si>
  <si>
    <t>MARKET</t>
  </si>
  <si>
    <t>BTEA</t>
  </si>
  <si>
    <t>AVG</t>
  </si>
  <si>
    <t>CURRENT</t>
  </si>
  <si>
    <t>Volume [000]</t>
  </si>
  <si>
    <t>5YR PROJ</t>
  </si>
  <si>
    <t>TICKER</t>
  </si>
  <si>
    <t>PRICE</t>
  </si>
  <si>
    <t>PROJ 5-YR EPS</t>
  </si>
  <si>
    <t>value line</t>
  </si>
  <si>
    <t>30-year</t>
  </si>
  <si>
    <t>BAA-RATED</t>
  </si>
  <si>
    <t>VALUE LINE</t>
  </si>
  <si>
    <t>DIVIDEND</t>
  </si>
  <si>
    <t>EPS</t>
  </si>
  <si>
    <t>DPS</t>
  </si>
  <si>
    <t>EARN GROWTH</t>
  </si>
  <si>
    <t>DIV GROWTH</t>
  </si>
  <si>
    <t>EXTERNAL</t>
  </si>
  <si>
    <t>RETENTION</t>
  </si>
  <si>
    <t xml:space="preserve">EQUITY </t>
  </si>
  <si>
    <t>BOOK VALUE</t>
  </si>
  <si>
    <t>[rf]*</t>
  </si>
  <si>
    <t>[rm - rf]†</t>
  </si>
  <si>
    <t>k</t>
  </si>
  <si>
    <t>MARKET-TO-BOOK RATIO ANALYSIS</t>
  </si>
  <si>
    <t>k = R.O.E.(1-b)/(M/B) + g</t>
  </si>
  <si>
    <t>MARKET-TO-BOOK</t>
  </si>
  <si>
    <t>Jurisd w/ decoup</t>
    <phoneticPr fontId="4"/>
  </si>
  <si>
    <t>Jurisd w/o decoup</t>
    <phoneticPr fontId="4"/>
  </si>
  <si>
    <t>ratio</t>
    <phoneticPr fontId="4"/>
  </si>
  <si>
    <t>†Arithmetric market risk premium from 2011 Ibbotson SBBI Valuation Yearbook, at 23.</t>
    <phoneticPr fontId="4"/>
  </si>
  <si>
    <t>2015  EARNINGS</t>
    <phoneticPr fontId="5" type="noConversion"/>
  </si>
  <si>
    <t>[2014]</t>
    <phoneticPr fontId="5" type="noConversion"/>
  </si>
  <si>
    <t>[2017-2019]</t>
    <phoneticPr fontId="5" type="noConversion"/>
  </si>
  <si>
    <t>TE</t>
  </si>
  <si>
    <t>ALE</t>
  </si>
  <si>
    <t>OGE</t>
  </si>
  <si>
    <t>WR</t>
  </si>
  <si>
    <t>IDA</t>
  </si>
  <si>
    <t>NWE</t>
  </si>
  <si>
    <t>PNW</t>
  </si>
  <si>
    <t>POR</t>
  </si>
  <si>
    <t>XEL</t>
  </si>
  <si>
    <t>S&amp;P</t>
  </si>
  <si>
    <t>Moody's</t>
  </si>
  <si>
    <t>Numerical Equivalent</t>
  </si>
  <si>
    <t>BETA</t>
  </si>
  <si>
    <t>senior BR</t>
  </si>
  <si>
    <t>EQ. RATIO</t>
  </si>
  <si>
    <t>VL Safety</t>
  </si>
  <si>
    <t>Value Line</t>
  </si>
  <si>
    <t>TECO Energy</t>
  </si>
  <si>
    <t>A3</t>
  </si>
  <si>
    <t>ALLETE</t>
  </si>
  <si>
    <t>A-</t>
  </si>
  <si>
    <t>OGE Energy Corp.</t>
  </si>
  <si>
    <t>PACIFIC POWER &amp; LIGHT COMPANY</t>
  </si>
  <si>
    <t>NextEra Energy</t>
    <phoneticPr fontId="2"/>
  </si>
  <si>
    <t>Southern Company</t>
  </si>
  <si>
    <t>Alliant Energy</t>
  </si>
  <si>
    <t>Westar Energy</t>
    <phoneticPr fontId="2"/>
  </si>
  <si>
    <t>Edison International</t>
  </si>
  <si>
    <t>Northwestern Corp.</t>
    <phoneticPr fontId="2"/>
  </si>
  <si>
    <t>NEE</t>
  </si>
  <si>
    <t>SO</t>
  </si>
  <si>
    <t>LNT</t>
  </si>
  <si>
    <t>EIX</t>
  </si>
  <si>
    <t>A-/BBB+</t>
    <phoneticPr fontId="1" type="noConversion"/>
  </si>
  <si>
    <t>A2/A3</t>
    <phoneticPr fontId="2"/>
  </si>
  <si>
    <t>A</t>
  </si>
  <si>
    <t>A3/Baa1</t>
    <phoneticPr fontId="2"/>
  </si>
  <si>
    <t>BBB+/BBB</t>
    <phoneticPr fontId="2"/>
  </si>
  <si>
    <t>A3</t>
    <phoneticPr fontId="1" type="noConversion"/>
  </si>
  <si>
    <t>A3</t>
    <phoneticPr fontId="2"/>
  </si>
  <si>
    <t>A-</t>
    <phoneticPr fontId="2"/>
  </si>
  <si>
    <t>BBB+</t>
    <phoneticPr fontId="1" type="noConversion"/>
  </si>
  <si>
    <t>BBB +</t>
    <phoneticPr fontId="1" type="noConversion"/>
  </si>
  <si>
    <t>NR</t>
    <phoneticPr fontId="2"/>
  </si>
  <si>
    <t>A3</t>
    <phoneticPr fontId="2"/>
  </si>
  <si>
    <t>BBB</t>
    <phoneticPr fontId="2"/>
  </si>
  <si>
    <t>A3/Baa1</t>
    <phoneticPr fontId="1" type="noConversion"/>
  </si>
  <si>
    <t>BBB+/A-</t>
  </si>
  <si>
    <t>7/2/14-8/13/14</t>
  </si>
  <si>
    <r>
      <t xml:space="preserve">* Year-ahead projected dividend  from Value Line </t>
    </r>
    <r>
      <rPr>
        <i/>
        <sz val="10"/>
        <rFont val="Times New Roman"/>
      </rPr>
      <t>Summary and Index</t>
    </r>
    <r>
      <rPr>
        <sz val="10"/>
        <rFont val="Times New Roman"/>
      </rPr>
      <t>, August 11, 2014.</t>
    </r>
  </si>
  <si>
    <t xml:space="preserve">Zacks Earnings Growth Projections: NEE-6.6%, SO-3.5%, TE-5.1%, ALE-6.0%, LNT-5.1%, OGE-6.0%, WR-3.7%, </t>
  </si>
  <si>
    <t>EIX-3.4%, IDA-4.0%, NWE-7.0%, PNW-3.7%, POR-8.1%, XEL-4.2% ; Average = 5.11%.</t>
  </si>
  <si>
    <t>3.33% + 0.77 (6.00%)</t>
  </si>
  <si>
    <t>3.33% + 4.44%</t>
  </si>
  <si>
    <t>††Value Line beta from Summary &amp; Index, August 15, 2014.</t>
  </si>
  <si>
    <t>Data from Value Line Ratings and Reports, June 20, August 1 &amp; 22, 2014.</t>
  </si>
  <si>
    <t>Exhibit No. SGH-6</t>
  </si>
  <si>
    <t>Docket UE-140762 et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</si>
</sst>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164" formatCode="00.0%"/>
    <numFmt numFmtId="165" formatCode="0.0000"/>
    <numFmt numFmtId="166" formatCode="&quot;$&quot;#,##0.00"/>
    <numFmt numFmtId="167" formatCode="0.0000%"/>
    <numFmt numFmtId="168" formatCode="0.0%"/>
  </numFmts>
  <fonts count="20">
    <font>
      <sz val="9"/>
      <name val="Geneva"/>
    </font>
    <font>
      <b/>
      <sz val="9"/>
      <name val="Geneva"/>
    </font>
    <font>
      <sz val="10"/>
      <name val="Times"/>
    </font>
    <font>
      <sz val="9"/>
      <name val="Courier"/>
    </font>
    <font>
      <sz val="8"/>
      <name val="Geneva"/>
    </font>
    <font>
      <sz val="8"/>
      <name val="Times"/>
    </font>
    <font>
      <b/>
      <sz val="10"/>
      <name val="Helvetica"/>
    </font>
    <font>
      <sz val="10"/>
      <name val="Helvetica"/>
    </font>
    <font>
      <sz val="9"/>
      <name val="Helvetica"/>
    </font>
    <font>
      <sz val="10"/>
      <color indexed="12"/>
      <name val="Helvetica"/>
    </font>
    <font>
      <sz val="10"/>
      <color indexed="8"/>
      <name val="Helvetica"/>
    </font>
    <font>
      <u/>
      <sz val="10"/>
      <name val="Helvetica"/>
    </font>
    <font>
      <sz val="10"/>
      <name val="Times New Roman"/>
    </font>
    <font>
      <sz val="9"/>
      <name val="Times New Roman"/>
    </font>
    <font>
      <b/>
      <sz val="10"/>
      <name val="Times New Roman"/>
    </font>
    <font>
      <u/>
      <sz val="10"/>
      <name val="Times New Roman"/>
    </font>
    <font>
      <i/>
      <sz val="10"/>
      <name val="Times New Roman"/>
    </font>
    <font>
      <u/>
      <sz val="9"/>
      <color theme="10"/>
      <name val="Geneva"/>
    </font>
    <font>
      <u/>
      <sz val="9"/>
      <color theme="11"/>
      <name val="Geneva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9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2" fontId="0" fillId="0" borderId="0" xfId="0" applyNumberFormat="1"/>
    <xf numFmtId="10" fontId="0" fillId="0" borderId="0" xfId="0" applyNumberFormat="1"/>
    <xf numFmtId="0" fontId="3" fillId="0" borderId="0" xfId="0" applyFont="1"/>
    <xf numFmtId="15" fontId="0" fillId="0" borderId="0" xfId="0" applyNumberFormat="1"/>
    <xf numFmtId="166" fontId="0" fillId="0" borderId="0" xfId="0" applyNumberFormat="1"/>
    <xf numFmtId="0" fontId="1" fillId="0" borderId="0" xfId="0" applyFont="1" applyFill="1"/>
    <xf numFmtId="2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Fill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Fill="1"/>
    <xf numFmtId="10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2" fontId="7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7" fillId="0" borderId="1" xfId="0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164" fontId="7" fillId="0" borderId="1" xfId="0" applyNumberFormat="1" applyFont="1" applyBorder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0" fontId="13" fillId="0" borderId="0" xfId="0" applyFont="1"/>
    <xf numFmtId="1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0" fontId="15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right"/>
    </xf>
    <xf numFmtId="10" fontId="13" fillId="0" borderId="0" xfId="0" applyNumberFormat="1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7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2" fillId="0" borderId="0" xfId="0" applyFont="1" applyAlignment="1"/>
    <xf numFmtId="0" fontId="12" fillId="0" borderId="0" xfId="0" applyFont="1"/>
    <xf numFmtId="10" fontId="12" fillId="0" borderId="0" xfId="0" applyNumberFormat="1" applyFont="1"/>
    <xf numFmtId="10" fontId="12" fillId="0" borderId="7" xfId="0" applyNumberFormat="1" applyFont="1" applyBorder="1" applyAlignment="1">
      <alignment horizontal="center"/>
    </xf>
    <xf numFmtId="10" fontId="12" fillId="0" borderId="7" xfId="0" applyNumberFormat="1" applyFont="1" applyBorder="1"/>
    <xf numFmtId="10" fontId="12" fillId="0" borderId="4" xfId="0" applyNumberFormat="1" applyFont="1" applyBorder="1" applyAlignment="1">
      <alignment horizontal="center"/>
    </xf>
    <xf numFmtId="10" fontId="12" fillId="0" borderId="5" xfId="0" applyNumberFormat="1" applyFont="1" applyBorder="1" applyAlignment="1">
      <alignment horizontal="center"/>
    </xf>
    <xf numFmtId="10" fontId="12" fillId="0" borderId="5" xfId="0" applyNumberFormat="1" applyFont="1" applyBorder="1"/>
    <xf numFmtId="10" fontId="12" fillId="0" borderId="8" xfId="0" applyNumberFormat="1" applyFont="1" applyBorder="1" applyAlignment="1">
      <alignment horizontal="center"/>
    </xf>
    <xf numFmtId="10" fontId="15" fillId="0" borderId="9" xfId="0" applyNumberFormat="1" applyFont="1" applyBorder="1" applyAlignment="1">
      <alignment horizontal="center"/>
    </xf>
    <xf numFmtId="10" fontId="12" fillId="0" borderId="9" xfId="0" applyNumberFormat="1" applyFont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  <xf numFmtId="10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0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0" fontId="15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left"/>
    </xf>
    <xf numFmtId="168" fontId="13" fillId="0" borderId="0" xfId="0" applyNumberFormat="1" applyFont="1"/>
    <xf numFmtId="2" fontId="13" fillId="0" borderId="0" xfId="0" applyNumberFormat="1" applyFont="1"/>
    <xf numFmtId="0" fontId="12" fillId="0" borderId="0" xfId="0" applyFont="1" applyAlignment="1">
      <alignment horizontal="right"/>
    </xf>
    <xf numFmtId="165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7" xfId="0" applyFont="1" applyBorder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168" fontId="12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right"/>
    </xf>
    <xf numFmtId="10" fontId="12" fillId="0" borderId="7" xfId="0" applyNumberFormat="1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164" fontId="13" fillId="0" borderId="0" xfId="0" applyNumberFormat="1" applyFont="1"/>
    <xf numFmtId="2" fontId="15" fillId="0" borderId="0" xfId="0" applyNumberFormat="1" applyFont="1" applyAlignment="1">
      <alignment horizontal="center"/>
    </xf>
    <xf numFmtId="0" fontId="15" fillId="0" borderId="0" xfId="0" applyFont="1"/>
    <xf numFmtId="167" fontId="13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16" fontId="12" fillId="0" borderId="0" xfId="0" applyNumberFormat="1" applyFont="1"/>
    <xf numFmtId="0" fontId="12" fillId="0" borderId="0" xfId="0" applyFont="1" applyBorder="1"/>
    <xf numFmtId="16" fontId="13" fillId="0" borderId="0" xfId="0" applyNumberFormat="1" applyFont="1"/>
    <xf numFmtId="164" fontId="12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4" fontId="19" fillId="0" borderId="0" xfId="0" applyNumberFormat="1" applyFont="1"/>
    <xf numFmtId="0" fontId="19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5"/>
  <sheetViews>
    <sheetView topLeftCell="A402" workbookViewId="0">
      <selection activeCell="A421" sqref="A421:G525"/>
    </sheetView>
  </sheetViews>
  <sheetFormatPr defaultColWidth="11.42578125" defaultRowHeight="12.75"/>
  <cols>
    <col min="1" max="1" width="10.85546875" style="4"/>
    <col min="2" max="2" width="10.7109375" customWidth="1"/>
    <col min="3" max="3" width="10.85546875" hidden="1" customWidth="1"/>
    <col min="6" max="6" width="10.85546875" style="7"/>
  </cols>
  <sheetData>
    <row r="1" spans="1:7" ht="12">
      <c r="A1" t="s">
        <v>195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135</v>
      </c>
    </row>
    <row r="2" spans="1:7" ht="15.75">
      <c r="A2"/>
      <c r="B2" s="103">
        <v>40402</v>
      </c>
      <c r="C2" s="104">
        <v>95.09</v>
      </c>
      <c r="D2" s="104">
        <v>96.3</v>
      </c>
      <c r="E2" s="104">
        <v>95.05</v>
      </c>
      <c r="F2" s="104">
        <v>95.75</v>
      </c>
      <c r="G2" s="104">
        <v>1069100</v>
      </c>
    </row>
    <row r="3" spans="1:7" ht="15.75">
      <c r="A3"/>
      <c r="B3" s="103">
        <v>40401</v>
      </c>
      <c r="C3" s="104">
        <v>94.98</v>
      </c>
      <c r="D3" s="104">
        <v>95.39</v>
      </c>
      <c r="E3" s="104">
        <v>94.6</v>
      </c>
      <c r="F3" s="104">
        <v>94.9</v>
      </c>
      <c r="G3" s="104">
        <v>1306100</v>
      </c>
    </row>
    <row r="4" spans="1:7" ht="15.75">
      <c r="A4"/>
      <c r="B4" s="103">
        <v>40400</v>
      </c>
      <c r="C4" s="104">
        <v>95.47</v>
      </c>
      <c r="D4" s="104">
        <v>95.77</v>
      </c>
      <c r="E4" s="104">
        <v>94.77</v>
      </c>
      <c r="F4" s="104">
        <v>94.89</v>
      </c>
      <c r="G4" s="104">
        <v>1423600</v>
      </c>
    </row>
    <row r="5" spans="1:7" ht="15.75">
      <c r="A5"/>
      <c r="B5" s="103">
        <v>40397</v>
      </c>
      <c r="C5" s="104">
        <v>94.12</v>
      </c>
      <c r="D5" s="104">
        <v>95.5</v>
      </c>
      <c r="E5" s="104">
        <v>94.06</v>
      </c>
      <c r="F5" s="104">
        <v>95.45</v>
      </c>
      <c r="G5" s="104">
        <v>1747400</v>
      </c>
    </row>
    <row r="6" spans="1:7" ht="15.75">
      <c r="A6"/>
      <c r="B6" s="103">
        <v>40396</v>
      </c>
      <c r="C6" s="104">
        <v>92.84</v>
      </c>
      <c r="D6" s="104">
        <v>94.29</v>
      </c>
      <c r="E6" s="104">
        <v>92.6</v>
      </c>
      <c r="F6" s="104">
        <v>93.97</v>
      </c>
      <c r="G6" s="104">
        <v>2842500</v>
      </c>
    </row>
    <row r="7" spans="1:7" ht="15.75">
      <c r="A7"/>
      <c r="B7" s="103">
        <v>40395</v>
      </c>
      <c r="C7" s="104">
        <v>92.57</v>
      </c>
      <c r="D7" s="104">
        <v>93.02</v>
      </c>
      <c r="E7" s="104">
        <v>91.8</v>
      </c>
      <c r="F7" s="104">
        <v>92.35</v>
      </c>
      <c r="G7" s="104">
        <v>4520300</v>
      </c>
    </row>
    <row r="8" spans="1:7" ht="15.75">
      <c r="A8"/>
      <c r="B8" s="103">
        <v>40394</v>
      </c>
      <c r="C8" s="104">
        <v>93.66</v>
      </c>
      <c r="D8" s="104">
        <v>93.98</v>
      </c>
      <c r="E8" s="104">
        <v>92.34</v>
      </c>
      <c r="F8" s="104">
        <v>92.59</v>
      </c>
      <c r="G8" s="104">
        <v>2436400</v>
      </c>
    </row>
    <row r="9" spans="1:7" ht="15.75">
      <c r="A9"/>
      <c r="B9" s="103">
        <v>40393</v>
      </c>
      <c r="C9" s="104">
        <v>93.94</v>
      </c>
      <c r="D9" s="104">
        <v>94.14</v>
      </c>
      <c r="E9" s="104">
        <v>91.79</v>
      </c>
      <c r="F9" s="104">
        <v>94.05</v>
      </c>
      <c r="G9" s="104">
        <v>3732800</v>
      </c>
    </row>
    <row r="10" spans="1:7" ht="15.75">
      <c r="A10"/>
      <c r="B10" s="103">
        <v>40390</v>
      </c>
      <c r="C10" s="104">
        <v>93.5</v>
      </c>
      <c r="D10" s="104">
        <v>94.92</v>
      </c>
      <c r="E10" s="104">
        <v>93.28</v>
      </c>
      <c r="F10" s="104">
        <v>93.82</v>
      </c>
      <c r="G10" s="104">
        <v>2514400</v>
      </c>
    </row>
    <row r="11" spans="1:7" ht="15.75">
      <c r="A11"/>
      <c r="B11" s="103">
        <v>40389</v>
      </c>
      <c r="C11" s="104">
        <v>95.64</v>
      </c>
      <c r="D11" s="104">
        <v>95.98</v>
      </c>
      <c r="E11" s="104">
        <v>93.8</v>
      </c>
      <c r="F11" s="104">
        <v>93.89</v>
      </c>
      <c r="G11" s="104">
        <v>2725200</v>
      </c>
    </row>
    <row r="12" spans="1:7" ht="15.75">
      <c r="A12"/>
      <c r="B12" s="103">
        <v>40388</v>
      </c>
      <c r="C12" s="104">
        <v>98.16</v>
      </c>
      <c r="D12" s="104">
        <v>98.5</v>
      </c>
      <c r="E12" s="104">
        <v>95.76</v>
      </c>
      <c r="F12" s="104">
        <v>96.34</v>
      </c>
      <c r="G12" s="104">
        <v>2844100</v>
      </c>
    </row>
    <row r="13" spans="1:7" ht="15.75">
      <c r="A13"/>
      <c r="B13" s="103">
        <v>40387</v>
      </c>
      <c r="C13" s="104">
        <v>99.03</v>
      </c>
      <c r="D13" s="104">
        <v>99.39</v>
      </c>
      <c r="E13" s="104">
        <v>97.3</v>
      </c>
      <c r="F13" s="104">
        <v>98.4</v>
      </c>
      <c r="G13" s="104">
        <v>1942500</v>
      </c>
    </row>
    <row r="14" spans="1:7" ht="15.75">
      <c r="A14"/>
      <c r="B14" s="103">
        <v>40386</v>
      </c>
      <c r="C14" s="104">
        <v>98.47</v>
      </c>
      <c r="D14" s="104">
        <v>99.76</v>
      </c>
      <c r="E14" s="104">
        <v>98.1</v>
      </c>
      <c r="F14" s="104">
        <v>99.58</v>
      </c>
      <c r="G14" s="104">
        <v>1643000</v>
      </c>
    </row>
    <row r="15" spans="1:7" ht="15.75">
      <c r="A15"/>
      <c r="B15" s="103">
        <v>40383</v>
      </c>
      <c r="C15" s="104">
        <v>98.56</v>
      </c>
      <c r="D15" s="104">
        <v>99.05</v>
      </c>
      <c r="E15" s="104">
        <v>98.3</v>
      </c>
      <c r="F15" s="104">
        <v>98.45</v>
      </c>
      <c r="G15" s="104">
        <v>1285000</v>
      </c>
    </row>
    <row r="16" spans="1:7" ht="15.75">
      <c r="A16"/>
      <c r="B16" s="103">
        <v>40382</v>
      </c>
      <c r="C16" s="104">
        <v>98.66</v>
      </c>
      <c r="D16" s="104">
        <v>99.1</v>
      </c>
      <c r="E16" s="104">
        <v>98.4</v>
      </c>
      <c r="F16" s="104">
        <v>98.72</v>
      </c>
      <c r="G16" s="104">
        <v>1058100</v>
      </c>
    </row>
    <row r="17" spans="1:7" ht="15.75">
      <c r="A17"/>
      <c r="B17" s="103">
        <v>40381</v>
      </c>
      <c r="C17" s="104">
        <v>98.46</v>
      </c>
      <c r="D17" s="104">
        <v>98.88</v>
      </c>
      <c r="E17" s="104">
        <v>98.17</v>
      </c>
      <c r="F17" s="104">
        <v>98.49</v>
      </c>
      <c r="G17" s="104">
        <v>1467200</v>
      </c>
    </row>
    <row r="18" spans="1:7" ht="15.75">
      <c r="A18"/>
      <c r="B18" s="103">
        <v>40380</v>
      </c>
      <c r="C18" s="104">
        <v>98.85</v>
      </c>
      <c r="D18" s="104">
        <v>99.1</v>
      </c>
      <c r="E18" s="104">
        <v>98.31</v>
      </c>
      <c r="F18" s="104">
        <v>98.35</v>
      </c>
      <c r="G18" s="104">
        <v>1382600</v>
      </c>
    </row>
    <row r="19" spans="1:7" ht="15.75">
      <c r="A19"/>
      <c r="B19" s="103">
        <v>40379</v>
      </c>
      <c r="C19" s="104">
        <v>98.89</v>
      </c>
      <c r="D19" s="104">
        <v>98.96</v>
      </c>
      <c r="E19" s="104">
        <v>98.13</v>
      </c>
      <c r="F19" s="104">
        <v>98.68</v>
      </c>
      <c r="G19" s="104">
        <v>897700</v>
      </c>
    </row>
    <row r="20" spans="1:7" ht="15.75">
      <c r="A20"/>
      <c r="B20" s="103">
        <v>40376</v>
      </c>
      <c r="C20" s="104">
        <v>97.93</v>
      </c>
      <c r="D20" s="104">
        <v>98.86</v>
      </c>
      <c r="E20" s="104">
        <v>97.26</v>
      </c>
      <c r="F20" s="104">
        <v>98.78</v>
      </c>
      <c r="G20" s="104">
        <v>1908700</v>
      </c>
    </row>
    <row r="21" spans="1:7" ht="15.75">
      <c r="A21"/>
      <c r="B21" s="103">
        <v>40375</v>
      </c>
      <c r="C21" s="104">
        <v>99.52</v>
      </c>
      <c r="D21" s="104">
        <v>99.52</v>
      </c>
      <c r="E21" s="104">
        <v>97.56</v>
      </c>
      <c r="F21" s="104">
        <v>97.58</v>
      </c>
      <c r="G21" s="104">
        <v>1606900</v>
      </c>
    </row>
    <row r="22" spans="1:7" ht="15.75">
      <c r="A22"/>
      <c r="B22" s="103">
        <v>40374</v>
      </c>
      <c r="C22" s="104">
        <v>98.5</v>
      </c>
      <c r="D22" s="104">
        <v>98.93</v>
      </c>
      <c r="E22" s="104">
        <v>97.88</v>
      </c>
      <c r="F22" s="104">
        <v>98.72</v>
      </c>
      <c r="G22" s="104">
        <v>1408600</v>
      </c>
    </row>
    <row r="23" spans="1:7" ht="15.75">
      <c r="A23"/>
      <c r="B23" s="103">
        <v>40373</v>
      </c>
      <c r="C23" s="104">
        <v>97.57</v>
      </c>
      <c r="D23" s="104">
        <v>98.44</v>
      </c>
      <c r="E23" s="104">
        <v>97.32</v>
      </c>
      <c r="F23" s="104">
        <v>98.32</v>
      </c>
      <c r="G23" s="104">
        <v>1760500</v>
      </c>
    </row>
    <row r="24" spans="1:7" ht="15.75">
      <c r="A24"/>
      <c r="B24" s="103">
        <v>40372</v>
      </c>
      <c r="C24" s="104">
        <v>98.64</v>
      </c>
      <c r="D24" s="104">
        <v>99.02</v>
      </c>
      <c r="E24" s="104">
        <v>97.39</v>
      </c>
      <c r="F24" s="104">
        <v>97.42</v>
      </c>
      <c r="G24" s="104">
        <v>1828800</v>
      </c>
    </row>
    <row r="25" spans="1:7" ht="15.75">
      <c r="A25"/>
      <c r="B25" s="103">
        <v>40369</v>
      </c>
      <c r="C25" s="104">
        <v>99.36</v>
      </c>
      <c r="D25" s="104">
        <v>99.62</v>
      </c>
      <c r="E25" s="104">
        <v>98.7</v>
      </c>
      <c r="F25" s="104">
        <v>98.97</v>
      </c>
      <c r="G25" s="104">
        <v>1218200</v>
      </c>
    </row>
    <row r="26" spans="1:7" ht="15.75">
      <c r="A26"/>
      <c r="B26" s="103">
        <v>40368</v>
      </c>
      <c r="C26" s="104">
        <v>98.61</v>
      </c>
      <c r="D26" s="104">
        <v>99.73</v>
      </c>
      <c r="E26" s="104">
        <v>98.58</v>
      </c>
      <c r="F26" s="104">
        <v>99.39</v>
      </c>
      <c r="G26" s="104">
        <v>1530400</v>
      </c>
    </row>
    <row r="27" spans="1:7" ht="15.75">
      <c r="A27"/>
      <c r="B27" s="103">
        <v>40367</v>
      </c>
      <c r="C27" s="104">
        <v>98.77</v>
      </c>
      <c r="D27" s="104">
        <v>99.27</v>
      </c>
      <c r="E27" s="104">
        <v>98.31</v>
      </c>
      <c r="F27" s="104">
        <v>98.83</v>
      </c>
      <c r="G27" s="104">
        <v>1715800</v>
      </c>
    </row>
    <row r="28" spans="1:7" ht="15.75">
      <c r="A28"/>
      <c r="B28" s="103">
        <v>40366</v>
      </c>
      <c r="C28" s="104">
        <v>98.26</v>
      </c>
      <c r="D28" s="104">
        <v>99.39</v>
      </c>
      <c r="E28" s="104">
        <v>98.11</v>
      </c>
      <c r="F28" s="104">
        <v>98.9</v>
      </c>
      <c r="G28" s="104">
        <v>2251700</v>
      </c>
    </row>
    <row r="29" spans="1:7" ht="15.75">
      <c r="A29"/>
      <c r="B29" s="103">
        <v>40365</v>
      </c>
      <c r="C29" s="104">
        <v>98.07</v>
      </c>
      <c r="D29" s="104">
        <v>98.99</v>
      </c>
      <c r="E29" s="104">
        <v>98.07</v>
      </c>
      <c r="F29" s="104">
        <v>98.48</v>
      </c>
      <c r="G29" s="104">
        <v>1860700</v>
      </c>
    </row>
    <row r="30" spans="1:7" ht="15.75">
      <c r="A30"/>
      <c r="B30" s="103">
        <v>40361</v>
      </c>
      <c r="C30" s="104">
        <v>99.55</v>
      </c>
      <c r="D30" s="104">
        <v>99.55</v>
      </c>
      <c r="E30" s="104">
        <v>97.24</v>
      </c>
      <c r="F30" s="104">
        <v>98.22</v>
      </c>
      <c r="G30" s="104">
        <v>1455700</v>
      </c>
    </row>
    <row r="31" spans="1:7" ht="15.75">
      <c r="A31"/>
      <c r="B31" s="103">
        <v>40360</v>
      </c>
      <c r="C31" s="104">
        <v>101.13</v>
      </c>
      <c r="D31" s="104">
        <v>101.44</v>
      </c>
      <c r="E31" s="104">
        <v>99.43</v>
      </c>
      <c r="F31" s="104">
        <v>99.7</v>
      </c>
      <c r="G31" s="104">
        <v>2870700</v>
      </c>
    </row>
    <row r="32" spans="1:7" ht="12">
      <c r="A32"/>
      <c r="B32" t="s">
        <v>50</v>
      </c>
      <c r="C32" s="2">
        <f>AVERAGE(C2:C31)</f>
        <v>97.226666666666688</v>
      </c>
      <c r="D32" s="2">
        <f>AVERAGE(C2:C31)</f>
        <v>97.226666666666688</v>
      </c>
      <c r="E32" s="2">
        <f>AVERAGE(D2:D31)</f>
        <v>97.826333333333324</v>
      </c>
      <c r="F32" s="8">
        <f>AVERAGE(E2:E31)</f>
        <v>96.413666666666643</v>
      </c>
      <c r="G32" s="2">
        <f>AVERAGE(F2:F31)</f>
        <v>97.065999999999988</v>
      </c>
    </row>
    <row r="33" spans="1:11" ht="12">
      <c r="A33"/>
      <c r="B33" t="s">
        <v>44</v>
      </c>
      <c r="C33">
        <f>MEDIAN(C2:C31)</f>
        <v>98.36</v>
      </c>
      <c r="D33">
        <f>MEDIAN(C2:C31)</f>
        <v>98.36</v>
      </c>
      <c r="E33">
        <f>MEDIAN(D2:D31)</f>
        <v>98.944999999999993</v>
      </c>
      <c r="F33">
        <f>MEDIAN(E2:E31)</f>
        <v>97.35499999999999</v>
      </c>
      <c r="G33">
        <f>MEDIAN(F2:F31)</f>
        <v>98.334999999999994</v>
      </c>
    </row>
    <row r="34" spans="1:11" ht="12">
      <c r="A34"/>
      <c r="B34" t="s">
        <v>42</v>
      </c>
      <c r="C34">
        <f>MIN(C2:C31)</f>
        <v>92.57</v>
      </c>
      <c r="D34">
        <f>MIN(C2:C31)</f>
        <v>92.57</v>
      </c>
      <c r="E34">
        <f>MIN(D2:D31)</f>
        <v>93.02</v>
      </c>
      <c r="F34">
        <f>MIN(E2:E31)</f>
        <v>91.79</v>
      </c>
      <c r="G34">
        <f>MIN(F2:F31)</f>
        <v>92.35</v>
      </c>
    </row>
    <row r="35" spans="1:11" ht="12">
      <c r="A35"/>
      <c r="B35" t="s">
        <v>43</v>
      </c>
      <c r="C35">
        <f>MAX(C2:C31)</f>
        <v>101.13</v>
      </c>
      <c r="D35">
        <f>MAX(C2:C31)</f>
        <v>101.13</v>
      </c>
      <c r="E35">
        <f>MAX(D2:D31)</f>
        <v>101.44</v>
      </c>
      <c r="F35">
        <f>MAX(E2:E31)</f>
        <v>99.43</v>
      </c>
      <c r="G35">
        <f>MAX(F2:F31)</f>
        <v>99.7</v>
      </c>
    </row>
    <row r="36" spans="1:11" ht="12">
      <c r="A36" t="s">
        <v>196</v>
      </c>
      <c r="B36" t="s">
        <v>37</v>
      </c>
      <c r="C36" t="s">
        <v>38</v>
      </c>
      <c r="D36" t="s">
        <v>39</v>
      </c>
      <c r="E36" t="s">
        <v>40</v>
      </c>
      <c r="F36" t="s">
        <v>41</v>
      </c>
      <c r="G36" t="s">
        <v>135</v>
      </c>
    </row>
    <row r="37" spans="1:11" ht="12">
      <c r="A37"/>
      <c r="B37" s="9">
        <v>40402</v>
      </c>
      <c r="C37">
        <v>42.85</v>
      </c>
      <c r="D37">
        <v>43.28</v>
      </c>
      <c r="E37">
        <v>42.67</v>
      </c>
      <c r="F37">
        <v>43.07</v>
      </c>
      <c r="G37">
        <v>5265700</v>
      </c>
    </row>
    <row r="38" spans="1:11" ht="12">
      <c r="A38"/>
      <c r="B38" s="9">
        <v>40401</v>
      </c>
      <c r="C38">
        <v>43.05</v>
      </c>
      <c r="D38">
        <v>43.38</v>
      </c>
      <c r="E38">
        <v>43</v>
      </c>
      <c r="F38">
        <v>43.22</v>
      </c>
      <c r="G38">
        <v>3515000</v>
      </c>
    </row>
    <row r="39" spans="1:11" ht="12">
      <c r="A39"/>
      <c r="B39" s="9">
        <v>40400</v>
      </c>
      <c r="C39">
        <v>43.53</v>
      </c>
      <c r="D39">
        <v>43.6</v>
      </c>
      <c r="E39">
        <v>43.04</v>
      </c>
      <c r="F39">
        <v>43.06</v>
      </c>
      <c r="G39">
        <v>4739800</v>
      </c>
    </row>
    <row r="40" spans="1:11" ht="12">
      <c r="A40"/>
      <c r="B40" s="9">
        <v>40397</v>
      </c>
      <c r="C40">
        <v>42.71</v>
      </c>
      <c r="D40">
        <v>43.54</v>
      </c>
      <c r="E40">
        <v>42.7</v>
      </c>
      <c r="F40">
        <v>43.53</v>
      </c>
      <c r="G40">
        <v>4982400</v>
      </c>
    </row>
    <row r="41" spans="1:11" ht="12">
      <c r="A41"/>
      <c r="B41" s="9">
        <v>40396</v>
      </c>
      <c r="C41">
        <v>42.35</v>
      </c>
      <c r="D41">
        <v>42.87</v>
      </c>
      <c r="E41">
        <v>42.26</v>
      </c>
      <c r="F41">
        <v>42.62</v>
      </c>
      <c r="G41">
        <v>4409500</v>
      </c>
    </row>
    <row r="42" spans="1:11" ht="12">
      <c r="A42"/>
      <c r="B42" s="9">
        <v>40395</v>
      </c>
      <c r="C42">
        <v>42.43</v>
      </c>
      <c r="D42">
        <v>42.43</v>
      </c>
      <c r="E42">
        <v>41.87</v>
      </c>
      <c r="F42">
        <v>42.17</v>
      </c>
      <c r="G42">
        <v>10041500</v>
      </c>
    </row>
    <row r="43" spans="1:11" ht="12">
      <c r="A43"/>
      <c r="B43" s="9">
        <v>40394</v>
      </c>
      <c r="C43">
        <v>42.94</v>
      </c>
      <c r="D43">
        <v>43.2</v>
      </c>
      <c r="E43">
        <v>42.45</v>
      </c>
      <c r="F43">
        <v>42.6</v>
      </c>
      <c r="G43">
        <v>4339700</v>
      </c>
    </row>
    <row r="44" spans="1:11" ht="12">
      <c r="A44"/>
      <c r="B44" s="9">
        <v>40393</v>
      </c>
      <c r="C44">
        <v>43.38</v>
      </c>
      <c r="D44">
        <v>43.41</v>
      </c>
      <c r="E44">
        <v>42.35</v>
      </c>
      <c r="F44">
        <v>43.1</v>
      </c>
      <c r="G44">
        <v>6639300</v>
      </c>
    </row>
    <row r="45" spans="1:11" ht="12">
      <c r="A45"/>
      <c r="B45" s="9">
        <v>40390</v>
      </c>
      <c r="C45">
        <v>43.34</v>
      </c>
      <c r="D45">
        <v>43.83</v>
      </c>
      <c r="E45">
        <v>43.25</v>
      </c>
      <c r="F45">
        <v>43.32</v>
      </c>
      <c r="G45">
        <v>4193700</v>
      </c>
    </row>
    <row r="46" spans="1:11" ht="12">
      <c r="A46"/>
      <c r="B46" s="9">
        <v>40389</v>
      </c>
      <c r="C46">
        <v>43.89</v>
      </c>
      <c r="D46">
        <v>43.89</v>
      </c>
      <c r="E46">
        <v>43.22</v>
      </c>
      <c r="F46">
        <v>43.29</v>
      </c>
      <c r="G46">
        <v>5675300</v>
      </c>
    </row>
    <row r="47" spans="1:11" ht="12">
      <c r="A47"/>
      <c r="B47" s="9">
        <v>40388</v>
      </c>
      <c r="C47">
        <v>45</v>
      </c>
      <c r="D47">
        <v>45</v>
      </c>
      <c r="E47">
        <v>44.01</v>
      </c>
      <c r="F47">
        <v>44.38</v>
      </c>
      <c r="G47">
        <v>6945200</v>
      </c>
    </row>
    <row r="48" spans="1:11" ht="12">
      <c r="A48"/>
      <c r="B48" s="9">
        <v>40387</v>
      </c>
      <c r="C48">
        <v>45.47</v>
      </c>
      <c r="D48">
        <v>45.47</v>
      </c>
      <c r="E48">
        <v>44.67</v>
      </c>
      <c r="F48">
        <v>44.86</v>
      </c>
      <c r="G48">
        <v>5499600</v>
      </c>
      <c r="K48" s="5"/>
    </row>
    <row r="49" spans="1:11" ht="12">
      <c r="A49"/>
      <c r="B49" s="9">
        <v>40386</v>
      </c>
      <c r="C49">
        <v>44.62</v>
      </c>
      <c r="D49">
        <v>45.43</v>
      </c>
      <c r="E49">
        <v>44.62</v>
      </c>
      <c r="F49">
        <v>45.36</v>
      </c>
      <c r="G49">
        <v>5568900</v>
      </c>
      <c r="K49" s="5"/>
    </row>
    <row r="50" spans="1:11" ht="12">
      <c r="A50"/>
      <c r="B50" s="9">
        <v>40383</v>
      </c>
      <c r="C50">
        <v>44.87</v>
      </c>
      <c r="D50">
        <v>44.99</v>
      </c>
      <c r="E50">
        <v>44.6</v>
      </c>
      <c r="F50">
        <v>44.74</v>
      </c>
      <c r="G50">
        <v>7059000</v>
      </c>
      <c r="K50" s="5"/>
    </row>
    <row r="51" spans="1:11" ht="12">
      <c r="A51"/>
      <c r="B51" s="9">
        <v>40382</v>
      </c>
      <c r="C51">
        <v>44.91</v>
      </c>
      <c r="D51">
        <v>44.91</v>
      </c>
      <c r="E51">
        <v>44.54</v>
      </c>
      <c r="F51">
        <v>44.78</v>
      </c>
      <c r="G51">
        <v>3955400</v>
      </c>
      <c r="K51" s="5"/>
    </row>
    <row r="52" spans="1:11" ht="12">
      <c r="A52"/>
      <c r="B52" s="9">
        <v>40381</v>
      </c>
      <c r="C52">
        <v>45.09</v>
      </c>
      <c r="D52">
        <v>45.09</v>
      </c>
      <c r="E52">
        <v>44.79</v>
      </c>
      <c r="F52">
        <v>44.81</v>
      </c>
      <c r="G52">
        <v>3476000</v>
      </c>
      <c r="K52" s="5"/>
    </row>
    <row r="53" spans="1:11" ht="12">
      <c r="A53"/>
      <c r="B53" s="9">
        <v>40380</v>
      </c>
      <c r="C53">
        <v>45.03</v>
      </c>
      <c r="D53">
        <v>45.12</v>
      </c>
      <c r="E53">
        <v>44.86</v>
      </c>
      <c r="F53">
        <v>44.91</v>
      </c>
      <c r="G53">
        <v>2808200</v>
      </c>
      <c r="K53" s="5"/>
    </row>
    <row r="54" spans="1:11" ht="12">
      <c r="A54"/>
      <c r="B54" s="9">
        <v>40379</v>
      </c>
      <c r="C54">
        <v>44.89</v>
      </c>
      <c r="D54">
        <v>45.05</v>
      </c>
      <c r="E54">
        <v>44.68</v>
      </c>
      <c r="F54">
        <v>44.91</v>
      </c>
      <c r="G54">
        <v>2977000</v>
      </c>
      <c r="K54" s="5"/>
    </row>
    <row r="55" spans="1:11" ht="12">
      <c r="A55"/>
      <c r="B55" s="9">
        <v>40376</v>
      </c>
      <c r="C55">
        <v>44.71</v>
      </c>
      <c r="D55">
        <v>44.95</v>
      </c>
      <c r="E55">
        <v>44.4</v>
      </c>
      <c r="F55">
        <v>44.89</v>
      </c>
      <c r="G55">
        <v>3263600</v>
      </c>
      <c r="K55" s="5"/>
    </row>
    <row r="56" spans="1:11" ht="12">
      <c r="A56"/>
      <c r="B56" s="9">
        <v>40375</v>
      </c>
      <c r="C56">
        <v>44.6</v>
      </c>
      <c r="D56">
        <v>44.85</v>
      </c>
      <c r="E56">
        <v>44.51</v>
      </c>
      <c r="F56">
        <v>44.55</v>
      </c>
      <c r="G56">
        <v>4331300</v>
      </c>
      <c r="K56" s="5"/>
    </row>
    <row r="57" spans="1:11" ht="12">
      <c r="A57"/>
      <c r="B57" s="9">
        <v>40374</v>
      </c>
      <c r="C57">
        <v>44.6</v>
      </c>
      <c r="D57">
        <v>44.78</v>
      </c>
      <c r="E57">
        <v>44.31</v>
      </c>
      <c r="F57">
        <v>44.77</v>
      </c>
      <c r="G57">
        <v>3802100</v>
      </c>
      <c r="K57" s="5"/>
    </row>
    <row r="58" spans="1:11" ht="12">
      <c r="A58"/>
      <c r="B58" s="9">
        <v>40373</v>
      </c>
      <c r="C58">
        <v>44.18</v>
      </c>
      <c r="D58">
        <v>44.5</v>
      </c>
      <c r="E58">
        <v>44.15</v>
      </c>
      <c r="F58">
        <v>44.47</v>
      </c>
      <c r="G58">
        <v>3744700</v>
      </c>
      <c r="K58" s="5"/>
    </row>
    <row r="59" spans="1:11" ht="12">
      <c r="A59"/>
      <c r="B59" s="9">
        <v>40372</v>
      </c>
      <c r="C59">
        <v>44.52</v>
      </c>
      <c r="D59">
        <v>44.66</v>
      </c>
      <c r="E59">
        <v>44.15</v>
      </c>
      <c r="F59">
        <v>44.18</v>
      </c>
      <c r="G59">
        <v>3831100</v>
      </c>
      <c r="K59" s="5"/>
    </row>
    <row r="60" spans="1:11" ht="12">
      <c r="A60"/>
      <c r="B60" s="9">
        <v>40369</v>
      </c>
      <c r="C60">
        <v>44.63</v>
      </c>
      <c r="D60">
        <v>44.9</v>
      </c>
      <c r="E60">
        <v>44.38</v>
      </c>
      <c r="F60">
        <v>44.53</v>
      </c>
      <c r="G60">
        <v>4019100</v>
      </c>
      <c r="K60" s="5"/>
    </row>
    <row r="61" spans="1:11" ht="12">
      <c r="A61"/>
      <c r="B61" s="9">
        <v>40368</v>
      </c>
      <c r="C61">
        <v>44.48</v>
      </c>
      <c r="D61">
        <v>44.91</v>
      </c>
      <c r="E61">
        <v>44.39</v>
      </c>
      <c r="F61">
        <v>44.64</v>
      </c>
      <c r="G61">
        <v>5181800</v>
      </c>
      <c r="K61" s="5"/>
    </row>
    <row r="62" spans="1:11" ht="12">
      <c r="A62"/>
      <c r="B62" s="9">
        <v>40367</v>
      </c>
      <c r="C62">
        <v>44.68</v>
      </c>
      <c r="D62">
        <v>44.68</v>
      </c>
      <c r="E62">
        <v>44.18</v>
      </c>
      <c r="F62">
        <v>44.46</v>
      </c>
      <c r="G62">
        <v>3720300</v>
      </c>
      <c r="K62" s="5"/>
    </row>
    <row r="63" spans="1:11" ht="12">
      <c r="A63"/>
      <c r="B63" s="9">
        <v>40366</v>
      </c>
      <c r="C63">
        <v>44.25</v>
      </c>
      <c r="D63">
        <v>44.79</v>
      </c>
      <c r="E63">
        <v>44.25</v>
      </c>
      <c r="F63">
        <v>44.54</v>
      </c>
      <c r="G63">
        <v>4718200</v>
      </c>
      <c r="K63" s="5"/>
    </row>
    <row r="64" spans="1:11" ht="12">
      <c r="A64"/>
      <c r="B64" s="9">
        <v>40365</v>
      </c>
      <c r="C64">
        <v>43.92</v>
      </c>
      <c r="D64">
        <v>44.3</v>
      </c>
      <c r="E64">
        <v>43.92</v>
      </c>
      <c r="F64">
        <v>44.21</v>
      </c>
      <c r="G64">
        <v>4135500</v>
      </c>
      <c r="K64" s="5"/>
    </row>
    <row r="65" spans="1:15" ht="12">
      <c r="A65"/>
      <c r="B65" s="9">
        <v>40361</v>
      </c>
      <c r="C65">
        <v>44.07</v>
      </c>
      <c r="D65">
        <v>44.07</v>
      </c>
      <c r="E65">
        <v>43.67</v>
      </c>
      <c r="F65">
        <v>44.01</v>
      </c>
      <c r="G65">
        <v>4023100</v>
      </c>
      <c r="K65" s="5"/>
    </row>
    <row r="66" spans="1:15" ht="12">
      <c r="A66"/>
      <c r="B66" s="9">
        <v>40360</v>
      </c>
      <c r="C66">
        <v>45.04</v>
      </c>
      <c r="D66">
        <v>45.04</v>
      </c>
      <c r="E66">
        <v>44.12</v>
      </c>
      <c r="F66">
        <v>44.26</v>
      </c>
      <c r="G66">
        <v>6467300</v>
      </c>
      <c r="K66" s="5"/>
    </row>
    <row r="67" spans="1:15" ht="12">
      <c r="A67"/>
      <c r="B67" t="s">
        <v>50</v>
      </c>
      <c r="C67" s="2">
        <f>AVERAGE(C37:C66)</f>
        <v>44.134333333333338</v>
      </c>
      <c r="D67" s="2">
        <f>AVERAGE(D37:D66)</f>
        <v>44.363999999999997</v>
      </c>
      <c r="E67" s="2">
        <f>AVERAGE(E37:E66)</f>
        <v>43.800333333333342</v>
      </c>
      <c r="F67" s="8">
        <f>AVERAGE(F37:F66)</f>
        <v>44.074666666666666</v>
      </c>
      <c r="G67">
        <f>AVERAGE(G37:G66)</f>
        <v>4777643.333333333</v>
      </c>
      <c r="K67" s="5"/>
    </row>
    <row r="68" spans="1:15" ht="12">
      <c r="A68"/>
      <c r="B68" t="s">
        <v>44</v>
      </c>
      <c r="C68">
        <f>MEDIAN(C37:C66)</f>
        <v>44.5</v>
      </c>
      <c r="D68">
        <f>MEDIAN(D37:D66)</f>
        <v>44.730000000000004</v>
      </c>
      <c r="E68">
        <f>MEDIAN(E37:E66)</f>
        <v>44.15</v>
      </c>
      <c r="F68">
        <f>MEDIAN(F37:F66)</f>
        <v>44.42</v>
      </c>
      <c r="G68">
        <f>MEDIAN(G37:G66)</f>
        <v>4335500</v>
      </c>
      <c r="K68" s="5"/>
    </row>
    <row r="69" spans="1:15" ht="12">
      <c r="A69"/>
      <c r="B69" t="s">
        <v>42</v>
      </c>
      <c r="C69">
        <f>MIN(C37:C66)</f>
        <v>42.35</v>
      </c>
      <c r="D69">
        <f>MIN(D37:D66)</f>
        <v>42.43</v>
      </c>
      <c r="E69">
        <f>MIN(E37:E66)</f>
        <v>41.87</v>
      </c>
      <c r="F69">
        <f>MIN(F37:F66)</f>
        <v>42.17</v>
      </c>
      <c r="G69">
        <f>MIN(G37:G66)</f>
        <v>2808200</v>
      </c>
      <c r="K69" s="5"/>
    </row>
    <row r="70" spans="1:15" ht="12">
      <c r="A70"/>
      <c r="B70" t="s">
        <v>43</v>
      </c>
      <c r="C70">
        <f>MAX(C37:C66)</f>
        <v>45.47</v>
      </c>
      <c r="D70">
        <f>MAX(D37:D66)</f>
        <v>45.47</v>
      </c>
      <c r="E70">
        <f>MAX(E37:E66)</f>
        <v>44.86</v>
      </c>
      <c r="F70">
        <f>MAX(F37:F66)</f>
        <v>45.36</v>
      </c>
      <c r="G70">
        <f>MAX(G37:G66)</f>
        <v>10041500</v>
      </c>
      <c r="K70" s="5"/>
    </row>
    <row r="71" spans="1:15" ht="12">
      <c r="A71" t="s">
        <v>166</v>
      </c>
      <c r="B71" t="s">
        <v>37</v>
      </c>
      <c r="C71" t="s">
        <v>38</v>
      </c>
      <c r="D71" t="s">
        <v>39</v>
      </c>
      <c r="E71" t="s">
        <v>40</v>
      </c>
      <c r="F71" t="s">
        <v>41</v>
      </c>
      <c r="G71" t="s">
        <v>135</v>
      </c>
      <c r="K71" s="5"/>
    </row>
    <row r="72" spans="1:15" ht="12">
      <c r="A72"/>
      <c r="B72" s="9">
        <v>40402</v>
      </c>
      <c r="C72">
        <v>17.149999999999999</v>
      </c>
      <c r="D72">
        <v>17.350000000000001</v>
      </c>
      <c r="E72">
        <v>17.079999999999998</v>
      </c>
      <c r="F72">
        <v>17.3</v>
      </c>
      <c r="G72">
        <v>1657400</v>
      </c>
      <c r="K72" s="5"/>
    </row>
    <row r="73" spans="1:15" ht="12">
      <c r="A73"/>
      <c r="B73" s="9">
        <v>40401</v>
      </c>
      <c r="C73">
        <v>17.12</v>
      </c>
      <c r="D73">
        <v>17.25</v>
      </c>
      <c r="E73">
        <v>17.059999999999999</v>
      </c>
      <c r="F73">
        <v>17.149999999999999</v>
      </c>
      <c r="G73">
        <v>1286600</v>
      </c>
      <c r="K73" s="5"/>
    </row>
    <row r="74" spans="1:15" ht="12">
      <c r="A74"/>
      <c r="B74" s="9">
        <v>40400</v>
      </c>
      <c r="C74">
        <v>17.510000000000002</v>
      </c>
      <c r="D74">
        <v>17.600000000000001</v>
      </c>
      <c r="E74">
        <v>17.36</v>
      </c>
      <c r="F74">
        <v>17.38</v>
      </c>
      <c r="G74">
        <v>1673800</v>
      </c>
      <c r="K74" s="5"/>
    </row>
    <row r="75" spans="1:15" ht="12">
      <c r="A75"/>
      <c r="B75" s="9">
        <v>40397</v>
      </c>
      <c r="C75">
        <v>17.149999999999999</v>
      </c>
      <c r="D75">
        <v>17.489999999999998</v>
      </c>
      <c r="E75">
        <v>17.149999999999999</v>
      </c>
      <c r="F75">
        <v>17.489999999999998</v>
      </c>
      <c r="G75">
        <v>1615500</v>
      </c>
      <c r="K75" s="5"/>
    </row>
    <row r="76" spans="1:15" ht="12">
      <c r="A76"/>
      <c r="B76" s="9">
        <v>40396</v>
      </c>
      <c r="C76">
        <v>17.02</v>
      </c>
      <c r="D76">
        <v>17.190000000000001</v>
      </c>
      <c r="E76">
        <v>17.02</v>
      </c>
      <c r="F76">
        <v>17.13</v>
      </c>
      <c r="G76">
        <v>1913400</v>
      </c>
      <c r="K76" s="5"/>
    </row>
    <row r="77" spans="1:15" ht="12">
      <c r="A77"/>
      <c r="B77" s="9">
        <v>40395</v>
      </c>
      <c r="C77">
        <v>17.05</v>
      </c>
      <c r="D77">
        <v>17.09</v>
      </c>
      <c r="E77">
        <v>16.91</v>
      </c>
      <c r="F77">
        <v>16.96</v>
      </c>
      <c r="G77">
        <v>2780600</v>
      </c>
      <c r="K77" s="5"/>
    </row>
    <row r="78" spans="1:15" ht="12">
      <c r="A78"/>
      <c r="B78" s="9">
        <v>40394</v>
      </c>
      <c r="C78">
        <v>17.239999999999998</v>
      </c>
      <c r="D78">
        <v>17.32</v>
      </c>
      <c r="E78">
        <v>17.03</v>
      </c>
      <c r="F78">
        <v>17.12</v>
      </c>
      <c r="G78">
        <v>2270000</v>
      </c>
      <c r="L78" s="2"/>
      <c r="M78" s="2"/>
      <c r="N78" s="2"/>
      <c r="O78" s="8"/>
    </row>
    <row r="79" spans="1:15" ht="12">
      <c r="A79"/>
      <c r="B79" s="9">
        <v>40393</v>
      </c>
      <c r="C79">
        <v>17.48</v>
      </c>
      <c r="D79">
        <v>17.510000000000002</v>
      </c>
      <c r="E79">
        <v>16.98</v>
      </c>
      <c r="F79">
        <v>17.28</v>
      </c>
      <c r="G79">
        <v>3576100</v>
      </c>
    </row>
    <row r="80" spans="1:15" ht="12">
      <c r="A80"/>
      <c r="B80" s="9">
        <v>40390</v>
      </c>
      <c r="C80">
        <v>17.41</v>
      </c>
      <c r="D80">
        <v>17.59</v>
      </c>
      <c r="E80">
        <v>17.399999999999999</v>
      </c>
      <c r="F80">
        <v>17.48</v>
      </c>
      <c r="G80">
        <v>1906500</v>
      </c>
    </row>
    <row r="81" spans="1:11" ht="12">
      <c r="A81"/>
      <c r="B81" s="9">
        <v>40389</v>
      </c>
      <c r="C81">
        <v>17.55</v>
      </c>
      <c r="D81">
        <v>17.79</v>
      </c>
      <c r="E81">
        <v>17.420000000000002</v>
      </c>
      <c r="F81">
        <v>17.46</v>
      </c>
      <c r="G81">
        <v>3879900</v>
      </c>
    </row>
    <row r="82" spans="1:11" ht="12">
      <c r="A82"/>
      <c r="B82" s="9">
        <v>40388</v>
      </c>
      <c r="C82">
        <v>17.89</v>
      </c>
      <c r="D82">
        <v>17.98</v>
      </c>
      <c r="E82">
        <v>17.57</v>
      </c>
      <c r="F82">
        <v>17.64</v>
      </c>
      <c r="G82">
        <v>1753100</v>
      </c>
    </row>
    <row r="83" spans="1:11" ht="12">
      <c r="A83"/>
      <c r="B83" s="9">
        <v>40387</v>
      </c>
      <c r="C83">
        <v>18.13</v>
      </c>
      <c r="D83">
        <v>18.149999999999999</v>
      </c>
      <c r="E83">
        <v>17.86</v>
      </c>
      <c r="F83">
        <v>17.88</v>
      </c>
      <c r="G83">
        <v>1641700</v>
      </c>
      <c r="K83" s="5"/>
    </row>
    <row r="84" spans="1:11" ht="12">
      <c r="A84"/>
      <c r="B84" s="9">
        <v>40386</v>
      </c>
      <c r="C84">
        <v>17.84</v>
      </c>
      <c r="D84">
        <v>18.149999999999999</v>
      </c>
      <c r="E84">
        <v>17.829999999999998</v>
      </c>
      <c r="F84">
        <v>18.149999999999999</v>
      </c>
      <c r="G84">
        <v>1728600</v>
      </c>
      <c r="K84" s="5"/>
    </row>
    <row r="85" spans="1:11" ht="12">
      <c r="A85"/>
      <c r="B85" s="9">
        <v>40383</v>
      </c>
      <c r="C85">
        <v>17.93</v>
      </c>
      <c r="D85">
        <v>18</v>
      </c>
      <c r="E85">
        <v>17.82</v>
      </c>
      <c r="F85">
        <v>17.829999999999998</v>
      </c>
      <c r="G85">
        <v>1746900</v>
      </c>
      <c r="K85" s="5"/>
    </row>
    <row r="86" spans="1:11" ht="12">
      <c r="A86"/>
      <c r="B86" s="9">
        <v>40382</v>
      </c>
      <c r="C86">
        <v>17.95</v>
      </c>
      <c r="D86">
        <v>18.010000000000002</v>
      </c>
      <c r="E86">
        <v>17.850000000000001</v>
      </c>
      <c r="F86">
        <v>18</v>
      </c>
      <c r="G86">
        <v>1312000</v>
      </c>
      <c r="K86" s="5"/>
    </row>
    <row r="87" spans="1:11" ht="12">
      <c r="A87"/>
      <c r="B87" s="9">
        <v>40381</v>
      </c>
      <c r="C87">
        <v>18.010000000000002</v>
      </c>
      <c r="D87">
        <v>18.07</v>
      </c>
      <c r="E87">
        <v>17.940000000000001</v>
      </c>
      <c r="F87">
        <v>17.96</v>
      </c>
      <c r="G87">
        <v>1783700</v>
      </c>
      <c r="K87" s="5"/>
    </row>
    <row r="88" spans="1:11" ht="12">
      <c r="A88"/>
      <c r="B88" s="9">
        <v>40380</v>
      </c>
      <c r="C88">
        <v>18.12</v>
      </c>
      <c r="D88">
        <v>18.13</v>
      </c>
      <c r="E88">
        <v>18</v>
      </c>
      <c r="F88">
        <v>18.05</v>
      </c>
      <c r="G88">
        <v>1040800</v>
      </c>
      <c r="K88" s="5"/>
    </row>
    <row r="89" spans="1:11" ht="12">
      <c r="A89"/>
      <c r="B89" s="9">
        <v>40379</v>
      </c>
      <c r="C89">
        <v>18.059999999999999</v>
      </c>
      <c r="D89">
        <v>18.149999999999999</v>
      </c>
      <c r="E89">
        <v>18.010000000000002</v>
      </c>
      <c r="F89">
        <v>18.079999999999998</v>
      </c>
      <c r="G89">
        <v>1251200</v>
      </c>
      <c r="K89" s="5"/>
    </row>
    <row r="90" spans="1:11" ht="12">
      <c r="A90"/>
      <c r="B90" s="9">
        <v>40376</v>
      </c>
      <c r="C90">
        <v>17.98</v>
      </c>
      <c r="D90">
        <v>18.09</v>
      </c>
      <c r="E90">
        <v>17.86</v>
      </c>
      <c r="F90">
        <v>18.09</v>
      </c>
      <c r="G90">
        <v>1172800</v>
      </c>
      <c r="K90" s="5"/>
    </row>
    <row r="91" spans="1:11" ht="12">
      <c r="A91"/>
      <c r="B91" s="9">
        <v>40375</v>
      </c>
      <c r="C91">
        <v>18.14</v>
      </c>
      <c r="D91">
        <v>18.14</v>
      </c>
      <c r="E91">
        <v>17.95</v>
      </c>
      <c r="F91">
        <v>17.96</v>
      </c>
      <c r="G91">
        <v>1591600</v>
      </c>
      <c r="K91" s="5"/>
    </row>
    <row r="92" spans="1:11" ht="12">
      <c r="A92"/>
      <c r="B92" s="9">
        <v>40374</v>
      </c>
      <c r="C92">
        <v>17.899999999999999</v>
      </c>
      <c r="D92">
        <v>18.12</v>
      </c>
      <c r="E92">
        <v>17.809999999999999</v>
      </c>
      <c r="F92">
        <v>18.079999999999998</v>
      </c>
      <c r="G92">
        <v>1986700</v>
      </c>
      <c r="K92" s="5"/>
    </row>
    <row r="93" spans="1:11" ht="12">
      <c r="A93"/>
      <c r="B93" s="9">
        <v>40373</v>
      </c>
      <c r="C93">
        <v>17.809999999999999</v>
      </c>
      <c r="D93">
        <v>17.95</v>
      </c>
      <c r="E93">
        <v>17.78</v>
      </c>
      <c r="F93">
        <v>17.88</v>
      </c>
      <c r="G93">
        <v>1369500</v>
      </c>
      <c r="K93" s="5"/>
    </row>
    <row r="94" spans="1:11" ht="12">
      <c r="A94"/>
      <c r="B94" s="9">
        <v>40372</v>
      </c>
      <c r="C94">
        <v>17.96</v>
      </c>
      <c r="D94">
        <v>17.989999999999998</v>
      </c>
      <c r="E94">
        <v>17.79</v>
      </c>
      <c r="F94">
        <v>17.8</v>
      </c>
      <c r="G94">
        <v>1399800</v>
      </c>
      <c r="K94" s="5"/>
    </row>
    <row r="95" spans="1:11" ht="12">
      <c r="A95"/>
      <c r="B95" s="9">
        <v>40369</v>
      </c>
      <c r="C95">
        <v>18.03</v>
      </c>
      <c r="D95">
        <v>18.12</v>
      </c>
      <c r="E95">
        <v>17.87</v>
      </c>
      <c r="F95">
        <v>17.920000000000002</v>
      </c>
      <c r="G95">
        <v>2204400</v>
      </c>
      <c r="K95" s="5"/>
    </row>
    <row r="96" spans="1:11" ht="12">
      <c r="A96"/>
      <c r="B96" s="9">
        <v>40368</v>
      </c>
      <c r="C96">
        <v>17.93</v>
      </c>
      <c r="D96">
        <v>18.11</v>
      </c>
      <c r="E96">
        <v>17.93</v>
      </c>
      <c r="F96">
        <v>18.07</v>
      </c>
      <c r="G96">
        <v>2105900</v>
      </c>
      <c r="K96" s="5"/>
    </row>
    <row r="97" spans="1:11" ht="12">
      <c r="A97"/>
      <c r="B97" s="9">
        <v>40367</v>
      </c>
      <c r="C97">
        <v>17.98</v>
      </c>
      <c r="D97">
        <v>17.989999999999998</v>
      </c>
      <c r="E97">
        <v>17.82</v>
      </c>
      <c r="F97">
        <v>17.93</v>
      </c>
      <c r="G97">
        <v>1750700</v>
      </c>
      <c r="K97" s="5"/>
    </row>
    <row r="98" spans="1:11" ht="12">
      <c r="A98"/>
      <c r="B98" s="9">
        <v>40366</v>
      </c>
      <c r="C98">
        <v>17.88</v>
      </c>
      <c r="D98">
        <v>18</v>
      </c>
      <c r="E98">
        <v>17.850000000000001</v>
      </c>
      <c r="F98">
        <v>17.93</v>
      </c>
      <c r="G98">
        <v>2486700</v>
      </c>
      <c r="K98" s="5"/>
    </row>
    <row r="99" spans="1:11" ht="12">
      <c r="A99"/>
      <c r="B99" s="9">
        <v>40365</v>
      </c>
      <c r="C99">
        <v>17.86</v>
      </c>
      <c r="D99">
        <v>17.97</v>
      </c>
      <c r="E99">
        <v>17.78</v>
      </c>
      <c r="F99">
        <v>17.86</v>
      </c>
      <c r="G99">
        <v>2483600</v>
      </c>
      <c r="K99" s="5"/>
    </row>
    <row r="100" spans="1:11" ht="12">
      <c r="A100"/>
      <c r="B100" s="9">
        <v>40361</v>
      </c>
      <c r="C100">
        <v>18.09</v>
      </c>
      <c r="D100">
        <v>18.100000000000001</v>
      </c>
      <c r="E100">
        <v>17.690000000000001</v>
      </c>
      <c r="F100">
        <v>17.86</v>
      </c>
      <c r="G100">
        <v>4354200</v>
      </c>
      <c r="K100" s="5"/>
    </row>
    <row r="101" spans="1:11" ht="12">
      <c r="A101"/>
      <c r="B101" s="9">
        <v>40360</v>
      </c>
      <c r="C101">
        <v>18.14</v>
      </c>
      <c r="D101">
        <v>18.3</v>
      </c>
      <c r="E101">
        <v>17.98</v>
      </c>
      <c r="F101">
        <v>18.100000000000001</v>
      </c>
      <c r="G101">
        <v>24277300</v>
      </c>
      <c r="K101" s="5"/>
    </row>
    <row r="102" spans="1:11" ht="12">
      <c r="A102"/>
      <c r="B102" t="s">
        <v>50</v>
      </c>
      <c r="C102" s="2">
        <f>AVERAGE(C72:C101)</f>
        <v>17.743666666666666</v>
      </c>
      <c r="D102" s="2">
        <f>AVERAGE(D72:D101)</f>
        <v>17.856666666666666</v>
      </c>
      <c r="E102" s="2">
        <f>AVERAGE(E72:E101)</f>
        <v>17.613333333333337</v>
      </c>
      <c r="F102" s="8">
        <f>AVERAGE(F72:F101)</f>
        <v>17.727333333333331</v>
      </c>
      <c r="G102">
        <f>AVERAGE(G72:G101)</f>
        <v>2733366.6666666665</v>
      </c>
      <c r="K102" s="5"/>
    </row>
    <row r="103" spans="1:11" ht="12">
      <c r="A103"/>
      <c r="B103" t="s">
        <v>44</v>
      </c>
      <c r="C103">
        <f>MEDIAN(C72:C101)</f>
        <v>17.895</v>
      </c>
      <c r="D103">
        <f>MEDIAN(D72:D101)</f>
        <v>17.994999999999997</v>
      </c>
      <c r="E103">
        <f>MEDIAN(E72:E101)</f>
        <v>17.799999999999997</v>
      </c>
      <c r="F103">
        <f>MEDIAN(F72:F101)</f>
        <v>17.869999999999997</v>
      </c>
      <c r="G103">
        <f>MEDIAN(G72:G101)</f>
        <v>1751900</v>
      </c>
      <c r="K103" s="5"/>
    </row>
    <row r="104" spans="1:11" ht="12">
      <c r="A104"/>
      <c r="B104" t="s">
        <v>42</v>
      </c>
      <c r="C104">
        <f>MIN(C72:C101)</f>
        <v>17.02</v>
      </c>
      <c r="D104">
        <f>MIN(D72:D101)</f>
        <v>17.09</v>
      </c>
      <c r="E104">
        <f>MIN(E72:E101)</f>
        <v>16.91</v>
      </c>
      <c r="F104">
        <f>MIN(F72:F101)</f>
        <v>16.96</v>
      </c>
      <c r="G104">
        <f>MIN(G72:G101)</f>
        <v>1040800</v>
      </c>
      <c r="K104" s="5"/>
    </row>
    <row r="105" spans="1:11" ht="12">
      <c r="A105"/>
      <c r="B105" t="s">
        <v>43</v>
      </c>
      <c r="C105">
        <f>MAX(C72:C101)</f>
        <v>18.14</v>
      </c>
      <c r="D105">
        <f>MAX(D72:D101)</f>
        <v>18.3</v>
      </c>
      <c r="E105">
        <f>MAX(E72:E101)</f>
        <v>18.010000000000002</v>
      </c>
      <c r="F105">
        <f>MAX(F72:F101)</f>
        <v>18.149999999999999</v>
      </c>
      <c r="G105">
        <f>MAX(G72:G101)</f>
        <v>24277300</v>
      </c>
      <c r="K105" s="5"/>
    </row>
    <row r="106" spans="1:11" ht="12">
      <c r="A106" t="s">
        <v>167</v>
      </c>
      <c r="B106" t="s">
        <v>37</v>
      </c>
      <c r="C106" t="s">
        <v>38</v>
      </c>
      <c r="D106" t="s">
        <v>39</v>
      </c>
      <c r="E106" t="s">
        <v>40</v>
      </c>
      <c r="F106" t="s">
        <v>41</v>
      </c>
      <c r="G106" t="s">
        <v>135</v>
      </c>
      <c r="K106" s="5"/>
    </row>
    <row r="107" spans="1:11" ht="12">
      <c r="A107"/>
      <c r="B107" s="9">
        <v>40402</v>
      </c>
      <c r="C107">
        <v>47.27</v>
      </c>
      <c r="D107">
        <v>47.72</v>
      </c>
      <c r="E107">
        <v>47.27</v>
      </c>
      <c r="F107">
        <v>47.52</v>
      </c>
      <c r="G107">
        <v>132800</v>
      </c>
      <c r="K107" s="5"/>
    </row>
    <row r="108" spans="1:11" ht="12">
      <c r="A108"/>
      <c r="B108" s="9">
        <v>40401</v>
      </c>
      <c r="C108">
        <v>47.8</v>
      </c>
      <c r="D108">
        <v>48.04</v>
      </c>
      <c r="E108">
        <v>47.53</v>
      </c>
      <c r="F108">
        <v>47.74</v>
      </c>
      <c r="G108">
        <v>136200</v>
      </c>
      <c r="K108" s="5"/>
    </row>
    <row r="109" spans="1:11" ht="12">
      <c r="A109"/>
      <c r="B109" s="9">
        <v>40400</v>
      </c>
      <c r="C109">
        <v>48.11</v>
      </c>
      <c r="D109">
        <v>48.31</v>
      </c>
      <c r="E109">
        <v>47.79</v>
      </c>
      <c r="F109">
        <v>47.81</v>
      </c>
      <c r="G109">
        <v>280100</v>
      </c>
      <c r="K109" s="5"/>
    </row>
    <row r="110" spans="1:11" ht="12">
      <c r="A110"/>
      <c r="B110" s="9">
        <v>40397</v>
      </c>
      <c r="C110">
        <v>47.34</v>
      </c>
      <c r="D110">
        <v>48.01</v>
      </c>
      <c r="E110">
        <v>47.34</v>
      </c>
      <c r="F110">
        <v>47.94</v>
      </c>
      <c r="G110">
        <v>288000</v>
      </c>
      <c r="K110" s="5"/>
    </row>
    <row r="111" spans="1:11" ht="12">
      <c r="A111"/>
      <c r="B111" s="9">
        <v>40396</v>
      </c>
      <c r="C111">
        <v>47.46</v>
      </c>
      <c r="D111">
        <v>47.8</v>
      </c>
      <c r="E111">
        <v>47.16</v>
      </c>
      <c r="F111">
        <v>47.49</v>
      </c>
      <c r="G111">
        <v>93800</v>
      </c>
      <c r="K111" s="5"/>
    </row>
    <row r="112" spans="1:11" ht="12">
      <c r="A112"/>
      <c r="B112" s="9">
        <v>40395</v>
      </c>
      <c r="C112">
        <v>47.57</v>
      </c>
      <c r="D112">
        <v>47.71</v>
      </c>
      <c r="E112">
        <v>47.21</v>
      </c>
      <c r="F112">
        <v>47.4</v>
      </c>
      <c r="G112">
        <v>197600</v>
      </c>
      <c r="K112" s="5"/>
    </row>
    <row r="113" spans="1:15" ht="12">
      <c r="A113"/>
      <c r="B113" s="9">
        <v>40394</v>
      </c>
      <c r="C113">
        <v>46.87</v>
      </c>
      <c r="D113">
        <v>48.12</v>
      </c>
      <c r="E113">
        <v>46.76</v>
      </c>
      <c r="F113">
        <v>47.57</v>
      </c>
      <c r="G113">
        <v>288000</v>
      </c>
      <c r="L113" s="2"/>
      <c r="M113" s="2"/>
      <c r="N113" s="2"/>
      <c r="O113" s="8"/>
    </row>
    <row r="114" spans="1:15" ht="12">
      <c r="A114"/>
      <c r="B114" s="9">
        <v>40393</v>
      </c>
      <c r="C114">
        <v>48.15</v>
      </c>
      <c r="D114">
        <v>48.15</v>
      </c>
      <c r="E114">
        <v>46.14</v>
      </c>
      <c r="F114">
        <v>47.19</v>
      </c>
      <c r="G114">
        <v>281300</v>
      </c>
    </row>
    <row r="115" spans="1:15" ht="12">
      <c r="A115"/>
      <c r="B115" s="9">
        <v>40390</v>
      </c>
      <c r="C115">
        <v>47.22</v>
      </c>
      <c r="D115">
        <v>47.93</v>
      </c>
      <c r="E115">
        <v>47.15</v>
      </c>
      <c r="F115">
        <v>47.87</v>
      </c>
      <c r="G115">
        <v>299500</v>
      </c>
    </row>
    <row r="116" spans="1:15" ht="12">
      <c r="A116"/>
      <c r="B116" s="9">
        <v>40389</v>
      </c>
      <c r="C116">
        <v>47.24</v>
      </c>
      <c r="D116">
        <v>47.73</v>
      </c>
      <c r="E116">
        <v>46.9</v>
      </c>
      <c r="F116">
        <v>46.92</v>
      </c>
      <c r="G116">
        <v>210600</v>
      </c>
    </row>
    <row r="117" spans="1:15" ht="12">
      <c r="A117"/>
      <c r="B117" s="9">
        <v>40388</v>
      </c>
      <c r="C117">
        <v>48.37</v>
      </c>
      <c r="D117">
        <v>48.39</v>
      </c>
      <c r="E117">
        <v>47.42</v>
      </c>
      <c r="F117">
        <v>47.67</v>
      </c>
      <c r="G117">
        <v>187600</v>
      </c>
    </row>
    <row r="118" spans="1:15" ht="12">
      <c r="A118"/>
      <c r="B118" s="9">
        <v>40387</v>
      </c>
      <c r="C118">
        <v>48.64</v>
      </c>
      <c r="D118">
        <v>48.67</v>
      </c>
      <c r="E118">
        <v>48.11</v>
      </c>
      <c r="F118">
        <v>48.19</v>
      </c>
      <c r="G118">
        <v>129700</v>
      </c>
      <c r="K118" s="5"/>
    </row>
    <row r="119" spans="1:15" ht="12">
      <c r="A119"/>
      <c r="B119" s="9">
        <v>40386</v>
      </c>
      <c r="C119">
        <v>47.92</v>
      </c>
      <c r="D119">
        <v>48.67</v>
      </c>
      <c r="E119">
        <v>47.9</v>
      </c>
      <c r="F119">
        <v>48.59</v>
      </c>
      <c r="G119">
        <v>159800</v>
      </c>
      <c r="K119" s="5"/>
    </row>
    <row r="120" spans="1:15" ht="12">
      <c r="A120"/>
      <c r="B120" s="9">
        <v>40383</v>
      </c>
      <c r="C120">
        <v>48.08</v>
      </c>
      <c r="D120">
        <v>48.18</v>
      </c>
      <c r="E120">
        <v>47.88</v>
      </c>
      <c r="F120">
        <v>47.93</v>
      </c>
      <c r="G120">
        <v>187600</v>
      </c>
      <c r="K120" s="5"/>
    </row>
    <row r="121" spans="1:15" ht="12">
      <c r="A121"/>
      <c r="B121" s="9">
        <v>40382</v>
      </c>
      <c r="C121">
        <v>48.49</v>
      </c>
      <c r="D121">
        <v>48.67</v>
      </c>
      <c r="E121">
        <v>48.13</v>
      </c>
      <c r="F121">
        <v>48.33</v>
      </c>
      <c r="G121">
        <v>107400</v>
      </c>
      <c r="K121" s="5"/>
    </row>
    <row r="122" spans="1:15" ht="12">
      <c r="A122"/>
      <c r="B122" s="9">
        <v>40381</v>
      </c>
      <c r="C122">
        <v>48.93</v>
      </c>
      <c r="D122">
        <v>48.93</v>
      </c>
      <c r="E122">
        <v>48.35</v>
      </c>
      <c r="F122">
        <v>48.53</v>
      </c>
      <c r="G122">
        <v>135300</v>
      </c>
      <c r="K122" s="5"/>
    </row>
    <row r="123" spans="1:15" ht="12">
      <c r="A123"/>
      <c r="B123" s="9">
        <v>40380</v>
      </c>
      <c r="C123">
        <v>49.05</v>
      </c>
      <c r="D123">
        <v>49.08</v>
      </c>
      <c r="E123">
        <v>48.66</v>
      </c>
      <c r="F123">
        <v>48.83</v>
      </c>
      <c r="G123">
        <v>144600</v>
      </c>
      <c r="K123" s="5"/>
    </row>
    <row r="124" spans="1:15" ht="12">
      <c r="A124"/>
      <c r="B124" s="9">
        <v>40379</v>
      </c>
      <c r="C124">
        <v>48.63</v>
      </c>
      <c r="D124">
        <v>49.09</v>
      </c>
      <c r="E124">
        <v>48.41</v>
      </c>
      <c r="F124">
        <v>48.8</v>
      </c>
      <c r="G124">
        <v>373100</v>
      </c>
      <c r="K124" s="5"/>
    </row>
    <row r="125" spans="1:15" ht="12">
      <c r="A125"/>
      <c r="B125" s="9">
        <v>40376</v>
      </c>
      <c r="C125">
        <v>48.25</v>
      </c>
      <c r="D125">
        <v>48.86</v>
      </c>
      <c r="E125">
        <v>48.05</v>
      </c>
      <c r="F125">
        <v>48.85</v>
      </c>
      <c r="G125">
        <v>188700</v>
      </c>
      <c r="K125" s="5"/>
    </row>
    <row r="126" spans="1:15" ht="12">
      <c r="A126"/>
      <c r="B126" s="9">
        <v>40375</v>
      </c>
      <c r="C126">
        <v>48.66</v>
      </c>
      <c r="D126">
        <v>49.05</v>
      </c>
      <c r="E126">
        <v>48.32</v>
      </c>
      <c r="F126">
        <v>48.36</v>
      </c>
      <c r="G126">
        <v>140500</v>
      </c>
      <c r="K126" s="5"/>
    </row>
    <row r="127" spans="1:15" ht="12">
      <c r="A127"/>
      <c r="B127" s="9">
        <v>40374</v>
      </c>
      <c r="C127">
        <v>48.97</v>
      </c>
      <c r="D127">
        <v>49.27</v>
      </c>
      <c r="E127">
        <v>48.56</v>
      </c>
      <c r="F127">
        <v>48.95</v>
      </c>
      <c r="G127">
        <v>251500</v>
      </c>
      <c r="K127" s="5"/>
    </row>
    <row r="128" spans="1:15" ht="12">
      <c r="A128"/>
      <c r="B128" s="9">
        <v>40373</v>
      </c>
      <c r="C128">
        <v>48.64</v>
      </c>
      <c r="D128">
        <v>48.97</v>
      </c>
      <c r="E128">
        <v>48.38</v>
      </c>
      <c r="F128">
        <v>48.93</v>
      </c>
      <c r="G128">
        <v>214200</v>
      </c>
      <c r="K128" s="5"/>
    </row>
    <row r="129" spans="1:11" ht="12">
      <c r="A129"/>
      <c r="B129" s="9">
        <v>40372</v>
      </c>
      <c r="C129">
        <v>49.68</v>
      </c>
      <c r="D129">
        <v>49.68</v>
      </c>
      <c r="E129">
        <v>48.69</v>
      </c>
      <c r="F129">
        <v>48.69</v>
      </c>
      <c r="G129">
        <v>159900</v>
      </c>
      <c r="K129" s="5"/>
    </row>
    <row r="130" spans="1:11" ht="12">
      <c r="A130"/>
      <c r="B130" s="9">
        <v>40369</v>
      </c>
      <c r="C130">
        <v>50.05</v>
      </c>
      <c r="D130">
        <v>50.16</v>
      </c>
      <c r="E130">
        <v>49.38</v>
      </c>
      <c r="F130">
        <v>49.38</v>
      </c>
      <c r="G130">
        <v>181400</v>
      </c>
      <c r="K130" s="5"/>
    </row>
    <row r="131" spans="1:11" ht="12">
      <c r="A131"/>
      <c r="B131" s="9">
        <v>40368</v>
      </c>
      <c r="C131">
        <v>49.91</v>
      </c>
      <c r="D131">
        <v>50.19</v>
      </c>
      <c r="E131">
        <v>49.8</v>
      </c>
      <c r="F131">
        <v>50.06</v>
      </c>
      <c r="G131">
        <v>189200</v>
      </c>
      <c r="K131" s="5"/>
    </row>
    <row r="132" spans="1:11" ht="12">
      <c r="A132"/>
      <c r="B132" s="9">
        <v>40367</v>
      </c>
      <c r="C132">
        <v>50.51</v>
      </c>
      <c r="D132">
        <v>50.68</v>
      </c>
      <c r="E132">
        <v>50.01</v>
      </c>
      <c r="F132">
        <v>50.18</v>
      </c>
      <c r="G132">
        <v>187900</v>
      </c>
      <c r="K132" s="5"/>
    </row>
    <row r="133" spans="1:11" ht="12">
      <c r="A133"/>
      <c r="B133" s="9">
        <v>40366</v>
      </c>
      <c r="C133">
        <v>50.19</v>
      </c>
      <c r="D133">
        <v>50.86</v>
      </c>
      <c r="E133">
        <v>50.19</v>
      </c>
      <c r="F133">
        <v>50.45</v>
      </c>
      <c r="G133">
        <v>193800</v>
      </c>
      <c r="K133" s="5"/>
    </row>
    <row r="134" spans="1:11" ht="12">
      <c r="A134"/>
      <c r="B134" s="9">
        <v>40365</v>
      </c>
      <c r="C134">
        <v>50.26</v>
      </c>
      <c r="D134">
        <v>50.57</v>
      </c>
      <c r="E134">
        <v>50.01</v>
      </c>
      <c r="F134">
        <v>50.15</v>
      </c>
      <c r="G134">
        <v>128000</v>
      </c>
      <c r="K134" s="5"/>
    </row>
    <row r="135" spans="1:11" ht="12">
      <c r="A135"/>
      <c r="B135" s="9">
        <v>40361</v>
      </c>
      <c r="C135">
        <v>50.57</v>
      </c>
      <c r="D135">
        <v>50.58</v>
      </c>
      <c r="E135">
        <v>50.08</v>
      </c>
      <c r="F135">
        <v>50.3</v>
      </c>
      <c r="G135">
        <v>206300</v>
      </c>
      <c r="K135" s="5"/>
    </row>
    <row r="136" spans="1:11" ht="12">
      <c r="A136"/>
      <c r="B136" s="9">
        <v>40360</v>
      </c>
      <c r="C136">
        <v>51.14</v>
      </c>
      <c r="D136">
        <v>51.14</v>
      </c>
      <c r="E136">
        <v>50.53</v>
      </c>
      <c r="F136">
        <v>50.59</v>
      </c>
      <c r="G136">
        <v>328300</v>
      </c>
      <c r="K136" s="5"/>
    </row>
    <row r="137" spans="1:11" ht="12">
      <c r="A137"/>
      <c r="B137" t="s">
        <v>50</v>
      </c>
      <c r="C137" s="2">
        <f>AVERAGE(C107:C136)</f>
        <v>48.665666666666667</v>
      </c>
      <c r="D137" s="2">
        <f>AVERAGE(D107:D136)</f>
        <v>48.973666666666659</v>
      </c>
      <c r="E137" s="2">
        <f>AVERAGE(E107:E136)</f>
        <v>48.27033333333334</v>
      </c>
      <c r="F137" s="8">
        <f>AVERAGE(F107:F136)</f>
        <v>48.573666666666675</v>
      </c>
      <c r="G137">
        <f>AVERAGE(G107:G136)</f>
        <v>200090</v>
      </c>
      <c r="K137" s="5"/>
    </row>
    <row r="138" spans="1:11" ht="12">
      <c r="A138"/>
      <c r="B138" t="s">
        <v>44</v>
      </c>
      <c r="C138">
        <f>MEDIAN(C107:C136)</f>
        <v>48.56</v>
      </c>
      <c r="D138">
        <f>MEDIAN(D107:D136)</f>
        <v>48.765000000000001</v>
      </c>
      <c r="E138">
        <f>MEDIAN(E107:E136)</f>
        <v>48.120000000000005</v>
      </c>
      <c r="F138">
        <f>MEDIAN(F107:F136)</f>
        <v>48.445</v>
      </c>
      <c r="G138">
        <f>MEDIAN(G107:G136)</f>
        <v>188300</v>
      </c>
      <c r="K138" s="5"/>
    </row>
    <row r="139" spans="1:11" ht="12">
      <c r="A139"/>
      <c r="B139" t="s">
        <v>42</v>
      </c>
      <c r="C139">
        <f>MIN(C107:C136)</f>
        <v>46.87</v>
      </c>
      <c r="D139">
        <f>MIN(D107:D136)</f>
        <v>47.71</v>
      </c>
      <c r="E139">
        <f>MIN(E107:E136)</f>
        <v>46.14</v>
      </c>
      <c r="F139">
        <f>MIN(F107:F136)</f>
        <v>46.92</v>
      </c>
      <c r="G139">
        <f>MIN(G107:G136)</f>
        <v>93800</v>
      </c>
      <c r="K139" s="5"/>
    </row>
    <row r="140" spans="1:11" ht="12">
      <c r="A140"/>
      <c r="B140" t="s">
        <v>43</v>
      </c>
      <c r="C140">
        <f>MAX(C107:C136)</f>
        <v>51.14</v>
      </c>
      <c r="D140">
        <f>MAX(D107:D136)</f>
        <v>51.14</v>
      </c>
      <c r="E140">
        <f>MAX(E107:E136)</f>
        <v>50.53</v>
      </c>
      <c r="F140">
        <f>MAX(F107:F136)</f>
        <v>50.59</v>
      </c>
      <c r="G140">
        <f>MAX(G107:G136)</f>
        <v>373100</v>
      </c>
      <c r="K140" s="5"/>
    </row>
    <row r="141" spans="1:11" ht="12">
      <c r="A141" t="s">
        <v>168</v>
      </c>
      <c r="B141" t="s">
        <v>37</v>
      </c>
      <c r="C141" t="s">
        <v>38</v>
      </c>
      <c r="D141" t="s">
        <v>39</v>
      </c>
      <c r="E141" t="s">
        <v>40</v>
      </c>
      <c r="F141" t="s">
        <v>41</v>
      </c>
      <c r="G141" t="s">
        <v>135</v>
      </c>
      <c r="K141" s="5"/>
    </row>
    <row r="142" spans="1:11" ht="12">
      <c r="A142"/>
      <c r="B142" s="9">
        <v>40402</v>
      </c>
      <c r="C142">
        <v>35.590000000000003</v>
      </c>
      <c r="D142">
        <v>35.909999999999997</v>
      </c>
      <c r="E142">
        <v>35.43</v>
      </c>
      <c r="F142">
        <v>35.81</v>
      </c>
      <c r="G142">
        <v>766200</v>
      </c>
      <c r="K142" s="5"/>
    </row>
    <row r="143" spans="1:11" ht="12">
      <c r="A143"/>
      <c r="B143" s="9">
        <v>40401</v>
      </c>
      <c r="C143">
        <v>35.43</v>
      </c>
      <c r="D143">
        <v>35.74</v>
      </c>
      <c r="E143">
        <v>35.25</v>
      </c>
      <c r="F143">
        <v>35.53</v>
      </c>
      <c r="G143">
        <v>622600</v>
      </c>
      <c r="K143" s="5"/>
    </row>
    <row r="144" spans="1:11" ht="12">
      <c r="A144"/>
      <c r="B144" s="9">
        <v>40400</v>
      </c>
      <c r="C144">
        <v>35.47</v>
      </c>
      <c r="D144">
        <v>35.92</v>
      </c>
      <c r="E144">
        <v>35.22</v>
      </c>
      <c r="F144">
        <v>35.479999999999997</v>
      </c>
      <c r="G144">
        <v>1158100</v>
      </c>
      <c r="K144" s="5"/>
    </row>
    <row r="145" spans="1:11" ht="12">
      <c r="A145"/>
      <c r="B145" s="9">
        <v>40397</v>
      </c>
      <c r="C145">
        <v>34.96</v>
      </c>
      <c r="D145">
        <v>35.42</v>
      </c>
      <c r="E145">
        <v>34.880000000000003</v>
      </c>
      <c r="F145">
        <v>35.299999999999997</v>
      </c>
      <c r="G145">
        <v>2683200</v>
      </c>
      <c r="K145" s="5"/>
    </row>
    <row r="146" spans="1:11" ht="12">
      <c r="A146"/>
      <c r="B146" s="9">
        <v>40396</v>
      </c>
      <c r="C146">
        <v>35.35</v>
      </c>
      <c r="D146">
        <v>35.79</v>
      </c>
      <c r="E146">
        <v>34.909999999999997</v>
      </c>
      <c r="F146">
        <v>34.99</v>
      </c>
      <c r="G146">
        <v>1751200</v>
      </c>
      <c r="K146" s="5"/>
    </row>
    <row r="147" spans="1:11" ht="12">
      <c r="A147"/>
      <c r="B147" s="9">
        <v>40395</v>
      </c>
      <c r="C147">
        <v>35.630000000000003</v>
      </c>
      <c r="D147">
        <v>35.630000000000003</v>
      </c>
      <c r="E147">
        <v>35.090000000000003</v>
      </c>
      <c r="F147">
        <v>35.130000000000003</v>
      </c>
      <c r="G147">
        <v>993300</v>
      </c>
      <c r="K147" s="5"/>
    </row>
    <row r="148" spans="1:11" ht="12">
      <c r="A148"/>
      <c r="B148" s="9">
        <v>40394</v>
      </c>
      <c r="C148">
        <v>35.96</v>
      </c>
      <c r="D148">
        <v>36.19</v>
      </c>
      <c r="E148">
        <v>35.53</v>
      </c>
      <c r="F148">
        <v>35.65</v>
      </c>
      <c r="G148">
        <v>661200</v>
      </c>
      <c r="K148" s="5"/>
    </row>
    <row r="149" spans="1:11" ht="12">
      <c r="A149"/>
      <c r="B149" s="9">
        <v>40393</v>
      </c>
      <c r="C149">
        <v>36.119999999999997</v>
      </c>
      <c r="D149">
        <v>36.119999999999997</v>
      </c>
      <c r="E149">
        <v>35.39</v>
      </c>
      <c r="F149">
        <v>36.07</v>
      </c>
      <c r="G149">
        <v>1032900</v>
      </c>
      <c r="K149" s="5"/>
    </row>
    <row r="150" spans="1:11" ht="12">
      <c r="A150"/>
      <c r="B150" s="9">
        <v>40390</v>
      </c>
      <c r="C150">
        <v>35.96</v>
      </c>
      <c r="D150">
        <v>36.26</v>
      </c>
      <c r="E150">
        <v>35.69</v>
      </c>
      <c r="F150">
        <v>36.07</v>
      </c>
      <c r="G150">
        <v>1470500</v>
      </c>
      <c r="K150" s="5"/>
    </row>
    <row r="151" spans="1:11" ht="12">
      <c r="A151"/>
      <c r="B151" s="9">
        <v>40389</v>
      </c>
      <c r="C151">
        <v>36.75</v>
      </c>
      <c r="D151">
        <v>36.770000000000003</v>
      </c>
      <c r="E151">
        <v>35.950000000000003</v>
      </c>
      <c r="F151">
        <v>35.950000000000003</v>
      </c>
      <c r="G151">
        <v>922200</v>
      </c>
      <c r="K151" s="5"/>
    </row>
    <row r="152" spans="1:11" ht="12">
      <c r="A152"/>
      <c r="B152" s="9">
        <v>40388</v>
      </c>
      <c r="C152">
        <v>37.450000000000003</v>
      </c>
      <c r="D152">
        <v>37.57</v>
      </c>
      <c r="E152">
        <v>36.840000000000003</v>
      </c>
      <c r="F152">
        <v>36.85</v>
      </c>
      <c r="G152">
        <v>952900</v>
      </c>
      <c r="K152" s="5"/>
    </row>
    <row r="153" spans="1:11" ht="12">
      <c r="A153"/>
      <c r="B153" s="9">
        <v>40387</v>
      </c>
      <c r="C153">
        <v>37.53</v>
      </c>
      <c r="D153">
        <v>37.700000000000003</v>
      </c>
      <c r="E153">
        <v>37.35</v>
      </c>
      <c r="F153">
        <v>37.369999999999997</v>
      </c>
      <c r="G153">
        <v>1209500</v>
      </c>
      <c r="K153" s="5"/>
    </row>
    <row r="154" spans="1:11" ht="12">
      <c r="A154"/>
      <c r="B154" s="9">
        <v>40386</v>
      </c>
      <c r="C154">
        <v>37.04</v>
      </c>
      <c r="D154">
        <v>37.6</v>
      </c>
      <c r="E154">
        <v>36.97</v>
      </c>
      <c r="F154">
        <v>37.51</v>
      </c>
      <c r="G154">
        <v>1293500</v>
      </c>
      <c r="K154" s="5"/>
    </row>
    <row r="155" spans="1:11" ht="12">
      <c r="A155"/>
      <c r="B155" s="9">
        <v>40383</v>
      </c>
      <c r="C155">
        <v>37.39</v>
      </c>
      <c r="D155">
        <v>37.47</v>
      </c>
      <c r="E155">
        <v>36.94</v>
      </c>
      <c r="F155">
        <v>36.97</v>
      </c>
      <c r="G155">
        <v>578300</v>
      </c>
      <c r="K155" s="5"/>
    </row>
    <row r="156" spans="1:11" ht="12">
      <c r="A156"/>
      <c r="B156" s="9">
        <v>40382</v>
      </c>
      <c r="C156">
        <v>37.44</v>
      </c>
      <c r="D156">
        <v>37.619999999999997</v>
      </c>
      <c r="E156">
        <v>37.35</v>
      </c>
      <c r="F156">
        <v>37.42</v>
      </c>
      <c r="G156">
        <v>718000</v>
      </c>
      <c r="K156" s="5"/>
    </row>
    <row r="157" spans="1:11" ht="12">
      <c r="A157"/>
      <c r="B157" s="9">
        <v>40381</v>
      </c>
      <c r="C157">
        <v>37.65</v>
      </c>
      <c r="D157">
        <v>37.65</v>
      </c>
      <c r="E157">
        <v>37.479999999999997</v>
      </c>
      <c r="F157">
        <v>37.51</v>
      </c>
      <c r="G157">
        <v>360700</v>
      </c>
      <c r="K157" s="5"/>
    </row>
    <row r="158" spans="1:11" ht="12">
      <c r="A158"/>
      <c r="B158" s="9">
        <v>40380</v>
      </c>
      <c r="C158">
        <v>37.840000000000003</v>
      </c>
      <c r="D158">
        <v>37.909999999999997</v>
      </c>
      <c r="E158">
        <v>37.64</v>
      </c>
      <c r="F158">
        <v>37.65</v>
      </c>
      <c r="G158">
        <v>518400</v>
      </c>
      <c r="K158" s="5"/>
    </row>
    <row r="159" spans="1:11" ht="12">
      <c r="A159"/>
      <c r="B159" s="9">
        <v>40379</v>
      </c>
      <c r="C159">
        <v>37.67</v>
      </c>
      <c r="D159">
        <v>37.67</v>
      </c>
      <c r="E159">
        <v>37.450000000000003</v>
      </c>
      <c r="F159">
        <v>37.64</v>
      </c>
      <c r="G159">
        <v>442700</v>
      </c>
      <c r="K159" s="5"/>
    </row>
    <row r="160" spans="1:11" ht="12">
      <c r="A160"/>
      <c r="B160" s="9">
        <v>40376</v>
      </c>
      <c r="C160">
        <v>37.33</v>
      </c>
      <c r="D160">
        <v>37.78</v>
      </c>
      <c r="E160">
        <v>37.200000000000003</v>
      </c>
      <c r="F160">
        <v>37.729999999999997</v>
      </c>
      <c r="G160">
        <v>724000</v>
      </c>
      <c r="K160" s="5"/>
    </row>
    <row r="161" spans="1:11" ht="12">
      <c r="A161"/>
      <c r="B161" s="9">
        <v>40375</v>
      </c>
      <c r="C161">
        <v>37.159999999999997</v>
      </c>
      <c r="D161">
        <v>37.74</v>
      </c>
      <c r="E161">
        <v>37.11</v>
      </c>
      <c r="F161">
        <v>37.15</v>
      </c>
      <c r="G161">
        <v>831100</v>
      </c>
      <c r="K161" s="5"/>
    </row>
    <row r="162" spans="1:11" ht="12">
      <c r="A162"/>
      <c r="B162" s="9">
        <v>40374</v>
      </c>
      <c r="C162">
        <v>37.58</v>
      </c>
      <c r="D162">
        <v>37.58</v>
      </c>
      <c r="E162">
        <v>37.049999999999997</v>
      </c>
      <c r="F162">
        <v>37.369999999999997</v>
      </c>
      <c r="G162">
        <v>918600</v>
      </c>
      <c r="K162" s="5"/>
    </row>
    <row r="163" spans="1:11" ht="12">
      <c r="A163"/>
      <c r="B163" s="9">
        <v>40373</v>
      </c>
      <c r="C163">
        <v>37.25</v>
      </c>
      <c r="D163">
        <v>37.58</v>
      </c>
      <c r="E163">
        <v>37.17</v>
      </c>
      <c r="F163">
        <v>37.47</v>
      </c>
      <c r="G163">
        <v>463000</v>
      </c>
      <c r="K163" s="5"/>
    </row>
    <row r="164" spans="1:11" ht="12">
      <c r="A164"/>
      <c r="B164" s="9">
        <v>40372</v>
      </c>
      <c r="C164">
        <v>37.880000000000003</v>
      </c>
      <c r="D164">
        <v>37.880000000000003</v>
      </c>
      <c r="E164">
        <v>37.299999999999997</v>
      </c>
      <c r="F164">
        <v>37.31</v>
      </c>
      <c r="G164">
        <v>986000</v>
      </c>
      <c r="K164" s="5"/>
    </row>
    <row r="165" spans="1:11" ht="12">
      <c r="A165"/>
      <c r="B165" s="9">
        <v>40369</v>
      </c>
      <c r="C165">
        <v>37.67</v>
      </c>
      <c r="D165">
        <v>37.75</v>
      </c>
      <c r="E165">
        <v>37.21</v>
      </c>
      <c r="F165">
        <v>37.42</v>
      </c>
      <c r="G165">
        <v>651000</v>
      </c>
      <c r="K165" s="5"/>
    </row>
    <row r="166" spans="1:11" ht="12">
      <c r="A166"/>
      <c r="B166" s="9">
        <v>40368</v>
      </c>
      <c r="C166">
        <v>37.229999999999997</v>
      </c>
      <c r="D166">
        <v>37.700000000000003</v>
      </c>
      <c r="E166">
        <v>37.229999999999997</v>
      </c>
      <c r="F166">
        <v>37.67</v>
      </c>
      <c r="G166">
        <v>446400</v>
      </c>
      <c r="K166" s="5"/>
    </row>
    <row r="167" spans="1:11" ht="12">
      <c r="A167"/>
      <c r="B167" s="9">
        <v>40367</v>
      </c>
      <c r="C167">
        <v>37.619999999999997</v>
      </c>
      <c r="D167">
        <v>37.770000000000003</v>
      </c>
      <c r="E167">
        <v>37.26</v>
      </c>
      <c r="F167">
        <v>37.46</v>
      </c>
      <c r="G167">
        <v>496800</v>
      </c>
      <c r="K167" s="5"/>
    </row>
    <row r="168" spans="1:11" ht="12">
      <c r="A168"/>
      <c r="B168" s="9">
        <v>40366</v>
      </c>
      <c r="C168">
        <v>37.590000000000003</v>
      </c>
      <c r="D168">
        <v>37.92</v>
      </c>
      <c r="E168">
        <v>37.47</v>
      </c>
      <c r="F168">
        <v>37.65</v>
      </c>
      <c r="G168">
        <v>643400</v>
      </c>
      <c r="K168" s="5"/>
    </row>
    <row r="169" spans="1:11" ht="12">
      <c r="A169"/>
      <c r="B169" s="9">
        <v>40365</v>
      </c>
      <c r="C169">
        <v>37.99</v>
      </c>
      <c r="D169">
        <v>38.22</v>
      </c>
      <c r="E169">
        <v>37.81</v>
      </c>
      <c r="F169">
        <v>37.99</v>
      </c>
      <c r="G169">
        <v>704700</v>
      </c>
      <c r="K169" s="5"/>
    </row>
    <row r="170" spans="1:11" ht="12">
      <c r="A170"/>
      <c r="B170" s="9">
        <v>40361</v>
      </c>
      <c r="C170">
        <v>38.200000000000003</v>
      </c>
      <c r="D170">
        <v>38.57</v>
      </c>
      <c r="E170">
        <v>37.700000000000003</v>
      </c>
      <c r="F170">
        <v>38.06</v>
      </c>
      <c r="G170">
        <v>573100</v>
      </c>
      <c r="K170" s="5"/>
    </row>
    <row r="171" spans="1:11" ht="12">
      <c r="A171"/>
      <c r="B171" s="9">
        <v>40360</v>
      </c>
      <c r="C171">
        <v>38.909999999999997</v>
      </c>
      <c r="D171">
        <v>38.93</v>
      </c>
      <c r="E171">
        <v>38.119999999999997</v>
      </c>
      <c r="F171">
        <v>38.31</v>
      </c>
      <c r="G171">
        <v>1061500</v>
      </c>
      <c r="K171" s="5"/>
    </row>
    <row r="172" spans="1:11" ht="12">
      <c r="A172"/>
      <c r="B172" t="s">
        <v>50</v>
      </c>
      <c r="C172" s="2">
        <f>AVERAGE(C142:C171)</f>
        <v>36.988000000000007</v>
      </c>
      <c r="D172" s="2">
        <f>AVERAGE(D142:D171)</f>
        <v>37.211999999999996</v>
      </c>
      <c r="E172" s="2">
        <f>AVERAGE(E142:E171)</f>
        <v>36.666333333333334</v>
      </c>
      <c r="F172" s="8">
        <f>AVERAGE(F142:F171)</f>
        <v>36.882999999999996</v>
      </c>
      <c r="G172">
        <f>AVERAGE(G142:G171)</f>
        <v>887833.33333333337</v>
      </c>
      <c r="K172" s="5"/>
    </row>
    <row r="173" spans="1:11" ht="12">
      <c r="A173"/>
      <c r="B173" t="s">
        <v>44</v>
      </c>
      <c r="C173">
        <f>MEDIAN(C142:C171)</f>
        <v>37.36</v>
      </c>
      <c r="D173">
        <f>MEDIAN(D142:D171)</f>
        <v>37.61</v>
      </c>
      <c r="E173">
        <f>MEDIAN(E142:E171)</f>
        <v>37.14</v>
      </c>
      <c r="F173">
        <f>MEDIAN(F142:F171)</f>
        <v>37.369999999999997</v>
      </c>
      <c r="G173">
        <f>MEDIAN(G142:G171)</f>
        <v>745100</v>
      </c>
      <c r="K173" s="5"/>
    </row>
    <row r="174" spans="1:11" ht="12">
      <c r="A174"/>
      <c r="B174" t="s">
        <v>42</v>
      </c>
      <c r="C174">
        <f>MIN(C142:C171)</f>
        <v>34.96</v>
      </c>
      <c r="D174">
        <f>MIN(D142:D171)</f>
        <v>35.42</v>
      </c>
      <c r="E174">
        <f>MIN(E142:E171)</f>
        <v>34.880000000000003</v>
      </c>
      <c r="F174">
        <f>MIN(F142:F171)</f>
        <v>34.99</v>
      </c>
      <c r="G174">
        <f>MIN(G142:G171)</f>
        <v>360700</v>
      </c>
      <c r="K174" s="5"/>
    </row>
    <row r="175" spans="1:11" ht="12">
      <c r="A175"/>
      <c r="B175" t="s">
        <v>43</v>
      </c>
      <c r="C175">
        <f>MAX(C142:C171)</f>
        <v>38.909999999999997</v>
      </c>
      <c r="D175">
        <f>MAX(D142:D171)</f>
        <v>38.93</v>
      </c>
      <c r="E175">
        <f>MAX(E142:E171)</f>
        <v>38.119999999999997</v>
      </c>
      <c r="F175">
        <f>MAX(F142:F171)</f>
        <v>38.31</v>
      </c>
      <c r="G175">
        <f>MAX(G142:G171)</f>
        <v>2683200</v>
      </c>
      <c r="K175" s="5"/>
    </row>
    <row r="176" spans="1:11" ht="12">
      <c r="A176" t="s">
        <v>169</v>
      </c>
      <c r="B176" t="s">
        <v>37</v>
      </c>
      <c r="C176" t="s">
        <v>38</v>
      </c>
      <c r="D176" t="s">
        <v>39</v>
      </c>
      <c r="E176" t="s">
        <v>40</v>
      </c>
      <c r="F176" t="s">
        <v>41</v>
      </c>
      <c r="G176" t="s">
        <v>135</v>
      </c>
      <c r="K176" s="5"/>
    </row>
    <row r="177" spans="1:15" ht="12">
      <c r="A177"/>
      <c r="B177" s="9">
        <v>40402</v>
      </c>
      <c r="C177">
        <v>35.869999999999997</v>
      </c>
      <c r="D177">
        <v>36.39</v>
      </c>
      <c r="E177">
        <v>35.869999999999997</v>
      </c>
      <c r="F177">
        <v>36.21</v>
      </c>
      <c r="G177">
        <v>778300</v>
      </c>
      <c r="K177" s="5"/>
    </row>
    <row r="178" spans="1:15" ht="12">
      <c r="A178"/>
      <c r="B178" s="9">
        <v>40401</v>
      </c>
      <c r="C178">
        <v>35.869999999999997</v>
      </c>
      <c r="D178">
        <v>36.08</v>
      </c>
      <c r="E178">
        <v>35.72</v>
      </c>
      <c r="F178">
        <v>35.9</v>
      </c>
      <c r="G178">
        <v>1125700</v>
      </c>
      <c r="K178" s="5"/>
    </row>
    <row r="179" spans="1:15" ht="12">
      <c r="A179"/>
      <c r="B179" s="9">
        <v>40400</v>
      </c>
      <c r="C179">
        <v>36.29</v>
      </c>
      <c r="D179">
        <v>36.450000000000003</v>
      </c>
      <c r="E179">
        <v>35.85</v>
      </c>
      <c r="F179">
        <v>35.92</v>
      </c>
      <c r="G179">
        <v>1048300</v>
      </c>
      <c r="K179" s="5"/>
    </row>
    <row r="180" spans="1:15" ht="12">
      <c r="A180"/>
      <c r="B180" s="9">
        <v>40397</v>
      </c>
      <c r="C180">
        <v>35.69</v>
      </c>
      <c r="D180">
        <v>36.11</v>
      </c>
      <c r="E180">
        <v>35.630000000000003</v>
      </c>
      <c r="F180">
        <v>36.11</v>
      </c>
      <c r="G180">
        <v>979700</v>
      </c>
      <c r="K180" s="5"/>
    </row>
    <row r="181" spans="1:15" ht="12">
      <c r="A181"/>
      <c r="B181" s="9">
        <v>40396</v>
      </c>
      <c r="C181">
        <v>34.61</v>
      </c>
      <c r="D181">
        <v>35.58</v>
      </c>
      <c r="E181">
        <v>34.53</v>
      </c>
      <c r="F181">
        <v>35.51</v>
      </c>
      <c r="G181">
        <v>1226000</v>
      </c>
      <c r="K181" s="5"/>
    </row>
    <row r="182" spans="1:15" ht="12">
      <c r="A182"/>
      <c r="B182" s="9">
        <v>40395</v>
      </c>
      <c r="C182">
        <v>35.6</v>
      </c>
      <c r="D182">
        <v>35.65</v>
      </c>
      <c r="E182">
        <v>35.11</v>
      </c>
      <c r="F182">
        <v>35.28</v>
      </c>
      <c r="G182">
        <v>1318500</v>
      </c>
      <c r="K182" s="5"/>
    </row>
    <row r="183" spans="1:15" ht="12">
      <c r="A183"/>
      <c r="B183" s="9">
        <v>40394</v>
      </c>
      <c r="C183">
        <v>35.79</v>
      </c>
      <c r="D183">
        <v>36.369999999999997</v>
      </c>
      <c r="E183">
        <v>35.68</v>
      </c>
      <c r="F183">
        <v>35.82</v>
      </c>
      <c r="G183">
        <v>1461600</v>
      </c>
      <c r="L183" s="2"/>
      <c r="M183" s="2"/>
      <c r="N183" s="2"/>
      <c r="O183" s="8"/>
    </row>
    <row r="184" spans="1:15" ht="12">
      <c r="A184"/>
      <c r="B184" s="9">
        <v>40393</v>
      </c>
      <c r="C184">
        <v>36.369999999999997</v>
      </c>
      <c r="D184">
        <v>36.369999999999997</v>
      </c>
      <c r="E184">
        <v>35.35</v>
      </c>
      <c r="F184">
        <v>35.85</v>
      </c>
      <c r="G184">
        <v>1566600</v>
      </c>
    </row>
    <row r="185" spans="1:15" ht="12">
      <c r="A185"/>
      <c r="B185" s="9">
        <v>40390</v>
      </c>
      <c r="C185">
        <v>36</v>
      </c>
      <c r="D185">
        <v>36.42</v>
      </c>
      <c r="E185">
        <v>35.909999999999997</v>
      </c>
      <c r="F185">
        <v>36.229999999999997</v>
      </c>
      <c r="G185">
        <v>1130700</v>
      </c>
    </row>
    <row r="186" spans="1:15" ht="12">
      <c r="A186"/>
      <c r="B186" s="9">
        <v>40389</v>
      </c>
      <c r="C186">
        <v>36.46</v>
      </c>
      <c r="D186">
        <v>36.69</v>
      </c>
      <c r="E186">
        <v>36.04</v>
      </c>
      <c r="F186">
        <v>36.04</v>
      </c>
      <c r="G186">
        <v>891700</v>
      </c>
    </row>
    <row r="187" spans="1:15" ht="12">
      <c r="A187"/>
      <c r="B187" s="9">
        <v>40388</v>
      </c>
      <c r="C187">
        <v>37.15</v>
      </c>
      <c r="D187">
        <v>37.26</v>
      </c>
      <c r="E187">
        <v>36.54</v>
      </c>
      <c r="F187">
        <v>36.61</v>
      </c>
      <c r="G187">
        <v>1042200</v>
      </c>
    </row>
    <row r="188" spans="1:15" ht="12">
      <c r="A188"/>
      <c r="B188" s="9">
        <v>40387</v>
      </c>
      <c r="C188">
        <v>37.28</v>
      </c>
      <c r="D188">
        <v>37.5</v>
      </c>
      <c r="E188">
        <v>37.04</v>
      </c>
      <c r="F188">
        <v>37.14</v>
      </c>
      <c r="G188">
        <v>969000</v>
      </c>
      <c r="K188" s="5"/>
    </row>
    <row r="189" spans="1:15" ht="12">
      <c r="A189"/>
      <c r="B189" s="9">
        <v>40386</v>
      </c>
      <c r="C189">
        <v>36.83</v>
      </c>
      <c r="D189">
        <v>37.46</v>
      </c>
      <c r="E189">
        <v>36.799999999999997</v>
      </c>
      <c r="F189">
        <v>37.42</v>
      </c>
      <c r="G189">
        <v>785200</v>
      </c>
      <c r="K189" s="5"/>
    </row>
    <row r="190" spans="1:15" ht="12">
      <c r="A190"/>
      <c r="B190" s="9">
        <v>40383</v>
      </c>
      <c r="C190">
        <v>36.770000000000003</v>
      </c>
      <c r="D190">
        <v>37.18</v>
      </c>
      <c r="E190">
        <v>36.61</v>
      </c>
      <c r="F190">
        <v>36.840000000000003</v>
      </c>
      <c r="G190">
        <v>647000</v>
      </c>
      <c r="K190" s="5"/>
    </row>
    <row r="191" spans="1:15" ht="12">
      <c r="A191"/>
      <c r="B191" s="9">
        <v>40382</v>
      </c>
      <c r="C191">
        <v>36.880000000000003</v>
      </c>
      <c r="D191">
        <v>37.18</v>
      </c>
      <c r="E191">
        <v>36.770000000000003</v>
      </c>
      <c r="F191">
        <v>37.06</v>
      </c>
      <c r="G191">
        <v>626600</v>
      </c>
      <c r="K191" s="5"/>
    </row>
    <row r="192" spans="1:15" ht="12">
      <c r="A192"/>
      <c r="B192" s="9">
        <v>40381</v>
      </c>
      <c r="C192">
        <v>36.880000000000003</v>
      </c>
      <c r="D192">
        <v>36.979999999999997</v>
      </c>
      <c r="E192">
        <v>36.770000000000003</v>
      </c>
      <c r="F192">
        <v>36.89</v>
      </c>
      <c r="G192">
        <v>725500</v>
      </c>
      <c r="K192" s="5"/>
    </row>
    <row r="193" spans="1:11" ht="12">
      <c r="A193"/>
      <c r="B193" s="9">
        <v>40380</v>
      </c>
      <c r="C193">
        <v>36.72</v>
      </c>
      <c r="D193">
        <v>36.909999999999997</v>
      </c>
      <c r="E193">
        <v>36.71</v>
      </c>
      <c r="F193">
        <v>36.86</v>
      </c>
      <c r="G193">
        <v>672600</v>
      </c>
      <c r="K193" s="5"/>
    </row>
    <row r="194" spans="1:11" ht="12">
      <c r="A194"/>
      <c r="B194" s="9">
        <v>40379</v>
      </c>
      <c r="C194">
        <v>36.82</v>
      </c>
      <c r="D194">
        <v>36.82</v>
      </c>
      <c r="E194">
        <v>36.64</v>
      </c>
      <c r="F194">
        <v>36.67</v>
      </c>
      <c r="G194">
        <v>641400</v>
      </c>
      <c r="K194" s="5"/>
    </row>
    <row r="195" spans="1:11" ht="12">
      <c r="A195"/>
      <c r="B195" s="9">
        <v>40376</v>
      </c>
      <c r="C195">
        <v>36.47</v>
      </c>
      <c r="D195">
        <v>36.82</v>
      </c>
      <c r="E195">
        <v>36.299999999999997</v>
      </c>
      <c r="F195">
        <v>36.82</v>
      </c>
      <c r="G195">
        <v>765500</v>
      </c>
      <c r="K195" s="5"/>
    </row>
    <row r="196" spans="1:11" ht="12">
      <c r="A196"/>
      <c r="B196" s="9">
        <v>40375</v>
      </c>
      <c r="C196">
        <v>36.69</v>
      </c>
      <c r="D196">
        <v>36.86</v>
      </c>
      <c r="E196">
        <v>36.39</v>
      </c>
      <c r="F196">
        <v>36.4</v>
      </c>
      <c r="G196">
        <v>801600</v>
      </c>
      <c r="K196" s="5"/>
    </row>
    <row r="197" spans="1:11" ht="12">
      <c r="A197"/>
      <c r="B197" s="9">
        <v>40374</v>
      </c>
      <c r="C197">
        <v>36.79</v>
      </c>
      <c r="D197">
        <v>36.880000000000003</v>
      </c>
      <c r="E197">
        <v>36.47</v>
      </c>
      <c r="F197">
        <v>36.770000000000003</v>
      </c>
      <c r="G197">
        <v>1153500</v>
      </c>
      <c r="K197" s="5"/>
    </row>
    <row r="198" spans="1:11" ht="12">
      <c r="A198"/>
      <c r="B198" s="9">
        <v>40373</v>
      </c>
      <c r="C198">
        <v>36.6</v>
      </c>
      <c r="D198">
        <v>36.83</v>
      </c>
      <c r="E198">
        <v>36.5</v>
      </c>
      <c r="F198">
        <v>36.79</v>
      </c>
      <c r="G198">
        <v>555900</v>
      </c>
      <c r="K198" s="5"/>
    </row>
    <row r="199" spans="1:11" ht="12">
      <c r="A199"/>
      <c r="B199" s="9">
        <v>40372</v>
      </c>
      <c r="C199">
        <v>37.130000000000003</v>
      </c>
      <c r="D199">
        <v>37.130000000000003</v>
      </c>
      <c r="E199">
        <v>36.58</v>
      </c>
      <c r="F199">
        <v>36.619999999999997</v>
      </c>
      <c r="G199">
        <v>690200</v>
      </c>
      <c r="K199" s="5"/>
    </row>
    <row r="200" spans="1:11" ht="12">
      <c r="A200"/>
      <c r="B200" s="9">
        <v>40369</v>
      </c>
      <c r="C200">
        <v>37.380000000000003</v>
      </c>
      <c r="D200">
        <v>37.409999999999997</v>
      </c>
      <c r="E200">
        <v>36.96</v>
      </c>
      <c r="F200">
        <v>37.090000000000003</v>
      </c>
      <c r="G200">
        <v>402500</v>
      </c>
      <c r="K200" s="5"/>
    </row>
    <row r="201" spans="1:11" ht="12">
      <c r="A201"/>
      <c r="B201" s="9">
        <v>40368</v>
      </c>
      <c r="C201">
        <v>36.799999999999997</v>
      </c>
      <c r="D201">
        <v>37.479999999999997</v>
      </c>
      <c r="E201">
        <v>36.79</v>
      </c>
      <c r="F201">
        <v>37.380000000000003</v>
      </c>
      <c r="G201">
        <v>862100</v>
      </c>
      <c r="K201" s="5"/>
    </row>
    <row r="202" spans="1:11" ht="12">
      <c r="A202"/>
      <c r="B202" s="9">
        <v>40367</v>
      </c>
      <c r="C202">
        <v>37.32</v>
      </c>
      <c r="D202">
        <v>37.32</v>
      </c>
      <c r="E202">
        <v>36.83</v>
      </c>
      <c r="F202">
        <v>37.01</v>
      </c>
      <c r="G202">
        <v>765700</v>
      </c>
      <c r="K202" s="5"/>
    </row>
    <row r="203" spans="1:11" ht="12">
      <c r="A203"/>
      <c r="B203" s="9">
        <v>40366</v>
      </c>
      <c r="C203">
        <v>37.090000000000003</v>
      </c>
      <c r="D203">
        <v>37.380000000000003</v>
      </c>
      <c r="E203">
        <v>36.96</v>
      </c>
      <c r="F203">
        <v>37.200000000000003</v>
      </c>
      <c r="G203">
        <v>996800</v>
      </c>
      <c r="K203" s="5"/>
    </row>
    <row r="204" spans="1:11" ht="12">
      <c r="A204"/>
      <c r="B204" s="9">
        <v>40365</v>
      </c>
      <c r="C204">
        <v>36.9</v>
      </c>
      <c r="D204">
        <v>37.25</v>
      </c>
      <c r="E204">
        <v>36.869999999999997</v>
      </c>
      <c r="F204">
        <v>37.08</v>
      </c>
      <c r="G204">
        <v>1015100</v>
      </c>
      <c r="K204" s="5"/>
    </row>
    <row r="205" spans="1:11" ht="12">
      <c r="A205"/>
      <c r="B205" s="9">
        <v>40361</v>
      </c>
      <c r="C205">
        <v>37.17</v>
      </c>
      <c r="D205">
        <v>37.19</v>
      </c>
      <c r="E205">
        <v>36.700000000000003</v>
      </c>
      <c r="F205">
        <v>36.93</v>
      </c>
      <c r="G205">
        <v>591000</v>
      </c>
      <c r="K205" s="5"/>
    </row>
    <row r="206" spans="1:11" ht="12">
      <c r="A206"/>
      <c r="B206" s="9">
        <v>40360</v>
      </c>
      <c r="C206">
        <v>37.840000000000003</v>
      </c>
      <c r="D206">
        <v>37.85</v>
      </c>
      <c r="E206">
        <v>36.86</v>
      </c>
      <c r="F206">
        <v>37.26</v>
      </c>
      <c r="G206">
        <v>1528400</v>
      </c>
      <c r="K206" s="5"/>
    </row>
    <row r="207" spans="1:11" ht="12">
      <c r="A207"/>
      <c r="B207" t="s">
        <v>50</v>
      </c>
      <c r="C207" s="2">
        <f>AVERAGE(C177:C206)</f>
        <v>36.601999999999997</v>
      </c>
      <c r="D207" s="2">
        <f>AVERAGE(D177:D206)</f>
        <v>36.860000000000007</v>
      </c>
      <c r="E207" s="2">
        <f>AVERAGE(E177:E206)</f>
        <v>36.326000000000001</v>
      </c>
      <c r="F207" s="8">
        <f>AVERAGE(F177:F206)</f>
        <v>36.590333333333334</v>
      </c>
      <c r="G207">
        <f>AVERAGE(G177:G206)</f>
        <v>925496.66666666663</v>
      </c>
      <c r="K207" s="5"/>
    </row>
    <row r="208" spans="1:11" ht="12">
      <c r="A208"/>
      <c r="B208" t="s">
        <v>44</v>
      </c>
      <c r="C208">
        <f>MEDIAN(C177:C206)</f>
        <v>36.78</v>
      </c>
      <c r="D208">
        <f>MEDIAN(D177:D206)</f>
        <v>36.894999999999996</v>
      </c>
      <c r="E208">
        <f>MEDIAN(E177:E206)</f>
        <v>36.56</v>
      </c>
      <c r="F208">
        <f>MEDIAN(F177:F206)</f>
        <v>36.78</v>
      </c>
      <c r="G208">
        <f>MEDIAN(G177:G206)</f>
        <v>876900</v>
      </c>
      <c r="K208" s="5"/>
    </row>
    <row r="209" spans="1:15" ht="12">
      <c r="A209"/>
      <c r="B209" t="s">
        <v>42</v>
      </c>
      <c r="C209">
        <f>MIN(C177:C206)</f>
        <v>34.61</v>
      </c>
      <c r="D209">
        <f>MIN(D177:D206)</f>
        <v>35.58</v>
      </c>
      <c r="E209">
        <f>MIN(E177:E206)</f>
        <v>34.53</v>
      </c>
      <c r="F209">
        <f>MIN(F177:F206)</f>
        <v>35.28</v>
      </c>
      <c r="G209">
        <f>MIN(G177:G206)</f>
        <v>402500</v>
      </c>
      <c r="K209" s="5"/>
    </row>
    <row r="210" spans="1:15" ht="12">
      <c r="A210"/>
      <c r="B210" t="s">
        <v>43</v>
      </c>
      <c r="C210">
        <f>MAX(C177:C206)</f>
        <v>37.840000000000003</v>
      </c>
      <c r="D210">
        <f>MAX(D177:D206)</f>
        <v>37.85</v>
      </c>
      <c r="E210">
        <f>MAX(E177:E206)</f>
        <v>37.04</v>
      </c>
      <c r="F210">
        <f>MAX(F177:F206)</f>
        <v>37.42</v>
      </c>
      <c r="G210">
        <f>MAX(G177:G206)</f>
        <v>1566600</v>
      </c>
      <c r="K210" s="5"/>
    </row>
    <row r="211" spans="1:15" ht="12">
      <c r="A211" t="s">
        <v>198</v>
      </c>
      <c r="B211" t="s">
        <v>37</v>
      </c>
      <c r="C211" t="s">
        <v>38</v>
      </c>
      <c r="D211" t="s">
        <v>39</v>
      </c>
      <c r="E211" t="s">
        <v>40</v>
      </c>
      <c r="F211" t="s">
        <v>41</v>
      </c>
      <c r="G211" t="s">
        <v>135</v>
      </c>
      <c r="K211" s="5"/>
    </row>
    <row r="212" spans="1:15" ht="12">
      <c r="A212"/>
      <c r="B212" s="9">
        <v>40402</v>
      </c>
      <c r="C212">
        <v>56.22</v>
      </c>
      <c r="D212">
        <v>56.63</v>
      </c>
      <c r="E212">
        <v>55.96</v>
      </c>
      <c r="F212">
        <v>56.48</v>
      </c>
      <c r="G212">
        <v>2547900</v>
      </c>
      <c r="K212" s="5"/>
    </row>
    <row r="213" spans="1:15" ht="12">
      <c r="A213"/>
      <c r="B213" s="9">
        <v>40401</v>
      </c>
      <c r="C213">
        <v>56.42</v>
      </c>
      <c r="D213">
        <v>56.56</v>
      </c>
      <c r="E213">
        <v>56.12</v>
      </c>
      <c r="F213">
        <v>56.15</v>
      </c>
      <c r="G213">
        <v>1649400</v>
      </c>
      <c r="K213" s="5"/>
    </row>
    <row r="214" spans="1:15" ht="12">
      <c r="A214"/>
      <c r="B214" s="9">
        <v>40400</v>
      </c>
      <c r="C214">
        <v>57.18</v>
      </c>
      <c r="D214">
        <v>57.29</v>
      </c>
      <c r="E214">
        <v>56.46</v>
      </c>
      <c r="F214">
        <v>56.49</v>
      </c>
      <c r="G214">
        <v>2718200</v>
      </c>
      <c r="K214" s="5"/>
    </row>
    <row r="215" spans="1:15" ht="12">
      <c r="A215"/>
      <c r="B215" s="9">
        <v>40397</v>
      </c>
      <c r="C215">
        <v>55.58</v>
      </c>
      <c r="D215">
        <v>56.98</v>
      </c>
      <c r="E215">
        <v>55.58</v>
      </c>
      <c r="F215">
        <v>56.92</v>
      </c>
      <c r="G215">
        <v>3067200</v>
      </c>
      <c r="K215" s="5"/>
    </row>
    <row r="216" spans="1:15" ht="12">
      <c r="A216"/>
      <c r="B216" s="9">
        <v>40396</v>
      </c>
      <c r="C216">
        <v>55.01</v>
      </c>
      <c r="D216">
        <v>55.7</v>
      </c>
      <c r="E216">
        <v>54.99</v>
      </c>
      <c r="F216">
        <v>55.55</v>
      </c>
      <c r="G216">
        <v>2452600</v>
      </c>
      <c r="K216" s="5"/>
    </row>
    <row r="217" spans="1:15" ht="12">
      <c r="A217"/>
      <c r="B217" s="9">
        <v>40395</v>
      </c>
      <c r="C217">
        <v>55.38</v>
      </c>
      <c r="D217">
        <v>55.62</v>
      </c>
      <c r="E217">
        <v>54.32</v>
      </c>
      <c r="F217">
        <v>54.86</v>
      </c>
      <c r="G217">
        <v>4375100</v>
      </c>
      <c r="K217" s="5"/>
    </row>
    <row r="218" spans="1:15" ht="12">
      <c r="A218"/>
      <c r="B218" s="9">
        <v>40394</v>
      </c>
      <c r="C218">
        <v>55.69</v>
      </c>
      <c r="D218">
        <v>56.15</v>
      </c>
      <c r="E218">
        <v>55.24</v>
      </c>
      <c r="F218">
        <v>55.65</v>
      </c>
      <c r="G218">
        <v>3322500</v>
      </c>
      <c r="L218" s="2"/>
      <c r="M218" s="2"/>
      <c r="N218" s="2"/>
      <c r="O218" s="8"/>
    </row>
    <row r="219" spans="1:15" ht="12">
      <c r="A219"/>
      <c r="B219" s="9">
        <v>40393</v>
      </c>
      <c r="C219">
        <v>55.85</v>
      </c>
      <c r="D219">
        <v>56.01</v>
      </c>
      <c r="E219">
        <v>54.51</v>
      </c>
      <c r="F219">
        <v>55.83</v>
      </c>
      <c r="G219">
        <v>4429000</v>
      </c>
    </row>
    <row r="220" spans="1:15" ht="12">
      <c r="A220"/>
      <c r="B220" s="9">
        <v>40390</v>
      </c>
      <c r="C220">
        <v>55.2</v>
      </c>
      <c r="D220">
        <v>56.54</v>
      </c>
      <c r="E220">
        <v>55.2</v>
      </c>
      <c r="F220">
        <v>55.94</v>
      </c>
      <c r="G220">
        <v>3219600</v>
      </c>
    </row>
    <row r="221" spans="1:15" ht="12">
      <c r="A221"/>
      <c r="B221" s="9">
        <v>40389</v>
      </c>
      <c r="C221">
        <v>55.38</v>
      </c>
      <c r="D221">
        <v>55.87</v>
      </c>
      <c r="E221">
        <v>54.72</v>
      </c>
      <c r="F221">
        <v>54.8</v>
      </c>
      <c r="G221">
        <v>1855300</v>
      </c>
    </row>
    <row r="222" spans="1:15" ht="12">
      <c r="A222"/>
      <c r="B222" s="9">
        <v>40388</v>
      </c>
      <c r="C222">
        <v>57.17</v>
      </c>
      <c r="D222">
        <v>57.19</v>
      </c>
      <c r="E222">
        <v>55.58</v>
      </c>
      <c r="F222">
        <v>55.78</v>
      </c>
      <c r="G222">
        <v>1684000</v>
      </c>
    </row>
    <row r="223" spans="1:15" ht="12">
      <c r="A223"/>
      <c r="B223" s="9">
        <v>40387</v>
      </c>
      <c r="C223">
        <v>57.47</v>
      </c>
      <c r="D223">
        <v>57.87</v>
      </c>
      <c r="E223">
        <v>57.01</v>
      </c>
      <c r="F223">
        <v>57.02</v>
      </c>
      <c r="G223">
        <v>1701600</v>
      </c>
      <c r="K223" s="5"/>
    </row>
    <row r="224" spans="1:15" ht="12">
      <c r="A224"/>
      <c r="B224" s="9">
        <v>40386</v>
      </c>
      <c r="C224">
        <v>56.6</v>
      </c>
      <c r="D224">
        <v>57.63</v>
      </c>
      <c r="E224">
        <v>56.46</v>
      </c>
      <c r="F224">
        <v>57.47</v>
      </c>
      <c r="G224">
        <v>1142600</v>
      </c>
      <c r="K224" s="5"/>
    </row>
    <row r="225" spans="1:11" ht="12">
      <c r="A225"/>
      <c r="B225" s="9">
        <v>40383</v>
      </c>
      <c r="C225">
        <v>57.29</v>
      </c>
      <c r="D225">
        <v>57.88</v>
      </c>
      <c r="E225">
        <v>56.56</v>
      </c>
      <c r="F225">
        <v>56.62</v>
      </c>
      <c r="G225">
        <v>1349400</v>
      </c>
      <c r="K225" s="5"/>
    </row>
    <row r="226" spans="1:11" ht="12">
      <c r="A226"/>
      <c r="B226" s="9">
        <v>40382</v>
      </c>
      <c r="C226">
        <v>56.76</v>
      </c>
      <c r="D226">
        <v>57.19</v>
      </c>
      <c r="E226">
        <v>56.58</v>
      </c>
      <c r="F226">
        <v>56.96</v>
      </c>
      <c r="G226">
        <v>977100</v>
      </c>
      <c r="K226" s="5"/>
    </row>
    <row r="227" spans="1:11" ht="12">
      <c r="A227"/>
      <c r="B227" s="9">
        <v>40381</v>
      </c>
      <c r="C227">
        <v>56.93</v>
      </c>
      <c r="D227">
        <v>57.09</v>
      </c>
      <c r="E227">
        <v>56.58</v>
      </c>
      <c r="F227">
        <v>56.65</v>
      </c>
      <c r="G227">
        <v>939400</v>
      </c>
      <c r="K227" s="5"/>
    </row>
    <row r="228" spans="1:11" ht="12">
      <c r="A228"/>
      <c r="B228" s="9">
        <v>40380</v>
      </c>
      <c r="C228">
        <v>57.2</v>
      </c>
      <c r="D228">
        <v>57.26</v>
      </c>
      <c r="E228">
        <v>56.95</v>
      </c>
      <c r="F228">
        <v>56.96</v>
      </c>
      <c r="G228">
        <v>1008100</v>
      </c>
      <c r="K228" s="5"/>
    </row>
    <row r="229" spans="1:11" ht="12">
      <c r="A229"/>
      <c r="B229" s="9">
        <v>40379</v>
      </c>
      <c r="C229">
        <v>56.98</v>
      </c>
      <c r="D229">
        <v>57.28</v>
      </c>
      <c r="E229">
        <v>56.69</v>
      </c>
      <c r="F229">
        <v>57</v>
      </c>
      <c r="G229">
        <v>1066300</v>
      </c>
      <c r="K229" s="5"/>
    </row>
    <row r="230" spans="1:11" ht="12">
      <c r="A230"/>
      <c r="B230" s="9">
        <v>40376</v>
      </c>
      <c r="C230">
        <v>56.78</v>
      </c>
      <c r="D230">
        <v>57.13</v>
      </c>
      <c r="E230">
        <v>56.37</v>
      </c>
      <c r="F230">
        <v>57.11</v>
      </c>
      <c r="G230">
        <v>1241300</v>
      </c>
      <c r="K230" s="5"/>
    </row>
    <row r="231" spans="1:11" ht="12">
      <c r="A231"/>
      <c r="B231" s="9">
        <v>40375</v>
      </c>
      <c r="C231">
        <v>56.88</v>
      </c>
      <c r="D231">
        <v>57.12</v>
      </c>
      <c r="E231">
        <v>56.51</v>
      </c>
      <c r="F231">
        <v>56.55</v>
      </c>
      <c r="G231">
        <v>1834400</v>
      </c>
      <c r="K231" s="5"/>
    </row>
    <row r="232" spans="1:11" ht="12">
      <c r="A232"/>
      <c r="B232" s="9">
        <v>40374</v>
      </c>
      <c r="C232">
        <v>56.63</v>
      </c>
      <c r="D232">
        <v>56.81</v>
      </c>
      <c r="E232">
        <v>56.29</v>
      </c>
      <c r="F232">
        <v>56.8</v>
      </c>
      <c r="G232">
        <v>1550300</v>
      </c>
      <c r="K232" s="5"/>
    </row>
    <row r="233" spans="1:11" ht="12">
      <c r="A233"/>
      <c r="B233" s="9">
        <v>40373</v>
      </c>
      <c r="C233">
        <v>55.99</v>
      </c>
      <c r="D233">
        <v>56.77</v>
      </c>
      <c r="E233">
        <v>55.99</v>
      </c>
      <c r="F233">
        <v>56.55</v>
      </c>
      <c r="G233">
        <v>1935600</v>
      </c>
      <c r="K233" s="5"/>
    </row>
    <row r="234" spans="1:11" ht="12">
      <c r="A234"/>
      <c r="B234" s="9">
        <v>40372</v>
      </c>
      <c r="C234">
        <v>56.79</v>
      </c>
      <c r="D234">
        <v>56.8</v>
      </c>
      <c r="E234">
        <v>55.87</v>
      </c>
      <c r="F234">
        <v>55.96</v>
      </c>
      <c r="G234">
        <v>2225000</v>
      </c>
      <c r="K234" s="5"/>
    </row>
    <row r="235" spans="1:11" ht="12">
      <c r="A235"/>
      <c r="B235" s="9">
        <v>40369</v>
      </c>
      <c r="C235">
        <v>56.95</v>
      </c>
      <c r="D235">
        <v>57.03</v>
      </c>
      <c r="E235">
        <v>56.38</v>
      </c>
      <c r="F235">
        <v>56.62</v>
      </c>
      <c r="G235">
        <v>1317000</v>
      </c>
      <c r="K235" s="5"/>
    </row>
    <row r="236" spans="1:11" ht="12">
      <c r="A236"/>
      <c r="B236" s="9">
        <v>40368</v>
      </c>
      <c r="C236">
        <v>56.29</v>
      </c>
      <c r="D236">
        <v>57.16</v>
      </c>
      <c r="E236">
        <v>56.29</v>
      </c>
      <c r="F236">
        <v>56.99</v>
      </c>
      <c r="G236">
        <v>1344700</v>
      </c>
      <c r="K236" s="5"/>
    </row>
    <row r="237" spans="1:11" ht="12">
      <c r="A237"/>
      <c r="B237" s="9">
        <v>40367</v>
      </c>
      <c r="C237">
        <v>56.7</v>
      </c>
      <c r="D237">
        <v>56.78</v>
      </c>
      <c r="E237">
        <v>56.12</v>
      </c>
      <c r="F237">
        <v>56.44</v>
      </c>
      <c r="G237">
        <v>1425900</v>
      </c>
      <c r="K237" s="5"/>
    </row>
    <row r="238" spans="1:11" ht="12">
      <c r="A238"/>
      <c r="B238" s="9">
        <v>40366</v>
      </c>
      <c r="C238">
        <v>56.32</v>
      </c>
      <c r="D238">
        <v>56.89</v>
      </c>
      <c r="E238">
        <v>56.24</v>
      </c>
      <c r="F238">
        <v>56.72</v>
      </c>
      <c r="G238">
        <v>2224200</v>
      </c>
      <c r="K238" s="5"/>
    </row>
    <row r="239" spans="1:11" ht="12">
      <c r="A239"/>
      <c r="B239" s="9">
        <v>40365</v>
      </c>
      <c r="C239">
        <v>55.85</v>
      </c>
      <c r="D239">
        <v>56.22</v>
      </c>
      <c r="E239">
        <v>55.77</v>
      </c>
      <c r="F239">
        <v>55.89</v>
      </c>
      <c r="G239">
        <v>1714200</v>
      </c>
      <c r="K239" s="5"/>
    </row>
    <row r="240" spans="1:11" ht="12">
      <c r="A240"/>
      <c r="B240" s="9">
        <v>40361</v>
      </c>
      <c r="C240">
        <v>56.17</v>
      </c>
      <c r="D240">
        <v>56.2</v>
      </c>
      <c r="E240">
        <v>55.33</v>
      </c>
      <c r="F240">
        <v>55.82</v>
      </c>
      <c r="G240">
        <v>1127500</v>
      </c>
      <c r="K240" s="5"/>
    </row>
    <row r="241" spans="1:15" ht="12">
      <c r="A241"/>
      <c r="B241" s="9">
        <v>40360</v>
      </c>
      <c r="C241">
        <v>57.35</v>
      </c>
      <c r="D241">
        <v>57.48</v>
      </c>
      <c r="E241">
        <v>56.21</v>
      </c>
      <c r="F241">
        <v>56.42</v>
      </c>
      <c r="G241">
        <v>1712300</v>
      </c>
      <c r="K241" s="5"/>
    </row>
    <row r="242" spans="1:15" ht="12">
      <c r="A242"/>
      <c r="B242" t="s">
        <v>50</v>
      </c>
      <c r="C242" s="2">
        <f>AVERAGE(C212:C241)</f>
        <v>56.433666666666667</v>
      </c>
      <c r="D242" s="2">
        <f>AVERAGE(D212:D241)</f>
        <v>56.837666666666664</v>
      </c>
      <c r="E242" s="2">
        <f>AVERAGE(E212:E241)</f>
        <v>55.962666666666664</v>
      </c>
      <c r="F242" s="8">
        <f>AVERAGE(F212:F241)</f>
        <v>56.366666666666667</v>
      </c>
      <c r="G242">
        <f>AVERAGE(G212:G241)</f>
        <v>1971923.3333333333</v>
      </c>
      <c r="K242" s="5"/>
    </row>
    <row r="243" spans="1:15" ht="12">
      <c r="A243"/>
      <c r="B243" t="s">
        <v>44</v>
      </c>
      <c r="C243">
        <f>MEDIAN(C212:C241)</f>
        <v>56.615000000000002</v>
      </c>
      <c r="D243">
        <f>MEDIAN(D212:D241)</f>
        <v>56.935000000000002</v>
      </c>
      <c r="E243">
        <f>MEDIAN(E212:E241)</f>
        <v>56.164999999999999</v>
      </c>
      <c r="F243">
        <f>MEDIAN(F212:F241)</f>
        <v>56.519999999999996</v>
      </c>
      <c r="G243">
        <f>MEDIAN(G212:G241)</f>
        <v>1706950</v>
      </c>
      <c r="K243" s="5"/>
    </row>
    <row r="244" spans="1:15" ht="12">
      <c r="A244"/>
      <c r="B244" t="s">
        <v>42</v>
      </c>
      <c r="C244">
        <f>MIN(C212:C241)</f>
        <v>55.01</v>
      </c>
      <c r="D244">
        <f>MIN(D212:D241)</f>
        <v>55.62</v>
      </c>
      <c r="E244">
        <f>MIN(E212:E241)</f>
        <v>54.32</v>
      </c>
      <c r="F244">
        <f>MIN(F212:F241)</f>
        <v>54.8</v>
      </c>
      <c r="G244">
        <f>MIN(G212:G241)</f>
        <v>939400</v>
      </c>
      <c r="K244" s="5"/>
    </row>
    <row r="245" spans="1:15" ht="12">
      <c r="A245"/>
      <c r="B245" t="s">
        <v>43</v>
      </c>
      <c r="C245">
        <f>MAX(C212:C241)</f>
        <v>57.47</v>
      </c>
      <c r="D245">
        <f>MAX(D212:D241)</f>
        <v>57.88</v>
      </c>
      <c r="E245">
        <f>MAX(E212:E241)</f>
        <v>57.01</v>
      </c>
      <c r="F245">
        <f>MAX(F212:F241)</f>
        <v>57.47</v>
      </c>
      <c r="G245">
        <f>MAX(G212:G241)</f>
        <v>4429000</v>
      </c>
      <c r="K245" s="5"/>
    </row>
    <row r="246" spans="1:15" ht="12">
      <c r="A246" t="s">
        <v>170</v>
      </c>
      <c r="B246" t="s">
        <v>37</v>
      </c>
      <c r="C246" t="s">
        <v>38</v>
      </c>
      <c r="D246" t="s">
        <v>39</v>
      </c>
      <c r="E246" t="s">
        <v>40</v>
      </c>
      <c r="F246" t="s">
        <v>41</v>
      </c>
      <c r="G246" t="s">
        <v>135</v>
      </c>
      <c r="K246" s="5"/>
    </row>
    <row r="247" spans="1:15" ht="12">
      <c r="A247"/>
      <c r="B247" s="9">
        <v>40402</v>
      </c>
      <c r="C247">
        <v>53.37</v>
      </c>
      <c r="D247">
        <v>54.04</v>
      </c>
      <c r="E247">
        <v>53.37</v>
      </c>
      <c r="F247">
        <v>53.88</v>
      </c>
      <c r="G247">
        <v>133000</v>
      </c>
      <c r="K247" s="5"/>
    </row>
    <row r="248" spans="1:15" ht="12">
      <c r="A248"/>
      <c r="B248" s="9">
        <v>40401</v>
      </c>
      <c r="C248">
        <v>53.23</v>
      </c>
      <c r="D248">
        <v>53.55</v>
      </c>
      <c r="E248">
        <v>53.11</v>
      </c>
      <c r="F248">
        <v>53.34</v>
      </c>
      <c r="G248">
        <v>159500</v>
      </c>
      <c r="K248" s="5"/>
    </row>
    <row r="249" spans="1:15" ht="12">
      <c r="A249"/>
      <c r="B249" s="9">
        <v>40400</v>
      </c>
      <c r="C249">
        <v>53.63</v>
      </c>
      <c r="D249">
        <v>54.01</v>
      </c>
      <c r="E249">
        <v>53.41</v>
      </c>
      <c r="F249">
        <v>53.43</v>
      </c>
      <c r="G249">
        <v>235200</v>
      </c>
      <c r="K249" s="5"/>
    </row>
    <row r="250" spans="1:15" ht="12">
      <c r="A250"/>
      <c r="B250" s="9">
        <v>40397</v>
      </c>
      <c r="C250">
        <v>52.33</v>
      </c>
      <c r="D250">
        <v>53.43</v>
      </c>
      <c r="E250">
        <v>52.33</v>
      </c>
      <c r="F250">
        <v>53.41</v>
      </c>
      <c r="G250">
        <v>172700</v>
      </c>
      <c r="K250" s="5"/>
    </row>
    <row r="251" spans="1:15" ht="12">
      <c r="A251"/>
      <c r="B251" s="9">
        <v>40396</v>
      </c>
      <c r="C251">
        <v>51.95</v>
      </c>
      <c r="D251">
        <v>52.5</v>
      </c>
      <c r="E251">
        <v>51.95</v>
      </c>
      <c r="F251">
        <v>52.35</v>
      </c>
      <c r="G251">
        <v>177400</v>
      </c>
      <c r="K251" s="5"/>
    </row>
    <row r="252" spans="1:15" ht="12">
      <c r="A252"/>
      <c r="B252" s="9">
        <v>40395</v>
      </c>
      <c r="C252">
        <v>52.18</v>
      </c>
      <c r="D252">
        <v>52.18</v>
      </c>
      <c r="E252">
        <v>51.7</v>
      </c>
      <c r="F252">
        <v>51.79</v>
      </c>
      <c r="G252">
        <v>254900</v>
      </c>
      <c r="K252" s="5"/>
    </row>
    <row r="253" spans="1:15" ht="12">
      <c r="A253"/>
      <c r="B253" s="9">
        <v>40394</v>
      </c>
      <c r="C253">
        <v>52.73</v>
      </c>
      <c r="D253">
        <v>53.06</v>
      </c>
      <c r="E253">
        <v>52.12</v>
      </c>
      <c r="F253">
        <v>52.3</v>
      </c>
      <c r="G253">
        <v>251700</v>
      </c>
      <c r="L253" s="2"/>
      <c r="M253" s="2"/>
      <c r="N253" s="2"/>
      <c r="O253" s="8"/>
    </row>
    <row r="254" spans="1:15" ht="12">
      <c r="A254"/>
      <c r="B254" s="9">
        <v>40393</v>
      </c>
      <c r="C254">
        <v>53.83</v>
      </c>
      <c r="D254">
        <v>53.83</v>
      </c>
      <c r="E254">
        <v>52.24</v>
      </c>
      <c r="F254">
        <v>53.04</v>
      </c>
      <c r="G254">
        <v>328800</v>
      </c>
    </row>
    <row r="255" spans="1:15" ht="12">
      <c r="A255"/>
      <c r="B255" s="9">
        <v>40390</v>
      </c>
      <c r="C255">
        <v>53.04</v>
      </c>
      <c r="D255">
        <v>53.78</v>
      </c>
      <c r="E255">
        <v>52.93</v>
      </c>
      <c r="F255">
        <v>53.75</v>
      </c>
      <c r="G255">
        <v>358300</v>
      </c>
    </row>
    <row r="256" spans="1:15" ht="12">
      <c r="A256"/>
      <c r="B256" s="9">
        <v>40389</v>
      </c>
      <c r="C256">
        <v>55.99</v>
      </c>
      <c r="D256">
        <v>55.99</v>
      </c>
      <c r="E256">
        <v>53.55</v>
      </c>
      <c r="F256">
        <v>53.55</v>
      </c>
      <c r="G256">
        <v>438800</v>
      </c>
    </row>
    <row r="257" spans="1:11" ht="12">
      <c r="A257"/>
      <c r="B257" s="9">
        <v>40388</v>
      </c>
      <c r="C257">
        <v>54.71</v>
      </c>
      <c r="D257">
        <v>54.89</v>
      </c>
      <c r="E257">
        <v>54.05</v>
      </c>
      <c r="F257">
        <v>54.17</v>
      </c>
      <c r="G257">
        <v>305400</v>
      </c>
    </row>
    <row r="258" spans="1:11" ht="12">
      <c r="A258"/>
      <c r="B258" s="9">
        <v>40387</v>
      </c>
      <c r="C258">
        <v>55.44</v>
      </c>
      <c r="D258">
        <v>55.44</v>
      </c>
      <c r="E258">
        <v>54.67</v>
      </c>
      <c r="F258">
        <v>54.72</v>
      </c>
      <c r="G258">
        <v>195200</v>
      </c>
      <c r="K258" s="5"/>
    </row>
    <row r="259" spans="1:11" ht="12">
      <c r="A259"/>
      <c r="B259" s="9">
        <v>40386</v>
      </c>
      <c r="C259">
        <v>54.59</v>
      </c>
      <c r="D259">
        <v>55.68</v>
      </c>
      <c r="E259">
        <v>54.51</v>
      </c>
      <c r="F259">
        <v>55.38</v>
      </c>
      <c r="G259">
        <v>292600</v>
      </c>
      <c r="K259" s="5"/>
    </row>
    <row r="260" spans="1:11" ht="12">
      <c r="A260"/>
      <c r="B260" s="9">
        <v>40383</v>
      </c>
      <c r="C260">
        <v>55</v>
      </c>
      <c r="D260">
        <v>55.22</v>
      </c>
      <c r="E260">
        <v>54.54</v>
      </c>
      <c r="F260">
        <v>54.58</v>
      </c>
      <c r="G260">
        <v>192000</v>
      </c>
      <c r="K260" s="5"/>
    </row>
    <row r="261" spans="1:11" ht="12">
      <c r="A261"/>
      <c r="B261" s="9">
        <v>40382</v>
      </c>
      <c r="C261">
        <v>55.03</v>
      </c>
      <c r="D261">
        <v>55.42</v>
      </c>
      <c r="E261">
        <v>54.88</v>
      </c>
      <c r="F261">
        <v>55.14</v>
      </c>
      <c r="G261">
        <v>215600</v>
      </c>
      <c r="K261" s="5"/>
    </row>
    <row r="262" spans="1:11" ht="12">
      <c r="A262"/>
      <c r="B262" s="9">
        <v>40381</v>
      </c>
      <c r="C262">
        <v>55.12</v>
      </c>
      <c r="D262">
        <v>55.38</v>
      </c>
      <c r="E262">
        <v>54.91</v>
      </c>
      <c r="F262">
        <v>55.09</v>
      </c>
      <c r="G262">
        <v>127500</v>
      </c>
      <c r="K262" s="5"/>
    </row>
    <row r="263" spans="1:11" ht="12">
      <c r="A263"/>
      <c r="B263" s="9">
        <v>40380</v>
      </c>
      <c r="C263">
        <v>55.44</v>
      </c>
      <c r="D263">
        <v>55.48</v>
      </c>
      <c r="E263">
        <v>55.05</v>
      </c>
      <c r="F263">
        <v>55.07</v>
      </c>
      <c r="G263">
        <v>182900</v>
      </c>
      <c r="K263" s="5"/>
    </row>
    <row r="264" spans="1:11" ht="12">
      <c r="A264"/>
      <c r="B264" s="9">
        <v>40379</v>
      </c>
      <c r="C264">
        <v>55.25</v>
      </c>
      <c r="D264">
        <v>55.3</v>
      </c>
      <c r="E264">
        <v>54.94</v>
      </c>
      <c r="F264">
        <v>55.21</v>
      </c>
      <c r="G264">
        <v>149900</v>
      </c>
      <c r="K264" s="5"/>
    </row>
    <row r="265" spans="1:11" ht="12">
      <c r="A265"/>
      <c r="B265" s="9">
        <v>40376</v>
      </c>
      <c r="C265">
        <v>54.49</v>
      </c>
      <c r="D265">
        <v>55.3</v>
      </c>
      <c r="E265">
        <v>54.49</v>
      </c>
      <c r="F265">
        <v>55.26</v>
      </c>
      <c r="G265">
        <v>178100</v>
      </c>
      <c r="K265" s="5"/>
    </row>
    <row r="266" spans="1:11" ht="12">
      <c r="A266"/>
      <c r="B266" s="9">
        <v>40375</v>
      </c>
      <c r="C266">
        <v>55.01</v>
      </c>
      <c r="D266">
        <v>55.3</v>
      </c>
      <c r="E266">
        <v>54.56</v>
      </c>
      <c r="F266">
        <v>54.66</v>
      </c>
      <c r="G266">
        <v>201500</v>
      </c>
      <c r="K266" s="5"/>
    </row>
    <row r="267" spans="1:11" ht="12">
      <c r="A267"/>
      <c r="B267" s="9">
        <v>40374</v>
      </c>
      <c r="C267">
        <v>55.51</v>
      </c>
      <c r="D267">
        <v>55.54</v>
      </c>
      <c r="E267">
        <v>54.56</v>
      </c>
      <c r="F267">
        <v>55.22</v>
      </c>
      <c r="G267">
        <v>245700</v>
      </c>
      <c r="K267" s="5"/>
    </row>
    <row r="268" spans="1:11" ht="12">
      <c r="A268"/>
      <c r="B268" s="9">
        <v>40373</v>
      </c>
      <c r="C268">
        <v>55.2</v>
      </c>
      <c r="D268">
        <v>55.51</v>
      </c>
      <c r="E268">
        <v>54.9</v>
      </c>
      <c r="F268">
        <v>55.2</v>
      </c>
      <c r="G268">
        <v>113900</v>
      </c>
      <c r="K268" s="5"/>
    </row>
    <row r="269" spans="1:11" ht="12">
      <c r="A269"/>
      <c r="B269" s="9">
        <v>40372</v>
      </c>
      <c r="C269">
        <v>55.93</v>
      </c>
      <c r="D269">
        <v>56.05</v>
      </c>
      <c r="E269">
        <v>55.24</v>
      </c>
      <c r="F269">
        <v>55.3</v>
      </c>
      <c r="G269">
        <v>174200</v>
      </c>
      <c r="K269" s="5"/>
    </row>
    <row r="270" spans="1:11" ht="12">
      <c r="A270"/>
      <c r="B270" s="9">
        <v>40369</v>
      </c>
      <c r="C270">
        <v>56.05</v>
      </c>
      <c r="D270">
        <v>56.36</v>
      </c>
      <c r="E270">
        <v>55.51</v>
      </c>
      <c r="F270">
        <v>55.59</v>
      </c>
      <c r="G270">
        <v>126300</v>
      </c>
      <c r="K270" s="5"/>
    </row>
    <row r="271" spans="1:11" ht="12">
      <c r="A271"/>
      <c r="B271" s="9">
        <v>40368</v>
      </c>
      <c r="C271">
        <v>55.52</v>
      </c>
      <c r="D271">
        <v>56.17</v>
      </c>
      <c r="E271">
        <v>55.41</v>
      </c>
      <c r="F271">
        <v>56.01</v>
      </c>
      <c r="G271">
        <v>196500</v>
      </c>
      <c r="K271" s="5"/>
    </row>
    <row r="272" spans="1:11" ht="12">
      <c r="A272"/>
      <c r="B272" s="9">
        <v>40367</v>
      </c>
      <c r="C272">
        <v>56.42</v>
      </c>
      <c r="D272">
        <v>56.46</v>
      </c>
      <c r="E272">
        <v>55.63</v>
      </c>
      <c r="F272">
        <v>56.01</v>
      </c>
      <c r="G272">
        <v>142000</v>
      </c>
      <c r="K272" s="5"/>
    </row>
    <row r="273" spans="1:15" ht="12">
      <c r="A273"/>
      <c r="B273" s="9">
        <v>40366</v>
      </c>
      <c r="C273">
        <v>56.13</v>
      </c>
      <c r="D273">
        <v>56.48</v>
      </c>
      <c r="E273">
        <v>56.07</v>
      </c>
      <c r="F273">
        <v>56.24</v>
      </c>
      <c r="G273">
        <v>304000</v>
      </c>
      <c r="K273" s="5"/>
    </row>
    <row r="274" spans="1:15" ht="12">
      <c r="A274"/>
      <c r="B274" s="9">
        <v>40365</v>
      </c>
      <c r="C274">
        <v>56.2</v>
      </c>
      <c r="D274">
        <v>56.57</v>
      </c>
      <c r="E274">
        <v>55.86</v>
      </c>
      <c r="F274">
        <v>56.05</v>
      </c>
      <c r="G274">
        <v>122500</v>
      </c>
      <c r="K274" s="5"/>
    </row>
    <row r="275" spans="1:15" ht="12">
      <c r="A275"/>
      <c r="B275" s="9">
        <v>40361</v>
      </c>
      <c r="C275">
        <v>56.7</v>
      </c>
      <c r="D275">
        <v>56.73</v>
      </c>
      <c r="E275">
        <v>56.09</v>
      </c>
      <c r="F275">
        <v>56.24</v>
      </c>
      <c r="G275">
        <v>114400</v>
      </c>
      <c r="K275" s="5"/>
    </row>
    <row r="276" spans="1:15" ht="12">
      <c r="A276"/>
      <c r="B276" s="9">
        <v>40360</v>
      </c>
      <c r="C276">
        <v>57.83</v>
      </c>
      <c r="D276">
        <v>57.83</v>
      </c>
      <c r="E276">
        <v>56.6</v>
      </c>
      <c r="F276">
        <v>56.69</v>
      </c>
      <c r="G276">
        <v>176300</v>
      </c>
      <c r="K276" s="5"/>
    </row>
    <row r="277" spans="1:15" ht="12">
      <c r="A277"/>
      <c r="B277" t="s">
        <v>50</v>
      </c>
      <c r="C277" s="2">
        <f>AVERAGE(C247:C276)</f>
        <v>54.795000000000009</v>
      </c>
      <c r="D277" s="2">
        <f>AVERAGE(D247:D276)</f>
        <v>55.115999999999993</v>
      </c>
      <c r="E277" s="2">
        <f>AVERAGE(E247:E276)</f>
        <v>54.30599999999999</v>
      </c>
      <c r="F277" s="8">
        <f>AVERAGE(F247:F276)</f>
        <v>54.622333333333344</v>
      </c>
      <c r="G277">
        <f>AVERAGE(G247:G276)</f>
        <v>208893.33333333334</v>
      </c>
      <c r="K277" s="5"/>
    </row>
    <row r="278" spans="1:15" ht="12">
      <c r="A278"/>
      <c r="B278" t="s">
        <v>44</v>
      </c>
      <c r="C278">
        <f>MEDIAN(C247:C276)</f>
        <v>55.075000000000003</v>
      </c>
      <c r="D278">
        <f>MEDIAN(D247:D276)</f>
        <v>55.400000000000006</v>
      </c>
      <c r="E278">
        <f>MEDIAN(E247:E276)</f>
        <v>54.56</v>
      </c>
      <c r="F278">
        <f>MEDIAN(F247:F276)</f>
        <v>55.08</v>
      </c>
      <c r="G278">
        <f>MEDIAN(G247:G276)</f>
        <v>187450</v>
      </c>
      <c r="K278" s="5"/>
    </row>
    <row r="279" spans="1:15" ht="12">
      <c r="A279"/>
      <c r="B279" t="s">
        <v>42</v>
      </c>
      <c r="C279">
        <f>MIN(C247:C276)</f>
        <v>51.95</v>
      </c>
      <c r="D279">
        <f>MIN(D247:D276)</f>
        <v>52.18</v>
      </c>
      <c r="E279">
        <f>MIN(E247:E276)</f>
        <v>51.7</v>
      </c>
      <c r="F279">
        <f>MIN(F247:F276)</f>
        <v>51.79</v>
      </c>
      <c r="G279">
        <f>MIN(G247:G276)</f>
        <v>113900</v>
      </c>
      <c r="K279" s="5"/>
    </row>
    <row r="280" spans="1:15" ht="12">
      <c r="A280"/>
      <c r="B280" t="s">
        <v>43</v>
      </c>
      <c r="C280">
        <f>MAX(C247:C276)</f>
        <v>57.83</v>
      </c>
      <c r="D280">
        <f>MAX(D247:D276)</f>
        <v>57.83</v>
      </c>
      <c r="E280">
        <f>MAX(E247:E276)</f>
        <v>56.6</v>
      </c>
      <c r="F280">
        <f>MAX(F247:F276)</f>
        <v>56.69</v>
      </c>
      <c r="G280">
        <f>MAX(G247:G276)</f>
        <v>438800</v>
      </c>
      <c r="K280" s="5"/>
    </row>
    <row r="281" spans="1:15" ht="12">
      <c r="A281" t="s">
        <v>171</v>
      </c>
      <c r="B281" t="s">
        <v>37</v>
      </c>
      <c r="C281" t="s">
        <v>38</v>
      </c>
      <c r="D281" t="s">
        <v>39</v>
      </c>
      <c r="E281" t="s">
        <v>40</v>
      </c>
      <c r="F281" t="s">
        <v>41</v>
      </c>
      <c r="G281" t="s">
        <v>135</v>
      </c>
      <c r="K281" s="5"/>
    </row>
    <row r="282" spans="1:15" ht="12">
      <c r="A282"/>
      <c r="B282" s="9">
        <v>40402</v>
      </c>
      <c r="C282">
        <v>46.51</v>
      </c>
      <c r="D282">
        <v>47.04</v>
      </c>
      <c r="E282">
        <v>46.51</v>
      </c>
      <c r="F282">
        <v>46.87</v>
      </c>
      <c r="G282">
        <v>66100</v>
      </c>
      <c r="K282" s="5"/>
    </row>
    <row r="283" spans="1:15" ht="12">
      <c r="A283"/>
      <c r="B283" s="9">
        <v>40401</v>
      </c>
      <c r="C283">
        <v>46.57</v>
      </c>
      <c r="D283">
        <v>46.83</v>
      </c>
      <c r="E283">
        <v>46.36</v>
      </c>
      <c r="F283">
        <v>46.5</v>
      </c>
      <c r="G283">
        <v>97300</v>
      </c>
      <c r="K283" s="5"/>
    </row>
    <row r="284" spans="1:15" ht="12">
      <c r="A284"/>
      <c r="B284" s="9">
        <v>40400</v>
      </c>
      <c r="C284">
        <v>46.75</v>
      </c>
      <c r="D284">
        <v>47.25</v>
      </c>
      <c r="E284">
        <v>46.7</v>
      </c>
      <c r="F284">
        <v>46.73</v>
      </c>
      <c r="G284">
        <v>161500</v>
      </c>
      <c r="K284" s="5"/>
    </row>
    <row r="285" spans="1:15" ht="12">
      <c r="A285"/>
      <c r="B285" s="9">
        <v>40397</v>
      </c>
      <c r="C285">
        <v>45.8</v>
      </c>
      <c r="D285">
        <v>46.71</v>
      </c>
      <c r="E285">
        <v>45.62</v>
      </c>
      <c r="F285">
        <v>46.65</v>
      </c>
      <c r="G285">
        <v>127200</v>
      </c>
      <c r="K285" s="5"/>
    </row>
    <row r="286" spans="1:15" ht="12">
      <c r="A286"/>
      <c r="B286" s="9">
        <v>40396</v>
      </c>
      <c r="C286">
        <v>45.37</v>
      </c>
      <c r="D286">
        <v>45.87</v>
      </c>
      <c r="E286">
        <v>45.24</v>
      </c>
      <c r="F286">
        <v>45.83</v>
      </c>
      <c r="G286">
        <v>171200</v>
      </c>
      <c r="K286" s="5"/>
    </row>
    <row r="287" spans="1:15" ht="12">
      <c r="A287"/>
      <c r="B287" s="9">
        <v>40395</v>
      </c>
      <c r="C287">
        <v>46.07</v>
      </c>
      <c r="D287">
        <v>46.07</v>
      </c>
      <c r="E287">
        <v>45.27</v>
      </c>
      <c r="F287">
        <v>45.3</v>
      </c>
      <c r="G287">
        <v>218300</v>
      </c>
      <c r="K287" s="5"/>
    </row>
    <row r="288" spans="1:15" ht="12">
      <c r="A288"/>
      <c r="B288" s="9">
        <v>40394</v>
      </c>
      <c r="C288">
        <v>46.33</v>
      </c>
      <c r="D288">
        <v>46.66</v>
      </c>
      <c r="E288">
        <v>45.94</v>
      </c>
      <c r="F288">
        <v>46.16</v>
      </c>
      <c r="G288">
        <v>217100</v>
      </c>
      <c r="L288" s="2"/>
      <c r="M288" s="2"/>
      <c r="N288" s="2"/>
      <c r="O288" s="8"/>
    </row>
    <row r="289" spans="1:11" ht="12">
      <c r="A289"/>
      <c r="B289" s="9">
        <v>40393</v>
      </c>
      <c r="C289">
        <v>46.34</v>
      </c>
      <c r="D289">
        <v>46.54</v>
      </c>
      <c r="E289">
        <v>45.35</v>
      </c>
      <c r="F289">
        <v>46.49</v>
      </c>
      <c r="G289">
        <v>384800</v>
      </c>
    </row>
    <row r="290" spans="1:11" ht="12">
      <c r="A290"/>
      <c r="B290" s="9">
        <v>40390</v>
      </c>
      <c r="C290">
        <v>46.22</v>
      </c>
      <c r="D290">
        <v>46.4</v>
      </c>
      <c r="E290">
        <v>45.83</v>
      </c>
      <c r="F290">
        <v>46.24</v>
      </c>
      <c r="G290">
        <v>249100</v>
      </c>
    </row>
    <row r="291" spans="1:11" ht="12">
      <c r="A291"/>
      <c r="B291" s="9">
        <v>40389</v>
      </c>
      <c r="C291">
        <v>46.94</v>
      </c>
      <c r="D291">
        <v>47.11</v>
      </c>
      <c r="E291">
        <v>46.21</v>
      </c>
      <c r="F291">
        <v>46.22</v>
      </c>
      <c r="G291">
        <v>195600</v>
      </c>
    </row>
    <row r="292" spans="1:11" ht="12">
      <c r="A292"/>
      <c r="B292" s="9">
        <v>40388</v>
      </c>
      <c r="C292">
        <v>48.57</v>
      </c>
      <c r="D292">
        <v>48.83</v>
      </c>
      <c r="E292">
        <v>47.14</v>
      </c>
      <c r="F292">
        <v>47.33</v>
      </c>
      <c r="G292">
        <v>152300</v>
      </c>
    </row>
    <row r="293" spans="1:11" ht="12">
      <c r="A293"/>
      <c r="B293" s="9">
        <v>40387</v>
      </c>
      <c r="C293">
        <v>48.71</v>
      </c>
      <c r="D293">
        <v>49.43</v>
      </c>
      <c r="E293">
        <v>48.18</v>
      </c>
      <c r="F293">
        <v>48.53</v>
      </c>
      <c r="G293">
        <v>222500</v>
      </c>
      <c r="K293" s="5"/>
    </row>
    <row r="294" spans="1:11" ht="12">
      <c r="A294"/>
      <c r="B294" s="9">
        <v>40386</v>
      </c>
      <c r="C294">
        <v>48.06</v>
      </c>
      <c r="D294">
        <v>48.93</v>
      </c>
      <c r="E294">
        <v>48.06</v>
      </c>
      <c r="F294">
        <v>48.75</v>
      </c>
      <c r="G294">
        <v>143800</v>
      </c>
      <c r="K294" s="5"/>
    </row>
    <row r="295" spans="1:11" ht="12">
      <c r="A295"/>
      <c r="B295" s="9">
        <v>40383</v>
      </c>
      <c r="C295">
        <v>48.28</v>
      </c>
      <c r="D295">
        <v>48.49</v>
      </c>
      <c r="E295">
        <v>47.9</v>
      </c>
      <c r="F295">
        <v>48.03</v>
      </c>
      <c r="G295">
        <v>221200</v>
      </c>
      <c r="K295" s="5"/>
    </row>
    <row r="296" spans="1:11" ht="12">
      <c r="A296"/>
      <c r="B296" s="9">
        <v>40382</v>
      </c>
      <c r="C296">
        <v>48.98</v>
      </c>
      <c r="D296">
        <v>49.14</v>
      </c>
      <c r="E296">
        <v>48.36</v>
      </c>
      <c r="F296">
        <v>48.55</v>
      </c>
      <c r="G296">
        <v>185400</v>
      </c>
      <c r="K296" s="5"/>
    </row>
    <row r="297" spans="1:11" ht="12">
      <c r="A297"/>
      <c r="B297" s="9">
        <v>40381</v>
      </c>
      <c r="C297">
        <v>49.53</v>
      </c>
      <c r="D297">
        <v>49.68</v>
      </c>
      <c r="E297">
        <v>49.23</v>
      </c>
      <c r="F297">
        <v>49.34</v>
      </c>
      <c r="G297">
        <v>96300</v>
      </c>
      <c r="K297" s="5"/>
    </row>
    <row r="298" spans="1:11" ht="12">
      <c r="A298"/>
      <c r="B298" s="9">
        <v>40380</v>
      </c>
      <c r="C298">
        <v>49.87</v>
      </c>
      <c r="D298">
        <v>50</v>
      </c>
      <c r="E298">
        <v>49.51</v>
      </c>
      <c r="F298">
        <v>49.57</v>
      </c>
      <c r="G298">
        <v>95100</v>
      </c>
      <c r="K298" s="5"/>
    </row>
    <row r="299" spans="1:11" ht="12">
      <c r="A299"/>
      <c r="B299" s="9">
        <v>40379</v>
      </c>
      <c r="C299">
        <v>49.73</v>
      </c>
      <c r="D299">
        <v>49.97</v>
      </c>
      <c r="E299">
        <v>49.44</v>
      </c>
      <c r="F299">
        <v>49.73</v>
      </c>
      <c r="G299">
        <v>125300</v>
      </c>
      <c r="K299" s="5"/>
    </row>
    <row r="300" spans="1:11" ht="12">
      <c r="A300"/>
      <c r="B300" s="9">
        <v>40376</v>
      </c>
      <c r="C300">
        <v>49.04</v>
      </c>
      <c r="D300">
        <v>49.92</v>
      </c>
      <c r="E300">
        <v>49.01</v>
      </c>
      <c r="F300">
        <v>49.88</v>
      </c>
      <c r="G300">
        <v>177800</v>
      </c>
      <c r="K300" s="5"/>
    </row>
    <row r="301" spans="1:11" ht="12">
      <c r="A301"/>
      <c r="B301" s="9">
        <v>40375</v>
      </c>
      <c r="C301">
        <v>49.83</v>
      </c>
      <c r="D301">
        <v>49.87</v>
      </c>
      <c r="E301">
        <v>49.16</v>
      </c>
      <c r="F301">
        <v>49.25</v>
      </c>
      <c r="G301">
        <v>175200</v>
      </c>
      <c r="K301" s="5"/>
    </row>
    <row r="302" spans="1:11" ht="12">
      <c r="A302"/>
      <c r="B302" s="9">
        <v>40374</v>
      </c>
      <c r="C302">
        <v>49.62</v>
      </c>
      <c r="D302">
        <v>49.83</v>
      </c>
      <c r="E302">
        <v>49</v>
      </c>
      <c r="F302">
        <v>49.8</v>
      </c>
      <c r="G302">
        <v>147000</v>
      </c>
      <c r="K302" s="5"/>
    </row>
    <row r="303" spans="1:11" ht="12">
      <c r="A303"/>
      <c r="B303" s="9">
        <v>40373</v>
      </c>
      <c r="C303">
        <v>49.74</v>
      </c>
      <c r="D303">
        <v>49.83</v>
      </c>
      <c r="E303">
        <v>49.3</v>
      </c>
      <c r="F303">
        <v>49.59</v>
      </c>
      <c r="G303">
        <v>116400</v>
      </c>
      <c r="K303" s="5"/>
    </row>
    <row r="304" spans="1:11" ht="12">
      <c r="A304"/>
      <c r="B304" s="9">
        <v>40372</v>
      </c>
      <c r="C304">
        <v>50.38</v>
      </c>
      <c r="D304">
        <v>50.38</v>
      </c>
      <c r="E304">
        <v>49.67</v>
      </c>
      <c r="F304">
        <v>49.7</v>
      </c>
      <c r="G304">
        <v>108000</v>
      </c>
      <c r="K304" s="5"/>
    </row>
    <row r="305" spans="1:11" ht="12">
      <c r="A305"/>
      <c r="B305" s="9">
        <v>40369</v>
      </c>
      <c r="C305">
        <v>50.48</v>
      </c>
      <c r="D305">
        <v>50.68</v>
      </c>
      <c r="E305">
        <v>49.95</v>
      </c>
      <c r="F305">
        <v>50.11</v>
      </c>
      <c r="G305">
        <v>139200</v>
      </c>
      <c r="K305" s="5"/>
    </row>
    <row r="306" spans="1:11" ht="12">
      <c r="A306"/>
      <c r="B306" s="9">
        <v>40368</v>
      </c>
      <c r="C306">
        <v>50.21</v>
      </c>
      <c r="D306">
        <v>50.81</v>
      </c>
      <c r="E306">
        <v>50.14</v>
      </c>
      <c r="F306">
        <v>50.56</v>
      </c>
      <c r="G306">
        <v>187000</v>
      </c>
      <c r="K306" s="5"/>
    </row>
    <row r="307" spans="1:11" ht="12">
      <c r="A307"/>
      <c r="B307" s="9">
        <v>40367</v>
      </c>
      <c r="C307">
        <v>51.32</v>
      </c>
      <c r="D307">
        <v>51.32</v>
      </c>
      <c r="E307">
        <v>50.63</v>
      </c>
      <c r="F307">
        <v>50.67</v>
      </c>
      <c r="G307">
        <v>181300</v>
      </c>
      <c r="K307" s="5"/>
    </row>
    <row r="308" spans="1:11" ht="12">
      <c r="A308"/>
      <c r="B308" s="9">
        <v>40366</v>
      </c>
      <c r="C308">
        <v>51.17</v>
      </c>
      <c r="D308">
        <v>51.62</v>
      </c>
      <c r="E308">
        <v>50.91</v>
      </c>
      <c r="F308">
        <v>51.41</v>
      </c>
      <c r="G308">
        <v>204700</v>
      </c>
      <c r="K308" s="5"/>
    </row>
    <row r="309" spans="1:11" ht="12">
      <c r="A309"/>
      <c r="B309" s="9">
        <v>40365</v>
      </c>
      <c r="C309">
        <v>50.81</v>
      </c>
      <c r="D309">
        <v>51.27</v>
      </c>
      <c r="E309">
        <v>50.74</v>
      </c>
      <c r="F309">
        <v>51.09</v>
      </c>
      <c r="G309">
        <v>354700</v>
      </c>
      <c r="K309" s="5"/>
    </row>
    <row r="310" spans="1:11" ht="12">
      <c r="A310"/>
      <c r="B310" s="9">
        <v>40361</v>
      </c>
      <c r="C310">
        <v>51.44</v>
      </c>
      <c r="D310">
        <v>51.52</v>
      </c>
      <c r="E310">
        <v>50.44</v>
      </c>
      <c r="F310">
        <v>50.88</v>
      </c>
      <c r="G310">
        <v>213800</v>
      </c>
      <c r="K310" s="5"/>
    </row>
    <row r="311" spans="1:11" ht="12">
      <c r="A311"/>
      <c r="B311" s="9">
        <v>40360</v>
      </c>
      <c r="C311">
        <v>51.92</v>
      </c>
      <c r="D311">
        <v>51.92</v>
      </c>
      <c r="E311">
        <v>51.01</v>
      </c>
      <c r="F311">
        <v>51.1</v>
      </c>
      <c r="G311">
        <v>280800</v>
      </c>
      <c r="K311" s="5"/>
    </row>
    <row r="312" spans="1:11" ht="12">
      <c r="A312"/>
      <c r="B312" t="s">
        <v>50</v>
      </c>
      <c r="C312" s="2">
        <f>AVERAGE(C282:C311)</f>
        <v>48.686333333333337</v>
      </c>
      <c r="D312" s="2">
        <f>AVERAGE(D282:D311)</f>
        <v>48.99733333333333</v>
      </c>
      <c r="E312" s="2">
        <f>AVERAGE(E282:E311)</f>
        <v>48.227000000000011</v>
      </c>
      <c r="F312" s="8">
        <f>AVERAGE(F282:F311)</f>
        <v>48.561999999999998</v>
      </c>
      <c r="G312">
        <f>AVERAGE(G282:G311)</f>
        <v>180533.33333333334</v>
      </c>
      <c r="K312" s="5"/>
    </row>
    <row r="313" spans="1:11" ht="12">
      <c r="A313"/>
      <c r="B313" t="s">
        <v>44</v>
      </c>
      <c r="C313">
        <f>MEDIAN(C282:C311)</f>
        <v>49.01</v>
      </c>
      <c r="D313">
        <f>MEDIAN(D282:D311)</f>
        <v>49.555</v>
      </c>
      <c r="E313">
        <f>MEDIAN(E282:E311)</f>
        <v>48.68</v>
      </c>
      <c r="F313">
        <f>MEDIAN(F282:F311)</f>
        <v>49</v>
      </c>
      <c r="G313">
        <f>MEDIAN(G282:G311)</f>
        <v>176500</v>
      </c>
      <c r="K313" s="5"/>
    </row>
    <row r="314" spans="1:11" ht="12">
      <c r="A314"/>
      <c r="B314" t="s">
        <v>42</v>
      </c>
      <c r="C314">
        <f>MIN(C282:C311)</f>
        <v>45.37</v>
      </c>
      <c r="D314">
        <f>MIN(D282:D311)</f>
        <v>45.87</v>
      </c>
      <c r="E314">
        <f>MIN(E282:E311)</f>
        <v>45.24</v>
      </c>
      <c r="F314">
        <f>MIN(F282:F311)</f>
        <v>45.3</v>
      </c>
      <c r="G314">
        <f>MIN(G282:G311)</f>
        <v>66100</v>
      </c>
      <c r="K314" s="5"/>
    </row>
    <row r="315" spans="1:11" ht="12">
      <c r="A315"/>
      <c r="B315" t="s">
        <v>43</v>
      </c>
      <c r="C315">
        <f>MAX(C282:C311)</f>
        <v>51.92</v>
      </c>
      <c r="D315">
        <f>MAX(D282:D311)</f>
        <v>51.92</v>
      </c>
      <c r="E315">
        <f>MAX(E282:E311)</f>
        <v>51.01</v>
      </c>
      <c r="F315">
        <f>MAX(F282:F311)</f>
        <v>51.41</v>
      </c>
      <c r="G315">
        <f>MAX(G282:G311)</f>
        <v>384800</v>
      </c>
      <c r="K315" s="5"/>
    </row>
    <row r="316" spans="1:11" ht="12">
      <c r="A316" t="s">
        <v>172</v>
      </c>
      <c r="B316" t="s">
        <v>37</v>
      </c>
      <c r="C316" t="s">
        <v>38</v>
      </c>
      <c r="D316" t="s">
        <v>39</v>
      </c>
      <c r="E316" t="s">
        <v>40</v>
      </c>
      <c r="F316" t="s">
        <v>41</v>
      </c>
      <c r="G316" t="s">
        <v>135</v>
      </c>
      <c r="K316" s="5"/>
    </row>
    <row r="317" spans="1:11" ht="12">
      <c r="A317"/>
      <c r="B317" s="9">
        <v>40402</v>
      </c>
      <c r="C317">
        <v>53.42</v>
      </c>
      <c r="D317">
        <v>53.63</v>
      </c>
      <c r="E317">
        <v>53.12</v>
      </c>
      <c r="F317">
        <v>53.41</v>
      </c>
      <c r="G317">
        <v>1683700</v>
      </c>
      <c r="K317" s="5"/>
    </row>
    <row r="318" spans="1:11" ht="12">
      <c r="A318"/>
      <c r="B318" s="9">
        <v>40401</v>
      </c>
      <c r="C318">
        <v>53.32</v>
      </c>
      <c r="D318">
        <v>53.53</v>
      </c>
      <c r="E318">
        <v>53.1</v>
      </c>
      <c r="F318">
        <v>53.29</v>
      </c>
      <c r="G318">
        <v>730100</v>
      </c>
      <c r="K318" s="5"/>
    </row>
    <row r="319" spans="1:11" ht="12">
      <c r="A319"/>
      <c r="B319" s="9">
        <v>40400</v>
      </c>
      <c r="C319">
        <v>53.67</v>
      </c>
      <c r="D319">
        <v>53.89</v>
      </c>
      <c r="E319">
        <v>53.31</v>
      </c>
      <c r="F319">
        <v>53.37</v>
      </c>
      <c r="G319">
        <v>511100</v>
      </c>
      <c r="K319" s="5"/>
    </row>
    <row r="320" spans="1:11" ht="12">
      <c r="A320"/>
      <c r="B320" s="9">
        <v>40397</v>
      </c>
      <c r="C320">
        <v>52.6</v>
      </c>
      <c r="D320">
        <v>53.66</v>
      </c>
      <c r="E320">
        <v>52.6</v>
      </c>
      <c r="F320">
        <v>53.65</v>
      </c>
      <c r="G320">
        <v>828500</v>
      </c>
      <c r="K320" s="5"/>
    </row>
    <row r="321" spans="1:15" ht="12">
      <c r="A321"/>
      <c r="B321" s="9">
        <v>40396</v>
      </c>
      <c r="C321">
        <v>52.28</v>
      </c>
      <c r="D321">
        <v>52.91</v>
      </c>
      <c r="E321">
        <v>52.21</v>
      </c>
      <c r="F321">
        <v>52.57</v>
      </c>
      <c r="G321">
        <v>755300</v>
      </c>
      <c r="K321" s="5"/>
    </row>
    <row r="322" spans="1:15" ht="12">
      <c r="A322"/>
      <c r="B322" s="9">
        <v>40395</v>
      </c>
      <c r="C322">
        <v>52.64</v>
      </c>
      <c r="D322">
        <v>52.75</v>
      </c>
      <c r="E322">
        <v>52.13</v>
      </c>
      <c r="F322">
        <v>52.17</v>
      </c>
      <c r="G322">
        <v>1216700</v>
      </c>
      <c r="K322" s="5"/>
    </row>
    <row r="323" spans="1:15" ht="12">
      <c r="A323"/>
      <c r="B323" s="9">
        <v>40394</v>
      </c>
      <c r="C323">
        <v>53.17</v>
      </c>
      <c r="D323">
        <v>53.53</v>
      </c>
      <c r="E323">
        <v>52.62</v>
      </c>
      <c r="F323">
        <v>52.86</v>
      </c>
      <c r="G323">
        <v>655000</v>
      </c>
      <c r="L323" s="2"/>
      <c r="M323" s="2"/>
      <c r="N323" s="2"/>
      <c r="O323" s="8"/>
    </row>
    <row r="324" spans="1:15" ht="12">
      <c r="A324"/>
      <c r="B324" s="9">
        <v>40393</v>
      </c>
      <c r="C324">
        <v>54</v>
      </c>
      <c r="D324">
        <v>54</v>
      </c>
      <c r="E324">
        <v>52.47</v>
      </c>
      <c r="F324">
        <v>53.37</v>
      </c>
      <c r="G324">
        <v>1476100</v>
      </c>
    </row>
    <row r="325" spans="1:15" ht="12">
      <c r="A325"/>
      <c r="B325" s="9">
        <v>40390</v>
      </c>
      <c r="C325">
        <v>53.51</v>
      </c>
      <c r="D325">
        <v>54.47</v>
      </c>
      <c r="E325">
        <v>53.46</v>
      </c>
      <c r="F325">
        <v>53.97</v>
      </c>
      <c r="G325">
        <v>1443000</v>
      </c>
    </row>
    <row r="326" spans="1:15" ht="12">
      <c r="A326"/>
      <c r="B326" s="9">
        <v>40389</v>
      </c>
      <c r="C326">
        <v>54.91</v>
      </c>
      <c r="D326">
        <v>55.48</v>
      </c>
      <c r="E326">
        <v>53.29</v>
      </c>
      <c r="F326">
        <v>53.49</v>
      </c>
      <c r="G326">
        <v>1673600</v>
      </c>
    </row>
    <row r="327" spans="1:15" ht="12">
      <c r="A327"/>
      <c r="B327" s="9">
        <v>40388</v>
      </c>
      <c r="C327">
        <v>55.87</v>
      </c>
      <c r="D327">
        <v>56.01</v>
      </c>
      <c r="E327">
        <v>54.66</v>
      </c>
      <c r="F327">
        <v>54.85</v>
      </c>
      <c r="G327">
        <v>832600</v>
      </c>
    </row>
    <row r="328" spans="1:15" ht="12">
      <c r="A328"/>
      <c r="B328" s="9">
        <v>40387</v>
      </c>
      <c r="C328">
        <v>57.28</v>
      </c>
      <c r="D328">
        <v>57.4</v>
      </c>
      <c r="E328">
        <v>56.43</v>
      </c>
      <c r="F328">
        <v>56.43</v>
      </c>
      <c r="G328">
        <v>572900</v>
      </c>
    </row>
    <row r="329" spans="1:15" ht="12">
      <c r="A329"/>
      <c r="B329" s="9">
        <v>40386</v>
      </c>
      <c r="C329">
        <v>56.44</v>
      </c>
      <c r="D329">
        <v>57.2</v>
      </c>
      <c r="E329">
        <v>56.32</v>
      </c>
      <c r="F329">
        <v>57.1</v>
      </c>
      <c r="G329">
        <v>843400</v>
      </c>
    </row>
    <row r="330" spans="1:15" ht="12">
      <c r="A330"/>
      <c r="B330" s="9">
        <v>40383</v>
      </c>
      <c r="C330">
        <v>56.78</v>
      </c>
      <c r="D330">
        <v>56.92</v>
      </c>
      <c r="E330">
        <v>56.22</v>
      </c>
      <c r="F330">
        <v>56.29</v>
      </c>
      <c r="G330">
        <v>401100</v>
      </c>
    </row>
    <row r="331" spans="1:15" ht="12">
      <c r="A331"/>
      <c r="B331" s="9">
        <v>40382</v>
      </c>
      <c r="C331">
        <v>56.8</v>
      </c>
      <c r="D331">
        <v>56.98</v>
      </c>
      <c r="E331">
        <v>56.61</v>
      </c>
      <c r="F331">
        <v>56.82</v>
      </c>
      <c r="G331">
        <v>475700</v>
      </c>
    </row>
    <row r="332" spans="1:15" ht="12">
      <c r="A332"/>
      <c r="B332" s="9">
        <v>40381</v>
      </c>
      <c r="C332">
        <v>56.91</v>
      </c>
      <c r="D332">
        <v>57.1</v>
      </c>
      <c r="E332">
        <v>56.69</v>
      </c>
      <c r="F332">
        <v>56.85</v>
      </c>
      <c r="G332">
        <v>663700</v>
      </c>
    </row>
    <row r="333" spans="1:15" ht="12">
      <c r="A333"/>
      <c r="B333" s="9">
        <v>40380</v>
      </c>
      <c r="C333">
        <v>57.08</v>
      </c>
      <c r="D333">
        <v>57.2</v>
      </c>
      <c r="E333">
        <v>56.77</v>
      </c>
      <c r="F333">
        <v>57.01</v>
      </c>
      <c r="G333">
        <v>1094300</v>
      </c>
    </row>
    <row r="334" spans="1:15" ht="12">
      <c r="A334"/>
      <c r="B334" s="9">
        <v>40379</v>
      </c>
      <c r="C334">
        <v>56.7</v>
      </c>
      <c r="D334">
        <v>57.14</v>
      </c>
      <c r="E334">
        <v>56.54</v>
      </c>
      <c r="F334">
        <v>56.98</v>
      </c>
      <c r="G334">
        <v>1343900</v>
      </c>
    </row>
    <row r="335" spans="1:15" ht="12">
      <c r="A335"/>
      <c r="B335" s="9">
        <v>40376</v>
      </c>
      <c r="C335">
        <v>55.81</v>
      </c>
      <c r="D335">
        <v>56.83</v>
      </c>
      <c r="E335">
        <v>55.45</v>
      </c>
      <c r="F335">
        <v>56.82</v>
      </c>
      <c r="G335">
        <v>1120000</v>
      </c>
    </row>
    <row r="336" spans="1:15" ht="12">
      <c r="A336"/>
      <c r="B336" s="9">
        <v>40375</v>
      </c>
      <c r="C336">
        <v>55.75</v>
      </c>
      <c r="D336">
        <v>56.03</v>
      </c>
      <c r="E336">
        <v>55.59</v>
      </c>
      <c r="F336">
        <v>55.59</v>
      </c>
      <c r="G336">
        <v>444900</v>
      </c>
    </row>
    <row r="337" spans="1:7" ht="12">
      <c r="A337"/>
      <c r="B337" s="9">
        <v>40374</v>
      </c>
      <c r="C337">
        <v>56</v>
      </c>
      <c r="D337">
        <v>56</v>
      </c>
      <c r="E337">
        <v>55.41</v>
      </c>
      <c r="F337">
        <v>55.74</v>
      </c>
      <c r="G337">
        <v>1113800</v>
      </c>
    </row>
    <row r="338" spans="1:7" ht="12">
      <c r="A338"/>
      <c r="B338" s="9">
        <v>40373</v>
      </c>
      <c r="C338">
        <v>55.87</v>
      </c>
      <c r="D338">
        <v>56.25</v>
      </c>
      <c r="E338">
        <v>55.7</v>
      </c>
      <c r="F338">
        <v>56</v>
      </c>
      <c r="G338">
        <v>1718200</v>
      </c>
    </row>
    <row r="339" spans="1:7" ht="12">
      <c r="A339"/>
      <c r="B339" s="9">
        <v>40372</v>
      </c>
      <c r="C339">
        <v>56.91</v>
      </c>
      <c r="D339">
        <v>57.03</v>
      </c>
      <c r="E339">
        <v>55.97</v>
      </c>
      <c r="F339">
        <v>56</v>
      </c>
      <c r="G339">
        <v>1123000</v>
      </c>
    </row>
    <row r="340" spans="1:7" ht="12">
      <c r="A340"/>
      <c r="B340" s="9">
        <v>40369</v>
      </c>
      <c r="C340">
        <v>56.84</v>
      </c>
      <c r="D340">
        <v>57.3</v>
      </c>
      <c r="E340">
        <v>56.76</v>
      </c>
      <c r="F340">
        <v>56.78</v>
      </c>
      <c r="G340">
        <v>685500</v>
      </c>
    </row>
    <row r="341" spans="1:7" ht="12">
      <c r="A341"/>
      <c r="B341" s="9">
        <v>40368</v>
      </c>
      <c r="C341">
        <v>56.52</v>
      </c>
      <c r="D341">
        <v>57.11</v>
      </c>
      <c r="E341">
        <v>56.46</v>
      </c>
      <c r="F341">
        <v>56.94</v>
      </c>
      <c r="G341">
        <v>445800</v>
      </c>
    </row>
    <row r="342" spans="1:7" ht="12">
      <c r="A342"/>
      <c r="B342" s="9">
        <v>40367</v>
      </c>
      <c r="C342">
        <v>57.22</v>
      </c>
      <c r="D342">
        <v>57.22</v>
      </c>
      <c r="E342">
        <v>56.2</v>
      </c>
      <c r="F342">
        <v>56.51</v>
      </c>
      <c r="G342">
        <v>747200</v>
      </c>
    </row>
    <row r="343" spans="1:7" ht="12">
      <c r="A343"/>
      <c r="B343" s="9">
        <v>40366</v>
      </c>
      <c r="C343">
        <v>56.41</v>
      </c>
      <c r="D343">
        <v>57.22</v>
      </c>
      <c r="E343">
        <v>56.41</v>
      </c>
      <c r="F343">
        <v>56.98</v>
      </c>
      <c r="G343">
        <v>850800</v>
      </c>
    </row>
    <row r="344" spans="1:7" ht="12">
      <c r="A344"/>
      <c r="B344" s="9">
        <v>40365</v>
      </c>
      <c r="C344">
        <v>56.46</v>
      </c>
      <c r="D344">
        <v>57.08</v>
      </c>
      <c r="E344">
        <v>56.14</v>
      </c>
      <c r="F344">
        <v>56.39</v>
      </c>
      <c r="G344">
        <v>1410800</v>
      </c>
    </row>
    <row r="345" spans="1:7" ht="12">
      <c r="A345"/>
      <c r="B345" s="9">
        <v>40361</v>
      </c>
      <c r="C345">
        <v>56.52</v>
      </c>
      <c r="D345">
        <v>56.63</v>
      </c>
      <c r="E345">
        <v>56.02</v>
      </c>
      <c r="F345">
        <v>56.44</v>
      </c>
      <c r="G345">
        <v>744900</v>
      </c>
    </row>
    <row r="346" spans="1:7" ht="12">
      <c r="A346"/>
      <c r="B346" s="9">
        <v>40360</v>
      </c>
      <c r="C346">
        <v>57.51</v>
      </c>
      <c r="D346">
        <v>57.53</v>
      </c>
      <c r="E346">
        <v>56.5</v>
      </c>
      <c r="F346">
        <v>56.94</v>
      </c>
      <c r="G346">
        <v>1323100</v>
      </c>
    </row>
    <row r="347" spans="1:7" ht="12">
      <c r="A347"/>
      <c r="B347" t="s">
        <v>50</v>
      </c>
      <c r="C347" s="2">
        <f>AVERAGE(C317:C346)</f>
        <v>55.506666666666661</v>
      </c>
      <c r="D347" s="2">
        <f>AVERAGE(D317:D346)</f>
        <v>55.867666666666665</v>
      </c>
      <c r="E347" s="2">
        <f>AVERAGE(E317:E346)</f>
        <v>55.038666666666678</v>
      </c>
      <c r="F347" s="8">
        <f>AVERAGE(F317:F346)</f>
        <v>55.387000000000015</v>
      </c>
      <c r="G347">
        <f>AVERAGE(G317:G346)</f>
        <v>964290</v>
      </c>
    </row>
    <row r="348" spans="1:7" ht="12">
      <c r="A348"/>
      <c r="B348" t="s">
        <v>44</v>
      </c>
      <c r="C348">
        <f>MEDIAN(C317:C346)</f>
        <v>56.204999999999998</v>
      </c>
      <c r="D348">
        <f>MEDIAN(D317:D346)</f>
        <v>56.730000000000004</v>
      </c>
      <c r="E348">
        <f>MEDIAN(E317:E346)</f>
        <v>55.835000000000001</v>
      </c>
      <c r="F348">
        <f>MEDIAN(F317:F346)</f>
        <v>56.144999999999996</v>
      </c>
      <c r="G348">
        <f>MEDIAN(G317:G346)</f>
        <v>838000</v>
      </c>
    </row>
    <row r="349" spans="1:7" ht="12">
      <c r="A349"/>
      <c r="B349" t="s">
        <v>42</v>
      </c>
      <c r="C349">
        <f>MIN(C317:C346)</f>
        <v>52.28</v>
      </c>
      <c r="D349">
        <f>MIN(D317:D346)</f>
        <v>52.75</v>
      </c>
      <c r="E349">
        <f>MIN(E317:E346)</f>
        <v>52.13</v>
      </c>
      <c r="F349">
        <f>MIN(F317:F346)</f>
        <v>52.17</v>
      </c>
      <c r="G349">
        <f>MIN(G317:G346)</f>
        <v>401100</v>
      </c>
    </row>
    <row r="350" spans="1:7" ht="12">
      <c r="A350"/>
      <c r="B350" t="s">
        <v>43</v>
      </c>
      <c r="C350">
        <f>MAX(C317:C346)</f>
        <v>57.51</v>
      </c>
      <c r="D350">
        <f>MAX(D317:D346)</f>
        <v>57.53</v>
      </c>
      <c r="E350">
        <f>MAX(E317:E346)</f>
        <v>56.77</v>
      </c>
      <c r="F350">
        <f>MAX(F317:F346)</f>
        <v>57.1</v>
      </c>
      <c r="G350">
        <f>MAX(G317:G346)</f>
        <v>1718200</v>
      </c>
    </row>
    <row r="351" spans="1:7" ht="12">
      <c r="A351" t="s">
        <v>173</v>
      </c>
      <c r="B351" t="s">
        <v>37</v>
      </c>
      <c r="C351" t="s">
        <v>38</v>
      </c>
      <c r="D351" t="s">
        <v>39</v>
      </c>
      <c r="E351" t="s">
        <v>40</v>
      </c>
      <c r="F351" t="s">
        <v>41</v>
      </c>
      <c r="G351" t="s">
        <v>135</v>
      </c>
    </row>
    <row r="352" spans="1:7" ht="12">
      <c r="A352"/>
      <c r="B352" s="9">
        <v>40402</v>
      </c>
      <c r="C352">
        <v>32.380000000000003</v>
      </c>
      <c r="D352">
        <v>32.72</v>
      </c>
      <c r="E352">
        <v>32.380000000000003</v>
      </c>
      <c r="F352">
        <v>32.53</v>
      </c>
      <c r="G352">
        <v>567500</v>
      </c>
    </row>
    <row r="353" spans="1:7" ht="12">
      <c r="A353"/>
      <c r="B353" s="9">
        <v>40401</v>
      </c>
      <c r="C353">
        <v>32.39</v>
      </c>
      <c r="D353">
        <v>32.54</v>
      </c>
      <c r="E353">
        <v>32.18</v>
      </c>
      <c r="F353">
        <v>32.36</v>
      </c>
      <c r="G353">
        <v>530700</v>
      </c>
    </row>
    <row r="354" spans="1:7" ht="12">
      <c r="A354"/>
      <c r="B354" s="9">
        <v>40400</v>
      </c>
      <c r="C354">
        <v>32.46</v>
      </c>
      <c r="D354">
        <v>32.71</v>
      </c>
      <c r="E354">
        <v>32.35</v>
      </c>
      <c r="F354">
        <v>32.49</v>
      </c>
      <c r="G354">
        <v>556900</v>
      </c>
    </row>
    <row r="355" spans="1:7" ht="12">
      <c r="A355"/>
      <c r="B355" s="9">
        <v>40397</v>
      </c>
      <c r="C355">
        <v>31.92</v>
      </c>
      <c r="D355">
        <v>32.340000000000003</v>
      </c>
      <c r="E355">
        <v>31.92</v>
      </c>
      <c r="F355">
        <v>32.31</v>
      </c>
      <c r="G355">
        <v>852100</v>
      </c>
    </row>
    <row r="356" spans="1:7" ht="12">
      <c r="A356"/>
      <c r="B356" s="9">
        <v>40396</v>
      </c>
      <c r="C356">
        <v>31.6</v>
      </c>
      <c r="D356">
        <v>31.98</v>
      </c>
      <c r="E356">
        <v>31.6</v>
      </c>
      <c r="F356">
        <v>31.89</v>
      </c>
      <c r="G356">
        <v>485700</v>
      </c>
    </row>
    <row r="357" spans="1:7" ht="12">
      <c r="A357"/>
      <c r="B357" s="9">
        <v>40395</v>
      </c>
      <c r="C357">
        <v>31.7</v>
      </c>
      <c r="D357">
        <v>31.84</v>
      </c>
      <c r="E357">
        <v>31.48</v>
      </c>
      <c r="F357">
        <v>31.56</v>
      </c>
      <c r="G357">
        <v>553800</v>
      </c>
    </row>
    <row r="358" spans="1:7" ht="12">
      <c r="A358"/>
      <c r="B358" s="9">
        <v>40394</v>
      </c>
      <c r="C358">
        <v>31.71</v>
      </c>
      <c r="D358">
        <v>31.96</v>
      </c>
      <c r="E358">
        <v>31.59</v>
      </c>
      <c r="F358">
        <v>31.76</v>
      </c>
      <c r="G358">
        <v>648000</v>
      </c>
    </row>
    <row r="359" spans="1:7" ht="12">
      <c r="A359"/>
      <c r="B359" s="9">
        <v>40393</v>
      </c>
      <c r="C359">
        <v>32.22</v>
      </c>
      <c r="D359">
        <v>32.22</v>
      </c>
      <c r="E359">
        <v>31.41</v>
      </c>
      <c r="F359">
        <v>31.92</v>
      </c>
      <c r="G359">
        <v>689800</v>
      </c>
    </row>
    <row r="360" spans="1:7" ht="12">
      <c r="A360"/>
      <c r="B360" s="9">
        <v>40390</v>
      </c>
      <c r="C360">
        <v>31.92</v>
      </c>
      <c r="D360">
        <v>32.369999999999997</v>
      </c>
      <c r="E360">
        <v>31.92</v>
      </c>
      <c r="F360">
        <v>32.130000000000003</v>
      </c>
      <c r="G360">
        <v>652800</v>
      </c>
    </row>
    <row r="361" spans="1:7" ht="12">
      <c r="A361"/>
      <c r="B361" s="9">
        <v>40389</v>
      </c>
      <c r="C361">
        <v>32.6</v>
      </c>
      <c r="D361">
        <v>32.74</v>
      </c>
      <c r="E361">
        <v>31.93</v>
      </c>
      <c r="F361">
        <v>31.93</v>
      </c>
      <c r="G361">
        <v>689300</v>
      </c>
    </row>
    <row r="362" spans="1:7" ht="12">
      <c r="A362"/>
      <c r="B362" s="9">
        <v>40388</v>
      </c>
      <c r="C362">
        <v>33.520000000000003</v>
      </c>
      <c r="D362">
        <v>33.520000000000003</v>
      </c>
      <c r="E362">
        <v>32.75</v>
      </c>
      <c r="F362">
        <v>32.86</v>
      </c>
      <c r="G362">
        <v>825200</v>
      </c>
    </row>
    <row r="363" spans="1:7" ht="12">
      <c r="A363"/>
      <c r="B363" s="9">
        <v>40387</v>
      </c>
      <c r="C363">
        <v>33.380000000000003</v>
      </c>
      <c r="D363">
        <v>33.69</v>
      </c>
      <c r="E363">
        <v>33.14</v>
      </c>
      <c r="F363">
        <v>33.29</v>
      </c>
      <c r="G363">
        <v>700700</v>
      </c>
    </row>
    <row r="364" spans="1:7" ht="12">
      <c r="A364"/>
      <c r="B364" s="9">
        <v>40386</v>
      </c>
      <c r="C364">
        <v>32.880000000000003</v>
      </c>
      <c r="D364">
        <v>33.229999999999997</v>
      </c>
      <c r="E364">
        <v>32.79</v>
      </c>
      <c r="F364">
        <v>33.17</v>
      </c>
      <c r="G364">
        <v>418500</v>
      </c>
    </row>
    <row r="365" spans="1:7" ht="12">
      <c r="A365"/>
      <c r="B365" s="9">
        <v>40383</v>
      </c>
      <c r="C365">
        <v>32.93</v>
      </c>
      <c r="D365">
        <v>33.18</v>
      </c>
      <c r="E365">
        <v>32.78</v>
      </c>
      <c r="F365">
        <v>32.82</v>
      </c>
      <c r="G365">
        <v>344900</v>
      </c>
    </row>
    <row r="366" spans="1:7" ht="12">
      <c r="A366"/>
      <c r="B366" s="9">
        <v>40382</v>
      </c>
      <c r="C366">
        <v>33.049999999999997</v>
      </c>
      <c r="D366">
        <v>33.159999999999997</v>
      </c>
      <c r="E366">
        <v>32.950000000000003</v>
      </c>
      <c r="F366">
        <v>33.090000000000003</v>
      </c>
      <c r="G366">
        <v>348500</v>
      </c>
    </row>
    <row r="367" spans="1:7" ht="12">
      <c r="A367"/>
      <c r="B367" s="9">
        <v>40381</v>
      </c>
      <c r="C367">
        <v>33.21</v>
      </c>
      <c r="D367">
        <v>33.21</v>
      </c>
      <c r="E367">
        <v>33</v>
      </c>
      <c r="F367">
        <v>33.06</v>
      </c>
      <c r="G367">
        <v>301200</v>
      </c>
    </row>
    <row r="368" spans="1:7" ht="12">
      <c r="A368"/>
      <c r="B368" s="9">
        <v>40380</v>
      </c>
      <c r="C368">
        <v>33.29</v>
      </c>
      <c r="D368">
        <v>33.32</v>
      </c>
      <c r="E368">
        <v>33.11</v>
      </c>
      <c r="F368">
        <v>33.14</v>
      </c>
      <c r="G368">
        <v>359200</v>
      </c>
    </row>
    <row r="369" spans="1:7" ht="12">
      <c r="A369"/>
      <c r="B369" s="9">
        <v>40379</v>
      </c>
      <c r="C369">
        <v>33</v>
      </c>
      <c r="D369">
        <v>33.229999999999997</v>
      </c>
      <c r="E369">
        <v>33</v>
      </c>
      <c r="F369">
        <v>33.14</v>
      </c>
      <c r="G369">
        <v>384600</v>
      </c>
    </row>
    <row r="370" spans="1:7" ht="12">
      <c r="A370"/>
      <c r="B370" s="9">
        <v>40376</v>
      </c>
      <c r="C370">
        <v>32.72</v>
      </c>
      <c r="D370">
        <v>33.19</v>
      </c>
      <c r="E370">
        <v>32.72</v>
      </c>
      <c r="F370">
        <v>33.15</v>
      </c>
      <c r="G370">
        <v>463000</v>
      </c>
    </row>
    <row r="371" spans="1:7" ht="12">
      <c r="A371"/>
      <c r="B371" s="9">
        <v>40375</v>
      </c>
      <c r="C371">
        <v>33.15</v>
      </c>
      <c r="D371">
        <v>33.159999999999997</v>
      </c>
      <c r="E371">
        <v>32.74</v>
      </c>
      <c r="F371">
        <v>32.76</v>
      </c>
      <c r="G371">
        <v>511900</v>
      </c>
    </row>
    <row r="372" spans="1:7" ht="12">
      <c r="A372"/>
      <c r="B372" s="9">
        <v>40374</v>
      </c>
      <c r="C372">
        <v>33.33</v>
      </c>
      <c r="D372">
        <v>33.33</v>
      </c>
      <c r="E372">
        <v>32.93</v>
      </c>
      <c r="F372">
        <v>33.200000000000003</v>
      </c>
      <c r="G372">
        <v>264800</v>
      </c>
    </row>
    <row r="373" spans="1:7" ht="12">
      <c r="A373"/>
      <c r="B373" s="9">
        <v>40373</v>
      </c>
      <c r="C373">
        <v>33.049999999999997</v>
      </c>
      <c r="D373">
        <v>33.32</v>
      </c>
      <c r="E373">
        <v>33.04</v>
      </c>
      <c r="F373">
        <v>33.18</v>
      </c>
      <c r="G373">
        <v>359500</v>
      </c>
    </row>
    <row r="374" spans="1:7" ht="12">
      <c r="A374"/>
      <c r="B374" s="9">
        <v>40372</v>
      </c>
      <c r="C374">
        <v>33.659999999999997</v>
      </c>
      <c r="D374">
        <v>33.659999999999997</v>
      </c>
      <c r="E374">
        <v>33.11</v>
      </c>
      <c r="F374">
        <v>33.119999999999997</v>
      </c>
      <c r="G374">
        <v>322500</v>
      </c>
    </row>
    <row r="375" spans="1:7" ht="12">
      <c r="A375"/>
      <c r="B375" s="9">
        <v>40369</v>
      </c>
      <c r="C375">
        <v>33.83</v>
      </c>
      <c r="D375">
        <v>33.9</v>
      </c>
      <c r="E375">
        <v>33.42</v>
      </c>
      <c r="F375">
        <v>33.49</v>
      </c>
      <c r="G375">
        <v>260600</v>
      </c>
    </row>
    <row r="376" spans="1:7" ht="12">
      <c r="A376"/>
      <c r="B376" s="9">
        <v>40368</v>
      </c>
      <c r="C376">
        <v>33.36</v>
      </c>
      <c r="D376">
        <v>33.869999999999997</v>
      </c>
      <c r="E376">
        <v>33.32</v>
      </c>
      <c r="F376">
        <v>33.840000000000003</v>
      </c>
      <c r="G376">
        <v>352800</v>
      </c>
    </row>
    <row r="377" spans="1:7" ht="12">
      <c r="A377"/>
      <c r="B377" s="9">
        <v>40367</v>
      </c>
      <c r="C377">
        <v>33.67</v>
      </c>
      <c r="D377">
        <v>33.770000000000003</v>
      </c>
      <c r="E377">
        <v>33.47</v>
      </c>
      <c r="F377">
        <v>33.619999999999997</v>
      </c>
      <c r="G377">
        <v>362200</v>
      </c>
    </row>
    <row r="378" spans="1:7" ht="12">
      <c r="A378"/>
      <c r="B378" s="9">
        <v>40366</v>
      </c>
      <c r="C378">
        <v>33.44</v>
      </c>
      <c r="D378">
        <v>33.81</v>
      </c>
      <c r="E378">
        <v>33.44</v>
      </c>
      <c r="F378">
        <v>33.64</v>
      </c>
      <c r="G378">
        <v>510600</v>
      </c>
    </row>
    <row r="379" spans="1:7" ht="12">
      <c r="A379"/>
      <c r="B379" s="9">
        <v>40365</v>
      </c>
      <c r="C379">
        <v>33.35</v>
      </c>
      <c r="D379">
        <v>33.83</v>
      </c>
      <c r="E379">
        <v>33.35</v>
      </c>
      <c r="F379">
        <v>33.520000000000003</v>
      </c>
      <c r="G379">
        <v>496600</v>
      </c>
    </row>
    <row r="380" spans="1:7" ht="12">
      <c r="A380"/>
      <c r="B380" s="9">
        <v>40361</v>
      </c>
      <c r="C380">
        <v>33.75</v>
      </c>
      <c r="D380">
        <v>33.76</v>
      </c>
      <c r="E380">
        <v>33.36</v>
      </c>
      <c r="F380">
        <v>33.47</v>
      </c>
      <c r="G380">
        <v>228000</v>
      </c>
    </row>
    <row r="381" spans="1:7" ht="12">
      <c r="A381"/>
      <c r="B381" s="9">
        <v>40360</v>
      </c>
      <c r="C381">
        <v>34.35</v>
      </c>
      <c r="D381">
        <v>34.43</v>
      </c>
      <c r="E381">
        <v>33.700000000000003</v>
      </c>
      <c r="F381">
        <v>33.85</v>
      </c>
      <c r="G381">
        <v>361300</v>
      </c>
    </row>
    <row r="382" spans="1:7" ht="12">
      <c r="A382"/>
      <c r="B382" t="s">
        <v>50</v>
      </c>
      <c r="C382" s="2">
        <f>AVERAGE(C352:C381)</f>
        <v>32.92733333333333</v>
      </c>
      <c r="D382" s="2">
        <f>AVERAGE(D352:D381)</f>
        <v>33.133000000000003</v>
      </c>
      <c r="E382" s="2">
        <f>AVERAGE(E352:E381)</f>
        <v>32.696000000000005</v>
      </c>
      <c r="F382" s="8">
        <f>AVERAGE(F352:F381)</f>
        <v>32.876333333333335</v>
      </c>
      <c r="G382">
        <f>AVERAGE(G352:G381)</f>
        <v>480106.66666666669</v>
      </c>
    </row>
    <row r="383" spans="1:7" ht="12">
      <c r="A383"/>
      <c r="B383" t="s">
        <v>44</v>
      </c>
      <c r="C383">
        <f>MEDIAN(C352:C381)</f>
        <v>33.049999999999997</v>
      </c>
      <c r="D383">
        <f>MEDIAN(D352:D381)</f>
        <v>33.22</v>
      </c>
      <c r="E383">
        <f>MEDIAN(E352:E381)</f>
        <v>32.86</v>
      </c>
      <c r="F383">
        <f>MEDIAN(F352:F381)</f>
        <v>33.105000000000004</v>
      </c>
      <c r="G383">
        <f>MEDIAN(G352:G381)</f>
        <v>474350</v>
      </c>
    </row>
    <row r="384" spans="1:7" ht="12">
      <c r="A384"/>
      <c r="B384" t="s">
        <v>42</v>
      </c>
      <c r="C384">
        <f>MIN(C352:C381)</f>
        <v>31.6</v>
      </c>
      <c r="D384">
        <f>MIN(D352:D381)</f>
        <v>31.84</v>
      </c>
      <c r="E384">
        <f>MIN(E352:E381)</f>
        <v>31.41</v>
      </c>
      <c r="F384">
        <f>MIN(F352:F381)</f>
        <v>31.56</v>
      </c>
      <c r="G384">
        <f>MIN(G352:G381)</f>
        <v>228000</v>
      </c>
    </row>
    <row r="385" spans="1:7" ht="12">
      <c r="A385"/>
      <c r="B385" t="s">
        <v>43</v>
      </c>
      <c r="C385">
        <f>MAX(C352:C381)</f>
        <v>34.35</v>
      </c>
      <c r="D385">
        <f>MAX(D352:D381)</f>
        <v>34.43</v>
      </c>
      <c r="E385">
        <f>MAX(E352:E381)</f>
        <v>33.700000000000003</v>
      </c>
      <c r="F385">
        <f>MAX(F352:F381)</f>
        <v>33.85</v>
      </c>
      <c r="G385">
        <f>MAX(G352:G381)</f>
        <v>852100</v>
      </c>
    </row>
    <row r="386" spans="1:7" ht="12">
      <c r="A386" t="s">
        <v>174</v>
      </c>
      <c r="B386" t="s">
        <v>37</v>
      </c>
      <c r="C386" t="s">
        <v>38</v>
      </c>
      <c r="D386" t="s">
        <v>39</v>
      </c>
      <c r="E386" t="s">
        <v>40</v>
      </c>
      <c r="F386" t="s">
        <v>41</v>
      </c>
      <c r="G386" t="s">
        <v>135</v>
      </c>
    </row>
    <row r="387" spans="1:7" ht="12">
      <c r="A387"/>
      <c r="B387" s="9">
        <v>40402</v>
      </c>
      <c r="C387">
        <v>30.58</v>
      </c>
      <c r="D387">
        <v>30.74</v>
      </c>
      <c r="E387">
        <v>30.44</v>
      </c>
      <c r="F387">
        <v>30.66</v>
      </c>
      <c r="G387">
        <v>2172400</v>
      </c>
    </row>
    <row r="388" spans="1:7" ht="12">
      <c r="A388"/>
      <c r="B388" s="9">
        <v>40401</v>
      </c>
      <c r="C388">
        <v>30.45</v>
      </c>
      <c r="D388">
        <v>30.64</v>
      </c>
      <c r="E388">
        <v>30.35</v>
      </c>
      <c r="F388">
        <v>30.5</v>
      </c>
      <c r="G388">
        <v>1763100</v>
      </c>
    </row>
    <row r="389" spans="1:7" ht="12">
      <c r="A389"/>
      <c r="B389" s="9">
        <v>40400</v>
      </c>
      <c r="C389">
        <v>30.67</v>
      </c>
      <c r="D389">
        <v>30.76</v>
      </c>
      <c r="E389">
        <v>30.39</v>
      </c>
      <c r="F389">
        <v>30.45</v>
      </c>
      <c r="G389">
        <v>2350900</v>
      </c>
    </row>
    <row r="390" spans="1:7" ht="12">
      <c r="A390"/>
      <c r="B390" s="9">
        <v>40397</v>
      </c>
      <c r="C390">
        <v>30.05</v>
      </c>
      <c r="D390">
        <v>30.56</v>
      </c>
      <c r="E390">
        <v>30.05</v>
      </c>
      <c r="F390">
        <v>30.56</v>
      </c>
      <c r="G390">
        <v>1530200</v>
      </c>
    </row>
    <row r="391" spans="1:7" ht="12">
      <c r="A391"/>
      <c r="B391" s="9">
        <v>40396</v>
      </c>
      <c r="C391">
        <v>29.69</v>
      </c>
      <c r="D391">
        <v>30.26</v>
      </c>
      <c r="E391">
        <v>29.6</v>
      </c>
      <c r="F391">
        <v>29.98</v>
      </c>
      <c r="G391">
        <v>2398500</v>
      </c>
    </row>
    <row r="392" spans="1:7" ht="12">
      <c r="A392"/>
      <c r="B392" s="9">
        <v>40395</v>
      </c>
      <c r="C392">
        <v>30.11</v>
      </c>
      <c r="D392">
        <v>30.36</v>
      </c>
      <c r="E392">
        <v>29.6</v>
      </c>
      <c r="F392">
        <v>29.64</v>
      </c>
      <c r="G392">
        <v>6111600</v>
      </c>
    </row>
    <row r="393" spans="1:7" ht="12">
      <c r="A393"/>
      <c r="B393" s="9">
        <v>40394</v>
      </c>
      <c r="C393">
        <v>30.57</v>
      </c>
      <c r="D393">
        <v>30.81</v>
      </c>
      <c r="E393">
        <v>30.1</v>
      </c>
      <c r="F393">
        <v>30.23</v>
      </c>
      <c r="G393">
        <v>3428000</v>
      </c>
    </row>
    <row r="394" spans="1:7" ht="12">
      <c r="A394"/>
      <c r="B394" s="9">
        <v>40393</v>
      </c>
      <c r="C394">
        <v>30.97</v>
      </c>
      <c r="D394">
        <v>30.98</v>
      </c>
      <c r="E394">
        <v>30.21</v>
      </c>
      <c r="F394">
        <v>30.73</v>
      </c>
      <c r="G394">
        <v>3899500</v>
      </c>
    </row>
    <row r="395" spans="1:7" ht="12">
      <c r="A395"/>
      <c r="B395" s="9">
        <v>40390</v>
      </c>
      <c r="C395">
        <v>30.73</v>
      </c>
      <c r="D395">
        <v>31.28</v>
      </c>
      <c r="E395">
        <v>30.66</v>
      </c>
      <c r="F395">
        <v>30.98</v>
      </c>
      <c r="G395">
        <v>2601100</v>
      </c>
    </row>
    <row r="396" spans="1:7" ht="12">
      <c r="A396"/>
      <c r="B396" s="9">
        <v>40389</v>
      </c>
      <c r="C396">
        <v>30.82</v>
      </c>
      <c r="D396">
        <v>31.38</v>
      </c>
      <c r="E396">
        <v>30.73</v>
      </c>
      <c r="F396">
        <v>30.8</v>
      </c>
      <c r="G396">
        <v>3495800</v>
      </c>
    </row>
    <row r="397" spans="1:7" ht="12">
      <c r="A397"/>
      <c r="B397" s="9">
        <v>40388</v>
      </c>
      <c r="C397">
        <v>31.7</v>
      </c>
      <c r="D397">
        <v>31.81</v>
      </c>
      <c r="E397">
        <v>31</v>
      </c>
      <c r="F397">
        <v>31.12</v>
      </c>
      <c r="G397">
        <v>2209100</v>
      </c>
    </row>
    <row r="398" spans="1:7" ht="12">
      <c r="A398"/>
      <c r="B398" s="9">
        <v>40387</v>
      </c>
      <c r="C398">
        <v>32.049999999999997</v>
      </c>
      <c r="D398">
        <v>32.11</v>
      </c>
      <c r="E398">
        <v>31.7</v>
      </c>
      <c r="F398">
        <v>31.71</v>
      </c>
      <c r="G398">
        <v>1644100</v>
      </c>
    </row>
    <row r="399" spans="1:7" ht="12">
      <c r="A399"/>
      <c r="B399" s="9">
        <v>40386</v>
      </c>
      <c r="C399">
        <v>31.51</v>
      </c>
      <c r="D399">
        <v>32.08</v>
      </c>
      <c r="E399">
        <v>31.47</v>
      </c>
      <c r="F399">
        <v>32.07</v>
      </c>
      <c r="G399">
        <v>1956300</v>
      </c>
    </row>
    <row r="400" spans="1:7" ht="12">
      <c r="A400"/>
      <c r="B400" s="9">
        <v>40383</v>
      </c>
      <c r="C400">
        <v>31.74</v>
      </c>
      <c r="D400">
        <v>31.86</v>
      </c>
      <c r="E400">
        <v>31.45</v>
      </c>
      <c r="F400">
        <v>31.53</v>
      </c>
      <c r="G400">
        <v>1238600</v>
      </c>
    </row>
    <row r="401" spans="1:7" ht="12">
      <c r="A401"/>
      <c r="B401" s="9">
        <v>40382</v>
      </c>
      <c r="C401">
        <v>31.57</v>
      </c>
      <c r="D401">
        <v>31.76</v>
      </c>
      <c r="E401">
        <v>31.48</v>
      </c>
      <c r="F401">
        <v>31.74</v>
      </c>
      <c r="G401">
        <v>1719200</v>
      </c>
    </row>
    <row r="402" spans="1:7" ht="12">
      <c r="A402"/>
      <c r="B402" s="9">
        <v>40381</v>
      </c>
      <c r="C402">
        <v>31.68</v>
      </c>
      <c r="D402">
        <v>31.76</v>
      </c>
      <c r="E402">
        <v>31.51</v>
      </c>
      <c r="F402">
        <v>31.54</v>
      </c>
      <c r="G402">
        <v>1294200</v>
      </c>
    </row>
    <row r="403" spans="1:7" ht="12">
      <c r="A403"/>
      <c r="B403" s="9">
        <v>40380</v>
      </c>
      <c r="C403">
        <v>31.73</v>
      </c>
      <c r="D403">
        <v>31.84</v>
      </c>
      <c r="E403">
        <v>31.62</v>
      </c>
      <c r="F403">
        <v>31.7</v>
      </c>
      <c r="G403">
        <v>1029700</v>
      </c>
    </row>
    <row r="404" spans="1:7" ht="12">
      <c r="A404"/>
      <c r="B404" s="9">
        <v>40379</v>
      </c>
      <c r="C404">
        <v>31.97</v>
      </c>
      <c r="D404">
        <v>31.97</v>
      </c>
      <c r="E404">
        <v>31.5</v>
      </c>
      <c r="F404">
        <v>31.69</v>
      </c>
      <c r="G404">
        <v>2102200</v>
      </c>
    </row>
    <row r="405" spans="1:7" ht="12">
      <c r="A405"/>
      <c r="B405" s="9">
        <v>40376</v>
      </c>
      <c r="C405">
        <v>31.54</v>
      </c>
      <c r="D405">
        <v>31.82</v>
      </c>
      <c r="E405">
        <v>31.47</v>
      </c>
      <c r="F405">
        <v>31.81</v>
      </c>
      <c r="G405">
        <v>1814900</v>
      </c>
    </row>
    <row r="406" spans="1:7" ht="12">
      <c r="A406"/>
      <c r="B406" s="9">
        <v>40375</v>
      </c>
      <c r="C406">
        <v>31.62</v>
      </c>
      <c r="D406">
        <v>31.73</v>
      </c>
      <c r="E406">
        <v>31.5</v>
      </c>
      <c r="F406">
        <v>31.51</v>
      </c>
      <c r="G406">
        <v>2361900</v>
      </c>
    </row>
    <row r="407" spans="1:7" ht="12">
      <c r="A407"/>
      <c r="B407" s="9">
        <v>40374</v>
      </c>
      <c r="C407">
        <v>31.58</v>
      </c>
      <c r="D407">
        <v>31.76</v>
      </c>
      <c r="E407">
        <v>31.4</v>
      </c>
      <c r="F407">
        <v>31.71</v>
      </c>
      <c r="G407">
        <v>1939800</v>
      </c>
    </row>
    <row r="408" spans="1:7" ht="12">
      <c r="A408"/>
      <c r="B408" s="9">
        <v>40373</v>
      </c>
      <c r="C408">
        <v>31.42</v>
      </c>
      <c r="D408">
        <v>31.65</v>
      </c>
      <c r="E408">
        <v>31.37</v>
      </c>
      <c r="F408">
        <v>31.54</v>
      </c>
      <c r="G408">
        <v>2084700</v>
      </c>
    </row>
    <row r="409" spans="1:7" ht="12">
      <c r="A409"/>
      <c r="B409" s="9">
        <v>40372</v>
      </c>
      <c r="C409">
        <v>31.67</v>
      </c>
      <c r="D409">
        <v>31.74</v>
      </c>
      <c r="E409">
        <v>31.33</v>
      </c>
      <c r="F409">
        <v>31.34</v>
      </c>
      <c r="G409">
        <v>1885300</v>
      </c>
    </row>
    <row r="410" spans="1:7" ht="12">
      <c r="A410"/>
      <c r="B410" s="9">
        <v>40369</v>
      </c>
      <c r="C410">
        <v>31.77</v>
      </c>
      <c r="D410">
        <v>31.87</v>
      </c>
      <c r="E410">
        <v>31.53</v>
      </c>
      <c r="F410">
        <v>31.59</v>
      </c>
      <c r="G410">
        <v>1595200</v>
      </c>
    </row>
    <row r="411" spans="1:7" ht="12">
      <c r="A411"/>
      <c r="B411" s="9">
        <v>40368</v>
      </c>
      <c r="C411">
        <v>31.62</v>
      </c>
      <c r="D411">
        <v>31.91</v>
      </c>
      <c r="E411">
        <v>31.61</v>
      </c>
      <c r="F411">
        <v>31.8</v>
      </c>
      <c r="G411">
        <v>1610500</v>
      </c>
    </row>
    <row r="412" spans="1:7" ht="12">
      <c r="A412"/>
      <c r="B412" s="9">
        <v>40367</v>
      </c>
      <c r="C412">
        <v>31.74</v>
      </c>
      <c r="D412">
        <v>31.79</v>
      </c>
      <c r="E412">
        <v>31.47</v>
      </c>
      <c r="F412">
        <v>31.64</v>
      </c>
      <c r="G412">
        <v>1673100</v>
      </c>
    </row>
    <row r="413" spans="1:7" ht="12">
      <c r="A413"/>
      <c r="B413" s="9">
        <v>40366</v>
      </c>
      <c r="C413">
        <v>31.58</v>
      </c>
      <c r="D413">
        <v>31.82</v>
      </c>
      <c r="E413">
        <v>31.56</v>
      </c>
      <c r="F413">
        <v>31.61</v>
      </c>
      <c r="G413">
        <v>2990500</v>
      </c>
    </row>
    <row r="414" spans="1:7" ht="12">
      <c r="A414"/>
      <c r="B414" s="9">
        <v>40365</v>
      </c>
      <c r="C414">
        <v>31.5</v>
      </c>
      <c r="D414">
        <v>31.76</v>
      </c>
      <c r="E414">
        <v>31.46</v>
      </c>
      <c r="F414">
        <v>31.65</v>
      </c>
      <c r="G414">
        <v>2338300</v>
      </c>
    </row>
    <row r="415" spans="1:7" ht="12">
      <c r="A415"/>
      <c r="B415" s="9">
        <v>40361</v>
      </c>
      <c r="C415">
        <v>31.31</v>
      </c>
      <c r="D415">
        <v>31.55</v>
      </c>
      <c r="E415">
        <v>31.24</v>
      </c>
      <c r="F415">
        <v>31.53</v>
      </c>
      <c r="G415">
        <v>3036900</v>
      </c>
    </row>
    <row r="416" spans="1:7" ht="12">
      <c r="A416"/>
      <c r="B416" s="9">
        <v>40360</v>
      </c>
      <c r="C416">
        <v>31.99</v>
      </c>
      <c r="D416">
        <v>32.01</v>
      </c>
      <c r="E416">
        <v>31.39</v>
      </c>
      <c r="F416">
        <v>31.51</v>
      </c>
      <c r="G416">
        <v>3807500</v>
      </c>
    </row>
    <row r="417" spans="1:7" ht="12">
      <c r="A417"/>
      <c r="B417" t="s">
        <v>50</v>
      </c>
      <c r="C417" s="2">
        <f>AVERAGE(C387:C416)</f>
        <v>31.264333333333333</v>
      </c>
      <c r="D417" s="2">
        <f>AVERAGE(D387:D416)</f>
        <v>31.478999999999999</v>
      </c>
      <c r="E417" s="2">
        <f>AVERAGE(E387:E416)</f>
        <v>31.039666666666669</v>
      </c>
      <c r="F417" s="8">
        <f>AVERAGE(F387:F416)</f>
        <v>31.228999999999999</v>
      </c>
      <c r="G417">
        <f>AVERAGE(G387:G416)</f>
        <v>2336103.3333333335</v>
      </c>
    </row>
    <row r="418" spans="1:7" ht="12">
      <c r="A418"/>
      <c r="B418" t="s">
        <v>44</v>
      </c>
      <c r="C418">
        <f>MEDIAN(C387:C416)</f>
        <v>31.555</v>
      </c>
      <c r="D418">
        <f>MEDIAN(D387:D416)</f>
        <v>31.76</v>
      </c>
      <c r="E418">
        <f>MEDIAN(E387:E416)</f>
        <v>31.395</v>
      </c>
      <c r="F418">
        <f>MEDIAN(F387:F416)</f>
        <v>31.53</v>
      </c>
      <c r="G418">
        <f>MEDIAN(G387:G416)</f>
        <v>2093450</v>
      </c>
    </row>
    <row r="419" spans="1:7" ht="12">
      <c r="A419"/>
      <c r="B419" t="s">
        <v>42</v>
      </c>
      <c r="C419">
        <f>MIN(C387:C416)</f>
        <v>29.69</v>
      </c>
      <c r="D419">
        <f>MIN(D387:D416)</f>
        <v>30.26</v>
      </c>
      <c r="E419">
        <f>MIN(E387:E416)</f>
        <v>29.6</v>
      </c>
      <c r="F419">
        <f>MIN(F387:F416)</f>
        <v>29.64</v>
      </c>
      <c r="G419">
        <f>MIN(G387:G416)</f>
        <v>1029700</v>
      </c>
    </row>
    <row r="420" spans="1:7" ht="12">
      <c r="A420"/>
      <c r="B420" t="s">
        <v>43</v>
      </c>
      <c r="C420">
        <f>MAX(C387:C416)</f>
        <v>32.049999999999997</v>
      </c>
      <c r="D420">
        <f>MAX(D387:D416)</f>
        <v>32.11</v>
      </c>
      <c r="E420">
        <f>MAX(E387:E416)</f>
        <v>31.7</v>
      </c>
      <c r="F420">
        <f>MAX(F387:F416)</f>
        <v>32.07</v>
      </c>
      <c r="G420">
        <f>MAX(G387:G416)</f>
        <v>6111600</v>
      </c>
    </row>
    <row r="421" spans="1:7" ht="12">
      <c r="A421"/>
      <c r="F421"/>
    </row>
    <row r="422" spans="1:7" ht="12">
      <c r="A422"/>
      <c r="F422"/>
    </row>
    <row r="423" spans="1:7" ht="12">
      <c r="A423"/>
      <c r="F423"/>
    </row>
    <row r="424" spans="1:7" ht="12">
      <c r="A424"/>
      <c r="F424"/>
    </row>
    <row r="425" spans="1:7" ht="12">
      <c r="A425"/>
      <c r="F425"/>
    </row>
    <row r="426" spans="1:7" ht="12">
      <c r="A426"/>
      <c r="F426"/>
    </row>
    <row r="427" spans="1:7" ht="12">
      <c r="A427"/>
      <c r="F427"/>
    </row>
    <row r="428" spans="1:7" ht="12">
      <c r="A428"/>
      <c r="F428"/>
    </row>
    <row r="429" spans="1:7" ht="12">
      <c r="A429"/>
      <c r="F429"/>
    </row>
    <row r="430" spans="1:7" ht="12">
      <c r="A430"/>
      <c r="F430"/>
    </row>
    <row r="431" spans="1:7" ht="12">
      <c r="A431"/>
      <c r="F431"/>
    </row>
    <row r="432" spans="1:7" ht="12">
      <c r="A432"/>
      <c r="F432"/>
    </row>
    <row r="433" spans="1:6" ht="12">
      <c r="A433"/>
      <c r="F433"/>
    </row>
    <row r="434" spans="1:6" ht="12">
      <c r="A434"/>
      <c r="F434"/>
    </row>
    <row r="435" spans="1:6" ht="12">
      <c r="A435"/>
      <c r="F435"/>
    </row>
    <row r="436" spans="1:6" ht="12">
      <c r="A436"/>
      <c r="F436"/>
    </row>
    <row r="437" spans="1:6" ht="12">
      <c r="A437"/>
      <c r="F437"/>
    </row>
    <row r="438" spans="1:6" ht="12">
      <c r="A438"/>
      <c r="F438"/>
    </row>
    <row r="439" spans="1:6" ht="12">
      <c r="A439"/>
      <c r="F439"/>
    </row>
    <row r="440" spans="1:6" ht="12">
      <c r="A440"/>
      <c r="F440"/>
    </row>
    <row r="441" spans="1:6" ht="12">
      <c r="A441"/>
      <c r="F441"/>
    </row>
    <row r="442" spans="1:6" ht="12">
      <c r="A442"/>
      <c r="F442"/>
    </row>
    <row r="443" spans="1:6" ht="12">
      <c r="A443"/>
      <c r="F443"/>
    </row>
    <row r="444" spans="1:6" ht="12">
      <c r="A444"/>
      <c r="F444"/>
    </row>
    <row r="445" spans="1:6" ht="12">
      <c r="A445"/>
      <c r="F445"/>
    </row>
    <row r="446" spans="1:6" ht="12">
      <c r="A446"/>
      <c r="F446"/>
    </row>
    <row r="447" spans="1:6" ht="12">
      <c r="A447"/>
      <c r="F447"/>
    </row>
    <row r="448" spans="1:6" ht="12">
      <c r="A448"/>
      <c r="F448"/>
    </row>
    <row r="449" spans="1:6" ht="12">
      <c r="A449"/>
      <c r="F449"/>
    </row>
    <row r="450" spans="1:6" ht="12">
      <c r="A450"/>
      <c r="F450"/>
    </row>
    <row r="451" spans="1:6" ht="12">
      <c r="A451"/>
      <c r="F451"/>
    </row>
    <row r="452" spans="1:6" ht="12">
      <c r="A452"/>
      <c r="F452"/>
    </row>
    <row r="453" spans="1:6" ht="12">
      <c r="A453"/>
      <c r="F453"/>
    </row>
    <row r="454" spans="1:6" ht="12">
      <c r="A454"/>
      <c r="F454"/>
    </row>
    <row r="455" spans="1:6" ht="12">
      <c r="A455"/>
      <c r="F455"/>
    </row>
    <row r="456" spans="1:6" ht="12">
      <c r="A456"/>
      <c r="F456"/>
    </row>
    <row r="457" spans="1:6" ht="12">
      <c r="A457"/>
      <c r="F457"/>
    </row>
    <row r="458" spans="1:6" ht="12">
      <c r="A458"/>
      <c r="F458"/>
    </row>
    <row r="459" spans="1:6" ht="12">
      <c r="A459"/>
      <c r="F459"/>
    </row>
    <row r="460" spans="1:6" ht="12">
      <c r="A460"/>
      <c r="F460"/>
    </row>
    <row r="461" spans="1:6" ht="12">
      <c r="A461"/>
      <c r="F461"/>
    </row>
    <row r="462" spans="1:6" ht="12">
      <c r="A462"/>
      <c r="F462"/>
    </row>
    <row r="463" spans="1:6" ht="12">
      <c r="A463"/>
      <c r="F463"/>
    </row>
    <row r="464" spans="1:6" ht="12">
      <c r="A464"/>
      <c r="F464"/>
    </row>
    <row r="465" spans="1:6" ht="12">
      <c r="A465"/>
      <c r="F465"/>
    </row>
    <row r="466" spans="1:6" ht="12">
      <c r="A466"/>
      <c r="F466"/>
    </row>
    <row r="467" spans="1:6" ht="12">
      <c r="A467"/>
      <c r="F467"/>
    </row>
    <row r="468" spans="1:6" ht="12">
      <c r="A468"/>
      <c r="F468"/>
    </row>
    <row r="469" spans="1:6" ht="12">
      <c r="A469"/>
      <c r="F469"/>
    </row>
    <row r="470" spans="1:6" ht="12">
      <c r="A470"/>
      <c r="F470"/>
    </row>
    <row r="471" spans="1:6" ht="12">
      <c r="A471"/>
      <c r="F471"/>
    </row>
    <row r="472" spans="1:6" ht="12">
      <c r="A472"/>
      <c r="F472"/>
    </row>
    <row r="473" spans="1:6" ht="12">
      <c r="A473"/>
      <c r="F473"/>
    </row>
    <row r="474" spans="1:6" ht="12">
      <c r="A474"/>
      <c r="F474"/>
    </row>
    <row r="475" spans="1:6" ht="12">
      <c r="A475"/>
      <c r="F475"/>
    </row>
    <row r="476" spans="1:6" ht="12">
      <c r="A476"/>
      <c r="F476"/>
    </row>
    <row r="477" spans="1:6" ht="12">
      <c r="A477"/>
      <c r="F477"/>
    </row>
    <row r="478" spans="1:6" ht="12">
      <c r="A478"/>
      <c r="F478"/>
    </row>
    <row r="479" spans="1:6" ht="12">
      <c r="A479"/>
      <c r="F479"/>
    </row>
    <row r="480" spans="1:6" ht="12">
      <c r="A480"/>
      <c r="F480"/>
    </row>
    <row r="481" spans="1:6" ht="12">
      <c r="A481"/>
      <c r="F481"/>
    </row>
    <row r="482" spans="1:6" ht="12">
      <c r="A482"/>
      <c r="F482"/>
    </row>
    <row r="483" spans="1:6" ht="12">
      <c r="A483"/>
      <c r="F483"/>
    </row>
    <row r="484" spans="1:6" ht="12">
      <c r="A484"/>
      <c r="F484"/>
    </row>
    <row r="485" spans="1:6" ht="12">
      <c r="A485"/>
      <c r="F485"/>
    </row>
    <row r="486" spans="1:6" ht="12">
      <c r="A486"/>
      <c r="F486"/>
    </row>
    <row r="487" spans="1:6" ht="12">
      <c r="A487"/>
      <c r="F487"/>
    </row>
    <row r="488" spans="1:6" ht="12">
      <c r="A488"/>
      <c r="F488"/>
    </row>
    <row r="489" spans="1:6" ht="12">
      <c r="A489"/>
      <c r="F489"/>
    </row>
    <row r="490" spans="1:6" ht="12">
      <c r="A490"/>
      <c r="F490"/>
    </row>
    <row r="491" spans="1:6" ht="12">
      <c r="A491"/>
      <c r="F491"/>
    </row>
    <row r="492" spans="1:6" ht="12">
      <c r="A492"/>
      <c r="F492"/>
    </row>
    <row r="493" spans="1:6" ht="12">
      <c r="A493"/>
      <c r="F493"/>
    </row>
    <row r="494" spans="1:6" ht="12">
      <c r="A494"/>
      <c r="F494"/>
    </row>
    <row r="495" spans="1:6" ht="12">
      <c r="A495"/>
      <c r="F495"/>
    </row>
    <row r="496" spans="1:6" ht="12">
      <c r="A496"/>
      <c r="F496"/>
    </row>
    <row r="497" spans="1:6" ht="12">
      <c r="A497"/>
      <c r="F497"/>
    </row>
    <row r="498" spans="1:6" ht="12">
      <c r="A498"/>
      <c r="F498"/>
    </row>
    <row r="499" spans="1:6" ht="12">
      <c r="A499"/>
      <c r="F499"/>
    </row>
    <row r="500" spans="1:6" ht="12">
      <c r="A500"/>
      <c r="F500"/>
    </row>
    <row r="501" spans="1:6" ht="12">
      <c r="A501"/>
      <c r="F501"/>
    </row>
    <row r="502" spans="1:6" ht="12">
      <c r="A502"/>
      <c r="F502"/>
    </row>
    <row r="503" spans="1:6" ht="12">
      <c r="A503"/>
      <c r="F503"/>
    </row>
    <row r="504" spans="1:6" ht="12">
      <c r="A504"/>
      <c r="F504"/>
    </row>
    <row r="505" spans="1:6" ht="12">
      <c r="A505"/>
      <c r="F505"/>
    </row>
    <row r="506" spans="1:6" ht="12">
      <c r="A506"/>
      <c r="F506"/>
    </row>
    <row r="507" spans="1:6" ht="12">
      <c r="A507"/>
      <c r="F507"/>
    </row>
    <row r="508" spans="1:6" ht="12">
      <c r="A508"/>
      <c r="F508"/>
    </row>
    <row r="509" spans="1:6" ht="12">
      <c r="A509"/>
      <c r="F509"/>
    </row>
    <row r="510" spans="1:6" ht="12">
      <c r="A510"/>
      <c r="F510"/>
    </row>
    <row r="511" spans="1:6" ht="12">
      <c r="A511"/>
      <c r="F511"/>
    </row>
    <row r="512" spans="1:6" ht="12">
      <c r="A512"/>
      <c r="F512"/>
    </row>
    <row r="513" spans="1:6" ht="12">
      <c r="A513"/>
      <c r="F513"/>
    </row>
    <row r="514" spans="1:6" ht="12">
      <c r="A514"/>
      <c r="F514"/>
    </row>
    <row r="515" spans="1:6" ht="12">
      <c r="A515"/>
      <c r="F515"/>
    </row>
    <row r="516" spans="1:6" ht="12">
      <c r="A516"/>
      <c r="F516"/>
    </row>
    <row r="517" spans="1:6" ht="12">
      <c r="A517"/>
      <c r="F517"/>
    </row>
    <row r="518" spans="1:6" ht="12">
      <c r="A518"/>
      <c r="F518"/>
    </row>
    <row r="519" spans="1:6" ht="12">
      <c r="A519"/>
      <c r="F519"/>
    </row>
    <row r="520" spans="1:6" ht="12">
      <c r="A520"/>
      <c r="F520"/>
    </row>
    <row r="521" spans="1:6" ht="12">
      <c r="A521"/>
      <c r="F521"/>
    </row>
    <row r="522" spans="1:6" ht="12">
      <c r="A522"/>
      <c r="F522"/>
    </row>
    <row r="523" spans="1:6" ht="12">
      <c r="A523"/>
      <c r="F523"/>
    </row>
    <row r="524" spans="1:6" ht="12">
      <c r="A524"/>
      <c r="F524"/>
    </row>
    <row r="525" spans="1:6" ht="12">
      <c r="A525"/>
      <c r="F525"/>
    </row>
  </sheetData>
  <phoneticPr fontId="4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H24" sqref="H24"/>
    </sheetView>
  </sheetViews>
  <sheetFormatPr defaultColWidth="6.42578125" defaultRowHeight="12"/>
  <cols>
    <col min="1" max="1" width="9.28515625" style="40" customWidth="1"/>
    <col min="2" max="2" width="13.85546875" style="40" customWidth="1"/>
    <col min="3" max="3" width="11.7109375" style="40" customWidth="1"/>
    <col min="4" max="4" width="9.85546875" style="40" customWidth="1"/>
    <col min="5" max="5" width="7.140625" style="40" customWidth="1"/>
    <col min="6" max="6" width="9.85546875" style="40" customWidth="1"/>
    <col min="7" max="7" width="12.42578125" style="40" customWidth="1"/>
    <col min="8" max="16384" width="6.42578125" style="40"/>
  </cols>
  <sheetData>
    <row r="1" spans="1:7" ht="12.75">
      <c r="A1" s="38"/>
      <c r="B1" s="38"/>
      <c r="C1" s="38"/>
      <c r="D1" s="38"/>
      <c r="E1" s="38"/>
      <c r="F1" s="38"/>
      <c r="G1" s="52"/>
    </row>
    <row r="2" spans="1:7" ht="12.75">
      <c r="A2" s="38"/>
      <c r="B2" s="38"/>
      <c r="C2" s="38"/>
      <c r="D2" s="46" t="str">
        <f>DATA!A1</f>
        <v>PACIFIC POWER &amp; LIGHT COMPANY</v>
      </c>
      <c r="E2" s="38"/>
      <c r="F2" s="38"/>
      <c r="G2" s="38"/>
    </row>
    <row r="3" spans="1:7" ht="12.75">
      <c r="A3" s="38"/>
      <c r="B3" s="38"/>
      <c r="C3" s="38"/>
      <c r="D3" s="46" t="s">
        <v>89</v>
      </c>
      <c r="E3" s="38"/>
      <c r="F3" s="38"/>
      <c r="G3" s="38"/>
    </row>
    <row r="4" spans="1:7" ht="12.75">
      <c r="A4" s="38"/>
      <c r="B4" s="38"/>
      <c r="C4" s="38"/>
      <c r="D4" s="38"/>
      <c r="E4" s="38"/>
      <c r="F4" s="38"/>
      <c r="G4" s="38"/>
    </row>
    <row r="5" spans="1:7" ht="12.75">
      <c r="A5" s="38"/>
      <c r="B5" s="38"/>
      <c r="C5" s="38"/>
      <c r="D5" s="38"/>
      <c r="E5" s="38"/>
      <c r="F5" s="38"/>
      <c r="G5" s="38"/>
    </row>
    <row r="6" spans="1:7" ht="12.75">
      <c r="A6" s="38"/>
      <c r="C6" s="38"/>
      <c r="D6" s="38" t="s">
        <v>90</v>
      </c>
      <c r="E6" s="38"/>
      <c r="F6" s="38"/>
      <c r="G6" s="38"/>
    </row>
    <row r="7" spans="1:7" ht="12.75">
      <c r="A7" s="38"/>
      <c r="B7" s="38" t="s">
        <v>13</v>
      </c>
      <c r="C7" s="38" t="s">
        <v>131</v>
      </c>
      <c r="D7" s="38" t="s">
        <v>138</v>
      </c>
      <c r="E7" s="38"/>
      <c r="F7" s="38" t="s">
        <v>134</v>
      </c>
      <c r="G7" s="38" t="s">
        <v>30</v>
      </c>
    </row>
    <row r="8" spans="1:7" ht="12.75">
      <c r="A8" s="42" t="s">
        <v>76</v>
      </c>
      <c r="B8" s="42" t="s">
        <v>163</v>
      </c>
      <c r="C8" s="42" t="s">
        <v>138</v>
      </c>
      <c r="D8" s="42" t="s">
        <v>53</v>
      </c>
      <c r="E8" s="42"/>
      <c r="F8" s="42" t="s">
        <v>36</v>
      </c>
      <c r="G8" s="42" t="s">
        <v>36</v>
      </c>
    </row>
    <row r="9" spans="1:7" ht="12.75">
      <c r="A9" s="38"/>
      <c r="B9" s="38" t="s">
        <v>91</v>
      </c>
      <c r="C9" s="38" t="s">
        <v>92</v>
      </c>
      <c r="D9" s="38"/>
      <c r="E9" s="38"/>
      <c r="F9" s="38">
        <v>2015</v>
      </c>
      <c r="G9" s="38" t="str">
        <f>DATA!M3</f>
        <v>2017-2019</v>
      </c>
    </row>
    <row r="10" spans="1:7" ht="12.75">
      <c r="A10" s="38"/>
      <c r="B10" s="38"/>
      <c r="C10" s="38"/>
      <c r="D10" s="38"/>
      <c r="E10" s="38"/>
      <c r="F10" s="38"/>
      <c r="G10" s="38"/>
    </row>
    <row r="11" spans="1:7" ht="21.95" customHeight="1">
      <c r="A11" s="38" t="str">
        <f>DATA!A5</f>
        <v>NEE</v>
      </c>
      <c r="B11" s="49">
        <f>DATA!AZ5</f>
        <v>5.68</v>
      </c>
      <c r="C11" s="49">
        <f>DATA!B5</f>
        <v>96.413666666666643</v>
      </c>
      <c r="D11" s="39">
        <f t="shared" ref="D11:D17" si="0">B11/C11</f>
        <v>5.8912809733059984E-2</v>
      </c>
      <c r="E11" s="38"/>
      <c r="F11" s="39">
        <f>DATA!AB5</f>
        <v>0.11</v>
      </c>
      <c r="G11" s="39">
        <f>DATA!AC5</f>
        <v>0.12</v>
      </c>
    </row>
    <row r="12" spans="1:7" ht="21.95" customHeight="1">
      <c r="A12" s="38" t="str">
        <f>DATA!A6</f>
        <v>SO</v>
      </c>
      <c r="B12" s="49">
        <f>DATA!AZ6</f>
        <v>2.86</v>
      </c>
      <c r="C12" s="49">
        <f>DATA!B6</f>
        <v>44.074666666666666</v>
      </c>
      <c r="D12" s="39">
        <f t="shared" si="0"/>
        <v>6.4889883833494671E-2</v>
      </c>
      <c r="E12" s="38"/>
      <c r="F12" s="39">
        <f>DATA!AB6</f>
        <v>0.125</v>
      </c>
      <c r="G12" s="39">
        <f>DATA!AC6</f>
        <v>0.125</v>
      </c>
    </row>
    <row r="13" spans="1:7" ht="21.95" customHeight="1">
      <c r="A13" s="38" t="str">
        <f>DATA!A7</f>
        <v>TE</v>
      </c>
      <c r="B13" s="49">
        <f>DATA!AZ7</f>
        <v>1.1000000000000001</v>
      </c>
      <c r="C13" s="49">
        <f>DATA!B7</f>
        <v>17.727333333333331</v>
      </c>
      <c r="D13" s="39">
        <f t="shared" si="0"/>
        <v>6.2051069910872114E-2</v>
      </c>
      <c r="E13" s="38"/>
      <c r="F13" s="39">
        <f>DATA!AB7</f>
        <v>8.5000000000000006E-2</v>
      </c>
      <c r="G13" s="39">
        <f>DATA!AC7</f>
        <v>0.11</v>
      </c>
    </row>
    <row r="14" spans="1:7" ht="21.95" customHeight="1">
      <c r="A14" s="38" t="str">
        <f>DATA!A8</f>
        <v>ALE</v>
      </c>
      <c r="B14" s="49">
        <f>DATA!AZ8</f>
        <v>3.24</v>
      </c>
      <c r="C14" s="49">
        <f>DATA!B8</f>
        <v>48.573666666666675</v>
      </c>
      <c r="D14" s="39">
        <f t="shared" si="0"/>
        <v>6.6702808792143881E-2</v>
      </c>
      <c r="E14" s="38"/>
      <c r="F14" s="39">
        <f>DATA!AB8</f>
        <v>8.5000000000000006E-2</v>
      </c>
      <c r="G14" s="39">
        <f>DATA!AC8</f>
        <v>0.09</v>
      </c>
    </row>
    <row r="15" spans="1:7" ht="21.95" customHeight="1">
      <c r="A15" s="38" t="str">
        <f>DATA!A9</f>
        <v>LNT</v>
      </c>
      <c r="B15" s="49">
        <f>DATA!AZ9</f>
        <v>3.62</v>
      </c>
      <c r="C15" s="49">
        <f>DATA!B9</f>
        <v>58</v>
      </c>
      <c r="D15" s="39">
        <f t="shared" si="0"/>
        <v>6.241379310344828E-2</v>
      </c>
      <c r="E15" s="38"/>
      <c r="F15" s="39">
        <f>DATA!AB9</f>
        <v>0.115</v>
      </c>
      <c r="G15" s="39">
        <f>DATA!AC9</f>
        <v>0.115</v>
      </c>
    </row>
    <row r="16" spans="1:7" ht="21.95" customHeight="1">
      <c r="A16" s="38" t="str">
        <f>DATA!A10</f>
        <v>OGE</v>
      </c>
      <c r="B16" s="49">
        <f>DATA!AZ10</f>
        <v>2.12</v>
      </c>
      <c r="C16" s="49">
        <f>DATA!B10</f>
        <v>36.882999999999996</v>
      </c>
      <c r="D16" s="39">
        <f t="shared" si="0"/>
        <v>5.7479055391372727E-2</v>
      </c>
      <c r="E16" s="38"/>
      <c r="F16" s="39">
        <f>DATA!AB10</f>
        <v>0.12</v>
      </c>
      <c r="G16" s="39">
        <f>DATA!AC10</f>
        <v>0.12</v>
      </c>
    </row>
    <row r="17" spans="1:7" ht="21.95" customHeight="1">
      <c r="A17" s="38" t="str">
        <f>DATA!A11</f>
        <v>WR</v>
      </c>
      <c r="B17" s="49">
        <f>DATA!AZ11</f>
        <v>2.41</v>
      </c>
      <c r="C17" s="49">
        <f>DATA!B11</f>
        <v>36.590333333333334</v>
      </c>
      <c r="D17" s="39">
        <f t="shared" si="0"/>
        <v>6.5864390412768398E-2</v>
      </c>
      <c r="E17" s="38"/>
      <c r="F17" s="39">
        <f>DATA!AB11</f>
        <v>9.5000000000000001E-2</v>
      </c>
      <c r="G17" s="39">
        <f>DATA!AC11</f>
        <v>9.5000000000000001E-2</v>
      </c>
    </row>
    <row r="18" spans="1:7" ht="20.100000000000001" customHeight="1">
      <c r="A18" s="38" t="str">
        <f>DATA!A12</f>
        <v>EIX</v>
      </c>
      <c r="B18" s="49">
        <f>DATA!AZ12</f>
        <v>3.59</v>
      </c>
      <c r="C18" s="49">
        <f>DATA!B12</f>
        <v>56.366666666666667</v>
      </c>
      <c r="D18" s="39">
        <f>B18/C18</f>
        <v>6.3690124186871672E-2</v>
      </c>
      <c r="E18" s="38"/>
      <c r="F18" s="39">
        <f>DATA!AB12</f>
        <v>0.11</v>
      </c>
      <c r="G18" s="39">
        <f>DATA!AC12</f>
        <v>0.11</v>
      </c>
    </row>
    <row r="19" spans="1:7" ht="20.100000000000001" customHeight="1">
      <c r="A19" s="38" t="str">
        <f>DATA!A13</f>
        <v>IDA</v>
      </c>
      <c r="B19" s="49">
        <f>DATA!AZ13</f>
        <v>3.48</v>
      </c>
      <c r="C19" s="49">
        <f>DATA!B13</f>
        <v>54.622333333333344</v>
      </c>
      <c r="D19" s="39">
        <f>B19/C19</f>
        <v>6.3710204006908022E-2</v>
      </c>
      <c r="E19" s="38"/>
      <c r="F19" s="39">
        <f>DATA!AB13</f>
        <v>8.5000000000000006E-2</v>
      </c>
      <c r="G19" s="39">
        <f>DATA!AC13</f>
        <v>0.08</v>
      </c>
    </row>
    <row r="20" spans="1:7" ht="20.100000000000001" customHeight="1">
      <c r="A20" s="38" t="str">
        <f>DATA!A14</f>
        <v>NWE</v>
      </c>
      <c r="B20" s="49">
        <f>DATA!AZ14</f>
        <v>3.2</v>
      </c>
      <c r="C20" s="49">
        <f>DATA!B14</f>
        <v>48.561999999999998</v>
      </c>
      <c r="D20" s="39">
        <f t="shared" ref="D20:D23" si="1">B20/C20</f>
        <v>6.5895144351550597E-2</v>
      </c>
      <c r="E20" s="38"/>
      <c r="F20" s="39">
        <f>DATA!AB14</f>
        <v>9.5000000000000001E-2</v>
      </c>
      <c r="G20" s="39">
        <f>DATA!AC14</f>
        <v>9.5000000000000001E-2</v>
      </c>
    </row>
    <row r="21" spans="1:7" ht="20.100000000000001" customHeight="1">
      <c r="A21" s="38" t="str">
        <f>DATA!A15</f>
        <v>PNW</v>
      </c>
      <c r="B21" s="49">
        <f>DATA!AZ15</f>
        <v>3.85</v>
      </c>
      <c r="C21" s="49">
        <f>DATA!B15</f>
        <v>55.387000000000015</v>
      </c>
      <c r="D21" s="39">
        <f t="shared" si="1"/>
        <v>6.9510896058641899E-2</v>
      </c>
      <c r="E21" s="38"/>
      <c r="F21" s="39">
        <f>DATA!AB15</f>
        <v>9.5000000000000001E-2</v>
      </c>
      <c r="G21" s="39">
        <f>DATA!AC15</f>
        <v>9.5000000000000001E-2</v>
      </c>
    </row>
    <row r="22" spans="1:7" ht="20.100000000000001" customHeight="1">
      <c r="A22" s="38" t="str">
        <f>DATA!A16</f>
        <v>POR</v>
      </c>
      <c r="B22" s="49">
        <f>DATA!AZ16</f>
        <v>2.27</v>
      </c>
      <c r="C22" s="49">
        <f>DATA!B16</f>
        <v>32.876333333333335</v>
      </c>
      <c r="D22" s="39">
        <f t="shared" si="1"/>
        <v>6.9046629287532066E-2</v>
      </c>
      <c r="E22" s="38"/>
      <c r="F22" s="39">
        <f>DATA!AB16</f>
        <v>0.08</v>
      </c>
      <c r="G22" s="39">
        <f>DATA!AC16</f>
        <v>8.5000000000000006E-2</v>
      </c>
    </row>
    <row r="23" spans="1:7" ht="20.100000000000001" customHeight="1">
      <c r="A23" s="38" t="str">
        <f>DATA!A17</f>
        <v>XEL</v>
      </c>
      <c r="B23" s="49">
        <f>DATA!AZ17</f>
        <v>2.1</v>
      </c>
      <c r="C23" s="49">
        <f>DATA!B17</f>
        <v>31.228999999999999</v>
      </c>
      <c r="D23" s="43">
        <f t="shared" si="1"/>
        <v>6.724518876685133E-2</v>
      </c>
      <c r="E23" s="42"/>
      <c r="F23" s="43">
        <f>DATA!AB17</f>
        <v>9.5000000000000001E-2</v>
      </c>
      <c r="G23" s="43">
        <f>DATA!AC17</f>
        <v>0.105</v>
      </c>
    </row>
    <row r="24" spans="1:7" ht="20.100000000000001" customHeight="1">
      <c r="A24" s="38"/>
      <c r="B24" s="49"/>
      <c r="C24" s="49"/>
      <c r="D24" s="43"/>
      <c r="E24" s="42"/>
      <c r="F24" s="43"/>
      <c r="G24" s="43"/>
    </row>
    <row r="25" spans="1:7" ht="12.95" customHeight="1">
      <c r="A25" s="38"/>
      <c r="B25" s="49"/>
      <c r="C25" s="73" t="s">
        <v>88</v>
      </c>
      <c r="D25" s="39">
        <f>AVERAGE(D11:D23)</f>
        <v>6.4416307525808902E-2</v>
      </c>
      <c r="E25" s="38"/>
      <c r="F25" s="39">
        <f>AVERAGE(F11:F23)</f>
        <v>9.9615384615384606E-2</v>
      </c>
      <c r="G25" s="39"/>
    </row>
    <row r="26" spans="1:7" ht="12.75">
      <c r="A26" s="52"/>
      <c r="B26" s="38"/>
      <c r="C26" s="38"/>
      <c r="D26" s="38"/>
      <c r="E26" s="38"/>
      <c r="F26" s="38"/>
      <c r="G26" s="38"/>
    </row>
    <row r="27" spans="1:7" ht="12.75">
      <c r="A27" s="52"/>
      <c r="B27" s="52"/>
      <c r="C27" s="73" t="s">
        <v>126</v>
      </c>
      <c r="D27" s="38"/>
      <c r="E27" s="41">
        <f>(D25+F25)/2</f>
        <v>8.2015846070596754E-2</v>
      </c>
      <c r="F27" s="38"/>
      <c r="G27" s="38"/>
    </row>
    <row r="28" spans="1:7" ht="12.75">
      <c r="A28" s="52"/>
      <c r="B28" s="38"/>
      <c r="C28" s="38"/>
      <c r="D28" s="38"/>
      <c r="E28" s="38"/>
      <c r="F28" s="38"/>
      <c r="G28" s="38"/>
    </row>
    <row r="29" spans="1:7" ht="12.75">
      <c r="A29" s="52"/>
      <c r="B29" s="38"/>
      <c r="C29" s="38"/>
      <c r="D29" s="38"/>
      <c r="E29" s="38"/>
      <c r="F29" s="38"/>
      <c r="G29" s="38"/>
    </row>
    <row r="30" spans="1:7" ht="12.75">
      <c r="A30" s="52"/>
      <c r="B30" s="38"/>
      <c r="C30" s="73" t="s">
        <v>88</v>
      </c>
      <c r="D30" s="39">
        <f>D25</f>
        <v>6.4416307525808902E-2</v>
      </c>
      <c r="E30" s="39"/>
      <c r="F30" s="39"/>
      <c r="G30" s="39">
        <f>AVERAGE(G11:G23)</f>
        <v>0.10346153846153844</v>
      </c>
    </row>
    <row r="31" spans="1:7" ht="12.95" customHeight="1">
      <c r="A31" s="52"/>
      <c r="B31" s="38"/>
      <c r="C31" s="38"/>
      <c r="D31" s="39"/>
      <c r="E31" s="39"/>
      <c r="F31" s="39"/>
      <c r="G31" s="39"/>
    </row>
    <row r="32" spans="1:7" ht="12.75">
      <c r="A32" s="52"/>
      <c r="B32" s="38"/>
      <c r="C32" s="73" t="s">
        <v>129</v>
      </c>
      <c r="D32" s="39"/>
      <c r="E32" s="39"/>
      <c r="F32" s="41">
        <f>(D30+G30)/2</f>
        <v>8.393892299367367E-2</v>
      </c>
      <c r="G32" s="39"/>
    </row>
    <row r="33" spans="1:2" ht="12.75">
      <c r="A33" s="52"/>
      <c r="B33" s="38"/>
    </row>
    <row r="34" spans="1:2" ht="12.75">
      <c r="A34" s="52"/>
      <c r="B34" s="38"/>
    </row>
  </sheetData>
  <phoneticPr fontId="5" type="noConversion"/>
  <pageMargins left="1.01" right="0.75" top="1" bottom="1" header="0.5" footer="0.5"/>
  <pageSetup orientation="portrait" horizontalDpi="4294967292" verticalDpi="4294967292"/>
  <headerFooter>
    <oddHeader>&amp;R&amp;"Times New Roman,Regular"&amp;10&amp;K000000Docket UE-140762 et al._x000D_Exhibit No. SGH-13_x000D_Page 1 of 1_x000D_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2"/>
  <sheetViews>
    <sheetView workbookViewId="0">
      <selection activeCell="C10" sqref="C10"/>
    </sheetView>
  </sheetViews>
  <sheetFormatPr defaultColWidth="10.85546875" defaultRowHeight="12"/>
  <cols>
    <col min="1" max="1" width="13.7109375" style="40" customWidth="1"/>
    <col min="2" max="2" width="10.85546875" style="40"/>
    <col min="3" max="3" width="5.7109375" style="40" customWidth="1"/>
    <col min="4" max="4" width="3.140625" style="40" customWidth="1"/>
    <col min="5" max="5" width="6" style="40" customWidth="1"/>
    <col min="6" max="6" width="2.140625" style="40" customWidth="1"/>
    <col min="7" max="7" width="5.7109375" style="40" customWidth="1"/>
    <col min="8" max="8" width="3.140625" style="40" customWidth="1"/>
    <col min="9" max="9" width="7.28515625" style="40" customWidth="1"/>
    <col min="10" max="10" width="13.85546875" style="40" customWidth="1"/>
    <col min="11" max="11" width="16" style="40" customWidth="1"/>
    <col min="12" max="16384" width="10.85546875" style="40"/>
  </cols>
  <sheetData>
    <row r="1" spans="1:11" ht="12.75">
      <c r="A1" s="38"/>
      <c r="B1" s="38"/>
      <c r="C1" s="93"/>
      <c r="D1" s="38"/>
      <c r="E1" s="74"/>
      <c r="F1" s="38"/>
      <c r="G1" s="76"/>
      <c r="H1" s="38"/>
      <c r="I1" s="38"/>
      <c r="J1" s="38"/>
      <c r="K1" s="38"/>
    </row>
    <row r="2" spans="1:11" ht="12.75">
      <c r="A2" s="38"/>
      <c r="B2" s="38"/>
      <c r="C2" s="52"/>
      <c r="D2" s="38"/>
      <c r="E2" s="74"/>
      <c r="F2" s="94" t="str">
        <f>DATA!A1</f>
        <v>PACIFIC POWER &amp; LIGHT COMPANY</v>
      </c>
      <c r="G2" s="76"/>
      <c r="H2" s="38"/>
      <c r="I2" s="38"/>
      <c r="J2" s="38"/>
      <c r="K2" s="38"/>
    </row>
    <row r="3" spans="1:11" ht="12.75">
      <c r="A3" s="38"/>
      <c r="B3" s="38"/>
      <c r="C3" s="52"/>
      <c r="D3" s="38"/>
      <c r="E3" s="74"/>
      <c r="F3" s="94" t="s">
        <v>156</v>
      </c>
      <c r="G3" s="76"/>
      <c r="H3" s="38"/>
      <c r="I3" s="38"/>
      <c r="J3" s="38"/>
      <c r="K3" s="38"/>
    </row>
    <row r="4" spans="1:11" ht="12.75">
      <c r="A4" s="38"/>
      <c r="B4" s="38"/>
      <c r="C4" s="93"/>
      <c r="D4" s="38"/>
      <c r="E4" s="74"/>
      <c r="F4" s="38"/>
      <c r="G4" s="76"/>
      <c r="H4" s="38"/>
      <c r="I4" s="38"/>
      <c r="J4" s="38"/>
      <c r="K4" s="38"/>
    </row>
    <row r="5" spans="1:11" ht="12.75">
      <c r="A5" s="38"/>
      <c r="B5" s="38"/>
      <c r="C5" s="93"/>
      <c r="D5" s="38"/>
      <c r="E5" s="74"/>
      <c r="F5" s="38"/>
      <c r="G5" s="76"/>
      <c r="H5" s="38"/>
      <c r="I5" s="38"/>
      <c r="J5" s="38"/>
      <c r="K5" s="38"/>
    </row>
    <row r="6" spans="1:11" ht="12.75">
      <c r="A6" s="38"/>
      <c r="B6" s="38"/>
      <c r="C6" s="52"/>
      <c r="D6" s="38"/>
      <c r="E6" s="74"/>
      <c r="F6" s="95" t="s">
        <v>157</v>
      </c>
      <c r="G6" s="76"/>
      <c r="H6" s="38"/>
      <c r="I6" s="38"/>
      <c r="J6" s="38"/>
      <c r="K6" s="38"/>
    </row>
    <row r="7" spans="1:11" ht="12.75">
      <c r="A7" s="38"/>
      <c r="B7" s="38"/>
      <c r="C7" s="93"/>
      <c r="D7" s="38"/>
      <c r="E7" s="74"/>
      <c r="F7" s="38" t="s">
        <v>164</v>
      </c>
      <c r="G7" s="76"/>
      <c r="H7" s="38"/>
      <c r="I7" s="38"/>
      <c r="J7" s="38"/>
      <c r="K7" s="38" t="s">
        <v>158</v>
      </c>
    </row>
    <row r="8" spans="1:11" ht="12.75">
      <c r="A8" s="42" t="s">
        <v>76</v>
      </c>
      <c r="B8" s="38"/>
      <c r="C8" s="93"/>
      <c r="D8" s="38"/>
      <c r="E8" s="74"/>
      <c r="F8" s="38"/>
      <c r="G8" s="76"/>
      <c r="H8" s="38"/>
      <c r="I8" s="38"/>
      <c r="J8" s="38"/>
      <c r="K8" s="42" t="s">
        <v>21</v>
      </c>
    </row>
    <row r="9" spans="1:11" ht="12.75">
      <c r="A9" s="38"/>
      <c r="B9" s="38"/>
      <c r="C9" s="93"/>
      <c r="D9" s="38"/>
      <c r="E9" s="74"/>
      <c r="F9" s="38"/>
      <c r="G9" s="76"/>
      <c r="H9" s="38"/>
      <c r="I9" s="38"/>
      <c r="J9" s="38"/>
      <c r="K9" s="38"/>
    </row>
    <row r="10" spans="1:11" ht="21.95" customHeight="1">
      <c r="A10" s="38" t="str">
        <f>DATA!A5</f>
        <v>NEE</v>
      </c>
      <c r="B10" s="73" t="s">
        <v>22</v>
      </c>
      <c r="C10" s="93">
        <f>DATA!AA5</f>
        <v>0.105</v>
      </c>
      <c r="D10" s="64" t="s">
        <v>23</v>
      </c>
      <c r="E10" s="74">
        <f>'SGH-6'!C21</f>
        <v>0.42545454545454542</v>
      </c>
      <c r="F10" s="64" t="s">
        <v>24</v>
      </c>
      <c r="G10" s="76">
        <f>'SGH-7,p1'!J8</f>
        <v>2.1520907738095234</v>
      </c>
      <c r="H10" s="38" t="s">
        <v>85</v>
      </c>
      <c r="I10" s="39">
        <f>'SGH-7,p1'!M8</f>
        <v>6.6691694815050426E-2</v>
      </c>
      <c r="J10" s="38" t="s">
        <v>25</v>
      </c>
      <c r="K10" s="39">
        <f t="shared" ref="K10:K16" si="0">(C10*(1-E10)/G10)+I10</f>
        <v>9.4723631693105256E-2</v>
      </c>
    </row>
    <row r="11" spans="1:11" ht="21.95" customHeight="1">
      <c r="A11" s="38" t="str">
        <f>DATA!A6</f>
        <v>SO</v>
      </c>
      <c r="B11" s="73" t="s">
        <v>22</v>
      </c>
      <c r="C11" s="93">
        <f>DATA!AA6</f>
        <v>0.125</v>
      </c>
      <c r="D11" s="64" t="s">
        <v>23</v>
      </c>
      <c r="E11" s="74">
        <f>'SGH-6'!C37</f>
        <v>0.25862068965517238</v>
      </c>
      <c r="F11" s="64" t="s">
        <v>24</v>
      </c>
      <c r="G11" s="76">
        <f>'SGH-7,p1'!J9</f>
        <v>1.9853453453453453</v>
      </c>
      <c r="H11" s="38" t="s">
        <v>85</v>
      </c>
      <c r="I11" s="39">
        <f>'SGH-7,p1'!M9</f>
        <v>4.2444639399806389E-2</v>
      </c>
      <c r="J11" s="38" t="s">
        <v>25</v>
      </c>
      <c r="K11" s="39">
        <f t="shared" si="0"/>
        <v>8.912287299295657E-2</v>
      </c>
    </row>
    <row r="12" spans="1:11" ht="21.95" customHeight="1">
      <c r="A12" s="38" t="str">
        <f>DATA!A7</f>
        <v>TE</v>
      </c>
      <c r="B12" s="73" t="s">
        <v>22</v>
      </c>
      <c r="C12" s="93">
        <f>DATA!AA7</f>
        <v>0.08</v>
      </c>
      <c r="D12" s="64" t="s">
        <v>23</v>
      </c>
      <c r="E12" s="74">
        <f>'SGH-6'!C53</f>
        <v>0.12</v>
      </c>
      <c r="F12" s="64" t="s">
        <v>24</v>
      </c>
      <c r="G12" s="76">
        <f>'SGH-7,p1'!J10</f>
        <v>1.5687905604719761</v>
      </c>
      <c r="H12" s="38" t="s">
        <v>85</v>
      </c>
      <c r="I12" s="39">
        <f>'SGH-7,p1'!M10</f>
        <v>4.0219247113685082E-2</v>
      </c>
      <c r="J12" s="38" t="s">
        <v>25</v>
      </c>
      <c r="K12" s="39">
        <f t="shared" si="0"/>
        <v>8.5094580873227799E-2</v>
      </c>
    </row>
    <row r="13" spans="1:11" ht="21.95" customHeight="1">
      <c r="A13" s="38" t="str">
        <f>DATA!A8</f>
        <v>ALE</v>
      </c>
      <c r="B13" s="73" t="s">
        <v>22</v>
      </c>
      <c r="C13" s="93">
        <f>DATA!AA8</f>
        <v>7.4999999999999997E-2</v>
      </c>
      <c r="D13" s="64" t="s">
        <v>23</v>
      </c>
      <c r="E13" s="74">
        <f>'SGH-6'!C75</f>
        <v>0.31999999999999995</v>
      </c>
      <c r="F13" s="64" t="s">
        <v>24</v>
      </c>
      <c r="G13" s="76">
        <f>'SGH-7,p1'!J11</f>
        <v>1.3998174831892412</v>
      </c>
      <c r="H13" s="38" t="s">
        <v>85</v>
      </c>
      <c r="I13" s="39">
        <f>'SGH-7,p1'!M11</f>
        <v>5.1068634582524142E-2</v>
      </c>
      <c r="J13" s="38" t="s">
        <v>25</v>
      </c>
      <c r="K13" s="39">
        <f t="shared" si="0"/>
        <v>8.7501955792233105E-2</v>
      </c>
    </row>
    <row r="14" spans="1:11" ht="21.95" customHeight="1">
      <c r="A14" s="38" t="str">
        <f>DATA!A9</f>
        <v>LNT</v>
      </c>
      <c r="B14" s="73" t="s">
        <v>22</v>
      </c>
      <c r="C14" s="93">
        <f>DATA!AA9</f>
        <v>0.11</v>
      </c>
      <c r="D14" s="64" t="s">
        <v>23</v>
      </c>
      <c r="E14" s="74">
        <f>'SGH-6'!C91</f>
        <v>0.43589743589743579</v>
      </c>
      <c r="F14" s="64" t="s">
        <v>24</v>
      </c>
      <c r="G14" s="76">
        <f>'SGH-7,p1'!J12</f>
        <v>1.9333333333333333</v>
      </c>
      <c r="H14" s="38" t="s">
        <v>85</v>
      </c>
      <c r="I14" s="39">
        <f>'SGH-7,p1'!M12</f>
        <v>4.7413793103448273E-2</v>
      </c>
      <c r="J14" s="38" t="s">
        <v>25</v>
      </c>
      <c r="K14" s="39">
        <f t="shared" si="0"/>
        <v>7.9509283819628657E-2</v>
      </c>
    </row>
    <row r="15" spans="1:11" ht="21.95" customHeight="1">
      <c r="A15" s="38" t="str">
        <f>DATA!A10</f>
        <v>OGE</v>
      </c>
      <c r="B15" s="73" t="s">
        <v>22</v>
      </c>
      <c r="C15" s="93">
        <f>DATA!AA10</f>
        <v>0.125</v>
      </c>
      <c r="D15" s="64" t="s">
        <v>23</v>
      </c>
      <c r="E15" s="74">
        <f>'SGH-6'!C107</f>
        <v>0.50952380952380949</v>
      </c>
      <c r="F15" s="64" t="s">
        <v>24</v>
      </c>
      <c r="G15" s="76">
        <f>'SGH-7,p1'!J13</f>
        <v>2.2489634146341464</v>
      </c>
      <c r="H15" s="38" t="s">
        <v>85</v>
      </c>
      <c r="I15" s="39">
        <f>'SGH-7,p1'!M13</f>
        <v>6.2776753517880868E-2</v>
      </c>
      <c r="J15" s="38" t="s">
        <v>25</v>
      </c>
      <c r="K15" s="39">
        <f t="shared" si="0"/>
        <v>9.0037990143865487E-2</v>
      </c>
    </row>
    <row r="16" spans="1:11" ht="21.95" customHeight="1">
      <c r="A16" s="38" t="str">
        <f>DATA!A11</f>
        <v>WR</v>
      </c>
      <c r="B16" s="73" t="s">
        <v>22</v>
      </c>
      <c r="C16" s="93">
        <f>DATA!AA11</f>
        <v>9.5000000000000001E-2</v>
      </c>
      <c r="D16" s="64" t="s">
        <v>23</v>
      </c>
      <c r="E16" s="74">
        <f>'SGH-6'!C129</f>
        <v>0.46666666666666667</v>
      </c>
      <c r="F16" s="64" t="s">
        <v>24</v>
      </c>
      <c r="G16" s="76">
        <f>'SGH-7,p1'!J14</f>
        <v>1.5182710926694329</v>
      </c>
      <c r="H16" s="38" t="s">
        <v>85</v>
      </c>
      <c r="I16" s="39">
        <f>'SGH-7,p1'!M14</f>
        <v>5.4327121917446319E-2</v>
      </c>
      <c r="J16" s="38" t="s">
        <v>25</v>
      </c>
      <c r="K16" s="39">
        <f t="shared" si="0"/>
        <v>8.7698413059915631E-2</v>
      </c>
    </row>
    <row r="17" spans="1:11" ht="20.100000000000001" customHeight="1">
      <c r="A17" s="38" t="str">
        <f>DATA!A12</f>
        <v>EIX</v>
      </c>
      <c r="B17" s="73" t="s">
        <v>22</v>
      </c>
      <c r="C17" s="93">
        <f>DATA!AA12</f>
        <v>0.105</v>
      </c>
      <c r="D17" s="64" t="s">
        <v>23</v>
      </c>
      <c r="E17" s="74">
        <f>'SGH-6'!C145</f>
        <v>0.59480519480519478</v>
      </c>
      <c r="F17" s="64" t="s">
        <v>24</v>
      </c>
      <c r="G17" s="76">
        <f>'SGH-7,p1'!J15</f>
        <v>1.7184959349593498</v>
      </c>
      <c r="H17" s="38" t="s">
        <v>85</v>
      </c>
      <c r="I17" s="39">
        <f>'SGH-7,p1'!M15</f>
        <v>0.06</v>
      </c>
      <c r="J17" s="38" t="s">
        <v>25</v>
      </c>
      <c r="K17" s="39">
        <f>(C17*(1-E17)/G17)+I17</f>
        <v>8.4757378635557226E-2</v>
      </c>
    </row>
    <row r="18" spans="1:11" ht="20.100000000000001" customHeight="1">
      <c r="A18" s="38" t="str">
        <f>DATA!A13</f>
        <v>IDA</v>
      </c>
      <c r="B18" s="73" t="s">
        <v>22</v>
      </c>
      <c r="C18" s="93">
        <f>DATA!AA13</f>
        <v>0.09</v>
      </c>
      <c r="D18" s="64" t="s">
        <v>23</v>
      </c>
      <c r="E18" s="74">
        <f>'SGH-6'!C161</f>
        <v>0.47826086956521741</v>
      </c>
      <c r="F18" s="64" t="s">
        <v>24</v>
      </c>
      <c r="G18" s="76">
        <f>'SGH-7,p1'!J16</f>
        <v>1.4132557136696855</v>
      </c>
      <c r="H18" s="38" t="s">
        <v>85</v>
      </c>
      <c r="I18" s="39">
        <f>'SGH-7,p1'!M16</f>
        <v>4.792413969865806E-2</v>
      </c>
      <c r="J18" s="38" t="s">
        <v>25</v>
      </c>
      <c r="K18" s="39">
        <f>(C18*(1-E18)/G18)+I18</f>
        <v>8.114991850495934E-2</v>
      </c>
    </row>
    <row r="19" spans="1:11" ht="20.100000000000001" customHeight="1">
      <c r="A19" s="38" t="str">
        <f>DATA!A14</f>
        <v>NWE</v>
      </c>
      <c r="B19" s="73" t="s">
        <v>22</v>
      </c>
      <c r="C19" s="93">
        <f>DATA!AA14</f>
        <v>0.09</v>
      </c>
      <c r="D19" s="64" t="s">
        <v>23</v>
      </c>
      <c r="E19" s="74">
        <f>'SGH-6'!C185</f>
        <v>0.38909090909090915</v>
      </c>
      <c r="F19" s="64" t="s">
        <v>24</v>
      </c>
      <c r="G19" s="76">
        <f>'SGH-7,p1'!J17</f>
        <v>1.749981981981982</v>
      </c>
      <c r="H19" s="38" t="s">
        <v>85</v>
      </c>
      <c r="I19" s="39">
        <f>'SGH-7,p1'!M17</f>
        <v>4.6785655450763977E-2</v>
      </c>
      <c r="J19" s="38" t="s">
        <v>25</v>
      </c>
      <c r="K19" s="39">
        <f t="shared" ref="K19:K22" si="1">(C19*(1-E19)/G19)+I19</f>
        <v>7.8204160754199878E-2</v>
      </c>
    </row>
    <row r="20" spans="1:11" ht="20.100000000000001" customHeight="1">
      <c r="A20" s="38" t="str">
        <f>DATA!A15</f>
        <v>PNW</v>
      </c>
      <c r="B20" s="73" t="s">
        <v>22</v>
      </c>
      <c r="C20" s="93">
        <f>DATA!AA15</f>
        <v>9.5000000000000001E-2</v>
      </c>
      <c r="D20" s="64" t="s">
        <v>23</v>
      </c>
      <c r="E20" s="74">
        <f>'SGH-6'!C201</f>
        <v>0.38205128205128203</v>
      </c>
      <c r="F20" s="64" t="s">
        <v>24</v>
      </c>
      <c r="G20" s="76">
        <f>'SGH-7,p1'!J18</f>
        <v>1.4039797211660332</v>
      </c>
      <c r="H20" s="38" t="s">
        <v>85</v>
      </c>
      <c r="I20" s="39">
        <f>'SGH-7,p1'!M18</f>
        <v>4.2535432502211715E-2</v>
      </c>
      <c r="J20" s="38" t="s">
        <v>25</v>
      </c>
      <c r="K20" s="39">
        <f t="shared" si="1"/>
        <v>8.4348805815305183E-2</v>
      </c>
    </row>
    <row r="21" spans="1:11" ht="20.100000000000001" customHeight="1">
      <c r="A21" s="38" t="str">
        <f>DATA!A16</f>
        <v>POR</v>
      </c>
      <c r="B21" s="73" t="s">
        <v>22</v>
      </c>
      <c r="C21" s="93">
        <f>DATA!AA16</f>
        <v>0.09</v>
      </c>
      <c r="D21" s="64" t="s">
        <v>23</v>
      </c>
      <c r="E21" s="74">
        <f>'SGH-6'!C217</f>
        <v>0.46976744186046515</v>
      </c>
      <c r="F21" s="64" t="s">
        <v>24</v>
      </c>
      <c r="G21" s="76">
        <f>'SGH-7,p1'!J19</f>
        <v>1.3557250859106529</v>
      </c>
      <c r="H21" s="38" t="s">
        <v>85</v>
      </c>
      <c r="I21" s="39">
        <f>'SGH-7,p1'!M19</f>
        <v>4.8935809954475863E-2</v>
      </c>
      <c r="J21" s="38" t="s">
        <v>25</v>
      </c>
      <c r="K21" s="39">
        <f t="shared" si="1"/>
        <v>8.4135372703957295E-2</v>
      </c>
    </row>
    <row r="22" spans="1:11" ht="20.100000000000001" customHeight="1">
      <c r="A22" s="38" t="str">
        <f>DATA!A17</f>
        <v>XEL</v>
      </c>
      <c r="B22" s="73" t="s">
        <v>22</v>
      </c>
      <c r="C22" s="93">
        <f>DATA!AA17</f>
        <v>9.5000000000000001E-2</v>
      </c>
      <c r="D22" s="64" t="s">
        <v>23</v>
      </c>
      <c r="E22" s="74">
        <f>'SGH-6'!C240</f>
        <v>0.38536585365853648</v>
      </c>
      <c r="F22" s="64" t="s">
        <v>24</v>
      </c>
      <c r="G22" s="76">
        <f>'SGH-7,p1'!J20</f>
        <v>1.538374384236453</v>
      </c>
      <c r="H22" s="38" t="s">
        <v>85</v>
      </c>
      <c r="I22" s="39">
        <f>'SGH-7,p1'!M20</f>
        <v>5.0249447628806551E-2</v>
      </c>
      <c r="J22" s="38" t="s">
        <v>25</v>
      </c>
      <c r="K22" s="43">
        <f t="shared" si="1"/>
        <v>8.8205256371305912E-2</v>
      </c>
    </row>
    <row r="23" spans="1:11" ht="12.95" customHeight="1">
      <c r="A23" s="38"/>
      <c r="B23" s="73"/>
      <c r="C23" s="93"/>
      <c r="D23" s="64"/>
      <c r="E23" s="74"/>
      <c r="F23" s="64"/>
      <c r="G23" s="76"/>
      <c r="H23" s="38"/>
      <c r="I23" s="39"/>
    </row>
    <row r="24" spans="1:11" ht="12.75">
      <c r="A24" s="38"/>
      <c r="B24" s="38"/>
      <c r="C24" s="93"/>
      <c r="D24" s="38"/>
      <c r="E24" s="74"/>
      <c r="F24" s="38"/>
      <c r="G24" s="76"/>
      <c r="H24" s="38"/>
      <c r="I24" s="38"/>
      <c r="J24" s="73" t="s">
        <v>50</v>
      </c>
      <c r="K24" s="41">
        <f>AVERAGE(K10:K22)</f>
        <v>8.5729970858478249E-2</v>
      </c>
    </row>
    <row r="25" spans="1:11" ht="12.75">
      <c r="A25" s="38"/>
      <c r="B25" s="38"/>
      <c r="C25" s="93"/>
      <c r="D25" s="38"/>
      <c r="E25" s="74"/>
      <c r="F25" s="38"/>
      <c r="G25" s="76"/>
      <c r="H25" s="38"/>
      <c r="I25" s="38"/>
      <c r="J25" s="73"/>
      <c r="K25" s="41"/>
    </row>
    <row r="26" spans="1:11" ht="12.75">
      <c r="A26" s="38"/>
      <c r="B26" s="38"/>
      <c r="C26" s="93"/>
      <c r="D26" s="38"/>
      <c r="E26" s="74"/>
      <c r="F26" s="38"/>
      <c r="G26" s="76"/>
      <c r="H26" s="38"/>
      <c r="I26" s="38"/>
      <c r="J26" s="73" t="s">
        <v>29</v>
      </c>
      <c r="K26" s="41">
        <f>STDEV(K10:K22)</f>
        <v>4.5296260393828296E-3</v>
      </c>
    </row>
    <row r="27" spans="1:11" ht="12.75">
      <c r="A27" s="38"/>
      <c r="B27" s="38"/>
      <c r="C27" s="93"/>
      <c r="D27" s="38"/>
      <c r="E27" s="74"/>
      <c r="F27" s="38"/>
      <c r="G27" s="76"/>
      <c r="H27" s="38"/>
      <c r="I27" s="38"/>
    </row>
    <row r="28" spans="1:11" ht="12.75">
      <c r="A28" s="38"/>
      <c r="B28" s="38"/>
      <c r="C28" s="93"/>
      <c r="D28" s="38"/>
      <c r="E28" s="74"/>
      <c r="F28" s="38"/>
      <c r="G28" s="76"/>
      <c r="H28" s="38"/>
      <c r="I28" s="38"/>
    </row>
    <row r="29" spans="1:11" ht="12.75">
      <c r="A29" s="52"/>
      <c r="B29" s="38"/>
      <c r="C29" s="93"/>
      <c r="D29" s="38"/>
      <c r="E29" s="74"/>
      <c r="F29" s="38"/>
      <c r="G29" s="76"/>
      <c r="H29" s="38"/>
      <c r="I29" s="38"/>
      <c r="J29" s="38"/>
      <c r="K29" s="39"/>
    </row>
    <row r="30" spans="1:11" ht="12.75">
      <c r="A30" s="38"/>
      <c r="B30" s="38"/>
      <c r="C30" s="93"/>
      <c r="D30" s="38"/>
      <c r="E30" s="74"/>
      <c r="F30" s="38"/>
      <c r="G30" s="76"/>
      <c r="H30" s="38"/>
      <c r="I30" s="38"/>
      <c r="J30" s="38"/>
      <c r="K30" s="38"/>
    </row>
    <row r="31" spans="1:11" ht="12.75">
      <c r="A31" s="52"/>
      <c r="C31" s="93"/>
      <c r="D31" s="38"/>
      <c r="E31" s="74"/>
      <c r="F31" s="38"/>
      <c r="G31" s="76"/>
      <c r="H31" s="38"/>
      <c r="I31" s="38"/>
      <c r="J31" s="38"/>
      <c r="K31" s="38"/>
    </row>
    <row r="32" spans="1:11" ht="12.75">
      <c r="A32" s="52" t="s">
        <v>67</v>
      </c>
    </row>
  </sheetData>
  <phoneticPr fontId="5" type="noConversion"/>
  <pageMargins left="0.99" right="0.75" top="1" bottom="1" header="0.5" footer="0.5"/>
  <pageSetup scale="92" orientation="portrait" horizontalDpi="4294967292" verticalDpi="4294967292"/>
  <headerFooter>
    <oddHeader>&amp;R&amp;"Times New Roman,Regular"&amp;10&amp;K000000Docket UE-140762 et al._x000D_Exhibit No. SGH-14 _x000D_Page 1 of 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6"/>
  <sheetViews>
    <sheetView workbookViewId="0">
      <selection activeCell="P28" sqref="P28"/>
    </sheetView>
  </sheetViews>
  <sheetFormatPr defaultColWidth="6.85546875" defaultRowHeight="12"/>
  <cols>
    <col min="1" max="1" width="15.28515625" style="40" customWidth="1"/>
    <col min="2" max="2" width="6.85546875" style="40"/>
    <col min="3" max="3" width="6" style="40" customWidth="1"/>
    <col min="4" max="4" width="2.7109375" style="40" customWidth="1"/>
    <col min="5" max="5" width="6.7109375" style="40" customWidth="1"/>
    <col min="6" max="6" width="2" style="40" customWidth="1"/>
    <col min="7" max="7" width="5.28515625" style="40" customWidth="1"/>
    <col min="8" max="8" width="2.7109375" style="40" customWidth="1"/>
    <col min="9" max="9" width="6.7109375" style="40" customWidth="1"/>
    <col min="10" max="10" width="13.85546875" style="40" customWidth="1"/>
    <col min="11" max="11" width="16.28515625" style="40" customWidth="1"/>
    <col min="12" max="16384" width="6.85546875" style="40"/>
  </cols>
  <sheetData>
    <row r="1" spans="1:11" ht="12.75">
      <c r="A1" s="38"/>
      <c r="B1" s="38"/>
      <c r="C1" s="93"/>
      <c r="D1" s="38"/>
      <c r="E1" s="74"/>
      <c r="F1" s="38"/>
      <c r="G1" s="76"/>
      <c r="H1" s="38"/>
      <c r="I1" s="38"/>
      <c r="J1" s="38"/>
      <c r="K1" s="38"/>
    </row>
    <row r="2" spans="1:11" ht="12.75">
      <c r="A2" s="38"/>
      <c r="B2" s="38"/>
      <c r="C2" s="52"/>
      <c r="D2" s="38"/>
      <c r="E2" s="74"/>
      <c r="F2" s="94" t="str">
        <f>DATA!A1</f>
        <v>PACIFIC POWER &amp; LIGHT COMPANY</v>
      </c>
      <c r="G2" s="76"/>
      <c r="H2" s="38"/>
      <c r="I2" s="38"/>
      <c r="J2" s="38"/>
      <c r="K2" s="38"/>
    </row>
    <row r="3" spans="1:11" ht="12.75">
      <c r="A3" s="38"/>
      <c r="B3" s="38"/>
      <c r="C3" s="52"/>
      <c r="D3" s="38"/>
      <c r="E3" s="74"/>
      <c r="F3" s="94" t="s">
        <v>156</v>
      </c>
      <c r="G3" s="76"/>
      <c r="H3" s="38"/>
      <c r="I3" s="38"/>
      <c r="J3" s="38"/>
      <c r="K3" s="38"/>
    </row>
    <row r="4" spans="1:11" ht="12.75">
      <c r="A4" s="38"/>
      <c r="B4" s="38"/>
      <c r="C4" s="93"/>
      <c r="D4" s="38"/>
      <c r="E4" s="74"/>
      <c r="F4" s="38"/>
      <c r="G4" s="76"/>
      <c r="H4" s="38"/>
      <c r="I4" s="38"/>
      <c r="J4" s="38"/>
      <c r="K4" s="38"/>
    </row>
    <row r="5" spans="1:11" ht="12.75">
      <c r="A5" s="38"/>
      <c r="B5" s="38"/>
      <c r="C5" s="93"/>
      <c r="D5" s="38"/>
      <c r="E5" s="74"/>
      <c r="F5" s="38"/>
      <c r="G5" s="76"/>
      <c r="H5" s="38"/>
      <c r="I5" s="38"/>
      <c r="J5" s="38"/>
      <c r="K5" s="38"/>
    </row>
    <row r="6" spans="1:11" ht="12.75">
      <c r="A6" s="38"/>
      <c r="B6" s="38"/>
      <c r="C6" s="52"/>
      <c r="D6" s="38"/>
      <c r="E6" s="74"/>
      <c r="F6" s="95" t="s">
        <v>157</v>
      </c>
      <c r="G6" s="76"/>
      <c r="H6" s="38"/>
      <c r="I6" s="38"/>
      <c r="J6" s="38"/>
      <c r="K6" s="38"/>
    </row>
    <row r="7" spans="1:11" ht="12.75">
      <c r="A7" s="38"/>
      <c r="B7" s="38"/>
      <c r="C7" s="93"/>
      <c r="D7" s="38"/>
      <c r="E7" s="74"/>
      <c r="F7" s="38" t="s">
        <v>165</v>
      </c>
      <c r="G7" s="76"/>
      <c r="H7" s="38"/>
      <c r="I7" s="38"/>
      <c r="J7" s="38"/>
      <c r="K7" s="38" t="s">
        <v>158</v>
      </c>
    </row>
    <row r="8" spans="1:11" ht="12.75">
      <c r="A8" s="42" t="s">
        <v>76</v>
      </c>
      <c r="B8" s="38"/>
      <c r="C8" s="93"/>
      <c r="D8" s="38"/>
      <c r="E8" s="74"/>
      <c r="F8" s="38"/>
      <c r="G8" s="76"/>
      <c r="H8" s="38"/>
      <c r="I8" s="38"/>
      <c r="J8" s="38"/>
      <c r="K8" s="42" t="s">
        <v>21</v>
      </c>
    </row>
    <row r="9" spans="1:11" ht="12.75">
      <c r="A9" s="38"/>
      <c r="B9" s="38"/>
      <c r="C9" s="93"/>
      <c r="D9" s="38"/>
      <c r="E9" s="74"/>
      <c r="F9" s="38"/>
      <c r="G9" s="76"/>
      <c r="H9" s="38"/>
      <c r="I9" s="38"/>
      <c r="J9" s="38"/>
      <c r="K9" s="38"/>
    </row>
    <row r="10" spans="1:11" ht="21.95" customHeight="1">
      <c r="A10" s="38" t="str">
        <f>DATA!A5</f>
        <v>NEE</v>
      </c>
      <c r="B10" s="73" t="s">
        <v>22</v>
      </c>
      <c r="C10" s="93">
        <f>DATA!AC5</f>
        <v>0.12</v>
      </c>
      <c r="D10" s="64" t="s">
        <v>23</v>
      </c>
      <c r="E10" s="74">
        <f>'SGH-6'!C22</f>
        <v>0.42222222222222228</v>
      </c>
      <c r="F10" s="64" t="s">
        <v>24</v>
      </c>
      <c r="G10" s="76">
        <f>'SGH-7,p1'!J8</f>
        <v>2.1520907738095234</v>
      </c>
      <c r="H10" s="38" t="s">
        <v>85</v>
      </c>
      <c r="I10" s="39">
        <f>'SGH-7,p1'!M8</f>
        <v>6.6691694815050426E-2</v>
      </c>
      <c r="J10" s="38" t="s">
        <v>25</v>
      </c>
      <c r="K10" s="39">
        <f t="shared" ref="K10:K16" si="0">(C10*(1-E10)/G10)+I10</f>
        <v>9.8908427574237401E-2</v>
      </c>
    </row>
    <row r="11" spans="1:11" ht="21.95" customHeight="1">
      <c r="A11" s="38" t="str">
        <f>DATA!A6</f>
        <v>SO</v>
      </c>
      <c r="B11" s="73" t="s">
        <v>22</v>
      </c>
      <c r="C11" s="93">
        <f>DATA!AC6</f>
        <v>0.125</v>
      </c>
      <c r="D11" s="64" t="s">
        <v>23</v>
      </c>
      <c r="E11" s="74">
        <f>'SGH-6'!C38</f>
        <v>0.27384615384615385</v>
      </c>
      <c r="F11" s="64" t="s">
        <v>24</v>
      </c>
      <c r="G11" s="76">
        <f>'SGH-7,p1'!J9</f>
        <v>1.9853453453453453</v>
      </c>
      <c r="H11" s="38" t="s">
        <v>85</v>
      </c>
      <c r="I11" s="39">
        <f>'SGH-7,p1'!M9</f>
        <v>4.2444639399806389E-2</v>
      </c>
      <c r="J11" s="38" t="s">
        <v>25</v>
      </c>
      <c r="K11" s="39">
        <f t="shared" si="0"/>
        <v>8.8164257390721562E-2</v>
      </c>
    </row>
    <row r="12" spans="1:11" ht="21.95" customHeight="1">
      <c r="A12" s="38" t="str">
        <f>DATA!A7</f>
        <v>TE</v>
      </c>
      <c r="B12" s="73" t="s">
        <v>22</v>
      </c>
      <c r="C12" s="93">
        <f>DATA!AC7</f>
        <v>0.11</v>
      </c>
      <c r="D12" s="64" t="s">
        <v>23</v>
      </c>
      <c r="E12" s="74">
        <f>'SGH-6'!C54</f>
        <v>0.29629629629629639</v>
      </c>
      <c r="F12" s="64" t="s">
        <v>24</v>
      </c>
      <c r="G12" s="76">
        <f>'SGH-7,p1'!J10</f>
        <v>1.5687905604719761</v>
      </c>
      <c r="H12" s="38" t="s">
        <v>85</v>
      </c>
      <c r="I12" s="39">
        <f>'SGH-7,p1'!M10</f>
        <v>4.0219247113685082E-2</v>
      </c>
      <c r="J12" s="38" t="s">
        <v>25</v>
      </c>
      <c r="K12" s="39">
        <f t="shared" si="0"/>
        <v>8.9561338631700793E-2</v>
      </c>
    </row>
    <row r="13" spans="1:11" ht="21.95" customHeight="1">
      <c r="A13" s="38" t="str">
        <f>DATA!A8</f>
        <v>ALE</v>
      </c>
      <c r="B13" s="73" t="s">
        <v>22</v>
      </c>
      <c r="C13" s="93">
        <f>DATA!AC8</f>
        <v>0.09</v>
      </c>
      <c r="D13" s="64" t="s">
        <v>23</v>
      </c>
      <c r="E13" s="74">
        <f>'SGH-6'!C76</f>
        <v>0.38666666666666671</v>
      </c>
      <c r="F13" s="64" t="s">
        <v>24</v>
      </c>
      <c r="G13" s="76">
        <f>'SGH-7,p1'!J11</f>
        <v>1.3998174831892412</v>
      </c>
      <c r="H13" s="38" t="s">
        <v>85</v>
      </c>
      <c r="I13" s="39">
        <f>'SGH-7,p1'!M11</f>
        <v>5.1068634582524142E-2</v>
      </c>
      <c r="J13" s="38" t="s">
        <v>25</v>
      </c>
      <c r="K13" s="39">
        <f t="shared" si="0"/>
        <v>9.0502346950679713E-2</v>
      </c>
    </row>
    <row r="14" spans="1:11" ht="21.95" customHeight="1">
      <c r="A14" s="38" t="str">
        <f>DATA!A9</f>
        <v>LNT</v>
      </c>
      <c r="B14" s="73" t="s">
        <v>22</v>
      </c>
      <c r="C14" s="93">
        <f>DATA!AC9</f>
        <v>0.115</v>
      </c>
      <c r="D14" s="64" t="s">
        <v>23</v>
      </c>
      <c r="E14" s="74">
        <f>'SGH-6'!C92</f>
        <v>0.40740740740740744</v>
      </c>
      <c r="F14" s="64" t="s">
        <v>24</v>
      </c>
      <c r="G14" s="76">
        <f>'SGH-7,p1'!J12</f>
        <v>1.9333333333333333</v>
      </c>
      <c r="H14" s="38" t="s">
        <v>85</v>
      </c>
      <c r="I14" s="39">
        <f>'SGH-7,p1'!M12</f>
        <v>4.7413793103448273E-2</v>
      </c>
      <c r="J14" s="38" t="s">
        <v>25</v>
      </c>
      <c r="K14" s="39">
        <f t="shared" si="0"/>
        <v>8.2662835249042138E-2</v>
      </c>
    </row>
    <row r="15" spans="1:11" ht="21.95" customHeight="1">
      <c r="A15" s="38" t="str">
        <f>DATA!A10</f>
        <v>OGE</v>
      </c>
      <c r="B15" s="73" t="s">
        <v>22</v>
      </c>
      <c r="C15" s="93">
        <f>DATA!AC10</f>
        <v>0.12</v>
      </c>
      <c r="D15" s="64" t="s">
        <v>23</v>
      </c>
      <c r="E15" s="74">
        <f>'SGH-6'!C108</f>
        <v>0.45999999999999996</v>
      </c>
      <c r="F15" s="64" t="s">
        <v>24</v>
      </c>
      <c r="G15" s="76">
        <f>'SGH-7,p1'!J13</f>
        <v>2.2489634146341464</v>
      </c>
      <c r="H15" s="38" t="s">
        <v>85</v>
      </c>
      <c r="I15" s="39">
        <f>'SGH-7,p1'!M13</f>
        <v>6.2776753517880868E-2</v>
      </c>
      <c r="J15" s="38" t="s">
        <v>25</v>
      </c>
      <c r="K15" s="39">
        <f t="shared" si="0"/>
        <v>9.1590027926144832E-2</v>
      </c>
    </row>
    <row r="16" spans="1:11" ht="21.95" customHeight="1">
      <c r="A16" s="38" t="str">
        <f>DATA!A11</f>
        <v>WR</v>
      </c>
      <c r="B16" s="73" t="s">
        <v>22</v>
      </c>
      <c r="C16" s="93">
        <f>DATA!AC11</f>
        <v>9.5000000000000001E-2</v>
      </c>
      <c r="D16" s="64" t="s">
        <v>23</v>
      </c>
      <c r="E16" s="74">
        <f>'SGH-6'!C130</f>
        <v>0.4620689655172413</v>
      </c>
      <c r="F16" s="64" t="s">
        <v>24</v>
      </c>
      <c r="G16" s="76">
        <f>'SGH-7,p1'!J14</f>
        <v>1.5182710926694329</v>
      </c>
      <c r="H16" s="38" t="s">
        <v>85</v>
      </c>
      <c r="I16" s="39">
        <f>'SGH-7,p1'!M14</f>
        <v>5.4327121917446319E-2</v>
      </c>
      <c r="J16" s="38" t="s">
        <v>25</v>
      </c>
      <c r="K16" s="39">
        <f t="shared" si="0"/>
        <v>8.7986096604247277E-2</v>
      </c>
    </row>
    <row r="17" spans="1:11" ht="20.100000000000001" customHeight="1">
      <c r="A17" s="38" t="str">
        <f>DATA!A12</f>
        <v>EIX</v>
      </c>
      <c r="B17" s="73" t="s">
        <v>22</v>
      </c>
      <c r="C17" s="93">
        <f>DATA!AC12</f>
        <v>0.11</v>
      </c>
      <c r="D17" s="64" t="s">
        <v>23</v>
      </c>
      <c r="E17" s="74">
        <f>'SGH-6'!C146</f>
        <v>0.54444444444444451</v>
      </c>
      <c r="F17" s="64" t="s">
        <v>24</v>
      </c>
      <c r="G17" s="76">
        <f>'SGH-7,p1'!J15</f>
        <v>1.7184959349593498</v>
      </c>
      <c r="H17" s="38" t="s">
        <v>85</v>
      </c>
      <c r="I17" s="39">
        <f>'SGH-7,p1'!M15</f>
        <v>0.06</v>
      </c>
      <c r="J17" s="38" t="s">
        <v>25</v>
      </c>
      <c r="K17" s="39">
        <f>(C17*(1-E17)/G17)+I17</f>
        <v>8.9159865957027393E-2</v>
      </c>
    </row>
    <row r="18" spans="1:11" ht="20.100000000000001" customHeight="1">
      <c r="A18" s="38" t="str">
        <f>DATA!A13</f>
        <v>IDA</v>
      </c>
      <c r="B18" s="73" t="s">
        <v>22</v>
      </c>
      <c r="C18" s="93">
        <f>DATA!AC13</f>
        <v>0.08</v>
      </c>
      <c r="D18" s="64" t="s">
        <v>23</v>
      </c>
      <c r="E18" s="74">
        <f>'SGH-6'!C162</f>
        <v>0.45205479452054798</v>
      </c>
      <c r="F18" s="64" t="s">
        <v>24</v>
      </c>
      <c r="G18" s="76">
        <f>'SGH-7,p1'!J16</f>
        <v>1.4132557136696855</v>
      </c>
      <c r="H18" s="38" t="s">
        <v>85</v>
      </c>
      <c r="I18" s="39">
        <f>'SGH-7,p1'!M16</f>
        <v>4.792413969865806E-2</v>
      </c>
      <c r="J18" s="38" t="s">
        <v>25</v>
      </c>
      <c r="K18" s="39">
        <f>(C18*(1-E18)/G18)+I18</f>
        <v>7.8941609512759719E-2</v>
      </c>
    </row>
    <row r="19" spans="1:11" ht="20.100000000000001" customHeight="1">
      <c r="A19" s="38" t="str">
        <f>DATA!A14</f>
        <v>NWE</v>
      </c>
      <c r="B19" s="73" t="s">
        <v>22</v>
      </c>
      <c r="C19" s="93">
        <f>DATA!AC14</f>
        <v>9.5000000000000001E-2</v>
      </c>
      <c r="D19" s="64" t="s">
        <v>23</v>
      </c>
      <c r="E19" s="74">
        <f>'SGH-6'!C186</f>
        <v>0.3666666666666667</v>
      </c>
      <c r="F19" s="64" t="s">
        <v>24</v>
      </c>
      <c r="G19" s="76">
        <f>'SGH-7,p1'!J17</f>
        <v>1.749981981981982</v>
      </c>
      <c r="H19" s="38" t="s">
        <v>85</v>
      </c>
      <c r="I19" s="39">
        <f>'SGH-7,p1'!M17</f>
        <v>4.6785655450763977E-2</v>
      </c>
      <c r="J19" s="38" t="s">
        <v>25</v>
      </c>
      <c r="K19" s="39">
        <f t="shared" ref="K19:K22" si="1">(C19*(1-E19)/G19)+I19</f>
        <v>8.1166961822000755E-2</v>
      </c>
    </row>
    <row r="20" spans="1:11" ht="20.100000000000001" customHeight="1">
      <c r="A20" s="38" t="str">
        <f>DATA!A15</f>
        <v>PNW</v>
      </c>
      <c r="B20" s="73" t="s">
        <v>22</v>
      </c>
      <c r="C20" s="93">
        <f>DATA!AC15</f>
        <v>9.5000000000000001E-2</v>
      </c>
      <c r="D20" s="64" t="s">
        <v>23</v>
      </c>
      <c r="E20" s="74">
        <f>'SGH-6'!C202</f>
        <v>0.3529411764705882</v>
      </c>
      <c r="F20" s="64" t="s">
        <v>24</v>
      </c>
      <c r="G20" s="76">
        <f>'SGH-7,p1'!J18</f>
        <v>1.4039797211660332</v>
      </c>
      <c r="H20" s="38" t="s">
        <v>85</v>
      </c>
      <c r="I20" s="39">
        <f>'SGH-7,p1'!M18</f>
        <v>4.2535432502211715E-2</v>
      </c>
      <c r="J20" s="38" t="s">
        <v>25</v>
      </c>
      <c r="K20" s="39">
        <f t="shared" si="1"/>
        <v>8.6318535141501673E-2</v>
      </c>
    </row>
    <row r="21" spans="1:11" ht="20.100000000000001" customHeight="1">
      <c r="A21" s="38" t="str">
        <f>DATA!A16</f>
        <v>POR</v>
      </c>
      <c r="B21" s="73" t="s">
        <v>22</v>
      </c>
      <c r="C21" s="93">
        <f>DATA!AC16</f>
        <v>8.5000000000000006E-2</v>
      </c>
      <c r="D21" s="64" t="s">
        <v>23</v>
      </c>
      <c r="E21" s="74">
        <f>'SGH-6'!C218</f>
        <v>0.44000000000000006</v>
      </c>
      <c r="F21" s="64" t="s">
        <v>24</v>
      </c>
      <c r="G21" s="76">
        <f>'SGH-7,p1'!J19</f>
        <v>1.3557250859106529</v>
      </c>
      <c r="H21" s="38" t="s">
        <v>85</v>
      </c>
      <c r="I21" s="39">
        <f>'SGH-7,p1'!M19</f>
        <v>4.8935809954475863E-2</v>
      </c>
      <c r="J21" s="38" t="s">
        <v>25</v>
      </c>
      <c r="K21" s="39">
        <f t="shared" si="1"/>
        <v>8.404617303227245E-2</v>
      </c>
    </row>
    <row r="22" spans="1:11" ht="20.100000000000001" customHeight="1">
      <c r="A22" s="38" t="str">
        <f>DATA!A17</f>
        <v>XEL</v>
      </c>
      <c r="B22" s="73" t="s">
        <v>22</v>
      </c>
      <c r="C22" s="93">
        <f>DATA!AC17</f>
        <v>0.105</v>
      </c>
      <c r="D22" s="64" t="s">
        <v>23</v>
      </c>
      <c r="E22" s="74">
        <f>'SGH-6'!C241</f>
        <v>0.42000000000000004</v>
      </c>
      <c r="F22" s="64" t="s">
        <v>24</v>
      </c>
      <c r="G22" s="76">
        <f>'SGH-7,p1'!J20</f>
        <v>1.538374384236453</v>
      </c>
      <c r="H22" s="38" t="s">
        <v>85</v>
      </c>
      <c r="I22" s="39">
        <f>'SGH-7,p1'!M20</f>
        <v>5.0249447628806551E-2</v>
      </c>
      <c r="J22" s="38" t="s">
        <v>25</v>
      </c>
      <c r="K22" s="43">
        <f t="shared" si="1"/>
        <v>8.983669025585192E-2</v>
      </c>
    </row>
    <row r="23" spans="1:11" ht="12.75">
      <c r="A23" s="38"/>
      <c r="B23" s="38"/>
      <c r="C23" s="93"/>
      <c r="D23" s="38"/>
      <c r="E23" s="74"/>
      <c r="F23" s="38"/>
      <c r="G23" s="76"/>
      <c r="H23" s="38"/>
      <c r="I23" s="38"/>
    </row>
    <row r="24" spans="1:11" ht="12.75">
      <c r="A24" s="38"/>
      <c r="B24" s="38"/>
      <c r="C24" s="93"/>
      <c r="D24" s="38"/>
      <c r="E24" s="74"/>
      <c r="F24" s="38"/>
      <c r="G24" s="76"/>
      <c r="H24" s="38"/>
      <c r="I24" s="38"/>
      <c r="J24" s="73" t="s">
        <v>50</v>
      </c>
      <c r="K24" s="41">
        <f>AVERAGE(K10:K22)</f>
        <v>8.7603474311399046E-2</v>
      </c>
    </row>
    <row r="25" spans="1:11" ht="12.75">
      <c r="A25" s="38"/>
      <c r="B25" s="38"/>
      <c r="C25" s="93"/>
      <c r="D25" s="38"/>
      <c r="E25" s="74"/>
      <c r="F25" s="38"/>
      <c r="G25" s="76"/>
      <c r="H25" s="38"/>
      <c r="I25" s="38"/>
      <c r="J25" s="73"/>
      <c r="K25" s="41"/>
    </row>
    <row r="26" spans="1:11" ht="12.75">
      <c r="A26" s="38"/>
      <c r="B26" s="38"/>
      <c r="C26" s="93"/>
      <c r="D26" s="38"/>
      <c r="E26" s="74"/>
      <c r="F26" s="38"/>
      <c r="G26" s="76"/>
      <c r="H26" s="38"/>
      <c r="I26" s="38"/>
      <c r="J26" s="73" t="s">
        <v>29</v>
      </c>
      <c r="K26" s="41">
        <f>STDEV(K10:K22)</f>
        <v>5.1556904596220064E-3</v>
      </c>
    </row>
    <row r="27" spans="1:11" ht="12.75">
      <c r="A27" s="38"/>
      <c r="B27" s="38"/>
      <c r="C27" s="93"/>
      <c r="D27" s="38"/>
      <c r="E27" s="74"/>
      <c r="F27" s="38"/>
      <c r="G27" s="76"/>
      <c r="H27" s="38"/>
      <c r="I27" s="38"/>
    </row>
    <row r="28" spans="1:11" ht="12.75">
      <c r="A28" s="52"/>
      <c r="B28" s="38"/>
      <c r="C28" s="93"/>
      <c r="D28" s="38"/>
      <c r="E28" s="74"/>
      <c r="F28" s="38"/>
      <c r="G28" s="76"/>
      <c r="H28" s="38"/>
      <c r="I28" s="38"/>
      <c r="J28" s="38"/>
      <c r="K28" s="39"/>
    </row>
    <row r="29" spans="1:11" ht="12.75">
      <c r="A29" s="38"/>
      <c r="B29" s="38"/>
      <c r="C29" s="93"/>
      <c r="D29" s="38"/>
      <c r="E29" s="74"/>
      <c r="F29" s="38"/>
      <c r="G29" s="76"/>
      <c r="H29" s="38"/>
      <c r="I29" s="38"/>
      <c r="J29" s="38"/>
      <c r="K29" s="38"/>
    </row>
    <row r="30" spans="1:11" ht="12.75">
      <c r="C30" s="93"/>
      <c r="D30" s="38"/>
      <c r="E30" s="74"/>
      <c r="F30" s="38"/>
      <c r="G30" s="76"/>
      <c r="H30" s="38"/>
      <c r="I30" s="38"/>
      <c r="J30" s="38"/>
      <c r="K30" s="38"/>
    </row>
    <row r="31" spans="1:11" ht="12.75">
      <c r="A31" s="52" t="s">
        <v>80</v>
      </c>
    </row>
    <row r="36" spans="11:11">
      <c r="K36" s="40" t="s">
        <v>73</v>
      </c>
    </row>
  </sheetData>
  <phoneticPr fontId="5" type="noConversion"/>
  <pageMargins left="0.99" right="0.75" top="1" bottom="1" header="0.5" footer="0.5"/>
  <pageSetup scale="95" orientation="portrait" horizontalDpi="4294967292" verticalDpi="4294967292"/>
  <headerFooter>
    <oddHeader>&amp;R&amp;"Times New Roman,Regular"&amp;10&amp;K000000Docket UE-140762 et al._x000D_Exhibit No. SGH-14_x000D_Page 2 of 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5:E16"/>
  <sheetViews>
    <sheetView workbookViewId="0">
      <selection activeCell="E17" sqref="E17"/>
    </sheetView>
  </sheetViews>
  <sheetFormatPr defaultColWidth="11.42578125" defaultRowHeight="12"/>
  <sheetData>
    <row r="15" spans="5:5">
      <c r="E15">
        <f>(7.77+8.2+8.57)/3</f>
        <v>8.18</v>
      </c>
    </row>
    <row r="16" spans="5:5">
      <c r="E16">
        <f>(7.77+8.39+8.76)/3</f>
        <v>8.3066666666666666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49"/>
  <sheetViews>
    <sheetView topLeftCell="A8" workbookViewId="0">
      <selection activeCell="B35" sqref="B35:C47"/>
    </sheetView>
  </sheetViews>
  <sheetFormatPr defaultColWidth="11.42578125" defaultRowHeight="12"/>
  <sheetData>
    <row r="7" spans="2:4">
      <c r="B7" t="s">
        <v>74</v>
      </c>
    </row>
    <row r="8" spans="2:4">
      <c r="B8" s="5">
        <v>40312</v>
      </c>
    </row>
    <row r="9" spans="2:4">
      <c r="B9" t="s">
        <v>127</v>
      </c>
      <c r="C9" t="s">
        <v>128</v>
      </c>
      <c r="D9" s="98" t="s">
        <v>106</v>
      </c>
    </row>
    <row r="10" spans="2:4">
      <c r="D10" s="98"/>
    </row>
    <row r="11" spans="2:4" ht="12.75">
      <c r="B11" s="96" t="s">
        <v>195</v>
      </c>
      <c r="C11" s="12">
        <v>6.4799999999999996E-2</v>
      </c>
      <c r="D11" s="36">
        <v>5.68</v>
      </c>
    </row>
    <row r="12" spans="2:4" ht="12.75">
      <c r="B12" s="96" t="s">
        <v>196</v>
      </c>
      <c r="C12" s="12">
        <v>3.3500000000000002E-2</v>
      </c>
      <c r="D12" s="36">
        <v>2.86</v>
      </c>
    </row>
    <row r="13" spans="2:4" ht="12.75">
      <c r="B13" s="96" t="s">
        <v>111</v>
      </c>
      <c r="C13" s="12">
        <v>5.0799999999999998E-2</v>
      </c>
      <c r="D13" s="36">
        <v>1.1000000000000001</v>
      </c>
    </row>
    <row r="14" spans="2:4" ht="12.75">
      <c r="B14" s="96" t="s">
        <v>112</v>
      </c>
      <c r="C14" s="12">
        <v>0.06</v>
      </c>
      <c r="D14" s="36">
        <v>3.24</v>
      </c>
    </row>
    <row r="15" spans="2:4" ht="12.75">
      <c r="B15" s="96" t="s">
        <v>197</v>
      </c>
      <c r="C15" s="12">
        <v>4.7E-2</v>
      </c>
      <c r="D15" s="36">
        <v>3.62</v>
      </c>
    </row>
    <row r="16" spans="2:4" ht="12.75">
      <c r="B16" s="96" t="s">
        <v>113</v>
      </c>
      <c r="C16" s="12">
        <v>6.7500000000000004E-2</v>
      </c>
      <c r="D16" s="36">
        <v>2.12</v>
      </c>
    </row>
    <row r="17" spans="2:5" ht="12.75">
      <c r="B17" s="15" t="s">
        <v>114</v>
      </c>
      <c r="C17" s="12">
        <v>2.9000000000000001E-2</v>
      </c>
      <c r="D17" s="36">
        <v>2.41</v>
      </c>
    </row>
    <row r="18" spans="2:5" ht="12.75">
      <c r="B18" s="96" t="s">
        <v>198</v>
      </c>
      <c r="C18" s="12">
        <v>3.8699999999999998E-2</v>
      </c>
      <c r="D18" s="36">
        <v>3.59</v>
      </c>
    </row>
    <row r="19" spans="2:5" ht="12.75">
      <c r="B19" s="15" t="s">
        <v>115</v>
      </c>
      <c r="C19" s="12">
        <v>0.04</v>
      </c>
      <c r="D19" s="36">
        <v>3.48</v>
      </c>
    </row>
    <row r="20" spans="2:5" ht="12.75">
      <c r="B20" s="96" t="s">
        <v>116</v>
      </c>
      <c r="C20" s="12">
        <v>7.0000000000000007E-2</v>
      </c>
      <c r="D20" s="36">
        <v>3.2</v>
      </c>
    </row>
    <row r="21" spans="2:5" ht="12.75">
      <c r="B21" s="96" t="s">
        <v>117</v>
      </c>
      <c r="C21" s="12">
        <v>3.7499999999999999E-2</v>
      </c>
      <c r="D21" s="36">
        <v>3.85</v>
      </c>
    </row>
    <row r="22" spans="2:5" ht="12.75">
      <c r="B22" s="96" t="s">
        <v>118</v>
      </c>
      <c r="C22" s="12">
        <v>0.11210000000000001</v>
      </c>
      <c r="D22" s="36">
        <v>2.27</v>
      </c>
    </row>
    <row r="23" spans="2:5" ht="12.75">
      <c r="B23" s="96" t="s">
        <v>119</v>
      </c>
      <c r="C23" s="12">
        <v>4.4900000000000002E-2</v>
      </c>
      <c r="D23" s="36">
        <v>2.1</v>
      </c>
    </row>
    <row r="24" spans="2:5">
      <c r="D24" s="98"/>
    </row>
    <row r="25" spans="2:5">
      <c r="D25" s="98"/>
    </row>
    <row r="26" spans="2:5" ht="12.75">
      <c r="B26" s="1" t="s">
        <v>45</v>
      </c>
      <c r="C26" s="11">
        <f>AVERAGE(C11:C23)</f>
        <v>5.352307692307693E-2</v>
      </c>
      <c r="D26" s="36">
        <f>AVERAGE(D11:D23)</f>
        <v>3.04</v>
      </c>
      <c r="E26" s="6"/>
    </row>
    <row r="27" spans="2:5">
      <c r="D27" s="98"/>
    </row>
    <row r="28" spans="2:5">
      <c r="D28" s="98"/>
    </row>
    <row r="29" spans="2:5">
      <c r="D29" s="98"/>
    </row>
    <row r="30" spans="2:5">
      <c r="D30" s="98"/>
    </row>
    <row r="31" spans="2:5">
      <c r="B31" t="s">
        <v>86</v>
      </c>
      <c r="D31" s="98"/>
    </row>
    <row r="32" spans="2:5">
      <c r="B32" s="5">
        <v>40312</v>
      </c>
      <c r="D32" s="98"/>
    </row>
    <row r="33" spans="2:4">
      <c r="B33" t="s">
        <v>127</v>
      </c>
      <c r="C33" t="s">
        <v>20</v>
      </c>
      <c r="D33" s="98">
        <v>2015</v>
      </c>
    </row>
    <row r="34" spans="2:4">
      <c r="D34" s="98"/>
    </row>
    <row r="35" spans="2:4" ht="12.75">
      <c r="B35" s="96" t="s">
        <v>195</v>
      </c>
      <c r="C35" s="12">
        <v>6.6000000000000003E-2</v>
      </c>
      <c r="D35" s="36">
        <v>5.67</v>
      </c>
    </row>
    <row r="36" spans="2:4" ht="12.75">
      <c r="B36" s="96" t="s">
        <v>196</v>
      </c>
      <c r="C36" s="12">
        <v>3.5000000000000003E-2</v>
      </c>
      <c r="D36" s="36">
        <v>2.86</v>
      </c>
    </row>
    <row r="37" spans="2:4" ht="12.75">
      <c r="B37" s="96" t="s">
        <v>166</v>
      </c>
      <c r="C37" s="12">
        <v>5.0999999999999997E-2</v>
      </c>
      <c r="D37" s="36">
        <v>1.1000000000000001</v>
      </c>
    </row>
    <row r="38" spans="2:4" ht="12.75">
      <c r="B38" s="96" t="s">
        <v>167</v>
      </c>
      <c r="C38" s="12">
        <v>0.06</v>
      </c>
      <c r="D38" s="36">
        <v>3.21</v>
      </c>
    </row>
    <row r="39" spans="2:4" ht="12.75">
      <c r="B39" s="96" t="s">
        <v>197</v>
      </c>
      <c r="C39" s="12">
        <v>5.0999999999999997E-2</v>
      </c>
      <c r="D39" s="36">
        <v>3.62</v>
      </c>
    </row>
    <row r="40" spans="2:4" ht="12.75">
      <c r="B40" s="96" t="s">
        <v>168</v>
      </c>
      <c r="C40" s="12">
        <v>0.06</v>
      </c>
      <c r="D40" s="36">
        <v>2.14</v>
      </c>
    </row>
    <row r="41" spans="2:4" ht="12.75">
      <c r="B41" s="96" t="s">
        <v>169</v>
      </c>
      <c r="C41" s="12">
        <v>3.6999999999999998E-2</v>
      </c>
      <c r="D41" s="36">
        <v>2.39</v>
      </c>
    </row>
    <row r="42" spans="2:4" ht="12.75">
      <c r="B42" s="96" t="s">
        <v>198</v>
      </c>
      <c r="C42" s="12">
        <v>3.4000000000000002E-2</v>
      </c>
      <c r="D42" s="36">
        <v>3.57</v>
      </c>
    </row>
    <row r="43" spans="2:4" ht="12.75">
      <c r="B43" s="96" t="s">
        <v>170</v>
      </c>
      <c r="C43" s="12">
        <v>0.04</v>
      </c>
      <c r="D43" s="36">
        <v>3.48</v>
      </c>
    </row>
    <row r="44" spans="2:4" ht="12.75">
      <c r="B44" s="96" t="s">
        <v>171</v>
      </c>
      <c r="C44" s="12">
        <v>7.0000000000000007E-2</v>
      </c>
      <c r="D44" s="36">
        <v>3.18</v>
      </c>
    </row>
    <row r="45" spans="2:4" ht="12.75">
      <c r="B45" s="96" t="s">
        <v>172</v>
      </c>
      <c r="C45" s="12">
        <v>3.6999999999999998E-2</v>
      </c>
      <c r="D45" s="36">
        <v>3.86</v>
      </c>
    </row>
    <row r="46" spans="2:4" ht="12.75">
      <c r="B46" s="96" t="s">
        <v>173</v>
      </c>
      <c r="C46" s="12">
        <v>8.1000000000000003E-2</v>
      </c>
      <c r="D46" s="36">
        <v>2.27</v>
      </c>
    </row>
    <row r="47" spans="2:4" ht="12.75">
      <c r="B47" s="96" t="s">
        <v>174</v>
      </c>
      <c r="C47" s="12">
        <v>4.2000000000000003E-2</v>
      </c>
      <c r="D47" s="36">
        <v>2.1</v>
      </c>
    </row>
    <row r="48" spans="2:4">
      <c r="C48" s="3"/>
      <c r="D48" s="98"/>
    </row>
    <row r="49" spans="2:4">
      <c r="B49" t="s">
        <v>133</v>
      </c>
      <c r="C49" s="11">
        <f>AVERAGE(C35:C47)</f>
        <v>5.1076923076923082E-2</v>
      </c>
      <c r="D49" s="36">
        <f>AVERAGE(D35:D47)</f>
        <v>3.0346153846153854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topLeftCell="AT7" zoomScale="125" workbookViewId="0">
      <selection activeCell="AZ7" sqref="AZ7"/>
    </sheetView>
  </sheetViews>
  <sheetFormatPr defaultColWidth="10.85546875" defaultRowHeight="12"/>
  <cols>
    <col min="1" max="37" width="10.85546875" style="21"/>
    <col min="38" max="51" width="13.28515625" style="21" customWidth="1"/>
    <col min="52" max="52" width="10.85546875" style="21"/>
    <col min="53" max="53" width="15.28515625" style="21" customWidth="1"/>
    <col min="54" max="16384" width="10.85546875" style="21"/>
  </cols>
  <sheetData>
    <row r="1" spans="1:53" ht="12.75">
      <c r="A1" s="13" t="s">
        <v>188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20"/>
      <c r="X1" s="20"/>
      <c r="Y1" s="20"/>
      <c r="Z1" s="20"/>
      <c r="AA1" s="20"/>
      <c r="AB1" s="20"/>
      <c r="AC1" s="20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ht="12.75">
      <c r="A2" s="14"/>
      <c r="B2" s="22" t="s">
        <v>214</v>
      </c>
      <c r="C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20"/>
      <c r="X2" s="20"/>
      <c r="Y2" s="20"/>
      <c r="Z2" s="20"/>
      <c r="AA2" s="20"/>
      <c r="AB2" s="20"/>
      <c r="AC2" s="20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7" t="s">
        <v>107</v>
      </c>
      <c r="BA2" s="14"/>
    </row>
    <row r="3" spans="1:53" ht="12.75">
      <c r="A3" s="17" t="s">
        <v>130</v>
      </c>
      <c r="B3" s="17" t="s">
        <v>131</v>
      </c>
      <c r="C3" s="17" t="s">
        <v>132</v>
      </c>
      <c r="E3" s="17" t="s">
        <v>30</v>
      </c>
      <c r="F3" s="17">
        <v>2009</v>
      </c>
      <c r="G3" s="17">
        <v>2010</v>
      </c>
      <c r="H3" s="17">
        <v>2011</v>
      </c>
      <c r="I3" s="17">
        <v>2012</v>
      </c>
      <c r="J3" s="17">
        <v>2013</v>
      </c>
      <c r="K3" s="17">
        <v>2014</v>
      </c>
      <c r="L3" s="17">
        <v>2015</v>
      </c>
      <c r="M3" s="17" t="s">
        <v>110</v>
      </c>
      <c r="N3" s="17">
        <f t="shared" ref="N3:U3" si="0">F3</f>
        <v>2009</v>
      </c>
      <c r="O3" s="17">
        <f t="shared" si="0"/>
        <v>2010</v>
      </c>
      <c r="P3" s="17">
        <f t="shared" si="0"/>
        <v>2011</v>
      </c>
      <c r="Q3" s="17">
        <f t="shared" si="0"/>
        <v>2012</v>
      </c>
      <c r="R3" s="17">
        <f t="shared" si="0"/>
        <v>2013</v>
      </c>
      <c r="S3" s="17">
        <f t="shared" si="0"/>
        <v>2014</v>
      </c>
      <c r="T3" s="17">
        <f t="shared" si="0"/>
        <v>2015</v>
      </c>
      <c r="U3" s="17" t="str">
        <f t="shared" si="0"/>
        <v>2017-2019</v>
      </c>
      <c r="V3" s="17">
        <f t="shared" ref="V3:AC3" si="1">F3</f>
        <v>2009</v>
      </c>
      <c r="W3" s="17">
        <f t="shared" si="1"/>
        <v>2010</v>
      </c>
      <c r="X3" s="17">
        <f t="shared" si="1"/>
        <v>2011</v>
      </c>
      <c r="Y3" s="17">
        <f t="shared" si="1"/>
        <v>2012</v>
      </c>
      <c r="Z3" s="17">
        <f t="shared" si="1"/>
        <v>2013</v>
      </c>
      <c r="AA3" s="17">
        <f t="shared" si="1"/>
        <v>2014</v>
      </c>
      <c r="AB3" s="17">
        <f t="shared" si="1"/>
        <v>2015</v>
      </c>
      <c r="AC3" s="23" t="str">
        <f t="shared" si="1"/>
        <v>2017-2019</v>
      </c>
      <c r="AD3" s="17">
        <f t="shared" ref="AD3:AK3" si="2">F3</f>
        <v>2009</v>
      </c>
      <c r="AE3" s="17">
        <f t="shared" si="2"/>
        <v>2010</v>
      </c>
      <c r="AF3" s="17">
        <f t="shared" si="2"/>
        <v>2011</v>
      </c>
      <c r="AG3" s="17">
        <f t="shared" si="2"/>
        <v>2012</v>
      </c>
      <c r="AH3" s="17">
        <f t="shared" si="2"/>
        <v>2013</v>
      </c>
      <c r="AI3" s="17">
        <f t="shared" si="2"/>
        <v>2014</v>
      </c>
      <c r="AJ3" s="17">
        <f t="shared" si="2"/>
        <v>2015</v>
      </c>
      <c r="AK3" s="17" t="str">
        <f t="shared" si="2"/>
        <v>2017-2019</v>
      </c>
      <c r="AL3" s="17">
        <f t="shared" ref="AL3:AS3" si="3">F3</f>
        <v>2009</v>
      </c>
      <c r="AM3" s="17">
        <f t="shared" si="3"/>
        <v>2010</v>
      </c>
      <c r="AN3" s="17">
        <f t="shared" si="3"/>
        <v>2011</v>
      </c>
      <c r="AO3" s="17">
        <f t="shared" si="3"/>
        <v>2012</v>
      </c>
      <c r="AP3" s="17">
        <f t="shared" si="3"/>
        <v>2013</v>
      </c>
      <c r="AQ3" s="17">
        <f t="shared" si="3"/>
        <v>2014</v>
      </c>
      <c r="AR3" s="17">
        <f t="shared" si="3"/>
        <v>2015</v>
      </c>
      <c r="AS3" s="17" t="str">
        <f t="shared" si="3"/>
        <v>2017-2019</v>
      </c>
      <c r="AT3" s="17" t="s">
        <v>0</v>
      </c>
      <c r="AU3" s="17" t="s">
        <v>136</v>
      </c>
      <c r="AV3" s="17" t="s">
        <v>0</v>
      </c>
      <c r="AW3" s="17" t="s">
        <v>136</v>
      </c>
      <c r="AX3" s="17" t="s">
        <v>0</v>
      </c>
      <c r="AY3" s="17" t="s">
        <v>136</v>
      </c>
      <c r="AZ3" s="24">
        <v>2015</v>
      </c>
      <c r="BA3" s="17" t="s">
        <v>107</v>
      </c>
    </row>
    <row r="4" spans="1:53" ht="12.75">
      <c r="A4" s="17" t="s">
        <v>137</v>
      </c>
      <c r="B4" s="17" t="s">
        <v>138</v>
      </c>
      <c r="C4" s="17" t="s">
        <v>143</v>
      </c>
      <c r="E4" s="17" t="s">
        <v>144</v>
      </c>
      <c r="F4" s="17" t="s">
        <v>145</v>
      </c>
      <c r="G4" s="17" t="s">
        <v>145</v>
      </c>
      <c r="H4" s="17" t="s">
        <v>145</v>
      </c>
      <c r="I4" s="17" t="s">
        <v>145</v>
      </c>
      <c r="J4" s="17" t="s">
        <v>145</v>
      </c>
      <c r="K4" s="17" t="s">
        <v>145</v>
      </c>
      <c r="L4" s="17" t="s">
        <v>145</v>
      </c>
      <c r="M4" s="17" t="s">
        <v>145</v>
      </c>
      <c r="N4" s="17" t="s">
        <v>146</v>
      </c>
      <c r="O4" s="17" t="s">
        <v>146</v>
      </c>
      <c r="P4" s="17" t="s">
        <v>146</v>
      </c>
      <c r="Q4" s="17" t="s">
        <v>146</v>
      </c>
      <c r="R4" s="17" t="s">
        <v>146</v>
      </c>
      <c r="S4" s="17" t="s">
        <v>146</v>
      </c>
      <c r="T4" s="17" t="s">
        <v>146</v>
      </c>
      <c r="U4" s="17" t="s">
        <v>146</v>
      </c>
      <c r="V4" s="17" t="s">
        <v>17</v>
      </c>
      <c r="W4" s="23" t="s">
        <v>17</v>
      </c>
      <c r="X4" s="23" t="s">
        <v>17</v>
      </c>
      <c r="Y4" s="23" t="s">
        <v>17</v>
      </c>
      <c r="Z4" s="23" t="s">
        <v>17</v>
      </c>
      <c r="AA4" s="23" t="s">
        <v>17</v>
      </c>
      <c r="AB4" s="23" t="s">
        <v>17</v>
      </c>
      <c r="AC4" s="23" t="s">
        <v>17</v>
      </c>
      <c r="AD4" s="17" t="s">
        <v>18</v>
      </c>
      <c r="AE4" s="17" t="s">
        <v>18</v>
      </c>
      <c r="AF4" s="17" t="s">
        <v>18</v>
      </c>
      <c r="AG4" s="17" t="s">
        <v>18</v>
      </c>
      <c r="AH4" s="17" t="s">
        <v>18</v>
      </c>
      <c r="AI4" s="17" t="s">
        <v>18</v>
      </c>
      <c r="AJ4" s="17" t="s">
        <v>18</v>
      </c>
      <c r="AK4" s="17" t="s">
        <v>18</v>
      </c>
      <c r="AL4" s="17" t="s">
        <v>19</v>
      </c>
      <c r="AM4" s="17" t="s">
        <v>19</v>
      </c>
      <c r="AN4" s="17" t="s">
        <v>19</v>
      </c>
      <c r="AO4" s="17" t="s">
        <v>19</v>
      </c>
      <c r="AP4" s="17" t="s">
        <v>19</v>
      </c>
      <c r="AQ4" s="17" t="s">
        <v>19</v>
      </c>
      <c r="AR4" s="17" t="s">
        <v>19</v>
      </c>
      <c r="AS4" s="17" t="s">
        <v>19</v>
      </c>
      <c r="AT4" s="17" t="s">
        <v>147</v>
      </c>
      <c r="AU4" s="17" t="s">
        <v>147</v>
      </c>
      <c r="AV4" s="17" t="s">
        <v>148</v>
      </c>
      <c r="AW4" s="17" t="s">
        <v>148</v>
      </c>
      <c r="AX4" s="17" t="s">
        <v>72</v>
      </c>
      <c r="AY4" s="17" t="s">
        <v>72</v>
      </c>
      <c r="AZ4" s="17" t="s">
        <v>145</v>
      </c>
      <c r="BA4" s="17" t="s">
        <v>139</v>
      </c>
    </row>
    <row r="5" spans="1:53" ht="12.75">
      <c r="A5" s="96" t="s">
        <v>195</v>
      </c>
      <c r="B5" s="25">
        <f>prices!F32</f>
        <v>96.413666666666643</v>
      </c>
      <c r="C5" s="16">
        <v>0.7</v>
      </c>
      <c r="E5" s="14">
        <v>2.97</v>
      </c>
      <c r="F5" s="14">
        <v>3.97</v>
      </c>
      <c r="G5" s="14">
        <v>4.74</v>
      </c>
      <c r="H5" s="14">
        <v>4.82</v>
      </c>
      <c r="I5" s="14">
        <v>4.5599999999999996</v>
      </c>
      <c r="J5" s="14">
        <v>4.83</v>
      </c>
      <c r="K5" s="14">
        <v>4.75</v>
      </c>
      <c r="L5" s="15">
        <v>5.5</v>
      </c>
      <c r="M5" s="14">
        <v>6.75</v>
      </c>
      <c r="N5" s="14">
        <v>1.89</v>
      </c>
      <c r="O5" s="14">
        <v>2</v>
      </c>
      <c r="P5" s="14">
        <v>2.2000000000000002</v>
      </c>
      <c r="Q5" s="14">
        <v>2.4</v>
      </c>
      <c r="R5" s="14">
        <v>2.64</v>
      </c>
      <c r="S5" s="14">
        <v>2.9</v>
      </c>
      <c r="T5" s="14">
        <v>3.16</v>
      </c>
      <c r="U5" s="14">
        <v>3.9</v>
      </c>
      <c r="V5" s="14">
        <v>0.125</v>
      </c>
      <c r="W5" s="14">
        <v>0.13500000000000001</v>
      </c>
      <c r="X5" s="14">
        <v>0.13500000000000001</v>
      </c>
      <c r="Y5" s="14">
        <v>0.11899999999999999</v>
      </c>
      <c r="Z5" s="14">
        <v>0.114</v>
      </c>
      <c r="AA5" s="14">
        <v>0.105</v>
      </c>
      <c r="AB5" s="14">
        <v>0.11</v>
      </c>
      <c r="AC5" s="14">
        <v>0.12</v>
      </c>
      <c r="AD5" s="14">
        <v>31.35</v>
      </c>
      <c r="AE5" s="14">
        <v>34.36</v>
      </c>
      <c r="AF5" s="14">
        <v>35.92</v>
      </c>
      <c r="AG5" s="14">
        <v>37.9</v>
      </c>
      <c r="AH5" s="14">
        <v>41.47</v>
      </c>
      <c r="AI5" s="14">
        <v>44.8</v>
      </c>
      <c r="AJ5" s="14">
        <v>48.4</v>
      </c>
      <c r="AK5" s="14">
        <v>57.25</v>
      </c>
      <c r="AL5" s="14">
        <v>413.62</v>
      </c>
      <c r="AM5" s="14">
        <v>420.86</v>
      </c>
      <c r="AN5" s="14">
        <v>416</v>
      </c>
      <c r="AO5" s="14">
        <v>424</v>
      </c>
      <c r="AP5" s="14">
        <v>435</v>
      </c>
      <c r="AQ5" s="14">
        <v>443</v>
      </c>
      <c r="AR5" s="14">
        <v>458</v>
      </c>
      <c r="AS5" s="14">
        <v>470</v>
      </c>
      <c r="AT5" s="14">
        <v>0.06</v>
      </c>
      <c r="AU5" s="14">
        <v>0.06</v>
      </c>
      <c r="AV5" s="14">
        <v>0.08</v>
      </c>
      <c r="AW5" s="14">
        <v>8.5000000000000006E-2</v>
      </c>
      <c r="AX5" s="14">
        <v>7.4999999999999997E-2</v>
      </c>
      <c r="AY5" s="14">
        <v>7.0000000000000007E-2</v>
      </c>
      <c r="AZ5" s="14">
        <f>Earns.!D11</f>
        <v>5.68</v>
      </c>
      <c r="BA5" s="19">
        <f>Earns.!C11</f>
        <v>6.4799999999999996E-2</v>
      </c>
    </row>
    <row r="6" spans="1:53" ht="12.75">
      <c r="A6" s="96" t="s">
        <v>196</v>
      </c>
      <c r="B6" s="25">
        <f>prices!F67</f>
        <v>44.074666666666666</v>
      </c>
      <c r="C6" s="16">
        <v>0.6</v>
      </c>
      <c r="E6" s="14">
        <v>2.12</v>
      </c>
      <c r="F6" s="15">
        <v>2.3199999999999998</v>
      </c>
      <c r="G6" s="15">
        <v>2.36</v>
      </c>
      <c r="H6" s="15">
        <v>2.5499999999999998</v>
      </c>
      <c r="I6" s="15">
        <v>2.67</v>
      </c>
      <c r="J6" s="15">
        <v>2.7</v>
      </c>
      <c r="K6" s="15">
        <v>2.8</v>
      </c>
      <c r="L6" s="15">
        <v>2.9</v>
      </c>
      <c r="M6" s="15">
        <v>3.25</v>
      </c>
      <c r="N6" s="15">
        <v>1.73</v>
      </c>
      <c r="O6" s="15">
        <v>1.8</v>
      </c>
      <c r="P6" s="15">
        <v>1.87</v>
      </c>
      <c r="Q6" s="15">
        <v>1.94</v>
      </c>
      <c r="R6" s="15">
        <v>2.0099999999999998</v>
      </c>
      <c r="S6" s="15">
        <v>2.08</v>
      </c>
      <c r="T6" s="15">
        <v>2.15</v>
      </c>
      <c r="U6" s="15">
        <v>2.36</v>
      </c>
      <c r="V6" s="15">
        <v>0.124</v>
      </c>
      <c r="W6" s="15">
        <v>0.122</v>
      </c>
      <c r="X6" s="15">
        <v>0.125</v>
      </c>
      <c r="Y6" s="15">
        <v>0.128</v>
      </c>
      <c r="Z6" s="15">
        <v>0.125</v>
      </c>
      <c r="AA6" s="15">
        <v>0.125</v>
      </c>
      <c r="AB6" s="15">
        <v>0.125</v>
      </c>
      <c r="AC6" s="15">
        <v>0.125</v>
      </c>
      <c r="AD6" s="15">
        <v>18.149999999999999</v>
      </c>
      <c r="AE6" s="15">
        <v>19.21</v>
      </c>
      <c r="AF6" s="15">
        <v>20.32</v>
      </c>
      <c r="AG6" s="15">
        <v>21.09</v>
      </c>
      <c r="AH6" s="15">
        <v>21.43</v>
      </c>
      <c r="AI6" s="15">
        <v>22.2</v>
      </c>
      <c r="AJ6" s="15">
        <v>22.95</v>
      </c>
      <c r="AK6" s="15">
        <v>26.25</v>
      </c>
      <c r="AL6" s="15">
        <v>819.65</v>
      </c>
      <c r="AM6" s="15">
        <v>843.34</v>
      </c>
      <c r="AN6" s="15">
        <v>865.13</v>
      </c>
      <c r="AO6" s="15">
        <v>867.77</v>
      </c>
      <c r="AP6" s="15">
        <v>887.09</v>
      </c>
      <c r="AQ6" s="15">
        <v>902</v>
      </c>
      <c r="AR6" s="15">
        <v>904</v>
      </c>
      <c r="AS6" s="15">
        <v>940</v>
      </c>
      <c r="AT6" s="15">
        <v>3.5000000000000003E-2</v>
      </c>
      <c r="AU6" s="15">
        <v>3.5000000000000003E-2</v>
      </c>
      <c r="AV6" s="15">
        <v>0.04</v>
      </c>
      <c r="AW6" s="15">
        <v>3.5000000000000003E-2</v>
      </c>
      <c r="AX6" s="15">
        <v>5.5E-2</v>
      </c>
      <c r="AY6" s="15">
        <v>0.04</v>
      </c>
      <c r="AZ6" s="96">
        <f>Earns.!D12</f>
        <v>2.86</v>
      </c>
      <c r="BA6" s="19">
        <f>Earns.!C12</f>
        <v>3.3500000000000002E-2</v>
      </c>
    </row>
    <row r="7" spans="1:53" ht="12.75">
      <c r="A7" s="96" t="s">
        <v>111</v>
      </c>
      <c r="B7" s="25">
        <f>prices!F102</f>
        <v>17.727333333333331</v>
      </c>
      <c r="C7" s="16">
        <v>0.85</v>
      </c>
      <c r="E7" s="96">
        <v>0.88</v>
      </c>
      <c r="F7" s="96">
        <v>1</v>
      </c>
      <c r="G7" s="96">
        <v>1.1299999999999999</v>
      </c>
      <c r="H7" s="96">
        <v>1.27</v>
      </c>
      <c r="I7" s="96">
        <v>1.1399999999999999</v>
      </c>
      <c r="J7" s="96">
        <v>0.92</v>
      </c>
      <c r="K7" s="96">
        <v>0.95</v>
      </c>
      <c r="L7" s="15">
        <v>1</v>
      </c>
      <c r="M7" s="96">
        <v>1.35</v>
      </c>
      <c r="N7" s="96">
        <v>0.8</v>
      </c>
      <c r="O7" s="96">
        <v>0.82</v>
      </c>
      <c r="P7" s="96">
        <v>0.85</v>
      </c>
      <c r="Q7" s="96">
        <v>0.88</v>
      </c>
      <c r="R7" s="96">
        <v>0.88</v>
      </c>
      <c r="S7" s="96">
        <v>0.88</v>
      </c>
      <c r="T7" s="96">
        <v>0.88</v>
      </c>
      <c r="U7" s="96">
        <v>0.95</v>
      </c>
      <c r="V7" s="96">
        <v>0.10299999999999999</v>
      </c>
      <c r="W7" s="96">
        <v>0.112</v>
      </c>
      <c r="X7" s="96">
        <v>0.12</v>
      </c>
      <c r="Y7" s="96">
        <v>0.107</v>
      </c>
      <c r="Z7" s="96">
        <v>8.5000000000000006E-2</v>
      </c>
      <c r="AA7" s="96">
        <v>0.08</v>
      </c>
      <c r="AB7" s="96">
        <v>8.5000000000000006E-2</v>
      </c>
      <c r="AC7" s="96">
        <v>0.11</v>
      </c>
      <c r="AD7" s="96">
        <v>9.75</v>
      </c>
      <c r="AE7" s="96">
        <v>10.1</v>
      </c>
      <c r="AF7" s="96">
        <v>10.5</v>
      </c>
      <c r="AG7" s="96">
        <v>10.58</v>
      </c>
      <c r="AH7" s="96">
        <v>10.74</v>
      </c>
      <c r="AI7" s="96">
        <v>11.3</v>
      </c>
      <c r="AJ7" s="96">
        <v>11.35</v>
      </c>
      <c r="AK7" s="96">
        <v>12.25</v>
      </c>
      <c r="AL7" s="96">
        <v>213.9</v>
      </c>
      <c r="AM7" s="96">
        <v>214.9</v>
      </c>
      <c r="AN7" s="96">
        <v>215.8</v>
      </c>
      <c r="AO7" s="96">
        <v>216.6</v>
      </c>
      <c r="AP7" s="96">
        <v>217.3</v>
      </c>
      <c r="AQ7" s="96">
        <v>233.5</v>
      </c>
      <c r="AR7" s="96">
        <v>233.5</v>
      </c>
      <c r="AS7" s="96">
        <v>233.5</v>
      </c>
      <c r="AT7" s="96">
        <v>5.0000000000000001E-3</v>
      </c>
      <c r="AU7" s="96">
        <v>3.5000000000000003E-2</v>
      </c>
      <c r="AV7" s="96">
        <v>2.5000000000000001E-2</v>
      </c>
      <c r="AW7" s="96">
        <v>1.4999999999999999E-2</v>
      </c>
      <c r="AX7" s="96">
        <v>0.03</v>
      </c>
      <c r="AY7" s="96">
        <v>2.5000000000000001E-2</v>
      </c>
      <c r="AZ7" s="96">
        <f>Earns.!D13</f>
        <v>1.1000000000000001</v>
      </c>
      <c r="BA7" s="19">
        <f>Earns.!C13</f>
        <v>5.0799999999999998E-2</v>
      </c>
    </row>
    <row r="8" spans="1:53" ht="12.75">
      <c r="A8" s="96" t="s">
        <v>112</v>
      </c>
      <c r="B8" s="25">
        <f>prices!F137</f>
        <v>48.573666666666675</v>
      </c>
      <c r="C8" s="16">
        <v>0.75</v>
      </c>
      <c r="E8" s="96">
        <v>2</v>
      </c>
      <c r="F8" s="15">
        <v>1.89</v>
      </c>
      <c r="G8" s="15">
        <v>2.19</v>
      </c>
      <c r="H8" s="15">
        <v>2.65</v>
      </c>
      <c r="I8" s="15">
        <v>2.58</v>
      </c>
      <c r="J8" s="15">
        <v>2.63</v>
      </c>
      <c r="K8" s="15">
        <v>2.8</v>
      </c>
      <c r="L8" s="15">
        <v>3</v>
      </c>
      <c r="M8" s="15">
        <v>3.75</v>
      </c>
      <c r="N8" s="15">
        <v>1.76</v>
      </c>
      <c r="O8" s="15">
        <v>1.76</v>
      </c>
      <c r="P8" s="15">
        <v>1.78</v>
      </c>
      <c r="Q8" s="15">
        <v>1.84</v>
      </c>
      <c r="R8" s="15">
        <v>1.9</v>
      </c>
      <c r="S8" s="15">
        <v>1.96</v>
      </c>
      <c r="T8" s="15">
        <v>2.04</v>
      </c>
      <c r="U8" s="15">
        <v>2.2999999999999998</v>
      </c>
      <c r="V8" s="15">
        <v>6.6000000000000003E-2</v>
      </c>
      <c r="W8" s="15">
        <v>7.6999999999999999E-2</v>
      </c>
      <c r="X8" s="15">
        <v>8.6999999999999994E-2</v>
      </c>
      <c r="Y8" s="15">
        <v>8.1000000000000003E-2</v>
      </c>
      <c r="Z8" s="15">
        <v>7.8E-2</v>
      </c>
      <c r="AA8" s="15">
        <v>7.4999999999999997E-2</v>
      </c>
      <c r="AB8" s="15">
        <v>8.5000000000000006E-2</v>
      </c>
      <c r="AC8" s="15">
        <v>0.09</v>
      </c>
      <c r="AD8" s="15">
        <v>26.41</v>
      </c>
      <c r="AE8" s="15">
        <v>27.26</v>
      </c>
      <c r="AF8" s="15">
        <v>28.78</v>
      </c>
      <c r="AG8" s="15">
        <v>30.48</v>
      </c>
      <c r="AH8" s="15">
        <v>32.44</v>
      </c>
      <c r="AI8" s="15">
        <v>34.700000000000003</v>
      </c>
      <c r="AJ8" s="15">
        <v>35.799999999999997</v>
      </c>
      <c r="AK8" s="15">
        <v>39.75</v>
      </c>
      <c r="AL8" s="15">
        <v>35.200000000000003</v>
      </c>
      <c r="AM8" s="15">
        <v>35.799999999999997</v>
      </c>
      <c r="AN8" s="15">
        <v>37.5</v>
      </c>
      <c r="AO8" s="15">
        <v>39.4</v>
      </c>
      <c r="AP8" s="15">
        <v>41.4</v>
      </c>
      <c r="AQ8" s="15">
        <v>45.5</v>
      </c>
      <c r="AR8" s="15">
        <v>46</v>
      </c>
      <c r="AS8" s="15">
        <v>47.5</v>
      </c>
      <c r="AT8" s="15">
        <v>-0.02</v>
      </c>
      <c r="AU8" s="15">
        <v>0.06</v>
      </c>
      <c r="AV8" s="15">
        <v>0.03</v>
      </c>
      <c r="AW8" s="15">
        <v>0.04</v>
      </c>
      <c r="AX8" s="15">
        <v>0.05</v>
      </c>
      <c r="AY8" s="15">
        <v>4.4999999999999998E-2</v>
      </c>
      <c r="AZ8" s="96">
        <f>Earns.!D14</f>
        <v>3.24</v>
      </c>
      <c r="BA8" s="19">
        <f>Earns.!C14</f>
        <v>0.06</v>
      </c>
    </row>
    <row r="9" spans="1:53" ht="12.75">
      <c r="A9" s="96" t="s">
        <v>197</v>
      </c>
      <c r="B9" s="25">
        <v>58</v>
      </c>
      <c r="C9" s="16">
        <v>0.75</v>
      </c>
      <c r="E9" s="15">
        <v>2.04</v>
      </c>
      <c r="F9" s="15">
        <v>1.89</v>
      </c>
      <c r="G9" s="15">
        <v>2.75</v>
      </c>
      <c r="H9" s="15">
        <v>2.75</v>
      </c>
      <c r="I9" s="15">
        <v>3.05</v>
      </c>
      <c r="J9" s="15">
        <v>3.29</v>
      </c>
      <c r="K9" s="15">
        <v>3.65</v>
      </c>
      <c r="L9" s="15">
        <v>3.9</v>
      </c>
      <c r="M9" s="15">
        <v>4.05</v>
      </c>
      <c r="N9" s="15">
        <v>1.5</v>
      </c>
      <c r="O9" s="15">
        <v>1.58</v>
      </c>
      <c r="P9" s="15">
        <v>1.7</v>
      </c>
      <c r="Q9" s="15">
        <v>1.8</v>
      </c>
      <c r="R9" s="15">
        <v>1.88</v>
      </c>
      <c r="S9" s="15">
        <v>2.04</v>
      </c>
      <c r="T9" s="15">
        <v>2.2000000000000002</v>
      </c>
      <c r="U9" s="15">
        <v>2.4</v>
      </c>
      <c r="V9" s="15">
        <v>6.8000000000000005E-2</v>
      </c>
      <c r="W9" s="15">
        <v>9.9000000000000005E-2</v>
      </c>
      <c r="X9" s="15">
        <v>9.5000000000000001E-2</v>
      </c>
      <c r="Y9" s="15">
        <v>0.10299999999999999</v>
      </c>
      <c r="Z9" s="15">
        <v>0.10299999999999999</v>
      </c>
      <c r="AA9" s="15">
        <v>0.11</v>
      </c>
      <c r="AB9" s="15">
        <v>0.115</v>
      </c>
      <c r="AC9" s="15">
        <v>0.115</v>
      </c>
      <c r="AD9" s="15">
        <v>25.07</v>
      </c>
      <c r="AE9" s="15">
        <v>26.09</v>
      </c>
      <c r="AF9" s="15">
        <v>27.14</v>
      </c>
      <c r="AG9" s="15">
        <v>28.25</v>
      </c>
      <c r="AH9" s="15">
        <v>29.45</v>
      </c>
      <c r="AI9" s="15">
        <v>30</v>
      </c>
      <c r="AJ9" s="15">
        <v>31.35</v>
      </c>
      <c r="AK9" s="15">
        <v>34.799999999999997</v>
      </c>
      <c r="AL9" s="15">
        <v>110.66</v>
      </c>
      <c r="AM9" s="15">
        <v>110.89</v>
      </c>
      <c r="AN9" s="15">
        <v>111.02</v>
      </c>
      <c r="AO9" s="15">
        <v>110.99</v>
      </c>
      <c r="AP9" s="15">
        <v>110.98</v>
      </c>
      <c r="AQ9" s="15">
        <v>111</v>
      </c>
      <c r="AR9" s="15">
        <v>112</v>
      </c>
      <c r="AS9" s="15">
        <v>115</v>
      </c>
      <c r="AT9" s="15">
        <v>0.04</v>
      </c>
      <c r="AU9" s="15">
        <v>0.06</v>
      </c>
      <c r="AV9" s="15">
        <v>0.08</v>
      </c>
      <c r="AW9" s="15">
        <v>4.4999999999999998E-2</v>
      </c>
      <c r="AX9" s="15">
        <v>3.5000000000000003E-2</v>
      </c>
      <c r="AY9" s="15">
        <v>0.04</v>
      </c>
      <c r="AZ9" s="96">
        <f>Earns.!D15</f>
        <v>3.62</v>
      </c>
      <c r="BA9" s="19">
        <f>Earns.!C15</f>
        <v>4.7E-2</v>
      </c>
    </row>
    <row r="10" spans="1:53" ht="12.75">
      <c r="A10" s="14" t="s">
        <v>113</v>
      </c>
      <c r="B10" s="25">
        <f>prices!F172</f>
        <v>36.882999999999996</v>
      </c>
      <c r="C10" s="16">
        <v>0.85</v>
      </c>
      <c r="E10" s="15">
        <v>0.98</v>
      </c>
      <c r="F10" s="15">
        <v>1.33</v>
      </c>
      <c r="G10" s="15">
        <v>1.5</v>
      </c>
      <c r="H10" s="15">
        <v>1.73</v>
      </c>
      <c r="I10" s="15">
        <v>1.79</v>
      </c>
      <c r="J10" s="15">
        <v>1.94</v>
      </c>
      <c r="K10" s="15">
        <v>2.0499999999999998</v>
      </c>
      <c r="L10" s="15">
        <v>2.1</v>
      </c>
      <c r="M10" s="15">
        <v>2.5</v>
      </c>
      <c r="N10" s="15">
        <v>0.71</v>
      </c>
      <c r="O10" s="15">
        <v>0.73</v>
      </c>
      <c r="P10" s="15">
        <v>0.76</v>
      </c>
      <c r="Q10" s="15">
        <v>0.8</v>
      </c>
      <c r="R10" s="15">
        <v>0.85</v>
      </c>
      <c r="S10" s="15">
        <v>0.93</v>
      </c>
      <c r="T10" s="15">
        <v>1.03</v>
      </c>
      <c r="U10" s="15">
        <v>1.35</v>
      </c>
      <c r="V10" s="15">
        <v>0.127</v>
      </c>
      <c r="W10" s="15">
        <v>0.129</v>
      </c>
      <c r="X10" s="15">
        <v>0.13400000000000001</v>
      </c>
      <c r="Y10" s="15">
        <v>0.128</v>
      </c>
      <c r="Z10" s="15">
        <v>0.128</v>
      </c>
      <c r="AA10" s="15">
        <v>0.125</v>
      </c>
      <c r="AB10" s="15">
        <v>0.12</v>
      </c>
      <c r="AC10" s="15">
        <v>0.12</v>
      </c>
      <c r="AD10" s="15">
        <v>10.52</v>
      </c>
      <c r="AE10" s="15">
        <v>11.73</v>
      </c>
      <c r="AF10" s="15">
        <v>13.06</v>
      </c>
      <c r="AG10" s="15">
        <v>14</v>
      </c>
      <c r="AH10" s="15">
        <v>15.3</v>
      </c>
      <c r="AI10" s="15">
        <v>16.399999999999999</v>
      </c>
      <c r="AJ10" s="15">
        <v>17.45</v>
      </c>
      <c r="AK10" s="15">
        <v>21</v>
      </c>
      <c r="AL10" s="15">
        <v>194</v>
      </c>
      <c r="AM10" s="15">
        <v>195.2</v>
      </c>
      <c r="AN10" s="15">
        <v>196.2</v>
      </c>
      <c r="AO10" s="15">
        <v>197.6</v>
      </c>
      <c r="AP10" s="15">
        <v>198.5</v>
      </c>
      <c r="AQ10" s="15">
        <v>200</v>
      </c>
      <c r="AR10" s="15">
        <v>201</v>
      </c>
      <c r="AS10" s="15">
        <v>204</v>
      </c>
      <c r="AT10" s="15">
        <v>7.4999999999999997E-2</v>
      </c>
      <c r="AU10" s="15">
        <v>5.5E-2</v>
      </c>
      <c r="AV10" s="15">
        <v>0.03</v>
      </c>
      <c r="AW10" s="15">
        <v>0.09</v>
      </c>
      <c r="AX10" s="15">
        <v>8.5000000000000006E-2</v>
      </c>
      <c r="AY10" s="15">
        <v>7.0000000000000007E-2</v>
      </c>
      <c r="AZ10" s="96">
        <f>Earns.!D16</f>
        <v>2.12</v>
      </c>
      <c r="BA10" s="19">
        <f>Earns.!C16</f>
        <v>6.7500000000000004E-2</v>
      </c>
    </row>
    <row r="11" spans="1:53" ht="12.75">
      <c r="A11" s="15" t="s">
        <v>114</v>
      </c>
      <c r="B11" s="25">
        <f>prices!F207</f>
        <v>36.590333333333334</v>
      </c>
      <c r="C11" s="16">
        <v>0.75</v>
      </c>
      <c r="E11" s="15">
        <v>1.4</v>
      </c>
      <c r="F11" s="15">
        <v>1.28</v>
      </c>
      <c r="G11" s="15">
        <v>1.8</v>
      </c>
      <c r="H11" s="15">
        <v>1.79</v>
      </c>
      <c r="I11" s="15">
        <v>2.15</v>
      </c>
      <c r="J11" s="15">
        <v>2.27</v>
      </c>
      <c r="K11" s="15">
        <v>2.4500000000000002</v>
      </c>
      <c r="L11" s="15">
        <v>2.7</v>
      </c>
      <c r="M11" s="15">
        <v>2.9</v>
      </c>
      <c r="N11" s="15">
        <v>1.2</v>
      </c>
      <c r="O11" s="15">
        <v>1.24</v>
      </c>
      <c r="P11" s="15">
        <v>1.28</v>
      </c>
      <c r="Q11" s="15">
        <v>1.32</v>
      </c>
      <c r="R11" s="15">
        <v>1.36</v>
      </c>
      <c r="S11" s="15">
        <v>1.4</v>
      </c>
      <c r="T11" s="15">
        <v>1.44</v>
      </c>
      <c r="U11" s="15">
        <v>1.56</v>
      </c>
      <c r="V11" s="15">
        <v>6.2E-2</v>
      </c>
      <c r="W11" s="15">
        <v>8.5000000000000006E-2</v>
      </c>
      <c r="X11" s="15">
        <v>7.6999999999999999E-2</v>
      </c>
      <c r="Y11" s="15">
        <v>9.5000000000000001E-2</v>
      </c>
      <c r="Z11" s="15">
        <v>9.5000000000000001E-2</v>
      </c>
      <c r="AA11" s="15">
        <v>9.5000000000000001E-2</v>
      </c>
      <c r="AB11" s="15">
        <v>9.5000000000000001E-2</v>
      </c>
      <c r="AC11" s="15">
        <v>9.5000000000000001E-2</v>
      </c>
      <c r="AD11" s="15">
        <v>20.59</v>
      </c>
      <c r="AE11" s="15">
        <v>21.25</v>
      </c>
      <c r="AF11" s="15">
        <v>22.03</v>
      </c>
      <c r="AG11" s="15">
        <v>22.89</v>
      </c>
      <c r="AH11" s="15">
        <v>23.32</v>
      </c>
      <c r="AI11" s="15">
        <v>24.1</v>
      </c>
      <c r="AJ11" s="15">
        <v>25.6</v>
      </c>
      <c r="AK11" s="15">
        <v>29.65</v>
      </c>
      <c r="AL11" s="15">
        <v>109.07</v>
      </c>
      <c r="AM11" s="15">
        <v>112.13</v>
      </c>
      <c r="AN11" s="15">
        <v>125.7</v>
      </c>
      <c r="AO11" s="15">
        <v>126.5</v>
      </c>
      <c r="AP11" s="15">
        <v>127.46</v>
      </c>
      <c r="AQ11" s="15">
        <v>128.5</v>
      </c>
      <c r="AR11" s="15">
        <v>129</v>
      </c>
      <c r="AS11" s="15">
        <v>135</v>
      </c>
      <c r="AT11" s="15">
        <v>1.4999999999999999E-2</v>
      </c>
      <c r="AU11" s="15">
        <v>0.06</v>
      </c>
      <c r="AV11" s="15">
        <v>0.05</v>
      </c>
      <c r="AW11" s="15">
        <v>0.03</v>
      </c>
      <c r="AX11" s="15">
        <v>4.4999999999999998E-2</v>
      </c>
      <c r="AY11" s="15">
        <v>0.05</v>
      </c>
      <c r="AZ11" s="96">
        <f>Earns.!D17</f>
        <v>2.41</v>
      </c>
      <c r="BA11" s="19">
        <f>Earns.!C17</f>
        <v>2.9000000000000001E-2</v>
      </c>
    </row>
    <row r="12" spans="1:53" ht="12.75">
      <c r="A12" s="96" t="s">
        <v>198</v>
      </c>
      <c r="B12" s="25">
        <f>prices!F242</f>
        <v>56.366666666666667</v>
      </c>
      <c r="C12" s="16">
        <v>0.75</v>
      </c>
      <c r="E12" s="15">
        <v>1.45</v>
      </c>
      <c r="F12" s="15">
        <v>3.24</v>
      </c>
      <c r="G12" s="15">
        <v>3.35</v>
      </c>
      <c r="H12" s="15">
        <v>3.23</v>
      </c>
      <c r="I12" s="15">
        <v>4.55</v>
      </c>
      <c r="J12" s="15">
        <v>3.78</v>
      </c>
      <c r="K12" s="15">
        <v>3.45</v>
      </c>
      <c r="L12" s="15">
        <v>3.85</v>
      </c>
      <c r="M12" s="15">
        <v>4.5</v>
      </c>
      <c r="N12" s="15">
        <v>1.25</v>
      </c>
      <c r="O12" s="15">
        <v>1.27</v>
      </c>
      <c r="P12" s="15">
        <v>1.29</v>
      </c>
      <c r="Q12" s="15">
        <v>1.31</v>
      </c>
      <c r="R12" s="15">
        <v>1.37</v>
      </c>
      <c r="S12" s="15">
        <v>1.45</v>
      </c>
      <c r="T12" s="15">
        <v>1.56</v>
      </c>
      <c r="U12" s="15">
        <v>2.0499999999999998</v>
      </c>
      <c r="V12" s="15">
        <v>0.108</v>
      </c>
      <c r="W12" s="15">
        <v>0.104</v>
      </c>
      <c r="X12" s="15">
        <v>0.105</v>
      </c>
      <c r="Y12" s="15">
        <v>0.159</v>
      </c>
      <c r="Z12" s="15">
        <v>0.125</v>
      </c>
      <c r="AA12" s="15">
        <v>0.105</v>
      </c>
      <c r="AB12" s="15">
        <v>0.11</v>
      </c>
      <c r="AC12" s="15">
        <v>0.11</v>
      </c>
      <c r="AD12" s="15">
        <v>30.2</v>
      </c>
      <c r="AE12" s="15">
        <v>32.44</v>
      </c>
      <c r="AF12" s="15">
        <v>30.86</v>
      </c>
      <c r="AG12" s="15">
        <v>28.95</v>
      </c>
      <c r="AH12" s="15">
        <v>30.5</v>
      </c>
      <c r="AI12" s="15">
        <v>32.799999999999997</v>
      </c>
      <c r="AJ12" s="15">
        <v>34.950000000000003</v>
      </c>
      <c r="AK12" s="15">
        <v>41.5</v>
      </c>
      <c r="AL12" s="15">
        <v>325.81</v>
      </c>
      <c r="AM12" s="15">
        <v>325.81</v>
      </c>
      <c r="AN12" s="15">
        <v>325.81</v>
      </c>
      <c r="AO12" s="15">
        <v>325.81</v>
      </c>
      <c r="AP12" s="15">
        <v>325.81</v>
      </c>
      <c r="AQ12" s="15">
        <v>325.81</v>
      </c>
      <c r="AR12" s="15">
        <v>325.81</v>
      </c>
      <c r="AS12" s="15">
        <v>325.81</v>
      </c>
      <c r="AT12" s="15">
        <v>2.5000000000000001E-2</v>
      </c>
      <c r="AU12" s="15">
        <v>2.5000000000000001E-2</v>
      </c>
      <c r="AV12" s="15">
        <v>2.5000000000000001E-2</v>
      </c>
      <c r="AW12" s="15">
        <v>7.4999999999999997E-2</v>
      </c>
      <c r="AX12" s="15">
        <v>0.03</v>
      </c>
      <c r="AY12" s="15">
        <v>5.5E-2</v>
      </c>
      <c r="AZ12" s="96">
        <f>Earns.!D18</f>
        <v>3.59</v>
      </c>
      <c r="BA12" s="19">
        <f>Earns.!C18</f>
        <v>3.8699999999999998E-2</v>
      </c>
    </row>
    <row r="13" spans="1:53" ht="12.75">
      <c r="A13" s="15" t="s">
        <v>115</v>
      </c>
      <c r="B13" s="25">
        <f>prices!F277</f>
        <v>54.622333333333344</v>
      </c>
      <c r="C13" s="16">
        <v>0.8</v>
      </c>
      <c r="E13" s="15">
        <v>1.72</v>
      </c>
      <c r="F13" s="15">
        <v>2.64</v>
      </c>
      <c r="G13" s="15">
        <v>2.95</v>
      </c>
      <c r="H13" s="15">
        <v>3.36</v>
      </c>
      <c r="I13" s="15">
        <v>3.37</v>
      </c>
      <c r="J13" s="15">
        <v>3.64</v>
      </c>
      <c r="K13" s="15">
        <v>3.5</v>
      </c>
      <c r="L13" s="15">
        <v>3.45</v>
      </c>
      <c r="M13" s="15">
        <v>3.65</v>
      </c>
      <c r="N13" s="15">
        <v>1.2</v>
      </c>
      <c r="O13" s="15">
        <v>1.2</v>
      </c>
      <c r="P13" s="15">
        <v>1.2</v>
      </c>
      <c r="Q13" s="15">
        <v>1.37</v>
      </c>
      <c r="R13" s="15">
        <v>1.57</v>
      </c>
      <c r="S13" s="15">
        <v>1.72</v>
      </c>
      <c r="T13" s="15">
        <v>1.8</v>
      </c>
      <c r="U13" s="15">
        <v>2</v>
      </c>
      <c r="V13" s="15">
        <v>8.8999999999999996E-2</v>
      </c>
      <c r="W13" s="15">
        <v>9.2999999999999999E-2</v>
      </c>
      <c r="X13" s="15">
        <v>0.10100000000000001</v>
      </c>
      <c r="Y13" s="15">
        <v>9.6000000000000002E-2</v>
      </c>
      <c r="Z13" s="15">
        <v>9.9000000000000005E-2</v>
      </c>
      <c r="AA13" s="15">
        <v>0.09</v>
      </c>
      <c r="AB13" s="15">
        <v>8.5000000000000006E-2</v>
      </c>
      <c r="AC13" s="15">
        <v>0.08</v>
      </c>
      <c r="AD13" s="15">
        <v>29.17</v>
      </c>
      <c r="AE13" s="15">
        <v>31.01</v>
      </c>
      <c r="AF13" s="15">
        <v>33.19</v>
      </c>
      <c r="AG13" s="15">
        <v>35.07</v>
      </c>
      <c r="AH13" s="15">
        <v>36.840000000000003</v>
      </c>
      <c r="AI13" s="15">
        <v>38.65</v>
      </c>
      <c r="AJ13" s="15">
        <v>40.450000000000003</v>
      </c>
      <c r="AK13" s="15">
        <v>44.55</v>
      </c>
      <c r="AL13" s="15">
        <v>47.9</v>
      </c>
      <c r="AM13" s="15">
        <v>49.41</v>
      </c>
      <c r="AN13" s="15">
        <v>49.95</v>
      </c>
      <c r="AO13" s="15">
        <v>50.16</v>
      </c>
      <c r="AP13" s="15">
        <v>50.23</v>
      </c>
      <c r="AQ13" s="15">
        <v>50.23</v>
      </c>
      <c r="AR13" s="15">
        <v>50.2</v>
      </c>
      <c r="AS13" s="15">
        <v>51.2</v>
      </c>
      <c r="AT13" s="15">
        <v>0.1</v>
      </c>
      <c r="AU13" s="15">
        <v>0.01</v>
      </c>
      <c r="AV13" s="15">
        <v>0.03</v>
      </c>
      <c r="AW13" s="15">
        <v>6.5000000000000002E-2</v>
      </c>
      <c r="AX13" s="15">
        <v>5.5E-2</v>
      </c>
      <c r="AY13" s="15">
        <v>0.04</v>
      </c>
      <c r="AZ13" s="96">
        <f>Earns.!D19</f>
        <v>3.48</v>
      </c>
      <c r="BA13" s="19">
        <f>Earns.!C19</f>
        <v>0.04</v>
      </c>
    </row>
    <row r="14" spans="1:53" ht="12.75">
      <c r="A14" s="96" t="s">
        <v>116</v>
      </c>
      <c r="B14" s="25">
        <f>prices!F312</f>
        <v>48.561999999999998</v>
      </c>
      <c r="C14" s="16">
        <v>0.7</v>
      </c>
      <c r="E14" s="96">
        <v>2.48</v>
      </c>
      <c r="F14" s="96">
        <v>2.02</v>
      </c>
      <c r="G14" s="96">
        <v>2.14</v>
      </c>
      <c r="H14" s="96">
        <v>2.5299999999999998</v>
      </c>
      <c r="I14" s="96">
        <v>2.2599999999999998</v>
      </c>
      <c r="J14" s="96">
        <v>2.46</v>
      </c>
      <c r="K14" s="96">
        <v>2.5499999999999998</v>
      </c>
      <c r="L14" s="96">
        <v>2.75</v>
      </c>
      <c r="M14" s="96">
        <v>3</v>
      </c>
      <c r="N14" s="96">
        <v>1.34</v>
      </c>
      <c r="O14" s="96">
        <v>1.36</v>
      </c>
      <c r="P14" s="96">
        <v>1.44</v>
      </c>
      <c r="Q14" s="96">
        <v>1.48</v>
      </c>
      <c r="R14" s="96">
        <v>1.52</v>
      </c>
      <c r="S14" s="96">
        <v>1.6</v>
      </c>
      <c r="T14" s="96">
        <v>1.68</v>
      </c>
      <c r="U14" s="96">
        <v>1.9</v>
      </c>
      <c r="V14" s="96">
        <v>9.2999999999999999E-2</v>
      </c>
      <c r="W14" s="96">
        <v>9.4E-2</v>
      </c>
      <c r="X14" s="96">
        <v>0.108</v>
      </c>
      <c r="Y14" s="96">
        <v>0.09</v>
      </c>
      <c r="Z14" s="96">
        <v>9.0999999999999998E-2</v>
      </c>
      <c r="AA14" s="96">
        <v>0.09</v>
      </c>
      <c r="AB14" s="96">
        <v>9.5000000000000001E-2</v>
      </c>
      <c r="AC14" s="96">
        <v>9.5000000000000001E-2</v>
      </c>
      <c r="AD14" s="96">
        <v>21.86</v>
      </c>
      <c r="AE14" s="96">
        <v>22.64</v>
      </c>
      <c r="AF14" s="96">
        <v>23.68</v>
      </c>
      <c r="AG14" s="96">
        <v>25.09</v>
      </c>
      <c r="AH14" s="96">
        <v>26.6</v>
      </c>
      <c r="AI14" s="96">
        <v>27.75</v>
      </c>
      <c r="AJ14" s="96">
        <v>28.8</v>
      </c>
      <c r="AK14" s="96">
        <v>31.75</v>
      </c>
      <c r="AL14" s="96">
        <v>36</v>
      </c>
      <c r="AM14" s="96">
        <v>36.229999999999997</v>
      </c>
      <c r="AN14" s="96">
        <v>36.28</v>
      </c>
      <c r="AO14" s="96">
        <v>37.22</v>
      </c>
      <c r="AP14" s="96">
        <v>38.75</v>
      </c>
      <c r="AQ14" s="96">
        <v>39.5</v>
      </c>
      <c r="AR14" s="96">
        <v>39.549999999999997</v>
      </c>
      <c r="AS14" s="96">
        <v>39.700000000000003</v>
      </c>
      <c r="AT14" s="96">
        <v>0.1</v>
      </c>
      <c r="AU14" s="96">
        <v>3.5000000000000003E-2</v>
      </c>
      <c r="AV14" s="96">
        <v>0.03</v>
      </c>
      <c r="AW14" s="96">
        <v>4.4999999999999998E-2</v>
      </c>
      <c r="AX14" s="96">
        <v>3.5000000000000003E-2</v>
      </c>
      <c r="AY14" s="96">
        <v>0.04</v>
      </c>
      <c r="AZ14" s="96">
        <f>Earns.!D20</f>
        <v>3.2</v>
      </c>
      <c r="BA14" s="19">
        <f>Earns.!C20</f>
        <v>7.0000000000000007E-2</v>
      </c>
    </row>
    <row r="15" spans="1:53" ht="12.75">
      <c r="A15" s="96" t="s">
        <v>117</v>
      </c>
      <c r="B15" s="25">
        <f>prices!F347</f>
        <v>55.387000000000015</v>
      </c>
      <c r="C15" s="16">
        <v>0.7</v>
      </c>
      <c r="E15" s="96">
        <v>2.34</v>
      </c>
      <c r="F15" s="15">
        <v>2.2599999999999998</v>
      </c>
      <c r="G15" s="15">
        <v>3.08</v>
      </c>
      <c r="H15" s="15">
        <v>2.99</v>
      </c>
      <c r="I15" s="15">
        <v>3.5</v>
      </c>
      <c r="J15" s="15">
        <v>3.66</v>
      </c>
      <c r="K15" s="15">
        <v>3.7</v>
      </c>
      <c r="L15" s="15">
        <v>3.9</v>
      </c>
      <c r="M15" s="15">
        <v>4.25</v>
      </c>
      <c r="N15" s="15">
        <v>2.1</v>
      </c>
      <c r="O15" s="15">
        <v>2.1</v>
      </c>
      <c r="P15" s="15">
        <v>2.1</v>
      </c>
      <c r="Q15" s="15">
        <v>2.67</v>
      </c>
      <c r="R15" s="15">
        <v>2.23</v>
      </c>
      <c r="S15" s="15">
        <v>2.3199999999999998</v>
      </c>
      <c r="T15" s="15">
        <v>2.41</v>
      </c>
      <c r="U15" s="15">
        <v>2.75</v>
      </c>
      <c r="V15" s="15">
        <v>6.9000000000000006E-2</v>
      </c>
      <c r="W15" s="15">
        <v>0.09</v>
      </c>
      <c r="X15" s="15">
        <v>8.5999999999999993E-2</v>
      </c>
      <c r="Y15" s="15">
        <v>9.8000000000000004E-2</v>
      </c>
      <c r="Z15" s="15">
        <v>9.7000000000000003E-2</v>
      </c>
      <c r="AA15" s="15">
        <v>9.5000000000000001E-2</v>
      </c>
      <c r="AB15" s="15">
        <v>9.5000000000000001E-2</v>
      </c>
      <c r="AC15" s="15">
        <v>9.5000000000000001E-2</v>
      </c>
      <c r="AD15" s="15">
        <v>32.69</v>
      </c>
      <c r="AE15" s="15">
        <v>33.86</v>
      </c>
      <c r="AF15" s="15">
        <v>34.979999999999997</v>
      </c>
      <c r="AG15" s="15">
        <v>36.200000000000003</v>
      </c>
      <c r="AH15" s="15">
        <v>38.07</v>
      </c>
      <c r="AI15" s="15">
        <v>39.450000000000003</v>
      </c>
      <c r="AJ15" s="15">
        <v>40.950000000000003</v>
      </c>
      <c r="AK15" s="15">
        <v>45.75</v>
      </c>
      <c r="AL15" s="15">
        <v>101.43</v>
      </c>
      <c r="AM15" s="15">
        <v>108.77</v>
      </c>
      <c r="AN15" s="15">
        <v>109.25</v>
      </c>
      <c r="AO15" s="15">
        <v>109.74</v>
      </c>
      <c r="AP15" s="15">
        <v>110.18</v>
      </c>
      <c r="AQ15" s="15">
        <v>110.75</v>
      </c>
      <c r="AR15" s="15">
        <v>111.25</v>
      </c>
      <c r="AS15" s="15">
        <v>117.5</v>
      </c>
      <c r="AT15" s="15">
        <v>0.04</v>
      </c>
      <c r="AU15" s="15">
        <v>0.04</v>
      </c>
      <c r="AV15" s="15">
        <v>2.5000000000000001E-2</v>
      </c>
      <c r="AW15" s="15">
        <v>0.03</v>
      </c>
      <c r="AX15" s="18">
        <v>0.01</v>
      </c>
      <c r="AY15" s="15">
        <v>0.04</v>
      </c>
      <c r="AZ15" s="96">
        <f>Earns.!D21</f>
        <v>3.85</v>
      </c>
      <c r="BA15" s="19">
        <f>Earns.!C21</f>
        <v>3.7499999999999999E-2</v>
      </c>
    </row>
    <row r="16" spans="1:53" ht="12.75">
      <c r="A16" s="96" t="s">
        <v>118</v>
      </c>
      <c r="B16" s="25">
        <f>prices!F382</f>
        <v>32.876333333333335</v>
      </c>
      <c r="C16" s="16">
        <v>0.75</v>
      </c>
      <c r="E16" s="96">
        <v>1.1200000000000001</v>
      </c>
      <c r="F16" s="15">
        <v>1.31</v>
      </c>
      <c r="G16" s="15">
        <v>1.66</v>
      </c>
      <c r="H16" s="15">
        <v>1.95</v>
      </c>
      <c r="I16" s="15">
        <v>1.87</v>
      </c>
      <c r="J16" s="15">
        <v>1.77</v>
      </c>
      <c r="K16" s="15">
        <v>2.1</v>
      </c>
      <c r="L16" s="15">
        <v>2.15</v>
      </c>
      <c r="M16" s="15">
        <v>2.5</v>
      </c>
      <c r="N16" s="15">
        <v>1.01</v>
      </c>
      <c r="O16" s="15">
        <v>1.04</v>
      </c>
      <c r="P16" s="15">
        <v>1.06</v>
      </c>
      <c r="Q16" s="15">
        <v>1.08</v>
      </c>
      <c r="R16" s="15">
        <v>1.1000000000000001</v>
      </c>
      <c r="S16" s="15">
        <v>1.1200000000000001</v>
      </c>
      <c r="T16" s="15">
        <v>1.1399999999999999</v>
      </c>
      <c r="U16" s="15">
        <v>1.4</v>
      </c>
      <c r="V16" s="15">
        <v>6.2E-2</v>
      </c>
      <c r="W16" s="15">
        <v>7.9000000000000001E-2</v>
      </c>
      <c r="X16" s="15">
        <v>8.7999999999999995E-2</v>
      </c>
      <c r="Y16" s="15">
        <v>8.2000000000000003E-2</v>
      </c>
      <c r="Z16" s="15">
        <v>7.4999999999999997E-2</v>
      </c>
      <c r="AA16" s="15">
        <v>0.09</v>
      </c>
      <c r="AB16" s="15">
        <v>0.08</v>
      </c>
      <c r="AC16" s="15">
        <v>8.5000000000000006E-2</v>
      </c>
      <c r="AD16" s="15">
        <v>20.5</v>
      </c>
      <c r="AE16" s="15">
        <v>21.14</v>
      </c>
      <c r="AF16" s="15">
        <v>22.07</v>
      </c>
      <c r="AG16" s="15">
        <v>22.87</v>
      </c>
      <c r="AH16" s="15">
        <v>23.3</v>
      </c>
      <c r="AI16" s="15">
        <v>24.25</v>
      </c>
      <c r="AJ16" s="15">
        <v>25.4</v>
      </c>
      <c r="AK16" s="15">
        <v>28.25</v>
      </c>
      <c r="AL16" s="15">
        <v>75.209999999999994</v>
      </c>
      <c r="AM16" s="15">
        <v>75.319999999999993</v>
      </c>
      <c r="AN16" s="15">
        <v>75.36</v>
      </c>
      <c r="AO16" s="15">
        <v>75.56</v>
      </c>
      <c r="AP16" s="15">
        <v>78.09</v>
      </c>
      <c r="AQ16" s="15">
        <v>78.25</v>
      </c>
      <c r="AR16" s="15">
        <v>89.25</v>
      </c>
      <c r="AS16" s="15">
        <v>90</v>
      </c>
      <c r="AT16" s="15">
        <v>0.03</v>
      </c>
      <c r="AU16" s="15">
        <v>0.05</v>
      </c>
      <c r="AV16" s="15">
        <v>4.4999999999999998E-2</v>
      </c>
      <c r="AW16" s="15">
        <v>4.4999999999999998E-2</v>
      </c>
      <c r="AX16" s="15">
        <v>0.02</v>
      </c>
      <c r="AY16" s="15">
        <v>3.5000000000000003E-2</v>
      </c>
      <c r="AZ16" s="96">
        <f>Earns.!D22</f>
        <v>2.27</v>
      </c>
      <c r="BA16" s="19">
        <f>Earns.!C22</f>
        <v>0.11210000000000001</v>
      </c>
    </row>
    <row r="17" spans="1:53" ht="12.75">
      <c r="A17" s="96" t="s">
        <v>119</v>
      </c>
      <c r="B17" s="25">
        <f>prices!F417</f>
        <v>31.228999999999999</v>
      </c>
      <c r="C17" s="16">
        <v>0.65</v>
      </c>
      <c r="E17" s="15">
        <v>1.23</v>
      </c>
      <c r="F17" s="15">
        <v>1.49</v>
      </c>
      <c r="G17" s="15">
        <v>1.56</v>
      </c>
      <c r="H17" s="15">
        <v>1.72</v>
      </c>
      <c r="I17" s="15">
        <v>1.85</v>
      </c>
      <c r="J17" s="15">
        <v>1.91</v>
      </c>
      <c r="K17" s="15">
        <v>2</v>
      </c>
      <c r="L17" s="15">
        <v>2.0499999999999998</v>
      </c>
      <c r="M17" s="15">
        <v>2.5</v>
      </c>
      <c r="N17" s="15">
        <v>0.97</v>
      </c>
      <c r="O17" s="15">
        <v>1</v>
      </c>
      <c r="P17" s="15">
        <v>1.03</v>
      </c>
      <c r="Q17" s="15">
        <v>1.07</v>
      </c>
      <c r="R17" s="15">
        <v>1.1100000000000001</v>
      </c>
      <c r="S17" s="15">
        <v>1.2</v>
      </c>
      <c r="T17" s="15">
        <v>1.26</v>
      </c>
      <c r="U17" s="15">
        <v>1.45</v>
      </c>
      <c r="V17" s="15">
        <v>9.4E-2</v>
      </c>
      <c r="W17" s="15">
        <v>8.8999999999999996E-2</v>
      </c>
      <c r="X17" s="15">
        <v>9.9000000000000005E-2</v>
      </c>
      <c r="Y17" s="15">
        <v>0.10199999999999999</v>
      </c>
      <c r="Z17" s="15">
        <v>9.9000000000000005E-2</v>
      </c>
      <c r="AA17" s="15">
        <v>9.5000000000000001E-2</v>
      </c>
      <c r="AB17" s="15">
        <v>9.5000000000000001E-2</v>
      </c>
      <c r="AC17" s="15">
        <v>0.105</v>
      </c>
      <c r="AD17" s="15">
        <v>15.92</v>
      </c>
      <c r="AE17" s="15">
        <v>16.760000000000002</v>
      </c>
      <c r="AF17" s="15">
        <v>17.440000000000001</v>
      </c>
      <c r="AG17" s="15">
        <v>18.190000000000001</v>
      </c>
      <c r="AH17" s="15">
        <v>19.21</v>
      </c>
      <c r="AI17" s="15">
        <v>20.3</v>
      </c>
      <c r="AJ17" s="15">
        <v>21.35</v>
      </c>
      <c r="AK17" s="15">
        <v>24.25</v>
      </c>
      <c r="AL17" s="15">
        <v>457.51</v>
      </c>
      <c r="AM17" s="15">
        <v>482.33</v>
      </c>
      <c r="AN17" s="15">
        <v>486.49</v>
      </c>
      <c r="AO17" s="15">
        <v>487.96</v>
      </c>
      <c r="AP17" s="15">
        <v>497.97</v>
      </c>
      <c r="AQ17" s="15">
        <v>512</v>
      </c>
      <c r="AR17" s="15">
        <v>526</v>
      </c>
      <c r="AS17" s="15">
        <v>533</v>
      </c>
      <c r="AT17" s="15">
        <v>5.5E-2</v>
      </c>
      <c r="AU17" s="15">
        <v>5.5E-2</v>
      </c>
      <c r="AV17" s="15">
        <v>3.5000000000000003E-2</v>
      </c>
      <c r="AW17" s="15">
        <v>0.05</v>
      </c>
      <c r="AX17" s="15">
        <v>4.4999999999999998E-2</v>
      </c>
      <c r="AY17" s="15">
        <v>0.05</v>
      </c>
      <c r="AZ17" s="96">
        <f>Earns.!D23</f>
        <v>2.1</v>
      </c>
      <c r="BA17" s="19">
        <f>Earns.!C23</f>
        <v>4.4900000000000002E-2</v>
      </c>
    </row>
    <row r="18" spans="1:53" customFormat="1"/>
    <row r="19" spans="1:53" customFormat="1"/>
    <row r="20" spans="1:53" ht="12.75">
      <c r="A20" s="26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</row>
    <row r="21" spans="1:53" ht="12.75">
      <c r="A21" s="17"/>
      <c r="B21" s="14" t="s">
        <v>105</v>
      </c>
      <c r="C21" s="35">
        <f>AVERAGE(C5:C17)</f>
        <v>0.73846153846153839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</row>
    <row r="22" spans="1:53" ht="12.75">
      <c r="A22" s="1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1:53" ht="12.75">
      <c r="A23" s="17"/>
      <c r="B23" s="14"/>
      <c r="C23" s="14"/>
      <c r="D23" s="14"/>
      <c r="E23" s="14"/>
      <c r="F23" s="14"/>
      <c r="G23" s="14"/>
      <c r="H23" s="14"/>
      <c r="I23" s="14"/>
      <c r="J23"/>
      <c r="K23"/>
      <c r="L23"/>
      <c r="M23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4" spans="1:53" ht="12.75">
      <c r="A24" s="27"/>
      <c r="B24" s="14"/>
      <c r="C24" s="17" t="s">
        <v>175</v>
      </c>
      <c r="D24" s="14" t="s">
        <v>176</v>
      </c>
      <c r="E24" s="105" t="s">
        <v>177</v>
      </c>
      <c r="F24" s="105"/>
      <c r="G24" s="14"/>
      <c r="I24" s="33" t="s">
        <v>178</v>
      </c>
      <c r="J24"/>
      <c r="K24"/>
      <c r="L24"/>
      <c r="M2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ht="12.75">
      <c r="B25" s="14"/>
      <c r="C25" s="14" t="s">
        <v>179</v>
      </c>
      <c r="D25" s="14" t="s">
        <v>179</v>
      </c>
      <c r="E25" s="14"/>
      <c r="F25" s="14"/>
      <c r="G25" s="14" t="s">
        <v>180</v>
      </c>
      <c r="H25" s="14" t="s">
        <v>181</v>
      </c>
      <c r="I25" s="34" t="s">
        <v>182</v>
      </c>
      <c r="J25"/>
      <c r="K25"/>
      <c r="L25"/>
      <c r="M25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ht="12.75">
      <c r="A26" s="52" t="s">
        <v>189</v>
      </c>
      <c r="B26"/>
      <c r="C26" s="99" t="s">
        <v>199</v>
      </c>
      <c r="D26" s="99" t="s">
        <v>200</v>
      </c>
      <c r="E26" s="17">
        <v>2.5</v>
      </c>
      <c r="F26" s="17">
        <v>3.5</v>
      </c>
      <c r="G26" s="97">
        <v>38.1</v>
      </c>
      <c r="H26" s="97">
        <v>2</v>
      </c>
      <c r="I26" s="16">
        <v>0.7</v>
      </c>
      <c r="J26"/>
      <c r="K26"/>
      <c r="L26"/>
      <c r="M26"/>
      <c r="N26" s="14"/>
      <c r="O26" s="14"/>
      <c r="P26" s="14"/>
      <c r="Q26" s="14"/>
      <c r="R26" s="14"/>
      <c r="S26" s="14"/>
      <c r="T26" s="14"/>
      <c r="U26" s="14"/>
      <c r="V26" s="14"/>
      <c r="W26" s="20"/>
      <c r="X26" s="20"/>
      <c r="Y26" s="20"/>
      <c r="Z26" s="20"/>
      <c r="AA26" s="20"/>
      <c r="AB26" s="20"/>
      <c r="AC26" s="20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ht="12.75">
      <c r="A27" s="91" t="s">
        <v>190</v>
      </c>
      <c r="B27"/>
      <c r="C27" s="100" t="s">
        <v>201</v>
      </c>
      <c r="D27" s="99" t="s">
        <v>202</v>
      </c>
      <c r="E27" s="17">
        <v>4</v>
      </c>
      <c r="F27" s="17">
        <v>2.5</v>
      </c>
      <c r="G27" s="97">
        <v>45.2</v>
      </c>
      <c r="H27" s="97">
        <v>2</v>
      </c>
      <c r="I27" s="16">
        <v>0.6</v>
      </c>
      <c r="J27"/>
      <c r="K27"/>
      <c r="L27"/>
      <c r="M27"/>
      <c r="N27" s="14"/>
      <c r="O27" s="14"/>
      <c r="P27" s="14"/>
      <c r="Q27" s="14"/>
      <c r="R27" s="14"/>
      <c r="S27" s="14"/>
      <c r="T27" s="14"/>
      <c r="U27" s="14"/>
      <c r="V27" s="14">
        <f t="shared" ref="V27:AC27" si="4">AVERAGE(V5:V21)</f>
        <v>9.1538461538461555E-2</v>
      </c>
      <c r="W27" s="14">
        <f t="shared" si="4"/>
        <v>0.10061538461538462</v>
      </c>
      <c r="X27" s="14">
        <f t="shared" si="4"/>
        <v>0.10461538461538462</v>
      </c>
      <c r="Y27" s="14">
        <f t="shared" si="4"/>
        <v>0.1067692307692308</v>
      </c>
      <c r="Z27" s="14">
        <f t="shared" si="4"/>
        <v>0.10107692307692306</v>
      </c>
      <c r="AA27" s="14">
        <f t="shared" si="4"/>
        <v>9.8461538461538461E-2</v>
      </c>
      <c r="AB27" s="14">
        <f t="shared" si="4"/>
        <v>9.9615384615384606E-2</v>
      </c>
      <c r="AC27" s="14">
        <f t="shared" si="4"/>
        <v>0.10346153846153844</v>
      </c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ht="12.75">
      <c r="A28" s="52" t="s">
        <v>183</v>
      </c>
      <c r="B28"/>
      <c r="C28" s="99" t="s">
        <v>203</v>
      </c>
      <c r="D28" s="99" t="s">
        <v>204</v>
      </c>
      <c r="E28" s="17">
        <v>1.5</v>
      </c>
      <c r="F28" s="17">
        <v>3</v>
      </c>
      <c r="G28" s="97">
        <v>44.2</v>
      </c>
      <c r="H28" s="97">
        <v>2</v>
      </c>
      <c r="I28" s="16">
        <v>0.85</v>
      </c>
      <c r="J28"/>
      <c r="K28"/>
      <c r="L28"/>
      <c r="M28"/>
      <c r="N28" s="14"/>
      <c r="O28" s="14"/>
      <c r="P28" s="14"/>
      <c r="Q28" s="14"/>
      <c r="R28" s="14"/>
      <c r="S28" s="14"/>
      <c r="T28" s="14"/>
      <c r="U28" s="14"/>
      <c r="V28" s="14"/>
      <c r="W28" s="20"/>
      <c r="X28" s="20"/>
      <c r="Y28" s="20"/>
      <c r="Z28" s="20"/>
      <c r="AA28" s="20"/>
      <c r="AB28" s="20"/>
      <c r="AC28" s="20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</row>
    <row r="29" spans="1:53" ht="12.75">
      <c r="A29" s="52" t="s">
        <v>185</v>
      </c>
      <c r="B29"/>
      <c r="C29" s="100" t="s">
        <v>186</v>
      </c>
      <c r="D29" s="99" t="s">
        <v>205</v>
      </c>
      <c r="E29" s="17">
        <v>3</v>
      </c>
      <c r="F29" s="17">
        <v>3</v>
      </c>
      <c r="G29" s="97">
        <v>53.5</v>
      </c>
      <c r="H29" s="97">
        <v>2</v>
      </c>
      <c r="I29" s="16">
        <v>0.75</v>
      </c>
      <c r="J29"/>
      <c r="K29"/>
      <c r="L29"/>
      <c r="M29"/>
      <c r="N29" s="14"/>
      <c r="O29" s="14"/>
      <c r="P29" s="14"/>
      <c r="Q29" s="14"/>
      <c r="R29" s="14"/>
      <c r="S29" s="14"/>
      <c r="T29" s="14"/>
      <c r="U29" s="14"/>
      <c r="V29" s="28"/>
      <c r="W29" s="29"/>
      <c r="X29" s="29">
        <f>AVERAGE(V27:Z27)</f>
        <v>0.10092307692307693</v>
      </c>
      <c r="Y29" s="29"/>
      <c r="Z29" s="30">
        <f>AVERAGE(X27:Z27)</f>
        <v>0.10415384615384615</v>
      </c>
      <c r="AA29" s="31"/>
      <c r="AB29" s="29">
        <f>AC27</f>
        <v>0.10346153846153844</v>
      </c>
      <c r="AC29" s="30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ht="12.75">
      <c r="A30" s="52" t="s">
        <v>191</v>
      </c>
      <c r="B30"/>
      <c r="C30" s="99" t="s">
        <v>206</v>
      </c>
      <c r="D30" s="99" t="s">
        <v>200</v>
      </c>
      <c r="E30" s="17">
        <v>3</v>
      </c>
      <c r="F30" s="17">
        <v>3.5</v>
      </c>
      <c r="G30" s="97">
        <v>48.4</v>
      </c>
      <c r="H30" s="97">
        <v>2</v>
      </c>
      <c r="I30" s="16">
        <v>0.75</v>
      </c>
      <c r="J30"/>
      <c r="K30"/>
      <c r="L30"/>
      <c r="M30"/>
      <c r="N30" s="14"/>
      <c r="O30" s="14"/>
      <c r="P30" s="14"/>
      <c r="Q30" s="14"/>
      <c r="R30" s="14"/>
      <c r="S30" s="14"/>
      <c r="T30" s="14"/>
      <c r="U30" s="14"/>
      <c r="V30" s="14"/>
      <c r="W30" s="20"/>
      <c r="X30" s="20"/>
      <c r="Y30" s="20"/>
      <c r="Z30" s="20"/>
      <c r="AA30" s="20"/>
      <c r="AB30" s="20"/>
      <c r="AC30" s="20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</row>
    <row r="31" spans="1:53" ht="12.75">
      <c r="A31" s="52" t="s">
        <v>187</v>
      </c>
      <c r="B31"/>
      <c r="C31" s="99" t="s">
        <v>207</v>
      </c>
      <c r="D31" s="99" t="s">
        <v>204</v>
      </c>
      <c r="E31" s="17">
        <v>2</v>
      </c>
      <c r="F31" s="17">
        <v>3</v>
      </c>
      <c r="G31" s="97">
        <v>50.1</v>
      </c>
      <c r="H31" s="97">
        <v>2</v>
      </c>
      <c r="I31" s="16">
        <v>0.85</v>
      </c>
      <c r="J31"/>
      <c r="K31"/>
      <c r="L31"/>
      <c r="M31"/>
      <c r="N31" s="14"/>
      <c r="O31" s="14"/>
      <c r="P31" s="14"/>
      <c r="Q31" s="14"/>
      <c r="R31" s="14"/>
      <c r="S31" s="14"/>
      <c r="T31" s="14"/>
      <c r="U31" s="14"/>
      <c r="V31" s="14"/>
      <c r="W31" s="20"/>
      <c r="X31" s="20"/>
      <c r="Y31" s="20"/>
      <c r="Z31" s="20"/>
      <c r="AA31" s="20"/>
      <c r="AB31" s="20"/>
      <c r="AC31" s="20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</row>
    <row r="32" spans="1:53" ht="12.75">
      <c r="A32" s="52" t="s">
        <v>192</v>
      </c>
      <c r="B32"/>
      <c r="C32" s="99" t="s">
        <v>206</v>
      </c>
      <c r="D32" s="99" t="s">
        <v>202</v>
      </c>
      <c r="E32" s="17">
        <v>3</v>
      </c>
      <c r="F32" s="17">
        <v>2.5</v>
      </c>
      <c r="G32" s="97">
        <v>46.2</v>
      </c>
      <c r="H32" s="97">
        <v>2</v>
      </c>
      <c r="I32" s="16">
        <v>0.75</v>
      </c>
      <c r="J32"/>
      <c r="K32"/>
      <c r="L32"/>
      <c r="M32"/>
      <c r="N32" s="14"/>
      <c r="O32" s="14"/>
      <c r="P32" s="14"/>
      <c r="Q32" s="14"/>
      <c r="R32" s="14"/>
      <c r="S32" s="14"/>
      <c r="T32" s="14"/>
      <c r="U32" s="14"/>
      <c r="V32" s="14"/>
      <c r="W32" s="20"/>
      <c r="X32" s="20"/>
      <c r="Y32" s="20"/>
      <c r="Z32" s="20"/>
      <c r="AA32" s="20"/>
      <c r="AB32" s="20"/>
      <c r="AC32" s="20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</row>
    <row r="33" spans="1:53" ht="12.75">
      <c r="A33" s="52" t="s">
        <v>193</v>
      </c>
      <c r="B33"/>
      <c r="C33" s="99" t="s">
        <v>208</v>
      </c>
      <c r="D33" s="99" t="s">
        <v>200</v>
      </c>
      <c r="E33" s="17">
        <v>2</v>
      </c>
      <c r="F33" s="17">
        <v>3.5</v>
      </c>
      <c r="G33" s="97">
        <v>43.3</v>
      </c>
      <c r="H33" s="97">
        <v>2</v>
      </c>
      <c r="I33" s="16">
        <v>0.75</v>
      </c>
      <c r="J33"/>
      <c r="K33"/>
      <c r="L33"/>
      <c r="M33"/>
      <c r="N33" s="14"/>
      <c r="O33" s="14"/>
      <c r="P33" s="14"/>
      <c r="Q33" s="14"/>
      <c r="R33" s="14"/>
      <c r="S33" s="14"/>
      <c r="T33" s="14"/>
      <c r="U33" s="14"/>
      <c r="V33" s="14"/>
      <c r="W33" s="20"/>
      <c r="X33" s="20"/>
      <c r="Y33" s="20"/>
      <c r="Z33" s="20"/>
      <c r="AA33" s="20"/>
      <c r="AB33" s="20"/>
      <c r="AC33" s="20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</row>
    <row r="34" spans="1:53" ht="12.75">
      <c r="A34" s="52" t="s">
        <v>79</v>
      </c>
      <c r="B34"/>
      <c r="C34" s="99" t="s">
        <v>186</v>
      </c>
      <c r="D34" s="99" t="s">
        <v>205</v>
      </c>
      <c r="E34" s="17">
        <v>3</v>
      </c>
      <c r="F34" s="17">
        <v>3</v>
      </c>
      <c r="G34" s="97">
        <v>52.7</v>
      </c>
      <c r="H34" s="97">
        <v>2</v>
      </c>
      <c r="I34" s="16">
        <v>0.8</v>
      </c>
      <c r="J34"/>
      <c r="K34"/>
      <c r="L34"/>
      <c r="M34"/>
      <c r="N34" s="14"/>
      <c r="O34" s="14"/>
      <c r="P34" s="14"/>
      <c r="Q34" s="14"/>
      <c r="R34" s="14"/>
      <c r="S34" s="14"/>
      <c r="T34" s="14"/>
      <c r="U34" s="14"/>
      <c r="V34" s="14"/>
      <c r="W34" s="20"/>
      <c r="X34" s="20"/>
      <c r="Y34" s="20"/>
      <c r="Z34" s="20"/>
      <c r="AA34" s="20"/>
      <c r="AB34" s="20"/>
      <c r="AC34" s="20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</row>
    <row r="35" spans="1:53" ht="12.75">
      <c r="A35" s="52" t="s">
        <v>194</v>
      </c>
      <c r="B35"/>
      <c r="C35" s="99" t="s">
        <v>209</v>
      </c>
      <c r="D35" s="99" t="s">
        <v>210</v>
      </c>
      <c r="E35" s="17" t="s">
        <v>33</v>
      </c>
      <c r="F35" s="17">
        <v>3</v>
      </c>
      <c r="G35" s="97">
        <v>45.8</v>
      </c>
      <c r="H35" s="97">
        <v>3</v>
      </c>
      <c r="I35" s="16">
        <v>0.7</v>
      </c>
      <c r="J35"/>
      <c r="K35"/>
      <c r="L35"/>
      <c r="M35"/>
      <c r="N35" s="14"/>
      <c r="O35" s="14"/>
      <c r="P35" s="14"/>
      <c r="Q35" s="14"/>
      <c r="R35" s="14"/>
      <c r="S35" s="14"/>
      <c r="T35" s="14"/>
      <c r="U35" s="14"/>
      <c r="V35" s="14"/>
      <c r="W35" s="20"/>
      <c r="X35" s="20"/>
      <c r="Y35" s="20"/>
      <c r="Z35" s="20"/>
      <c r="AA35" s="20"/>
      <c r="AB35" s="20"/>
      <c r="AC35" s="20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</row>
    <row r="36" spans="1:53" ht="12.75">
      <c r="A36" s="52" t="s">
        <v>94</v>
      </c>
      <c r="B36"/>
      <c r="C36" s="99" t="s">
        <v>211</v>
      </c>
      <c r="D36" s="99" t="s">
        <v>212</v>
      </c>
      <c r="E36" s="17">
        <v>1</v>
      </c>
      <c r="F36" s="17">
        <v>2.5</v>
      </c>
      <c r="G36" s="97">
        <v>53</v>
      </c>
      <c r="H36" s="97">
        <v>1</v>
      </c>
      <c r="I36" s="16">
        <v>0.7</v>
      </c>
      <c r="J36"/>
      <c r="K36"/>
      <c r="L36"/>
      <c r="M36"/>
      <c r="N36" s="14"/>
      <c r="O36" s="14"/>
      <c r="P36" s="14"/>
      <c r="Q36" s="14"/>
      <c r="R36" s="14"/>
      <c r="S36" s="14"/>
      <c r="T36" s="14"/>
      <c r="U36" s="14"/>
      <c r="V36" s="14"/>
      <c r="W36" s="20"/>
      <c r="X36" s="20"/>
      <c r="Y36" s="20"/>
      <c r="Z36" s="20"/>
      <c r="AA36" s="20"/>
      <c r="AB36" s="20"/>
      <c r="AC36" s="20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</row>
    <row r="37" spans="1:53" ht="12.75">
      <c r="A37" s="52" t="s">
        <v>95</v>
      </c>
      <c r="B37"/>
      <c r="C37" s="99" t="s">
        <v>206</v>
      </c>
      <c r="D37" s="99" t="s">
        <v>205</v>
      </c>
      <c r="E37" s="17">
        <v>3</v>
      </c>
      <c r="F37" s="17">
        <v>3</v>
      </c>
      <c r="G37" s="97">
        <v>49.2</v>
      </c>
      <c r="H37" s="97">
        <v>2</v>
      </c>
      <c r="I37" s="16">
        <v>0.75</v>
      </c>
      <c r="J37"/>
      <c r="K37"/>
      <c r="L37"/>
      <c r="M37"/>
      <c r="N37" s="14"/>
      <c r="O37" s="14"/>
      <c r="P37" s="14"/>
      <c r="Q37" s="14"/>
      <c r="R37" s="14"/>
      <c r="S37" s="14"/>
      <c r="T37" s="14"/>
      <c r="U37" s="14"/>
      <c r="V37" s="14"/>
      <c r="W37" s="20"/>
      <c r="X37" s="20"/>
      <c r="Y37" s="20"/>
      <c r="Z37" s="20"/>
      <c r="AA37" s="20"/>
      <c r="AB37" s="20"/>
      <c r="AC37" s="20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</row>
    <row r="38" spans="1:53" ht="12.75">
      <c r="A38" s="52" t="s">
        <v>96</v>
      </c>
      <c r="B38"/>
      <c r="C38" s="99" t="s">
        <v>206</v>
      </c>
      <c r="D38" s="99" t="s">
        <v>205</v>
      </c>
      <c r="E38" s="17">
        <v>3</v>
      </c>
      <c r="F38" s="17">
        <v>3</v>
      </c>
      <c r="G38" s="97">
        <v>44.3</v>
      </c>
      <c r="H38" s="97">
        <v>2</v>
      </c>
      <c r="I38" s="16">
        <v>0.65</v>
      </c>
      <c r="J38"/>
      <c r="K38"/>
      <c r="L38"/>
      <c r="M38"/>
      <c r="N38" s="14"/>
      <c r="O38" s="14"/>
      <c r="P38" s="14"/>
      <c r="Q38" s="14"/>
      <c r="R38" s="14"/>
      <c r="S38" s="14"/>
      <c r="T38" s="14"/>
      <c r="U38" s="14"/>
      <c r="V38" s="14"/>
      <c r="W38" s="20"/>
      <c r="X38" s="20"/>
      <c r="Y38" s="20"/>
      <c r="Z38" s="20"/>
      <c r="AA38" s="20"/>
      <c r="AB38" s="20"/>
      <c r="AC38" s="20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</row>
    <row r="39" spans="1:53" customFormat="1">
      <c r="G39" s="98"/>
      <c r="H39" s="98"/>
      <c r="I39" s="98"/>
    </row>
    <row r="40" spans="1:53" customFormat="1">
      <c r="G40" s="98"/>
      <c r="H40" s="98"/>
      <c r="I40" s="98"/>
    </row>
    <row r="41" spans="1:53">
      <c r="G41" s="101"/>
      <c r="H41" s="101"/>
      <c r="I41" s="101"/>
      <c r="J41"/>
      <c r="K41"/>
      <c r="L41"/>
      <c r="M41"/>
    </row>
    <row r="42" spans="1:53">
      <c r="A42"/>
      <c r="B42"/>
      <c r="C42"/>
      <c r="D42"/>
      <c r="E42"/>
      <c r="F42"/>
      <c r="G42" s="98"/>
      <c r="H42" s="98"/>
      <c r="I42" s="98"/>
      <c r="J42"/>
      <c r="K42"/>
      <c r="L42"/>
      <c r="M42"/>
    </row>
    <row r="43" spans="1:53" ht="12.75">
      <c r="A43"/>
      <c r="B43"/>
      <c r="C43" s="14" t="s">
        <v>97</v>
      </c>
      <c r="D43"/>
      <c r="E43">
        <f>AVERAGE(E26:E38)</f>
        <v>2.5833333333333335</v>
      </c>
      <c r="F43" s="98">
        <f>AVERAGE(F26:F38)</f>
        <v>3</v>
      </c>
      <c r="G43" s="98">
        <f>AVERAGE(G26:G38)</f>
        <v>47.230769230769234</v>
      </c>
      <c r="H43" s="98">
        <f>AVERAGE(H26:H38)</f>
        <v>2</v>
      </c>
      <c r="I43" s="102">
        <f>AVERAGE(I26:I38)</f>
        <v>0.73846153846153839</v>
      </c>
      <c r="J43"/>
      <c r="K43"/>
      <c r="L43"/>
      <c r="M43"/>
      <c r="N43" s="21">
        <v>9</v>
      </c>
      <c r="O43" s="37" t="s">
        <v>159</v>
      </c>
    </row>
    <row r="44" spans="1:53" ht="12.75">
      <c r="A44"/>
      <c r="B44"/>
      <c r="C44" s="14" t="s">
        <v>98</v>
      </c>
      <c r="D44"/>
      <c r="E44"/>
      <c r="F44"/>
      <c r="G44"/>
      <c r="H44" s="106"/>
      <c r="I44" s="106"/>
      <c r="J44"/>
      <c r="K44"/>
      <c r="N44" s="21">
        <v>31</v>
      </c>
      <c r="O44" s="37" t="s">
        <v>160</v>
      </c>
    </row>
    <row r="45" spans="1:53" ht="12.75">
      <c r="A45"/>
      <c r="B45"/>
      <c r="C45" s="14" t="s">
        <v>99</v>
      </c>
      <c r="D45"/>
      <c r="E45" s="10" t="s">
        <v>213</v>
      </c>
      <c r="F45" s="10" t="s">
        <v>184</v>
      </c>
      <c r="G45"/>
      <c r="H45"/>
      <c r="I45"/>
      <c r="J45"/>
      <c r="K45"/>
      <c r="N45" s="21">
        <f>N43/(N44+N43)</f>
        <v>0.22500000000000001</v>
      </c>
      <c r="O45" s="37" t="s">
        <v>161</v>
      </c>
    </row>
    <row r="46" spans="1:53" ht="12.75">
      <c r="A46"/>
      <c r="B46"/>
      <c r="C46" s="14" t="s">
        <v>100</v>
      </c>
      <c r="D46"/>
      <c r="E46"/>
      <c r="F46"/>
      <c r="G46"/>
      <c r="H46"/>
      <c r="I46"/>
      <c r="J46"/>
      <c r="K46"/>
    </row>
    <row r="47" spans="1:53" ht="12.75">
      <c r="A47"/>
      <c r="B47"/>
      <c r="C47" s="14" t="s">
        <v>101</v>
      </c>
      <c r="D47"/>
      <c r="E47"/>
      <c r="F47"/>
      <c r="G47"/>
      <c r="H47"/>
      <c r="I47"/>
      <c r="J47"/>
      <c r="K47"/>
    </row>
    <row r="48" spans="1:53" ht="12.75">
      <c r="A48" s="32"/>
      <c r="C48" s="14" t="s">
        <v>102</v>
      </c>
      <c r="K48"/>
    </row>
    <row r="49" spans="1:11" ht="12.75">
      <c r="A49"/>
      <c r="B49"/>
      <c r="C49" s="14" t="s">
        <v>103</v>
      </c>
      <c r="D49"/>
      <c r="E49"/>
      <c r="F49"/>
      <c r="G49"/>
      <c r="H49"/>
      <c r="I49"/>
      <c r="J49"/>
      <c r="K49"/>
    </row>
    <row r="50" spans="1:11" ht="12.75">
      <c r="A50"/>
      <c r="B50"/>
      <c r="C50" s="14" t="s">
        <v>104</v>
      </c>
      <c r="D50"/>
      <c r="E50"/>
      <c r="F50"/>
      <c r="G50"/>
      <c r="H50"/>
      <c r="I50"/>
      <c r="J50"/>
      <c r="K50"/>
    </row>
  </sheetData>
  <mergeCells count="2">
    <mergeCell ref="E24:F24"/>
    <mergeCell ref="H44:I44"/>
  </mergeCells>
  <phoneticPr fontId="4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8"/>
  <sheetViews>
    <sheetView topLeftCell="A214" workbookViewId="0">
      <selection activeCell="K220" sqref="K220"/>
    </sheetView>
  </sheetViews>
  <sheetFormatPr defaultColWidth="10.85546875" defaultRowHeight="12"/>
  <cols>
    <col min="1" max="1" width="9.85546875" style="40" customWidth="1"/>
    <col min="2" max="2" width="1.140625" style="40" customWidth="1"/>
    <col min="3" max="3" width="10.85546875" style="40"/>
    <col min="4" max="4" width="9.28515625" style="71" customWidth="1"/>
    <col min="5" max="5" width="9" style="40" customWidth="1"/>
    <col min="6" max="6" width="1.85546875" style="40" customWidth="1"/>
    <col min="7" max="7" width="10.85546875" style="40"/>
    <col min="8" max="8" width="1.140625" style="40" customWidth="1"/>
    <col min="9" max="9" width="12" style="72" customWidth="1"/>
    <col min="10" max="10" width="10.85546875" style="40"/>
    <col min="11" max="11" width="5.7109375" style="40" customWidth="1"/>
    <col min="12" max="16384" width="10.85546875" style="40"/>
  </cols>
  <sheetData>
    <row r="1" spans="1:12" ht="12.75">
      <c r="K1" s="73" t="s">
        <v>223</v>
      </c>
    </row>
    <row r="2" spans="1:12" ht="12.75">
      <c r="K2" s="73" t="s">
        <v>222</v>
      </c>
    </row>
    <row r="3" spans="1:12" ht="12.75">
      <c r="K3" s="73" t="s">
        <v>9</v>
      </c>
    </row>
    <row r="4" spans="1:12" ht="12.75">
      <c r="A4" s="38"/>
      <c r="B4" s="52"/>
      <c r="C4" s="74"/>
      <c r="D4" s="75"/>
      <c r="E4" s="39"/>
      <c r="F4" s="38"/>
      <c r="G4" s="38"/>
      <c r="H4" s="52"/>
      <c r="I4" s="76"/>
      <c r="J4" s="39"/>
      <c r="K4" s="52"/>
    </row>
    <row r="5" spans="1:12" ht="12.75">
      <c r="A5" s="38"/>
      <c r="B5" s="52"/>
      <c r="C5" s="74"/>
      <c r="D5" s="75"/>
      <c r="E5" s="53"/>
      <c r="F5" s="46" t="str">
        <f>DATA!A1</f>
        <v>PACIFIC POWER &amp; LIGHT COMPANY</v>
      </c>
      <c r="G5" s="52"/>
      <c r="H5" s="52"/>
      <c r="I5" s="76"/>
      <c r="J5" s="39"/>
      <c r="K5" s="52"/>
    </row>
    <row r="6" spans="1:12" ht="12.75">
      <c r="A6" s="38"/>
      <c r="B6" s="52"/>
      <c r="C6" s="74"/>
      <c r="D6" s="75"/>
      <c r="E6" s="53"/>
      <c r="F6" s="46" t="s">
        <v>75</v>
      </c>
      <c r="G6" s="52"/>
      <c r="H6" s="52"/>
      <c r="I6" s="76"/>
      <c r="J6" s="39"/>
      <c r="K6" s="52"/>
    </row>
    <row r="7" spans="1:12" ht="12.75">
      <c r="A7" s="38"/>
      <c r="B7" s="52"/>
      <c r="C7" s="74"/>
      <c r="D7" s="75"/>
      <c r="E7" s="39"/>
      <c r="F7" s="38"/>
      <c r="G7" s="38"/>
      <c r="H7" s="52"/>
      <c r="I7" s="76"/>
      <c r="J7" s="39"/>
      <c r="K7" s="52"/>
    </row>
    <row r="8" spans="1:12" ht="12.75">
      <c r="A8" s="38"/>
      <c r="B8" s="52"/>
      <c r="C8" s="74"/>
      <c r="D8" s="75"/>
      <c r="E8" s="39"/>
      <c r="F8" s="38"/>
      <c r="G8" s="38"/>
      <c r="H8" s="52"/>
      <c r="I8" s="76"/>
      <c r="J8" s="39"/>
      <c r="K8" s="52"/>
    </row>
    <row r="9" spans="1:12" ht="12.75">
      <c r="A9" s="38"/>
      <c r="B9" s="52"/>
      <c r="C9" s="74"/>
      <c r="D9" s="75"/>
      <c r="E9" s="39"/>
      <c r="F9" s="38"/>
      <c r="G9" s="38"/>
      <c r="H9" s="52"/>
      <c r="I9" s="76"/>
      <c r="J9" s="39"/>
      <c r="K9" s="52"/>
    </row>
    <row r="10" spans="1:12" ht="12.75">
      <c r="A10" s="77" t="s">
        <v>76</v>
      </c>
      <c r="B10" s="52"/>
      <c r="C10" s="78"/>
      <c r="D10" s="79" t="s">
        <v>77</v>
      </c>
      <c r="E10" s="54" t="s">
        <v>78</v>
      </c>
      <c r="F10" s="77"/>
      <c r="G10" s="77"/>
      <c r="H10" s="52"/>
      <c r="I10" s="80" t="s">
        <v>149</v>
      </c>
      <c r="J10" s="81" t="s">
        <v>78</v>
      </c>
      <c r="K10" s="52"/>
    </row>
    <row r="11" spans="1:12" ht="12.75">
      <c r="A11" s="38"/>
      <c r="B11" s="52"/>
      <c r="C11" s="74"/>
      <c r="D11" s="75"/>
      <c r="E11" s="39"/>
      <c r="F11" s="38"/>
      <c r="G11" s="38"/>
      <c r="H11" s="52"/>
      <c r="I11" s="76"/>
      <c r="J11" s="39"/>
      <c r="K11" s="52"/>
    </row>
    <row r="12" spans="1:12" ht="12.75">
      <c r="A12" s="38"/>
      <c r="B12" s="52"/>
      <c r="C12" s="74" t="s">
        <v>150</v>
      </c>
      <c r="D12" s="75" t="s">
        <v>151</v>
      </c>
      <c r="E12" s="39"/>
      <c r="F12" s="38"/>
      <c r="G12" s="38" t="s">
        <v>152</v>
      </c>
      <c r="H12" s="52"/>
      <c r="I12" s="76" t="s">
        <v>51</v>
      </c>
      <c r="J12" s="39" t="s">
        <v>52</v>
      </c>
      <c r="K12" s="52"/>
    </row>
    <row r="13" spans="1:12" ht="12.75">
      <c r="A13" s="82" t="str">
        <f>DATA!A5</f>
        <v>NEE</v>
      </c>
      <c r="B13" s="52"/>
      <c r="C13" s="78" t="s">
        <v>53</v>
      </c>
      <c r="D13" s="79" t="s">
        <v>54</v>
      </c>
      <c r="E13" s="54" t="s">
        <v>55</v>
      </c>
      <c r="F13" s="77"/>
      <c r="G13" s="77" t="s">
        <v>56</v>
      </c>
      <c r="H13" s="52"/>
      <c r="I13" s="83" t="s">
        <v>57</v>
      </c>
      <c r="J13" s="54" t="s">
        <v>78</v>
      </c>
      <c r="K13" s="52"/>
    </row>
    <row r="14" spans="1:12" ht="12.75">
      <c r="A14" s="38">
        <f>DATA!F$3</f>
        <v>2009</v>
      </c>
      <c r="B14" s="52"/>
      <c r="C14" s="74">
        <f>1-DATA!N5/DATA!F5</f>
        <v>0.52392947103274556</v>
      </c>
      <c r="D14" s="75">
        <f>DATA!V$5</f>
        <v>0.125</v>
      </c>
      <c r="E14" s="39">
        <f>C14*D14</f>
        <v>6.5491183879093195E-2</v>
      </c>
      <c r="F14" s="38"/>
      <c r="G14" s="76">
        <f>DATA!AD$5</f>
        <v>31.35</v>
      </c>
      <c r="H14" s="52"/>
      <c r="I14" s="76">
        <f>DATA!AL$5</f>
        <v>413.62</v>
      </c>
      <c r="J14" s="39"/>
      <c r="K14" s="52"/>
      <c r="L14" s="84">
        <f>AVERAGE(D16:D18)</f>
        <v>0.12266666666666666</v>
      </c>
    </row>
    <row r="15" spans="1:12" ht="12.75">
      <c r="A15" s="38">
        <f>DATA!G$3</f>
        <v>2010</v>
      </c>
      <c r="B15" s="52"/>
      <c r="C15" s="74">
        <f>1-DATA!O5/DATA!G5</f>
        <v>0.57805907172995785</v>
      </c>
      <c r="D15" s="75">
        <f>DATA!W$5</f>
        <v>0.13500000000000001</v>
      </c>
      <c r="E15" s="39">
        <f>C15*D15</f>
        <v>7.8037974683544314E-2</v>
      </c>
      <c r="F15" s="38"/>
      <c r="G15" s="76">
        <f>DATA!AE$5</f>
        <v>34.36</v>
      </c>
      <c r="H15" s="52"/>
      <c r="I15" s="76">
        <f>DATA!AM$5</f>
        <v>420.86</v>
      </c>
      <c r="J15" s="39"/>
      <c r="K15" s="52"/>
    </row>
    <row r="16" spans="1:12" ht="12.75">
      <c r="A16" s="38">
        <f>DATA!H$3</f>
        <v>2011</v>
      </c>
      <c r="B16" s="52"/>
      <c r="C16" s="74">
        <f>1-DATA!P5/DATA!H5</f>
        <v>0.54356846473029052</v>
      </c>
      <c r="D16" s="75">
        <f>DATA!X$5</f>
        <v>0.13500000000000001</v>
      </c>
      <c r="E16" s="39">
        <f>C16*D16</f>
        <v>7.3381742738589231E-2</v>
      </c>
      <c r="F16" s="38"/>
      <c r="G16" s="76">
        <f>DATA!AF$5</f>
        <v>35.92</v>
      </c>
      <c r="H16" s="52"/>
      <c r="I16" s="76">
        <f>DATA!AN$5</f>
        <v>416</v>
      </c>
      <c r="J16" s="39"/>
      <c r="K16" s="52"/>
    </row>
    <row r="17" spans="1:15" ht="12.75">
      <c r="A17" s="38">
        <f>DATA!I$3</f>
        <v>2012</v>
      </c>
      <c r="B17" s="52"/>
      <c r="C17" s="74">
        <f>1-DATA!Q5/DATA!I5</f>
        <v>0.47368421052631582</v>
      </c>
      <c r="D17" s="75">
        <f>DATA!Y$5</f>
        <v>0.11899999999999999</v>
      </c>
      <c r="E17" s="39">
        <f>C17*D17</f>
        <v>5.6368421052631582E-2</v>
      </c>
      <c r="F17" s="38"/>
      <c r="G17" s="76">
        <f>DATA!AG$5</f>
        <v>37.9</v>
      </c>
      <c r="H17" s="52"/>
      <c r="I17" s="76">
        <f>DATA!AO$5</f>
        <v>424</v>
      </c>
      <c r="J17" s="39"/>
      <c r="K17" s="52"/>
    </row>
    <row r="18" spans="1:15" ht="12.75">
      <c r="A18" s="38">
        <f>DATA!J$3</f>
        <v>2013</v>
      </c>
      <c r="B18" s="52"/>
      <c r="C18" s="74">
        <f>1-DATA!R5/DATA!J5</f>
        <v>0.45341614906832295</v>
      </c>
      <c r="D18" s="75">
        <f>DATA!Z$5</f>
        <v>0.114</v>
      </c>
      <c r="E18" s="43">
        <f>C18*D18</f>
        <v>5.1689440993788818E-2</v>
      </c>
      <c r="F18" s="42"/>
      <c r="G18" s="85">
        <f>DATA!AH$5</f>
        <v>41.47</v>
      </c>
      <c r="H18" s="86"/>
      <c r="I18" s="85">
        <f>DATA!AP$5</f>
        <v>435</v>
      </c>
      <c r="J18" s="39"/>
      <c r="K18" s="52"/>
      <c r="L18" s="40">
        <f>(I18/I15)^0.33333-1</f>
        <v>1.1076044788475015E-2</v>
      </c>
    </row>
    <row r="19" spans="1:15" ht="12.75">
      <c r="A19" s="64" t="s">
        <v>82</v>
      </c>
      <c r="B19" s="52"/>
      <c r="C19" s="74"/>
      <c r="D19" s="75"/>
      <c r="E19" s="39">
        <f>AVERAGE(E14:E18)</f>
        <v>6.499375266952942E-2</v>
      </c>
      <c r="F19" s="39"/>
      <c r="G19" s="39">
        <f>DATA!AX5</f>
        <v>7.4999999999999997E-2</v>
      </c>
      <c r="H19" s="52"/>
      <c r="I19" s="76"/>
      <c r="J19" s="39">
        <f>(I18/I14)^0.25-1</f>
        <v>1.2679297519621713E-2</v>
      </c>
      <c r="K19" s="52"/>
      <c r="O19" s="45"/>
    </row>
    <row r="20" spans="1:15" ht="12.75">
      <c r="A20" s="38">
        <f>DATA!K$3</f>
        <v>2014</v>
      </c>
      <c r="B20" s="52"/>
      <c r="C20" s="74">
        <f>1-DATA!S$5/DATA!K$5</f>
        <v>0.38947368421052631</v>
      </c>
      <c r="D20" s="75">
        <f>DATA!AA$5</f>
        <v>0.105</v>
      </c>
      <c r="E20" s="39">
        <f>C20*D20</f>
        <v>4.0894736842105261E-2</v>
      </c>
      <c r="F20" s="39"/>
      <c r="G20" s="39"/>
      <c r="H20" s="52"/>
      <c r="I20" s="76">
        <f>DATA!AQ$5</f>
        <v>443</v>
      </c>
      <c r="J20" s="39">
        <f>(I20/I18)-1</f>
        <v>1.839080459770126E-2</v>
      </c>
      <c r="K20" s="52"/>
    </row>
    <row r="21" spans="1:15" ht="12.75">
      <c r="A21" s="38">
        <f>DATA!L$3</f>
        <v>2015</v>
      </c>
      <c r="B21" s="52"/>
      <c r="C21" s="74">
        <f>1-DATA!T$5/DATA!L$5</f>
        <v>0.42545454545454542</v>
      </c>
      <c r="D21" s="75">
        <f>DATA!AB$5</f>
        <v>0.11</v>
      </c>
      <c r="E21" s="39">
        <f>C21*D21</f>
        <v>4.6799999999999994E-2</v>
      </c>
      <c r="F21" s="39"/>
      <c r="G21" s="39"/>
      <c r="H21" s="52"/>
      <c r="I21" s="76">
        <f>DATA!AR$5</f>
        <v>458</v>
      </c>
      <c r="J21" s="39">
        <f>(I21/I17)^0.5-1</f>
        <v>3.9321258921072522E-2</v>
      </c>
      <c r="K21" s="52"/>
    </row>
    <row r="22" spans="1:15" ht="12.75">
      <c r="A22" s="38" t="str">
        <f>DATA!M$3</f>
        <v>2017-2019</v>
      </c>
      <c r="B22" s="52"/>
      <c r="C22" s="74">
        <f>1-DATA!U$5/DATA!M$5</f>
        <v>0.42222222222222228</v>
      </c>
      <c r="D22" s="75">
        <f>DATA!AC$5</f>
        <v>0.12</v>
      </c>
      <c r="E22" s="39">
        <f>C22*D22</f>
        <v>5.0666666666666672E-2</v>
      </c>
      <c r="F22" s="39"/>
      <c r="G22" s="39">
        <f>DATA!AY5</f>
        <v>7.0000000000000007E-2</v>
      </c>
      <c r="H22" s="52"/>
      <c r="I22" s="76">
        <f>DATA!AS$5</f>
        <v>470</v>
      </c>
      <c r="J22" s="39">
        <f>(I22/I18)^0.2-1</f>
        <v>1.5597726962486735E-2</v>
      </c>
      <c r="K22" s="52"/>
      <c r="L22" s="40">
        <f>(I22/I15)^(1/8)-1</f>
        <v>1.3899773150349848E-2</v>
      </c>
    </row>
    <row r="23" spans="1:15" ht="12.75">
      <c r="A23" s="38"/>
      <c r="B23" s="52"/>
      <c r="C23" s="74"/>
      <c r="D23" s="75"/>
      <c r="E23" s="39"/>
      <c r="F23" s="38"/>
      <c r="G23" s="38"/>
      <c r="H23" s="52"/>
      <c r="I23" s="76"/>
      <c r="J23" s="39"/>
      <c r="K23" s="52"/>
    </row>
    <row r="24" spans="1:15" ht="12.75">
      <c r="A24" s="38"/>
      <c r="B24" s="52"/>
      <c r="C24" s="74"/>
      <c r="D24" s="75"/>
      <c r="E24" s="39"/>
      <c r="F24" s="38"/>
      <c r="G24" s="38"/>
      <c r="H24" s="52"/>
      <c r="I24" s="76"/>
      <c r="J24" s="39"/>
      <c r="K24" s="52"/>
    </row>
    <row r="25" spans="1:15" ht="12.75">
      <c r="A25" s="38"/>
      <c r="B25" s="52"/>
      <c r="C25" s="74"/>
      <c r="D25" s="75"/>
      <c r="E25" s="39"/>
      <c r="F25" s="38"/>
      <c r="G25" s="38"/>
      <c r="H25" s="52"/>
      <c r="I25" s="76"/>
      <c r="J25" s="39"/>
      <c r="K25" s="52"/>
    </row>
    <row r="26" spans="1:15" ht="12.75">
      <c r="A26" s="77" t="s">
        <v>76</v>
      </c>
      <c r="B26" s="52"/>
      <c r="C26" s="78"/>
      <c r="D26" s="79" t="s">
        <v>77</v>
      </c>
      <c r="E26" s="54" t="s">
        <v>78</v>
      </c>
      <c r="F26" s="77"/>
      <c r="G26" s="77"/>
      <c r="H26" s="52"/>
      <c r="I26" s="80" t="s">
        <v>149</v>
      </c>
      <c r="J26" s="81" t="s">
        <v>78</v>
      </c>
      <c r="K26" s="52"/>
    </row>
    <row r="27" spans="1:15" ht="12.75">
      <c r="A27" s="38"/>
      <c r="B27" s="52"/>
      <c r="C27" s="74"/>
      <c r="D27" s="75"/>
      <c r="E27" s="39"/>
      <c r="F27" s="38"/>
      <c r="G27" s="38"/>
      <c r="H27" s="52"/>
      <c r="I27" s="76"/>
      <c r="J27" s="39"/>
      <c r="K27" s="52"/>
    </row>
    <row r="28" spans="1:15" ht="12.75">
      <c r="A28" s="38"/>
      <c r="B28" s="52"/>
      <c r="C28" s="74" t="s">
        <v>150</v>
      </c>
      <c r="D28" s="75" t="s">
        <v>151</v>
      </c>
      <c r="E28" s="39"/>
      <c r="F28" s="38"/>
      <c r="G28" s="38" t="s">
        <v>152</v>
      </c>
      <c r="H28" s="52"/>
      <c r="I28" s="76" t="s">
        <v>51</v>
      </c>
      <c r="J28" s="39" t="s">
        <v>52</v>
      </c>
      <c r="K28" s="52"/>
    </row>
    <row r="29" spans="1:15" ht="12.75">
      <c r="A29" s="82" t="str">
        <f>DATA!A$6</f>
        <v>SO</v>
      </c>
      <c r="B29" s="52"/>
      <c r="C29" s="78" t="s">
        <v>53</v>
      </c>
      <c r="D29" s="79" t="s">
        <v>54</v>
      </c>
      <c r="E29" s="54" t="s">
        <v>55</v>
      </c>
      <c r="F29" s="77"/>
      <c r="G29" s="77" t="s">
        <v>56</v>
      </c>
      <c r="H29" s="52"/>
      <c r="I29" s="83" t="s">
        <v>57</v>
      </c>
      <c r="J29" s="54" t="s">
        <v>78</v>
      </c>
      <c r="K29" s="52"/>
    </row>
    <row r="30" spans="1:15" ht="12.75">
      <c r="A30" s="38">
        <f>DATA!F$3</f>
        <v>2009</v>
      </c>
      <c r="B30" s="52"/>
      <c r="C30" s="74">
        <f>1-DATA!N$6/DATA!F$6</f>
        <v>0.25431034482758619</v>
      </c>
      <c r="D30" s="75">
        <f>DATA!V$6</f>
        <v>0.124</v>
      </c>
      <c r="E30" s="39">
        <f>C30*D30</f>
        <v>3.153448275862069E-2</v>
      </c>
      <c r="F30" s="38"/>
      <c r="G30" s="76">
        <f>DATA!AD$6</f>
        <v>18.149999999999999</v>
      </c>
      <c r="H30" s="52"/>
      <c r="I30" s="76">
        <f>DATA!AL$6</f>
        <v>819.65</v>
      </c>
      <c r="J30" s="39"/>
      <c r="K30" s="52"/>
      <c r="L30" s="45">
        <f>AVERAGE(E30:E33)</f>
        <v>3.2203305828993709E-2</v>
      </c>
    </row>
    <row r="31" spans="1:15" ht="12.75">
      <c r="A31" s="38">
        <f>DATA!G$3</f>
        <v>2010</v>
      </c>
      <c r="B31" s="52"/>
      <c r="C31" s="74">
        <f>1-DATA!O$6/DATA!G$6</f>
        <v>0.23728813559322026</v>
      </c>
      <c r="D31" s="75">
        <f>DATA!W$6</f>
        <v>0.122</v>
      </c>
      <c r="E31" s="39">
        <f>C31*D31</f>
        <v>2.8949152542372871E-2</v>
      </c>
      <c r="F31" s="38"/>
      <c r="G31" s="76">
        <f>DATA!AE$6</f>
        <v>19.21</v>
      </c>
      <c r="H31" s="52"/>
      <c r="I31" s="76">
        <f>DATA!AM$6</f>
        <v>843.34</v>
      </c>
      <c r="J31" s="39"/>
      <c r="K31" s="52"/>
    </row>
    <row r="32" spans="1:15" ht="12.75">
      <c r="A32" s="38">
        <f>DATA!H$3</f>
        <v>2011</v>
      </c>
      <c r="B32" s="52"/>
      <c r="C32" s="74">
        <f>1-DATA!P$6/DATA!H$6</f>
        <v>0.26666666666666661</v>
      </c>
      <c r="D32" s="75">
        <f>DATA!X$6</f>
        <v>0.125</v>
      </c>
      <c r="E32" s="39">
        <f>C32*D32</f>
        <v>3.3333333333333326E-2</v>
      </c>
      <c r="F32" s="38"/>
      <c r="G32" s="76">
        <f>DATA!AF$6</f>
        <v>20.32</v>
      </c>
      <c r="H32" s="52"/>
      <c r="I32" s="76">
        <f>DATA!AN$6</f>
        <v>865.13</v>
      </c>
      <c r="J32" s="39"/>
      <c r="K32" s="52"/>
      <c r="L32" s="40">
        <f>(I34/I32)^0.5-1</f>
        <v>1.2612200390887285E-2</v>
      </c>
    </row>
    <row r="33" spans="1:11" ht="12.75">
      <c r="A33" s="38">
        <f>DATA!I$3</f>
        <v>2012</v>
      </c>
      <c r="B33" s="52"/>
      <c r="C33" s="74">
        <f>1-DATA!Q$6/DATA!I$6</f>
        <v>0.27340823970037453</v>
      </c>
      <c r="D33" s="75">
        <f>DATA!Y$6</f>
        <v>0.128</v>
      </c>
      <c r="E33" s="39">
        <f>C33*D33</f>
        <v>3.4996254681647944E-2</v>
      </c>
      <c r="F33" s="38"/>
      <c r="G33" s="76">
        <f>DATA!AG$6</f>
        <v>21.09</v>
      </c>
      <c r="H33" s="52"/>
      <c r="I33" s="76">
        <f>DATA!AO$6</f>
        <v>867.77</v>
      </c>
      <c r="J33" s="39"/>
      <c r="K33" s="52"/>
    </row>
    <row r="34" spans="1:11" ht="12.75">
      <c r="A34" s="38">
        <f>DATA!J$3</f>
        <v>2013</v>
      </c>
      <c r="B34" s="52"/>
      <c r="C34" s="74">
        <f>1-DATA!R$6/DATA!J$6</f>
        <v>0.25555555555555565</v>
      </c>
      <c r="D34" s="75">
        <f>DATA!Z$6</f>
        <v>0.125</v>
      </c>
      <c r="E34" s="43">
        <f>C34*D34</f>
        <v>3.1944444444444456E-2</v>
      </c>
      <c r="F34" s="42"/>
      <c r="G34" s="85">
        <f>DATA!AH$6</f>
        <v>21.43</v>
      </c>
      <c r="H34" s="86"/>
      <c r="I34" s="85">
        <f>DATA!AP$6</f>
        <v>887.09</v>
      </c>
      <c r="J34" s="39"/>
      <c r="K34" s="52"/>
    </row>
    <row r="35" spans="1:11" ht="12.75">
      <c r="A35" s="64" t="s">
        <v>82</v>
      </c>
      <c r="B35" s="52"/>
      <c r="C35" s="74"/>
      <c r="D35" s="75"/>
      <c r="E35" s="39">
        <f>AVERAGE(E30:E34)</f>
        <v>3.2151533552083854E-2</v>
      </c>
      <c r="F35" s="39"/>
      <c r="G35" s="39">
        <f>DATA!AX$6</f>
        <v>5.5E-2</v>
      </c>
      <c r="H35" s="52"/>
      <c r="I35" s="76"/>
      <c r="J35" s="39">
        <f>(I34/I30)^0.25-1</f>
        <v>1.9963921636560356E-2</v>
      </c>
      <c r="K35" s="52"/>
    </row>
    <row r="36" spans="1:11" ht="12.75">
      <c r="A36" s="38">
        <f>DATA!K$3</f>
        <v>2014</v>
      </c>
      <c r="B36" s="52"/>
      <c r="C36" s="74">
        <f>1-DATA!S$6/DATA!K$6</f>
        <v>0.25714285714285712</v>
      </c>
      <c r="D36" s="75">
        <f>DATA!AA$6</f>
        <v>0.125</v>
      </c>
      <c r="E36" s="39">
        <f>C36*D36</f>
        <v>3.214285714285714E-2</v>
      </c>
      <c r="F36" s="39"/>
      <c r="G36" s="39"/>
      <c r="H36" s="52"/>
      <c r="I36" s="76">
        <f>DATA!AQ$6</f>
        <v>902</v>
      </c>
      <c r="J36" s="39">
        <f>(I36/I34)-1</f>
        <v>1.6807764713839601E-2</v>
      </c>
      <c r="K36" s="52"/>
    </row>
    <row r="37" spans="1:11" ht="12.75">
      <c r="A37" s="38">
        <f>DATA!L$3</f>
        <v>2015</v>
      </c>
      <c r="B37" s="38"/>
      <c r="C37" s="74">
        <f>1-DATA!T$6/DATA!L$6</f>
        <v>0.25862068965517238</v>
      </c>
      <c r="D37" s="75">
        <f>DATA!AB$6</f>
        <v>0.125</v>
      </c>
      <c r="E37" s="39">
        <f>C37*D37</f>
        <v>3.2327586206896547E-2</v>
      </c>
      <c r="F37" s="38"/>
      <c r="G37" s="39"/>
      <c r="H37" s="38"/>
      <c r="I37" s="76">
        <f>DATA!AR$6</f>
        <v>904</v>
      </c>
      <c r="J37" s="39">
        <f>(I37/I34)^0.5-1</f>
        <v>9.4861699820585343E-3</v>
      </c>
      <c r="K37" s="52"/>
    </row>
    <row r="38" spans="1:11" ht="12.75">
      <c r="A38" s="38" t="str">
        <f>DATA!M$3</f>
        <v>2017-2019</v>
      </c>
      <c r="B38" s="52"/>
      <c r="C38" s="74">
        <f>1-DATA!U$6/DATA!M$6</f>
        <v>0.27384615384615385</v>
      </c>
      <c r="D38" s="75">
        <f>DATA!AC$6</f>
        <v>0.125</v>
      </c>
      <c r="E38" s="39">
        <f>C38*D38</f>
        <v>3.4230769230769231E-2</v>
      </c>
      <c r="F38" s="39"/>
      <c r="G38" s="39">
        <f>DATA!AY$6</f>
        <v>0.04</v>
      </c>
      <c r="H38" s="52"/>
      <c r="I38" s="76">
        <f>DATA!AS$6</f>
        <v>940</v>
      </c>
      <c r="J38" s="39">
        <f>(I38/I34)^0.2-1</f>
        <v>1.1654072156808359E-2</v>
      </c>
      <c r="K38" s="52"/>
    </row>
    <row r="39" spans="1:11" ht="12.75">
      <c r="A39" s="38"/>
      <c r="B39" s="52"/>
      <c r="C39" s="74"/>
      <c r="D39" s="75"/>
      <c r="E39" s="39"/>
      <c r="F39" s="38"/>
      <c r="G39" s="38"/>
      <c r="H39" s="52"/>
      <c r="I39" s="76"/>
      <c r="J39" s="39"/>
      <c r="K39" s="52"/>
    </row>
    <row r="40" spans="1:11" ht="12.75">
      <c r="A40" s="38"/>
      <c r="B40" s="52"/>
      <c r="C40" s="74"/>
      <c r="D40" s="75"/>
      <c r="E40" s="39"/>
      <c r="F40" s="38"/>
      <c r="G40" s="38"/>
      <c r="H40" s="52"/>
      <c r="I40" s="76"/>
      <c r="J40" s="39"/>
      <c r="K40" s="52"/>
    </row>
    <row r="41" spans="1:11" ht="12.75">
      <c r="A41" s="38"/>
      <c r="B41" s="52"/>
      <c r="C41" s="74"/>
      <c r="D41" s="75"/>
      <c r="E41" s="39"/>
      <c r="F41" s="38"/>
      <c r="G41" s="38"/>
      <c r="H41" s="52"/>
      <c r="I41" s="76"/>
      <c r="J41" s="39"/>
      <c r="K41" s="52"/>
    </row>
    <row r="42" spans="1:11" ht="12.75">
      <c r="A42" s="77" t="s">
        <v>76</v>
      </c>
      <c r="B42" s="52"/>
      <c r="C42" s="78"/>
      <c r="D42" s="79" t="s">
        <v>77</v>
      </c>
      <c r="E42" s="54" t="s">
        <v>78</v>
      </c>
      <c r="F42" s="77"/>
      <c r="G42" s="77"/>
      <c r="H42" s="52"/>
      <c r="I42" s="80" t="s">
        <v>149</v>
      </c>
      <c r="J42" s="81" t="s">
        <v>78</v>
      </c>
      <c r="K42" s="52"/>
    </row>
    <row r="43" spans="1:11" ht="12.75">
      <c r="A43" s="38"/>
      <c r="B43" s="52"/>
      <c r="C43" s="74"/>
      <c r="D43" s="75"/>
      <c r="E43" s="39"/>
      <c r="F43" s="38"/>
      <c r="G43" s="38"/>
      <c r="H43" s="52"/>
      <c r="I43" s="76"/>
      <c r="J43" s="39"/>
      <c r="K43" s="52"/>
    </row>
    <row r="44" spans="1:11" ht="12.75">
      <c r="A44" s="38"/>
      <c r="B44" s="52"/>
      <c r="C44" s="74" t="s">
        <v>150</v>
      </c>
      <c r="D44" s="75" t="s">
        <v>151</v>
      </c>
      <c r="E44" s="39"/>
      <c r="F44" s="38"/>
      <c r="G44" s="38" t="s">
        <v>152</v>
      </c>
      <c r="H44" s="52"/>
      <c r="I44" s="76" t="s">
        <v>51</v>
      </c>
      <c r="J44" s="39" t="s">
        <v>52</v>
      </c>
      <c r="K44" s="52"/>
    </row>
    <row r="45" spans="1:11" ht="12.75">
      <c r="A45" s="82" t="str">
        <f>DATA!A$7</f>
        <v>TE</v>
      </c>
      <c r="B45" s="52"/>
      <c r="C45" s="78" t="s">
        <v>53</v>
      </c>
      <c r="D45" s="79" t="s">
        <v>54</v>
      </c>
      <c r="E45" s="54" t="s">
        <v>55</v>
      </c>
      <c r="F45" s="77"/>
      <c r="G45" s="77" t="s">
        <v>56</v>
      </c>
      <c r="H45" s="52"/>
      <c r="I45" s="83" t="s">
        <v>57</v>
      </c>
      <c r="J45" s="54" t="s">
        <v>78</v>
      </c>
      <c r="K45" s="52"/>
    </row>
    <row r="46" spans="1:11" ht="12.75">
      <c r="A46" s="38">
        <f>DATA!F$3</f>
        <v>2009</v>
      </c>
      <c r="B46" s="52"/>
      <c r="C46" s="74">
        <f>1-DATA!N$7/DATA!F$7</f>
        <v>0.19999999999999996</v>
      </c>
      <c r="D46" s="75">
        <f>DATA!V$7</f>
        <v>0.10299999999999999</v>
      </c>
      <c r="E46" s="39">
        <f>C46*D46</f>
        <v>2.0599999999999993E-2</v>
      </c>
      <c r="F46" s="38"/>
      <c r="G46" s="76">
        <f>DATA!AD$7</f>
        <v>9.75</v>
      </c>
      <c r="H46" s="52"/>
      <c r="I46" s="76">
        <f>DATA!AL$7</f>
        <v>213.9</v>
      </c>
      <c r="J46" s="39"/>
      <c r="K46" s="52"/>
    </row>
    <row r="47" spans="1:11" ht="12.75">
      <c r="A47" s="38">
        <f>DATA!G$3</f>
        <v>2010</v>
      </c>
      <c r="B47" s="52"/>
      <c r="C47" s="74">
        <f>1-DATA!O$7/DATA!G$7</f>
        <v>0.27433628318584069</v>
      </c>
      <c r="D47" s="75">
        <f>DATA!W$7</f>
        <v>0.112</v>
      </c>
      <c r="E47" s="39">
        <f>C47*D47</f>
        <v>3.0725663716814157E-2</v>
      </c>
      <c r="F47" s="38"/>
      <c r="G47" s="76">
        <f>DATA!AE$7</f>
        <v>10.1</v>
      </c>
      <c r="H47" s="52"/>
      <c r="I47" s="76">
        <f>DATA!AM$7</f>
        <v>214.9</v>
      </c>
      <c r="J47" s="39"/>
      <c r="K47" s="52"/>
    </row>
    <row r="48" spans="1:11" ht="12.75">
      <c r="A48" s="38">
        <f>DATA!H$3</f>
        <v>2011</v>
      </c>
      <c r="B48" s="52"/>
      <c r="C48" s="74">
        <f>1-DATA!P$7/DATA!H$7</f>
        <v>0.33070866141732291</v>
      </c>
      <c r="D48" s="75">
        <f>DATA!X$7</f>
        <v>0.12</v>
      </c>
      <c r="E48" s="39">
        <f>C48*D48</f>
        <v>3.9685039370078751E-2</v>
      </c>
      <c r="F48" s="38"/>
      <c r="G48" s="76">
        <f>DATA!AF$7</f>
        <v>10.5</v>
      </c>
      <c r="H48" s="52"/>
      <c r="I48" s="76">
        <f>DATA!AN$7</f>
        <v>215.8</v>
      </c>
      <c r="J48" s="39"/>
      <c r="K48" s="52"/>
    </row>
    <row r="49" spans="1:11" ht="12.75">
      <c r="A49" s="38">
        <f>DATA!I$3</f>
        <v>2012</v>
      </c>
      <c r="B49" s="52"/>
      <c r="C49" s="74">
        <f>1-DATA!Q$7/DATA!I$7</f>
        <v>0.22807017543859642</v>
      </c>
      <c r="D49" s="75">
        <f>DATA!Y$7</f>
        <v>0.107</v>
      </c>
      <c r="E49" s="39">
        <f>C49*D49</f>
        <v>2.4403508771929816E-2</v>
      </c>
      <c r="F49" s="38"/>
      <c r="G49" s="76">
        <f>DATA!AG$7</f>
        <v>10.58</v>
      </c>
      <c r="H49" s="52"/>
      <c r="I49" s="76">
        <f>DATA!AO$7</f>
        <v>216.6</v>
      </c>
      <c r="J49" s="39"/>
      <c r="K49" s="52"/>
    </row>
    <row r="50" spans="1:11" ht="12.75">
      <c r="A50" s="38">
        <f>DATA!J$3</f>
        <v>2013</v>
      </c>
      <c r="B50" s="52"/>
      <c r="C50" s="74">
        <f>1-DATA!R$7/DATA!J$7</f>
        <v>4.3478260869565299E-2</v>
      </c>
      <c r="D50" s="75">
        <f>DATA!Z$7</f>
        <v>8.5000000000000006E-2</v>
      </c>
      <c r="E50" s="43">
        <f>C50*D50</f>
        <v>3.6956521739130509E-3</v>
      </c>
      <c r="F50" s="42"/>
      <c r="G50" s="85">
        <f>DATA!AH$7</f>
        <v>10.74</v>
      </c>
      <c r="H50" s="86"/>
      <c r="I50" s="85">
        <f>DATA!AP$7</f>
        <v>217.3</v>
      </c>
      <c r="J50" s="39"/>
      <c r="K50" s="52"/>
    </row>
    <row r="51" spans="1:11" ht="12.75">
      <c r="A51" s="64" t="s">
        <v>82</v>
      </c>
      <c r="B51" s="52"/>
      <c r="C51" s="74"/>
      <c r="D51" s="75"/>
      <c r="E51" s="39">
        <f>AVERAGE(E46:E50)</f>
        <v>2.3821972806547152E-2</v>
      </c>
      <c r="F51" s="39"/>
      <c r="G51" s="39">
        <f>DATA!AX$7</f>
        <v>0.03</v>
      </c>
      <c r="H51" s="52"/>
      <c r="I51" s="76"/>
      <c r="J51" s="39">
        <f>(I50/I46)^0.25-1</f>
        <v>3.9503499377586682E-3</v>
      </c>
      <c r="K51" s="52"/>
    </row>
    <row r="52" spans="1:11" ht="12.75">
      <c r="A52" s="38">
        <f>DATA!K$3</f>
        <v>2014</v>
      </c>
      <c r="B52" s="52"/>
      <c r="C52" s="74">
        <f>1-DATA!S$7/DATA!K$7</f>
        <v>7.3684210526315796E-2</v>
      </c>
      <c r="D52" s="75">
        <f>DATA!AA$7</f>
        <v>0.08</v>
      </c>
      <c r="E52" s="39">
        <f>C52*D52</f>
        <v>5.8947368421052642E-3</v>
      </c>
      <c r="F52" s="39"/>
      <c r="G52" s="39"/>
      <c r="H52" s="52"/>
      <c r="I52" s="76">
        <f>DATA!AQ$7</f>
        <v>233.5</v>
      </c>
      <c r="J52" s="39">
        <f>(I52/I50)-1</f>
        <v>7.4551311550851374E-2</v>
      </c>
      <c r="K52" s="52"/>
    </row>
    <row r="53" spans="1:11" ht="12.75">
      <c r="A53" s="38">
        <f>DATA!L$3</f>
        <v>2015</v>
      </c>
      <c r="B53" s="38"/>
      <c r="C53" s="74">
        <f>1-DATA!T$7/DATA!L$7</f>
        <v>0.12</v>
      </c>
      <c r="D53" s="75">
        <f>DATA!AB$7</f>
        <v>8.5000000000000006E-2</v>
      </c>
      <c r="E53" s="39">
        <f>C53*D53</f>
        <v>1.0200000000000001E-2</v>
      </c>
      <c r="F53" s="38"/>
      <c r="G53" s="39"/>
      <c r="H53" s="38"/>
      <c r="I53" s="76">
        <f>DATA!AR$7</f>
        <v>233.5</v>
      </c>
      <c r="J53" s="39">
        <f>(I53/I50)^0.5-1</f>
        <v>3.6605668299595662E-2</v>
      </c>
      <c r="K53" s="38"/>
    </row>
    <row r="54" spans="1:11" ht="12.75">
      <c r="A54" s="38" t="str">
        <f>DATA!M$3</f>
        <v>2017-2019</v>
      </c>
      <c r="B54" s="52"/>
      <c r="C54" s="74">
        <f>1-DATA!U$7/DATA!M$7</f>
        <v>0.29629629629629639</v>
      </c>
      <c r="D54" s="75">
        <f>DATA!AC$7</f>
        <v>0.11</v>
      </c>
      <c r="E54" s="39">
        <f>C54*D54</f>
        <v>3.2592592592592604E-2</v>
      </c>
      <c r="F54" s="39"/>
      <c r="G54" s="39">
        <f>DATA!AY$7</f>
        <v>2.5000000000000001E-2</v>
      </c>
      <c r="H54" s="52"/>
      <c r="I54" s="76">
        <f>DATA!AS$7</f>
        <v>233.5</v>
      </c>
      <c r="J54" s="39">
        <f>(I54/I50)^0.2-1</f>
        <v>1.4484536789870051E-2</v>
      </c>
      <c r="K54" s="52"/>
    </row>
    <row r="55" spans="1:11" ht="12.75">
      <c r="A55" s="38"/>
      <c r="B55" s="52"/>
      <c r="C55" s="74"/>
      <c r="D55" s="75"/>
      <c r="E55" s="39"/>
      <c r="F55" s="39"/>
      <c r="G55" s="39"/>
      <c r="H55" s="52"/>
      <c r="I55" s="76"/>
      <c r="J55" s="39"/>
      <c r="K55" s="73" t="s">
        <v>223</v>
      </c>
    </row>
    <row r="56" spans="1:11" ht="12.75">
      <c r="A56" s="38"/>
      <c r="B56" s="52"/>
      <c r="C56" s="74"/>
      <c r="D56" s="75"/>
      <c r="E56" s="39"/>
      <c r="F56" s="39"/>
      <c r="G56" s="39"/>
      <c r="H56" s="52"/>
      <c r="I56" s="76"/>
      <c r="J56" s="39"/>
      <c r="K56" s="73" t="s">
        <v>222</v>
      </c>
    </row>
    <row r="57" spans="1:11" ht="12.75">
      <c r="A57" s="38"/>
      <c r="B57" s="52"/>
      <c r="C57" s="74"/>
      <c r="D57" s="75"/>
      <c r="E57" s="39"/>
      <c r="F57" s="39"/>
      <c r="G57" s="39"/>
      <c r="H57" s="52"/>
      <c r="I57" s="76"/>
      <c r="J57" s="39"/>
      <c r="K57" s="73" t="s">
        <v>10</v>
      </c>
    </row>
    <row r="58" spans="1:11" ht="12.75">
      <c r="A58" s="38"/>
      <c r="B58" s="52"/>
      <c r="C58" s="74"/>
      <c r="D58" s="75"/>
      <c r="E58" s="39"/>
      <c r="F58" s="38"/>
      <c r="G58" s="38"/>
      <c r="H58" s="52"/>
      <c r="I58" s="76"/>
      <c r="J58" s="39"/>
      <c r="K58" s="52"/>
    </row>
    <row r="59" spans="1:11" ht="12.75">
      <c r="A59" s="38"/>
      <c r="B59" s="52"/>
      <c r="C59" s="74"/>
      <c r="D59" s="75"/>
      <c r="E59" s="53"/>
      <c r="F59" s="46" t="str">
        <f>F$5</f>
        <v>PACIFIC POWER &amp; LIGHT COMPANY</v>
      </c>
      <c r="G59" s="52"/>
      <c r="H59" s="52"/>
      <c r="I59" s="76"/>
      <c r="J59" s="39"/>
      <c r="K59" s="52"/>
    </row>
    <row r="60" spans="1:11" ht="12.75">
      <c r="A60" s="38"/>
      <c r="B60" s="52"/>
      <c r="C60" s="74"/>
      <c r="D60" s="75"/>
      <c r="E60" s="53"/>
      <c r="F60" s="46" t="s">
        <v>75</v>
      </c>
      <c r="G60" s="52"/>
      <c r="H60" s="52"/>
      <c r="I60" s="76"/>
      <c r="J60" s="39"/>
      <c r="K60" s="52"/>
    </row>
    <row r="61" spans="1:11" ht="12.75">
      <c r="A61" s="38"/>
      <c r="B61" s="52"/>
      <c r="C61" s="74"/>
      <c r="D61" s="75"/>
      <c r="E61" s="39"/>
      <c r="F61" s="38"/>
      <c r="G61" s="38"/>
      <c r="H61" s="52"/>
      <c r="I61" s="76"/>
      <c r="J61" s="39"/>
      <c r="K61" s="52"/>
    </row>
    <row r="62" spans="1:11" ht="12.75">
      <c r="A62" s="38"/>
      <c r="B62" s="52"/>
      <c r="C62" s="74"/>
      <c r="D62" s="75"/>
      <c r="E62" s="39"/>
      <c r="F62" s="38"/>
      <c r="G62" s="38"/>
      <c r="H62" s="52"/>
      <c r="I62" s="76"/>
      <c r="J62" s="39"/>
      <c r="K62" s="52"/>
    </row>
    <row r="63" spans="1:11" ht="12.75">
      <c r="A63" s="38"/>
      <c r="B63" s="52"/>
      <c r="C63" s="74"/>
      <c r="D63" s="75"/>
      <c r="E63" s="39"/>
      <c r="F63" s="38"/>
      <c r="G63" s="38"/>
      <c r="H63" s="52"/>
      <c r="I63" s="76"/>
      <c r="J63" s="39"/>
      <c r="K63" s="52"/>
    </row>
    <row r="64" spans="1:11" ht="12.75">
      <c r="A64" s="77" t="s">
        <v>76</v>
      </c>
      <c r="B64" s="52"/>
      <c r="C64" s="78"/>
      <c r="D64" s="79" t="s">
        <v>77</v>
      </c>
      <c r="E64" s="54" t="s">
        <v>78</v>
      </c>
      <c r="F64" s="77"/>
      <c r="G64" s="77"/>
      <c r="H64" s="52"/>
      <c r="I64" s="80" t="s">
        <v>149</v>
      </c>
      <c r="J64" s="81" t="s">
        <v>78</v>
      </c>
      <c r="K64" s="52"/>
    </row>
    <row r="65" spans="1:11" ht="12.75">
      <c r="A65" s="38"/>
      <c r="B65" s="52"/>
      <c r="C65" s="74"/>
      <c r="D65" s="75"/>
      <c r="E65" s="39"/>
      <c r="F65" s="38"/>
      <c r="G65" s="38"/>
      <c r="H65" s="52"/>
      <c r="I65" s="76"/>
      <c r="J65" s="39"/>
      <c r="K65" s="52"/>
    </row>
    <row r="66" spans="1:11" ht="12.75">
      <c r="A66" s="38"/>
      <c r="B66" s="52"/>
      <c r="C66" s="74" t="s">
        <v>150</v>
      </c>
      <c r="D66" s="75" t="s">
        <v>151</v>
      </c>
      <c r="E66" s="39"/>
      <c r="F66" s="38"/>
      <c r="G66" s="38" t="s">
        <v>152</v>
      </c>
      <c r="H66" s="52"/>
      <c r="I66" s="76" t="s">
        <v>51</v>
      </c>
      <c r="J66" s="39" t="s">
        <v>52</v>
      </c>
      <c r="K66" s="52"/>
    </row>
    <row r="67" spans="1:11" ht="12.75">
      <c r="A67" s="82" t="str">
        <f>DATA!A$8</f>
        <v>ALE</v>
      </c>
      <c r="B67" s="52"/>
      <c r="C67" s="78" t="s">
        <v>53</v>
      </c>
      <c r="D67" s="79" t="s">
        <v>54</v>
      </c>
      <c r="E67" s="54" t="s">
        <v>55</v>
      </c>
      <c r="F67" s="77"/>
      <c r="G67" s="77" t="s">
        <v>56</v>
      </c>
      <c r="H67" s="52"/>
      <c r="I67" s="83" t="s">
        <v>57</v>
      </c>
      <c r="J67" s="54" t="s">
        <v>78</v>
      </c>
      <c r="K67" s="52"/>
    </row>
    <row r="68" spans="1:11" ht="12.75">
      <c r="A68" s="38">
        <f>DATA!F$3</f>
        <v>2009</v>
      </c>
      <c r="B68" s="52"/>
      <c r="C68" s="74">
        <f>1-DATA!N$8/DATA!F$8</f>
        <v>6.8783068783068724E-2</v>
      </c>
      <c r="D68" s="75">
        <f>DATA!V$8</f>
        <v>6.6000000000000003E-2</v>
      </c>
      <c r="E68" s="39">
        <f>C68*D68</f>
        <v>4.5396825396825363E-3</v>
      </c>
      <c r="F68" s="38"/>
      <c r="G68" s="38">
        <f>DATA!AD$8</f>
        <v>26.41</v>
      </c>
      <c r="H68" s="52"/>
      <c r="I68" s="76">
        <f>DATA!AL$8</f>
        <v>35.200000000000003</v>
      </c>
      <c r="J68" s="39"/>
      <c r="K68" s="52"/>
    </row>
    <row r="69" spans="1:11" ht="12.75">
      <c r="A69" s="38">
        <f>DATA!G$3</f>
        <v>2010</v>
      </c>
      <c r="B69" s="52"/>
      <c r="C69" s="74">
        <f>1-DATA!O$8/DATA!G$8</f>
        <v>0.19634703196347025</v>
      </c>
      <c r="D69" s="75">
        <f>DATA!W$8</f>
        <v>7.6999999999999999E-2</v>
      </c>
      <c r="E69" s="39">
        <f>C69*D69</f>
        <v>1.511872146118721E-2</v>
      </c>
      <c r="F69" s="38"/>
      <c r="G69" s="38">
        <f>DATA!AE$8</f>
        <v>27.26</v>
      </c>
      <c r="H69" s="52"/>
      <c r="I69" s="76">
        <f>DATA!AM$8</f>
        <v>35.799999999999997</v>
      </c>
      <c r="J69" s="39"/>
      <c r="K69" s="52"/>
    </row>
    <row r="70" spans="1:11" ht="12.75">
      <c r="A70" s="38">
        <f>DATA!H$3</f>
        <v>2011</v>
      </c>
      <c r="B70" s="52"/>
      <c r="C70" s="74">
        <f>1-DATA!P$8/DATA!H$8</f>
        <v>0.32830188679245276</v>
      </c>
      <c r="D70" s="75">
        <f>DATA!X$8</f>
        <v>8.6999999999999994E-2</v>
      </c>
      <c r="E70" s="39">
        <f>C70*D70</f>
        <v>2.8562264150943387E-2</v>
      </c>
      <c r="F70" s="38"/>
      <c r="G70" s="38">
        <f>DATA!AF$8</f>
        <v>28.78</v>
      </c>
      <c r="H70" s="52"/>
      <c r="I70" s="76">
        <f>DATA!AN$8</f>
        <v>37.5</v>
      </c>
      <c r="J70" s="39"/>
      <c r="K70" s="52"/>
    </row>
    <row r="71" spans="1:11" ht="12.75">
      <c r="A71" s="38">
        <f>DATA!I$3</f>
        <v>2012</v>
      </c>
      <c r="B71" s="52"/>
      <c r="C71" s="74">
        <f>1-DATA!Q$8/DATA!I$8</f>
        <v>0.28682170542635654</v>
      </c>
      <c r="D71" s="75">
        <f>DATA!Y$8</f>
        <v>8.1000000000000003E-2</v>
      </c>
      <c r="E71" s="39">
        <f>C71*D71</f>
        <v>2.3232558139534881E-2</v>
      </c>
      <c r="F71" s="38"/>
      <c r="G71" s="38">
        <f>DATA!AG$8</f>
        <v>30.48</v>
      </c>
      <c r="H71" s="52"/>
      <c r="I71" s="76">
        <f>DATA!AO$8</f>
        <v>39.4</v>
      </c>
      <c r="J71" s="39"/>
      <c r="K71" s="52"/>
    </row>
    <row r="72" spans="1:11" ht="12.75">
      <c r="A72" s="38">
        <f>DATA!J$3</f>
        <v>2013</v>
      </c>
      <c r="B72" s="52"/>
      <c r="C72" s="74">
        <f>1-DATA!R$8/DATA!J$8</f>
        <v>0.27756653992395441</v>
      </c>
      <c r="D72" s="75">
        <f>DATA!Z$8</f>
        <v>7.8E-2</v>
      </c>
      <c r="E72" s="43">
        <f>C72*D72</f>
        <v>2.1650190114068445E-2</v>
      </c>
      <c r="F72" s="42"/>
      <c r="G72" s="42">
        <f>DATA!AH$8</f>
        <v>32.44</v>
      </c>
      <c r="H72" s="86"/>
      <c r="I72" s="85">
        <f>DATA!AP$8</f>
        <v>41.4</v>
      </c>
      <c r="J72" s="39"/>
      <c r="K72" s="52"/>
    </row>
    <row r="73" spans="1:11" ht="12.75">
      <c r="A73" s="64" t="s">
        <v>82</v>
      </c>
      <c r="B73" s="52"/>
      <c r="C73" s="74"/>
      <c r="D73" s="75"/>
      <c r="E73" s="39">
        <f>AVERAGE(E68:E72)</f>
        <v>1.8620683281083291E-2</v>
      </c>
      <c r="F73" s="39"/>
      <c r="G73" s="39">
        <f>DATA!AX$8</f>
        <v>0.05</v>
      </c>
      <c r="H73" s="52"/>
      <c r="I73" s="76"/>
      <c r="J73" s="39">
        <f>(I72/I68)^0.25-1</f>
        <v>4.1392437182943942E-2</v>
      </c>
      <c r="K73" s="52"/>
    </row>
    <row r="74" spans="1:11" ht="12.75">
      <c r="A74" s="38">
        <f>DATA!K$3</f>
        <v>2014</v>
      </c>
      <c r="B74" s="52"/>
      <c r="C74" s="74">
        <f>1-DATA!S$8/DATA!K$8</f>
        <v>0.29999999999999993</v>
      </c>
      <c r="D74" s="75">
        <f>DATA!AA$8</f>
        <v>7.4999999999999997E-2</v>
      </c>
      <c r="E74" s="39">
        <f>C74*D74</f>
        <v>2.2499999999999996E-2</v>
      </c>
      <c r="F74" s="39"/>
      <c r="G74" s="39"/>
      <c r="H74" s="52"/>
      <c r="I74" s="76">
        <f>DATA!AQ$8</f>
        <v>45.5</v>
      </c>
      <c r="J74" s="39">
        <f>(I74/I72)-1</f>
        <v>9.9033816425120769E-2</v>
      </c>
      <c r="K74" s="52"/>
    </row>
    <row r="75" spans="1:11" ht="12.75">
      <c r="A75" s="38">
        <f>DATA!L$3</f>
        <v>2015</v>
      </c>
      <c r="B75" s="38"/>
      <c r="C75" s="74">
        <f>1-DATA!T$8/DATA!L$8</f>
        <v>0.31999999999999995</v>
      </c>
      <c r="D75" s="75">
        <f>DATA!AB$8</f>
        <v>8.5000000000000006E-2</v>
      </c>
      <c r="E75" s="39">
        <f>C75*D75</f>
        <v>2.7199999999999998E-2</v>
      </c>
      <c r="F75" s="38"/>
      <c r="G75" s="39"/>
      <c r="H75" s="38"/>
      <c r="I75" s="76">
        <f>DATA!AR$8</f>
        <v>46</v>
      </c>
      <c r="J75" s="39">
        <f>(I75/I72)^0.5-1</f>
        <v>5.4092553389459841E-2</v>
      </c>
      <c r="K75" s="38"/>
    </row>
    <row r="76" spans="1:11" ht="12.75">
      <c r="A76" s="38" t="str">
        <f>DATA!M$3</f>
        <v>2017-2019</v>
      </c>
      <c r="B76" s="52"/>
      <c r="C76" s="74">
        <f>1-DATA!U$8/DATA!M$8</f>
        <v>0.38666666666666671</v>
      </c>
      <c r="D76" s="75">
        <f>DATA!AC$8</f>
        <v>0.09</v>
      </c>
      <c r="E76" s="39">
        <f>C76*D76</f>
        <v>3.4800000000000005E-2</v>
      </c>
      <c r="F76" s="39"/>
      <c r="G76" s="39">
        <f>DATA!AY$8</f>
        <v>4.4999999999999998E-2</v>
      </c>
      <c r="H76" s="52"/>
      <c r="I76" s="76">
        <f>DATA!AS$8</f>
        <v>47.5</v>
      </c>
      <c r="J76" s="39">
        <f>(I76/I72)^0.2-1</f>
        <v>2.7871095863663209E-2</v>
      </c>
      <c r="K76" s="52"/>
    </row>
    <row r="77" spans="1:11" ht="12.75">
      <c r="A77" s="38"/>
      <c r="B77" s="52"/>
      <c r="C77" s="74"/>
      <c r="D77" s="75"/>
      <c r="E77" s="39"/>
      <c r="F77" s="38"/>
      <c r="G77" s="38"/>
      <c r="H77" s="52"/>
      <c r="I77" s="76"/>
      <c r="J77" s="39"/>
      <c r="K77" s="52"/>
    </row>
    <row r="78" spans="1:11" ht="12.75">
      <c r="A78" s="38"/>
      <c r="B78" s="52"/>
      <c r="C78" s="74"/>
      <c r="D78" s="75"/>
      <c r="E78" s="39"/>
      <c r="F78" s="38"/>
      <c r="G78" s="38"/>
      <c r="H78" s="52"/>
      <c r="I78" s="76"/>
      <c r="J78" s="39"/>
      <c r="K78" s="52"/>
    </row>
    <row r="79" spans="1:11" ht="12.75">
      <c r="A79" s="38"/>
      <c r="B79" s="52"/>
      <c r="C79" s="74"/>
      <c r="D79" s="75"/>
      <c r="E79" s="39"/>
      <c r="F79" s="38"/>
      <c r="G79" s="38"/>
      <c r="H79" s="52"/>
      <c r="I79" s="76"/>
      <c r="J79" s="39"/>
      <c r="K79" s="52"/>
    </row>
    <row r="80" spans="1:11" ht="12.75">
      <c r="A80" s="77" t="s">
        <v>76</v>
      </c>
      <c r="B80" s="52"/>
      <c r="C80" s="78"/>
      <c r="D80" s="79" t="s">
        <v>77</v>
      </c>
      <c r="E80" s="54" t="s">
        <v>78</v>
      </c>
      <c r="F80" s="77"/>
      <c r="G80" s="77"/>
      <c r="H80" s="52"/>
      <c r="I80" s="80" t="s">
        <v>149</v>
      </c>
      <c r="J80" s="81" t="s">
        <v>78</v>
      </c>
      <c r="K80" s="52"/>
    </row>
    <row r="81" spans="1:11" ht="12.75">
      <c r="A81" s="38"/>
      <c r="B81" s="52"/>
      <c r="C81" s="74"/>
      <c r="D81" s="75"/>
      <c r="E81" s="39"/>
      <c r="F81" s="38"/>
      <c r="G81" s="38"/>
      <c r="H81" s="52"/>
      <c r="I81" s="76"/>
      <c r="J81" s="39"/>
      <c r="K81" s="52"/>
    </row>
    <row r="82" spans="1:11" ht="12.75">
      <c r="A82" s="38"/>
      <c r="B82" s="52"/>
      <c r="C82" s="74" t="s">
        <v>150</v>
      </c>
      <c r="D82" s="75" t="s">
        <v>151</v>
      </c>
      <c r="E82" s="39"/>
      <c r="F82" s="38"/>
      <c r="G82" s="38" t="s">
        <v>152</v>
      </c>
      <c r="H82" s="52"/>
      <c r="I82" s="76" t="s">
        <v>51</v>
      </c>
      <c r="J82" s="39" t="s">
        <v>52</v>
      </c>
      <c r="K82" s="52"/>
    </row>
    <row r="83" spans="1:11" ht="12.75">
      <c r="A83" s="82" t="str">
        <f>DATA!A$9</f>
        <v>LNT</v>
      </c>
      <c r="B83" s="52"/>
      <c r="C83" s="78" t="s">
        <v>53</v>
      </c>
      <c r="D83" s="79" t="s">
        <v>54</v>
      </c>
      <c r="E83" s="54" t="s">
        <v>55</v>
      </c>
      <c r="F83" s="77"/>
      <c r="G83" s="77" t="s">
        <v>56</v>
      </c>
      <c r="H83" s="52"/>
      <c r="I83" s="83" t="s">
        <v>57</v>
      </c>
      <c r="J83" s="54" t="s">
        <v>78</v>
      </c>
      <c r="K83" s="52"/>
    </row>
    <row r="84" spans="1:11" ht="12.75">
      <c r="A84" s="38">
        <f>DATA!F$3</f>
        <v>2009</v>
      </c>
      <c r="B84" s="52"/>
      <c r="C84" s="74">
        <f>1-DATA!N$9/DATA!F$9</f>
        <v>0.20634920634920628</v>
      </c>
      <c r="D84" s="75">
        <f>DATA!V$9</f>
        <v>6.8000000000000005E-2</v>
      </c>
      <c r="E84" s="39">
        <f>C84*D84</f>
        <v>1.4031746031746029E-2</v>
      </c>
      <c r="F84" s="38"/>
      <c r="G84" s="38">
        <f>DATA!AD$9</f>
        <v>25.07</v>
      </c>
      <c r="H84" s="52"/>
      <c r="I84" s="76">
        <f>DATA!AL$9</f>
        <v>110.66</v>
      </c>
      <c r="J84" s="39"/>
      <c r="K84" s="52"/>
    </row>
    <row r="85" spans="1:11" ht="12.75">
      <c r="A85" s="38">
        <f>DATA!G$3</f>
        <v>2010</v>
      </c>
      <c r="B85" s="52"/>
      <c r="C85" s="74">
        <f>1-DATA!O$9/DATA!G$9</f>
        <v>0.42545454545454542</v>
      </c>
      <c r="D85" s="75">
        <f>DATA!W$9</f>
        <v>9.9000000000000005E-2</v>
      </c>
      <c r="E85" s="39">
        <f>C85*D85</f>
        <v>4.2119999999999998E-2</v>
      </c>
      <c r="F85" s="38"/>
      <c r="G85" s="38">
        <f>DATA!AE$9</f>
        <v>26.09</v>
      </c>
      <c r="H85" s="52"/>
      <c r="I85" s="76">
        <f>DATA!AM$9</f>
        <v>110.89</v>
      </c>
      <c r="J85" s="39"/>
      <c r="K85" s="52"/>
    </row>
    <row r="86" spans="1:11" ht="12.75">
      <c r="A86" s="38">
        <f>DATA!H$3</f>
        <v>2011</v>
      </c>
      <c r="B86" s="52"/>
      <c r="C86" s="74">
        <f>1-DATA!P$9/DATA!H$9</f>
        <v>0.38181818181818183</v>
      </c>
      <c r="D86" s="75">
        <f>DATA!X$9</f>
        <v>9.5000000000000001E-2</v>
      </c>
      <c r="E86" s="39">
        <f>C86*D86</f>
        <v>3.6272727272727276E-2</v>
      </c>
      <c r="F86" s="38"/>
      <c r="G86" s="38">
        <f>DATA!AF$9</f>
        <v>27.14</v>
      </c>
      <c r="H86" s="52"/>
      <c r="I86" s="76">
        <f>DATA!AN$9</f>
        <v>111.02</v>
      </c>
      <c r="J86" s="39"/>
      <c r="K86" s="52"/>
    </row>
    <row r="87" spans="1:11" ht="12.75">
      <c r="A87" s="38">
        <f>DATA!I$3</f>
        <v>2012</v>
      </c>
      <c r="B87" s="52"/>
      <c r="C87" s="74">
        <f>1-DATA!Q$9/DATA!I$9</f>
        <v>0.40983606557377039</v>
      </c>
      <c r="D87" s="75">
        <f>DATA!Y$9</f>
        <v>0.10299999999999999</v>
      </c>
      <c r="E87" s="39">
        <f>C87*D87</f>
        <v>4.2213114754098349E-2</v>
      </c>
      <c r="F87" s="38"/>
      <c r="G87" s="38">
        <f>DATA!AG$9</f>
        <v>28.25</v>
      </c>
      <c r="H87" s="52"/>
      <c r="I87" s="76">
        <f>DATA!AO$9</f>
        <v>110.99</v>
      </c>
      <c r="J87" s="39"/>
      <c r="K87" s="52"/>
    </row>
    <row r="88" spans="1:11" ht="12.75">
      <c r="A88" s="38">
        <f>DATA!J$3</f>
        <v>2013</v>
      </c>
      <c r="B88" s="52"/>
      <c r="C88" s="74">
        <f>1-DATA!R$9/DATA!J$9</f>
        <v>0.4285714285714286</v>
      </c>
      <c r="D88" s="75">
        <f>DATA!Z$9</f>
        <v>0.10299999999999999</v>
      </c>
      <c r="E88" s="43">
        <f>C88*D88</f>
        <v>4.4142857142857143E-2</v>
      </c>
      <c r="F88" s="42"/>
      <c r="G88" s="42">
        <f>DATA!AH$9</f>
        <v>29.45</v>
      </c>
      <c r="H88" s="86"/>
      <c r="I88" s="85">
        <f>DATA!AP$9</f>
        <v>110.98</v>
      </c>
      <c r="J88" s="39"/>
      <c r="K88" s="52"/>
    </row>
    <row r="89" spans="1:11" ht="12.75">
      <c r="A89" s="64" t="s">
        <v>82</v>
      </c>
      <c r="B89" s="52"/>
      <c r="C89" s="74"/>
      <c r="D89" s="75"/>
      <c r="E89" s="39">
        <f>AVERAGE(E84:E88)</f>
        <v>3.5756089040285759E-2</v>
      </c>
      <c r="F89" s="39"/>
      <c r="G89" s="39">
        <f>DATA!AX$9</f>
        <v>3.5000000000000003E-2</v>
      </c>
      <c r="H89" s="52"/>
      <c r="I89" s="76"/>
      <c r="J89" s="39">
        <f>(I88/I84)^0.25-1</f>
        <v>7.2215248358542539E-4</v>
      </c>
      <c r="K89" s="52"/>
    </row>
    <row r="90" spans="1:11" ht="12.75">
      <c r="A90" s="38">
        <f>DATA!K$3</f>
        <v>2014</v>
      </c>
      <c r="B90" s="52"/>
      <c r="C90" s="74">
        <f>1-DATA!S$9/DATA!K$9</f>
        <v>0.44109589041095887</v>
      </c>
      <c r="D90" s="75">
        <f>DATA!AA$9</f>
        <v>0.11</v>
      </c>
      <c r="E90" s="39">
        <f>C90*D90</f>
        <v>4.8520547945205474E-2</v>
      </c>
      <c r="F90" s="39"/>
      <c r="G90" s="39"/>
      <c r="H90" s="52"/>
      <c r="I90" s="76">
        <f>DATA!AQ$9</f>
        <v>111</v>
      </c>
      <c r="J90" s="39">
        <f>(I90/I88)-1</f>
        <v>1.8021265092804661E-4</v>
      </c>
      <c r="K90" s="52"/>
    </row>
    <row r="91" spans="1:11" ht="12.75">
      <c r="A91" s="38">
        <f>DATA!L$3</f>
        <v>2015</v>
      </c>
      <c r="B91" s="38"/>
      <c r="C91" s="74">
        <f>1-DATA!T$9/DATA!L$9</f>
        <v>0.43589743589743579</v>
      </c>
      <c r="D91" s="75">
        <f>DATA!AB$9</f>
        <v>0.115</v>
      </c>
      <c r="E91" s="39">
        <f>C91*D91</f>
        <v>5.0128205128205115E-2</v>
      </c>
      <c r="F91" s="38"/>
      <c r="G91" s="39"/>
      <c r="H91" s="38"/>
      <c r="I91" s="76">
        <f>DATA!AR$9</f>
        <v>112</v>
      </c>
      <c r="J91" s="39">
        <f>(I91/I88)^0.5-1</f>
        <v>4.5849118901462038E-3</v>
      </c>
      <c r="K91" s="38"/>
    </row>
    <row r="92" spans="1:11" ht="12.75">
      <c r="A92" s="38" t="str">
        <f>DATA!M$3</f>
        <v>2017-2019</v>
      </c>
      <c r="B92" s="52"/>
      <c r="C92" s="74">
        <f>1-DATA!U$9/DATA!M$9</f>
        <v>0.40740740740740744</v>
      </c>
      <c r="D92" s="75">
        <f>DATA!AC$9</f>
        <v>0.115</v>
      </c>
      <c r="E92" s="39">
        <f>C92*D92</f>
        <v>4.685185185185186E-2</v>
      </c>
      <c r="F92" s="39"/>
      <c r="G92" s="39">
        <f>DATA!AY$9</f>
        <v>0.04</v>
      </c>
      <c r="H92" s="52"/>
      <c r="I92" s="76">
        <f>DATA!AS$9</f>
        <v>115</v>
      </c>
      <c r="J92" s="39">
        <f>(I92/I88)^0.2-1</f>
        <v>7.1418066170989558E-3</v>
      </c>
      <c r="K92" s="52"/>
    </row>
    <row r="93" spans="1:11" ht="12.75">
      <c r="A93" s="38"/>
      <c r="B93" s="52"/>
      <c r="C93" s="74"/>
      <c r="D93" s="75"/>
      <c r="E93" s="39"/>
      <c r="F93" s="38"/>
      <c r="G93" s="38"/>
      <c r="H93" s="52"/>
      <c r="I93" s="76"/>
      <c r="J93" s="39"/>
      <c r="K93" s="52"/>
    </row>
    <row r="94" spans="1:11" ht="12.75">
      <c r="A94" s="38"/>
      <c r="B94" s="52"/>
      <c r="C94" s="74"/>
      <c r="D94" s="75"/>
      <c r="E94" s="39"/>
      <c r="F94" s="38"/>
      <c r="G94" s="38"/>
      <c r="H94" s="52"/>
      <c r="I94" s="76"/>
      <c r="J94" s="39"/>
      <c r="K94" s="52"/>
    </row>
    <row r="95" spans="1:11" ht="12.75">
      <c r="A95" s="38"/>
      <c r="B95" s="52"/>
      <c r="C95" s="74"/>
      <c r="D95" s="75"/>
      <c r="E95" s="39"/>
      <c r="F95" s="38"/>
      <c r="G95" s="38"/>
      <c r="H95" s="52"/>
      <c r="I95" s="76"/>
      <c r="J95" s="39"/>
      <c r="K95" s="52"/>
    </row>
    <row r="96" spans="1:11" ht="12.75">
      <c r="A96" s="77" t="s">
        <v>76</v>
      </c>
      <c r="B96" s="52"/>
      <c r="C96" s="78"/>
      <c r="D96" s="79" t="s">
        <v>77</v>
      </c>
      <c r="E96" s="54" t="s">
        <v>78</v>
      </c>
      <c r="F96" s="77"/>
      <c r="G96" s="77"/>
      <c r="H96" s="52"/>
      <c r="I96" s="80" t="s">
        <v>149</v>
      </c>
      <c r="J96" s="81" t="s">
        <v>78</v>
      </c>
      <c r="K96" s="52"/>
    </row>
    <row r="97" spans="1:11" ht="12.75">
      <c r="A97" s="38"/>
      <c r="B97" s="52"/>
      <c r="C97" s="74"/>
      <c r="D97" s="75"/>
      <c r="E97" s="39"/>
      <c r="F97" s="38"/>
      <c r="G97" s="38"/>
      <c r="H97" s="52"/>
      <c r="I97" s="76"/>
      <c r="J97" s="39"/>
      <c r="K97" s="52"/>
    </row>
    <row r="98" spans="1:11" ht="12.75">
      <c r="A98" s="38"/>
      <c r="B98" s="52"/>
      <c r="C98" s="74" t="s">
        <v>150</v>
      </c>
      <c r="D98" s="75" t="s">
        <v>151</v>
      </c>
      <c r="E98" s="39"/>
      <c r="F98" s="38"/>
      <c r="G98" s="38" t="s">
        <v>152</v>
      </c>
      <c r="H98" s="52"/>
      <c r="I98" s="76" t="s">
        <v>51</v>
      </c>
      <c r="J98" s="39" t="s">
        <v>52</v>
      </c>
      <c r="K98" s="52"/>
    </row>
    <row r="99" spans="1:11" ht="12.75">
      <c r="A99" s="82" t="str">
        <f>DATA!A$10</f>
        <v>OGE</v>
      </c>
      <c r="B99" s="52"/>
      <c r="C99" s="78" t="s">
        <v>53</v>
      </c>
      <c r="D99" s="79" t="s">
        <v>54</v>
      </c>
      <c r="E99" s="54" t="s">
        <v>55</v>
      </c>
      <c r="F99" s="77"/>
      <c r="G99" s="77" t="s">
        <v>56</v>
      </c>
      <c r="H99" s="52"/>
      <c r="I99" s="83" t="s">
        <v>57</v>
      </c>
      <c r="J99" s="54" t="s">
        <v>78</v>
      </c>
      <c r="K99" s="52"/>
    </row>
    <row r="100" spans="1:11" ht="12.75">
      <c r="A100" s="38">
        <f>DATA!F$3</f>
        <v>2009</v>
      </c>
      <c r="B100" s="52"/>
      <c r="C100" s="74">
        <f>1-DATA!N$10/DATA!F$10</f>
        <v>0.46616541353383467</v>
      </c>
      <c r="D100" s="75">
        <f>DATA!V$10</f>
        <v>0.127</v>
      </c>
      <c r="E100" s="39">
        <f>C100*D100</f>
        <v>5.9203007518797007E-2</v>
      </c>
      <c r="F100" s="38"/>
      <c r="G100" s="76">
        <f>DATA!AD$10</f>
        <v>10.52</v>
      </c>
      <c r="H100" s="52"/>
      <c r="I100" s="76">
        <f>DATA!AL$10</f>
        <v>194</v>
      </c>
      <c r="J100" s="39"/>
      <c r="K100" s="52"/>
    </row>
    <row r="101" spans="1:11" ht="12.75">
      <c r="A101" s="38">
        <f>DATA!G$3</f>
        <v>2010</v>
      </c>
      <c r="B101" s="52"/>
      <c r="C101" s="74">
        <f>1-DATA!O$10/DATA!G$10</f>
        <v>0.51333333333333342</v>
      </c>
      <c r="D101" s="75">
        <f>DATA!W$10</f>
        <v>0.129</v>
      </c>
      <c r="E101" s="39">
        <f>C101*D101</f>
        <v>6.6220000000000015E-2</v>
      </c>
      <c r="F101" s="38"/>
      <c r="G101" s="76">
        <f>DATA!AE$10</f>
        <v>11.73</v>
      </c>
      <c r="H101" s="52"/>
      <c r="I101" s="76">
        <f>DATA!AM$10</f>
        <v>195.2</v>
      </c>
      <c r="J101" s="39"/>
      <c r="K101" s="52"/>
    </row>
    <row r="102" spans="1:11" ht="12.75">
      <c r="A102" s="38">
        <f>DATA!H$3</f>
        <v>2011</v>
      </c>
      <c r="B102" s="52"/>
      <c r="C102" s="74">
        <f>1-DATA!P$10/DATA!H$10</f>
        <v>0.56069364161849711</v>
      </c>
      <c r="D102" s="75">
        <f>DATA!X$10</f>
        <v>0.13400000000000001</v>
      </c>
      <c r="E102" s="39">
        <f>C102*D102</f>
        <v>7.5132947976878611E-2</v>
      </c>
      <c r="F102" s="38"/>
      <c r="G102" s="76">
        <f>DATA!AF$10</f>
        <v>13.06</v>
      </c>
      <c r="H102" s="52"/>
      <c r="I102" s="76">
        <f>DATA!AN$10</f>
        <v>196.2</v>
      </c>
      <c r="J102" s="39"/>
      <c r="K102" s="52"/>
    </row>
    <row r="103" spans="1:11" ht="12.75">
      <c r="A103" s="38">
        <f>DATA!I$3</f>
        <v>2012</v>
      </c>
      <c r="B103" s="52"/>
      <c r="C103" s="74">
        <f>1-DATA!Q$10/DATA!I$10</f>
        <v>0.55307262569832405</v>
      </c>
      <c r="D103" s="75">
        <f>DATA!Y$10</f>
        <v>0.128</v>
      </c>
      <c r="E103" s="39">
        <f>C103*D103</f>
        <v>7.0793296089385477E-2</v>
      </c>
      <c r="F103" s="38"/>
      <c r="G103" s="76">
        <f>DATA!AG$10</f>
        <v>14</v>
      </c>
      <c r="H103" s="52"/>
      <c r="I103" s="76">
        <f>DATA!AO$10</f>
        <v>197.6</v>
      </c>
      <c r="J103" s="39"/>
      <c r="K103" s="52"/>
    </row>
    <row r="104" spans="1:11" ht="12.75">
      <c r="A104" s="38">
        <f>DATA!J$3</f>
        <v>2013</v>
      </c>
      <c r="B104" s="52"/>
      <c r="C104" s="74">
        <f>1-DATA!R$10/DATA!J$10</f>
        <v>0.56185567010309279</v>
      </c>
      <c r="D104" s="75">
        <f>DATA!Z$10</f>
        <v>0.128</v>
      </c>
      <c r="E104" s="43">
        <f>C104*D104</f>
        <v>7.1917525773195878E-2</v>
      </c>
      <c r="F104" s="42"/>
      <c r="G104" s="85">
        <f>DATA!AH$10</f>
        <v>15.3</v>
      </c>
      <c r="H104" s="86"/>
      <c r="I104" s="85">
        <f>DATA!AP$10</f>
        <v>198.5</v>
      </c>
      <c r="J104" s="39"/>
      <c r="K104" s="52"/>
    </row>
    <row r="105" spans="1:11" ht="12.75">
      <c r="A105" s="64" t="s">
        <v>82</v>
      </c>
      <c r="B105" s="52"/>
      <c r="C105" s="74"/>
      <c r="D105" s="75"/>
      <c r="E105" s="39">
        <f>AVERAGE(E100:E104)</f>
        <v>6.8653355471651398E-2</v>
      </c>
      <c r="F105" s="39"/>
      <c r="G105" s="39">
        <f>DATA!AX$10</f>
        <v>8.5000000000000006E-2</v>
      </c>
      <c r="H105" s="52"/>
      <c r="I105" s="76"/>
      <c r="J105" s="39">
        <f>(I104/I100)^0.25-1</f>
        <v>5.7491988381925818E-3</v>
      </c>
      <c r="K105" s="52"/>
    </row>
    <row r="106" spans="1:11" ht="12.75">
      <c r="A106" s="38">
        <f>DATA!K$3</f>
        <v>2014</v>
      </c>
      <c r="B106" s="52"/>
      <c r="C106" s="74">
        <f>1-DATA!S$10/DATA!K$10</f>
        <v>0.54634146341463408</v>
      </c>
      <c r="D106" s="75">
        <f>DATA!AA$10</f>
        <v>0.125</v>
      </c>
      <c r="E106" s="39">
        <f>C106*D106</f>
        <v>6.829268292682926E-2</v>
      </c>
      <c r="F106" s="39"/>
      <c r="G106" s="39"/>
      <c r="H106" s="52"/>
      <c r="I106" s="76">
        <f>DATA!AQ$10</f>
        <v>200</v>
      </c>
      <c r="J106" s="39">
        <f>(I106/I104)-1</f>
        <v>7.5566750629723067E-3</v>
      </c>
      <c r="K106" s="52"/>
    </row>
    <row r="107" spans="1:11" ht="12.75">
      <c r="A107" s="38">
        <f>DATA!L$3</f>
        <v>2015</v>
      </c>
      <c r="B107" s="38"/>
      <c r="C107" s="74">
        <f>1-DATA!T$10/DATA!L$10</f>
        <v>0.50952380952380949</v>
      </c>
      <c r="D107" s="75">
        <f>DATA!AB$10</f>
        <v>0.12</v>
      </c>
      <c r="E107" s="39">
        <f>C107*D107</f>
        <v>6.1142857142857138E-2</v>
      </c>
      <c r="F107" s="38"/>
      <c r="G107" s="39"/>
      <c r="H107" s="38"/>
      <c r="I107" s="76">
        <f>DATA!AR$10</f>
        <v>201</v>
      </c>
      <c r="J107" s="39">
        <f>(I107/I104)^0.5-1</f>
        <v>6.277525555592911E-3</v>
      </c>
      <c r="K107" s="38"/>
    </row>
    <row r="108" spans="1:11" ht="12.75">
      <c r="A108" s="38" t="str">
        <f>DATA!M$3</f>
        <v>2017-2019</v>
      </c>
      <c r="B108" s="52"/>
      <c r="C108" s="74">
        <f>1-DATA!U$10/DATA!M$10</f>
        <v>0.45999999999999996</v>
      </c>
      <c r="D108" s="75">
        <f>DATA!AC$10</f>
        <v>0.12</v>
      </c>
      <c r="E108" s="39">
        <f>C108*D108</f>
        <v>5.5199999999999992E-2</v>
      </c>
      <c r="F108" s="39"/>
      <c r="G108" s="39">
        <f>DATA!AY$10</f>
        <v>7.0000000000000007E-2</v>
      </c>
      <c r="H108" s="52"/>
      <c r="I108" s="76">
        <f>DATA!AS$10</f>
        <v>204</v>
      </c>
      <c r="J108" s="39">
        <f>(I108/I104)^0.2-1</f>
        <v>5.4811455564200973E-3</v>
      </c>
      <c r="K108" s="52"/>
    </row>
    <row r="109" spans="1:11" ht="12.75">
      <c r="A109" s="38"/>
      <c r="B109" s="52"/>
      <c r="C109" s="74"/>
      <c r="D109" s="75"/>
      <c r="E109" s="39"/>
      <c r="F109" s="39"/>
      <c r="G109" s="39"/>
      <c r="H109" s="52"/>
      <c r="I109" s="76"/>
      <c r="J109" s="39"/>
      <c r="K109" s="73" t="s">
        <v>223</v>
      </c>
    </row>
    <row r="110" spans="1:11" ht="12.75">
      <c r="A110" s="38"/>
      <c r="B110" s="52"/>
      <c r="C110" s="74"/>
      <c r="D110" s="75"/>
      <c r="E110" s="39"/>
      <c r="F110" s="39"/>
      <c r="G110" s="39"/>
      <c r="H110" s="52"/>
      <c r="I110" s="76"/>
      <c r="J110" s="39"/>
      <c r="K110" s="73" t="s">
        <v>222</v>
      </c>
    </row>
    <row r="111" spans="1:11" ht="12.75">
      <c r="A111" s="38"/>
      <c r="B111" s="52"/>
      <c r="C111" s="74"/>
      <c r="D111" s="75"/>
      <c r="E111" s="39"/>
      <c r="F111" s="39"/>
      <c r="G111" s="39"/>
      <c r="H111" s="52"/>
      <c r="I111" s="76"/>
      <c r="J111" s="39"/>
      <c r="K111" s="73" t="s">
        <v>11</v>
      </c>
    </row>
    <row r="112" spans="1:11" ht="12.75">
      <c r="A112" s="38"/>
      <c r="B112" s="52"/>
      <c r="C112" s="74"/>
      <c r="D112" s="75"/>
      <c r="E112" s="39"/>
      <c r="F112" s="38"/>
      <c r="G112" s="38"/>
      <c r="H112" s="52"/>
      <c r="I112" s="76"/>
      <c r="J112" s="39"/>
      <c r="K112" s="52"/>
    </row>
    <row r="113" spans="1:11" ht="12.75">
      <c r="A113" s="38"/>
      <c r="B113" s="52"/>
      <c r="C113" s="74"/>
      <c r="D113" s="75"/>
      <c r="E113" s="53"/>
      <c r="F113" s="46" t="str">
        <f>F$5</f>
        <v>PACIFIC POWER &amp; LIGHT COMPANY</v>
      </c>
      <c r="G113" s="52"/>
      <c r="H113" s="52"/>
      <c r="I113" s="76"/>
      <c r="J113" s="39"/>
      <c r="K113" s="52"/>
    </row>
    <row r="114" spans="1:11" ht="12.75">
      <c r="A114" s="38"/>
      <c r="B114" s="52"/>
      <c r="C114" s="74"/>
      <c r="D114" s="75"/>
      <c r="E114" s="53"/>
      <c r="F114" s="46" t="s">
        <v>75</v>
      </c>
      <c r="G114" s="52"/>
      <c r="H114" s="52"/>
      <c r="I114" s="76"/>
      <c r="J114" s="39"/>
      <c r="K114" s="52"/>
    </row>
    <row r="115" spans="1:11" ht="12.75">
      <c r="A115" s="38"/>
      <c r="B115" s="52"/>
      <c r="C115" s="74"/>
      <c r="D115" s="75"/>
      <c r="E115" s="39"/>
      <c r="F115" s="38"/>
      <c r="G115" s="38"/>
      <c r="H115" s="52"/>
      <c r="I115" s="76"/>
      <c r="J115" s="39"/>
      <c r="K115" s="52"/>
    </row>
    <row r="116" spans="1:11" ht="12.75">
      <c r="A116" s="38"/>
      <c r="B116" s="52"/>
      <c r="C116" s="74"/>
      <c r="D116" s="75"/>
      <c r="E116" s="39"/>
      <c r="F116" s="38"/>
      <c r="G116" s="38"/>
      <c r="H116" s="52"/>
      <c r="I116" s="76"/>
      <c r="J116" s="39"/>
      <c r="K116" s="52"/>
    </row>
    <row r="117" spans="1:11" ht="12.75">
      <c r="A117" s="38"/>
      <c r="B117" s="52"/>
      <c r="C117" s="74"/>
      <c r="D117" s="75"/>
      <c r="E117" s="39"/>
      <c r="F117" s="38"/>
      <c r="G117" s="38"/>
      <c r="H117" s="52"/>
      <c r="I117" s="76"/>
      <c r="J117" s="39"/>
      <c r="K117" s="52"/>
    </row>
    <row r="118" spans="1:11" ht="12.75">
      <c r="A118" s="77" t="s">
        <v>76</v>
      </c>
      <c r="B118" s="52"/>
      <c r="C118" s="78"/>
      <c r="D118" s="79" t="s">
        <v>77</v>
      </c>
      <c r="E118" s="54" t="s">
        <v>78</v>
      </c>
      <c r="F118" s="77"/>
      <c r="G118" s="77"/>
      <c r="H118" s="52"/>
      <c r="I118" s="80" t="s">
        <v>149</v>
      </c>
      <c r="J118" s="81" t="s">
        <v>78</v>
      </c>
      <c r="K118" s="52"/>
    </row>
    <row r="119" spans="1:11" ht="12.75">
      <c r="A119" s="38"/>
      <c r="B119" s="52"/>
      <c r="C119" s="74"/>
      <c r="D119" s="75"/>
      <c r="E119" s="39"/>
      <c r="F119" s="38"/>
      <c r="G119" s="38"/>
      <c r="H119" s="52"/>
      <c r="I119" s="76"/>
      <c r="J119" s="39"/>
      <c r="K119" s="52"/>
    </row>
    <row r="120" spans="1:11" ht="12.75">
      <c r="A120" s="38"/>
      <c r="B120" s="52"/>
      <c r="C120" s="74" t="s">
        <v>150</v>
      </c>
      <c r="D120" s="75" t="s">
        <v>151</v>
      </c>
      <c r="E120" s="39"/>
      <c r="F120" s="38"/>
      <c r="G120" s="38" t="s">
        <v>152</v>
      </c>
      <c r="H120" s="52"/>
      <c r="I120" s="76" t="s">
        <v>51</v>
      </c>
      <c r="J120" s="39" t="s">
        <v>52</v>
      </c>
      <c r="K120" s="52"/>
    </row>
    <row r="121" spans="1:11" ht="12.75">
      <c r="A121" s="82" t="str">
        <f>DATA!A$11</f>
        <v>WR</v>
      </c>
      <c r="B121" s="52"/>
      <c r="C121" s="78" t="s">
        <v>53</v>
      </c>
      <c r="D121" s="79" t="s">
        <v>54</v>
      </c>
      <c r="E121" s="54" t="s">
        <v>55</v>
      </c>
      <c r="F121" s="77"/>
      <c r="G121" s="77" t="s">
        <v>56</v>
      </c>
      <c r="H121" s="52"/>
      <c r="I121" s="83" t="s">
        <v>57</v>
      </c>
      <c r="J121" s="54" t="s">
        <v>78</v>
      </c>
      <c r="K121" s="52"/>
    </row>
    <row r="122" spans="1:11" ht="12.75">
      <c r="A122" s="38">
        <f>DATA!F$3</f>
        <v>2009</v>
      </c>
      <c r="B122" s="52"/>
      <c r="C122" s="74">
        <f>1-DATA!N$11/DATA!F$11</f>
        <v>6.25E-2</v>
      </c>
      <c r="D122" s="75">
        <f>DATA!V$11</f>
        <v>6.2E-2</v>
      </c>
      <c r="E122" s="39">
        <f>C122*D122</f>
        <v>3.875E-3</v>
      </c>
      <c r="F122" s="38"/>
      <c r="G122" s="76">
        <f>DATA!AD$11</f>
        <v>20.59</v>
      </c>
      <c r="H122" s="52"/>
      <c r="I122" s="76">
        <f>DATA!AL$11</f>
        <v>109.07</v>
      </c>
      <c r="J122" s="39"/>
      <c r="K122" s="52"/>
    </row>
    <row r="123" spans="1:11" ht="12.75">
      <c r="A123" s="38">
        <f>DATA!G$3</f>
        <v>2010</v>
      </c>
      <c r="B123" s="52"/>
      <c r="C123" s="74">
        <f>1-DATA!O$11/DATA!G$11</f>
        <v>0.31111111111111112</v>
      </c>
      <c r="D123" s="75">
        <f>DATA!W$11</f>
        <v>8.5000000000000006E-2</v>
      </c>
      <c r="E123" s="39">
        <f>C123*D123</f>
        <v>2.6444444444444448E-2</v>
      </c>
      <c r="F123" s="38"/>
      <c r="G123" s="76">
        <f>DATA!AE$11</f>
        <v>21.25</v>
      </c>
      <c r="H123" s="52"/>
      <c r="I123" s="76">
        <f>DATA!AM$11</f>
        <v>112.13</v>
      </c>
      <c r="J123" s="39"/>
      <c r="K123" s="52"/>
    </row>
    <row r="124" spans="1:11" ht="12.75">
      <c r="A124" s="38">
        <f>DATA!H$3</f>
        <v>2011</v>
      </c>
      <c r="B124" s="52"/>
      <c r="C124" s="74">
        <f>1-DATA!P$11/DATA!H$11</f>
        <v>0.28491620111731841</v>
      </c>
      <c r="D124" s="75">
        <f>DATA!X$11</f>
        <v>7.6999999999999999E-2</v>
      </c>
      <c r="E124" s="39">
        <f>C124*D124</f>
        <v>2.1938547486033518E-2</v>
      </c>
      <c r="F124" s="38"/>
      <c r="G124" s="76">
        <f>DATA!AF$11</f>
        <v>22.03</v>
      </c>
      <c r="H124" s="52"/>
      <c r="I124" s="76">
        <f>DATA!AN$11</f>
        <v>125.7</v>
      </c>
      <c r="J124" s="39"/>
      <c r="K124" s="52"/>
    </row>
    <row r="125" spans="1:11" ht="12.75">
      <c r="A125" s="38">
        <f>DATA!I$3</f>
        <v>2012</v>
      </c>
      <c r="B125" s="52"/>
      <c r="C125" s="74">
        <f>1-DATA!Q$11/DATA!I$11</f>
        <v>0.38604651162790693</v>
      </c>
      <c r="D125" s="75">
        <f>DATA!Y$11</f>
        <v>9.5000000000000001E-2</v>
      </c>
      <c r="E125" s="39">
        <f>C125*D125</f>
        <v>3.6674418604651156E-2</v>
      </c>
      <c r="F125" s="38"/>
      <c r="G125" s="76">
        <f>DATA!AG$11</f>
        <v>22.89</v>
      </c>
      <c r="H125" s="52"/>
      <c r="I125" s="76">
        <f>DATA!AO$11</f>
        <v>126.5</v>
      </c>
      <c r="J125" s="39"/>
      <c r="K125" s="52"/>
    </row>
    <row r="126" spans="1:11" ht="12.75">
      <c r="A126" s="38">
        <f>DATA!J$3</f>
        <v>2013</v>
      </c>
      <c r="B126" s="52"/>
      <c r="C126" s="74">
        <f>1-DATA!R$11/DATA!J$11</f>
        <v>0.40088105726872247</v>
      </c>
      <c r="D126" s="75">
        <f>DATA!Z$11</f>
        <v>9.5000000000000001E-2</v>
      </c>
      <c r="E126" s="43">
        <f>C126*D126</f>
        <v>3.8083700440528633E-2</v>
      </c>
      <c r="F126" s="42"/>
      <c r="G126" s="85">
        <f>DATA!AH$11</f>
        <v>23.32</v>
      </c>
      <c r="H126" s="86"/>
      <c r="I126" s="85">
        <f>DATA!AP$11</f>
        <v>127.46</v>
      </c>
      <c r="J126" s="39"/>
      <c r="K126" s="52"/>
    </row>
    <row r="127" spans="1:11" ht="12.75">
      <c r="A127" s="64" t="s">
        <v>82</v>
      </c>
      <c r="B127" s="52"/>
      <c r="C127" s="74"/>
      <c r="D127" s="75"/>
      <c r="E127" s="39">
        <f>AVERAGE(E122:E126)</f>
        <v>2.5403222195131553E-2</v>
      </c>
      <c r="F127" s="39"/>
      <c r="G127" s="39">
        <f>DATA!AX$11</f>
        <v>4.4999999999999998E-2</v>
      </c>
      <c r="H127" s="52"/>
      <c r="I127" s="76"/>
      <c r="J127" s="39">
        <f>(I126/I122)^0.25-1</f>
        <v>3.9721800642131821E-2</v>
      </c>
      <c r="K127" s="52"/>
    </row>
    <row r="128" spans="1:11" ht="12.75">
      <c r="A128" s="38">
        <f>DATA!K$3</f>
        <v>2014</v>
      </c>
      <c r="B128" s="52"/>
      <c r="C128" s="74">
        <f>1-DATA!S$11/DATA!K$11</f>
        <v>0.4285714285714286</v>
      </c>
      <c r="D128" s="75">
        <f>DATA!AA$11</f>
        <v>9.5000000000000001E-2</v>
      </c>
      <c r="E128" s="39">
        <f>C128*D128</f>
        <v>4.0714285714285717E-2</v>
      </c>
      <c r="F128" s="39"/>
      <c r="G128" s="39"/>
      <c r="H128" s="52"/>
      <c r="I128" s="76">
        <f>DATA!AQ$11</f>
        <v>128.5</v>
      </c>
      <c r="J128" s="39">
        <f>(I128/I126)-1</f>
        <v>8.1594225639416429E-3</v>
      </c>
      <c r="K128" s="52"/>
    </row>
    <row r="129" spans="1:11" ht="12.75">
      <c r="A129" s="38">
        <f>DATA!L$3</f>
        <v>2015</v>
      </c>
      <c r="B129" s="38"/>
      <c r="C129" s="74">
        <f>1-DATA!T$11/DATA!L$11</f>
        <v>0.46666666666666667</v>
      </c>
      <c r="D129" s="75">
        <f>DATA!AB$11</f>
        <v>9.5000000000000001E-2</v>
      </c>
      <c r="E129" s="39">
        <f>C129*D129</f>
        <v>4.4333333333333336E-2</v>
      </c>
      <c r="F129" s="38"/>
      <c r="G129" s="39"/>
      <c r="H129" s="38"/>
      <c r="I129" s="76">
        <f>DATA!AR$11</f>
        <v>129</v>
      </c>
      <c r="J129" s="39">
        <f>(I129/I126)^0.5-1</f>
        <v>6.0229728358736079E-3</v>
      </c>
      <c r="K129" s="38"/>
    </row>
    <row r="130" spans="1:11" ht="12.75">
      <c r="A130" s="38" t="str">
        <f>DATA!M$3</f>
        <v>2017-2019</v>
      </c>
      <c r="B130" s="52"/>
      <c r="C130" s="74">
        <f>1-DATA!U$11/DATA!M$11</f>
        <v>0.4620689655172413</v>
      </c>
      <c r="D130" s="75">
        <f>DATA!AC$11</f>
        <v>9.5000000000000001E-2</v>
      </c>
      <c r="E130" s="39">
        <f>C130*D130</f>
        <v>4.3896551724137922E-2</v>
      </c>
      <c r="F130" s="39"/>
      <c r="G130" s="39">
        <f>DATA!AY$11</f>
        <v>0.05</v>
      </c>
      <c r="H130" s="52"/>
      <c r="I130" s="76">
        <f>DATA!AS$11</f>
        <v>135</v>
      </c>
      <c r="J130" s="39">
        <f>(I130/I126)^0.2-1</f>
        <v>1.1560752600153101E-2</v>
      </c>
      <c r="K130" s="52"/>
    </row>
    <row r="131" spans="1:11" ht="12.75">
      <c r="A131" s="38"/>
      <c r="B131" s="52"/>
      <c r="C131" s="74"/>
      <c r="D131" s="75"/>
      <c r="E131" s="39"/>
      <c r="F131" s="38"/>
      <c r="G131" s="38"/>
      <c r="H131" s="52"/>
      <c r="I131" s="76"/>
      <c r="J131" s="39"/>
      <c r="K131" s="52"/>
    </row>
    <row r="132" spans="1:11" ht="12.75">
      <c r="A132" s="64"/>
      <c r="B132" s="52"/>
      <c r="C132" s="74"/>
      <c r="D132" s="75"/>
      <c r="E132" s="39"/>
      <c r="F132" s="38"/>
      <c r="G132" s="38"/>
      <c r="H132" s="52"/>
      <c r="I132" s="76"/>
      <c r="J132" s="39"/>
      <c r="K132" s="52"/>
    </row>
    <row r="133" spans="1:11" ht="12.75">
      <c r="A133" s="38"/>
      <c r="B133" s="52"/>
      <c r="C133" s="74"/>
      <c r="D133" s="75"/>
      <c r="E133" s="39"/>
      <c r="F133" s="38"/>
      <c r="G133" s="38"/>
      <c r="H133" s="52"/>
      <c r="I133" s="76"/>
      <c r="J133" s="39"/>
      <c r="K133" s="52"/>
    </row>
    <row r="134" spans="1:11" ht="12.75">
      <c r="A134" s="77" t="s">
        <v>76</v>
      </c>
      <c r="B134" s="52"/>
      <c r="C134" s="78"/>
      <c r="D134" s="79" t="s">
        <v>77</v>
      </c>
      <c r="E134" s="54" t="s">
        <v>78</v>
      </c>
      <c r="F134" s="77"/>
      <c r="G134" s="77"/>
      <c r="H134" s="52"/>
      <c r="I134" s="80" t="s">
        <v>149</v>
      </c>
      <c r="J134" s="81" t="s">
        <v>78</v>
      </c>
      <c r="K134" s="52"/>
    </row>
    <row r="135" spans="1:11" ht="12.75">
      <c r="A135" s="38"/>
      <c r="B135" s="52"/>
      <c r="C135" s="74"/>
      <c r="D135" s="75"/>
      <c r="E135" s="39"/>
      <c r="F135" s="38"/>
      <c r="G135" s="38"/>
      <c r="H135" s="52"/>
      <c r="I135" s="76"/>
      <c r="J135" s="39"/>
      <c r="K135" s="52"/>
    </row>
    <row r="136" spans="1:11" ht="12.75">
      <c r="A136" s="38"/>
      <c r="B136" s="52"/>
      <c r="C136" s="74" t="s">
        <v>150</v>
      </c>
      <c r="D136" s="75" t="s">
        <v>151</v>
      </c>
      <c r="E136" s="39"/>
      <c r="F136" s="38"/>
      <c r="G136" s="38" t="s">
        <v>152</v>
      </c>
      <c r="H136" s="52"/>
      <c r="I136" s="76" t="s">
        <v>51</v>
      </c>
      <c r="J136" s="39" t="s">
        <v>52</v>
      </c>
      <c r="K136" s="52"/>
    </row>
    <row r="137" spans="1:11" ht="12.75">
      <c r="A137" s="82" t="str">
        <f>DATA!A$12</f>
        <v>EIX</v>
      </c>
      <c r="B137" s="52"/>
      <c r="C137" s="78" t="s">
        <v>53</v>
      </c>
      <c r="D137" s="79" t="s">
        <v>54</v>
      </c>
      <c r="E137" s="54" t="s">
        <v>55</v>
      </c>
      <c r="F137" s="77"/>
      <c r="G137" s="77" t="s">
        <v>56</v>
      </c>
      <c r="H137" s="52"/>
      <c r="I137" s="83" t="s">
        <v>57</v>
      </c>
      <c r="J137" s="54" t="s">
        <v>78</v>
      </c>
      <c r="K137" s="52"/>
    </row>
    <row r="138" spans="1:11" ht="12.75">
      <c r="A138" s="38">
        <f>DATA!F$3</f>
        <v>2009</v>
      </c>
      <c r="B138" s="52"/>
      <c r="C138" s="74">
        <f>1-DATA!N$12/DATA!F$12</f>
        <v>0.61419753086419759</v>
      </c>
      <c r="D138" s="75">
        <f>DATA!V$12</f>
        <v>0.108</v>
      </c>
      <c r="E138" s="39">
        <f>C138*D138</f>
        <v>6.6333333333333341E-2</v>
      </c>
      <c r="F138" s="38"/>
      <c r="G138" s="76">
        <f>DATA!AD$12</f>
        <v>30.2</v>
      </c>
      <c r="H138" s="52"/>
      <c r="I138" s="76">
        <f>DATA!AL$12</f>
        <v>325.81</v>
      </c>
      <c r="J138" s="39"/>
      <c r="K138" s="52"/>
    </row>
    <row r="139" spans="1:11" ht="12.75">
      <c r="A139" s="38">
        <f>DATA!G$3</f>
        <v>2010</v>
      </c>
      <c r="B139" s="52"/>
      <c r="C139" s="74">
        <f>1-DATA!O$12/DATA!G$12</f>
        <v>0.62089552238805967</v>
      </c>
      <c r="D139" s="75">
        <f>DATA!W$12</f>
        <v>0.104</v>
      </c>
      <c r="E139" s="39">
        <f>C139*D139</f>
        <v>6.4573134328358206E-2</v>
      </c>
      <c r="F139" s="38"/>
      <c r="G139" s="76">
        <f>DATA!AE$12</f>
        <v>32.44</v>
      </c>
      <c r="H139" s="52"/>
      <c r="I139" s="76">
        <f>DATA!AM$12</f>
        <v>325.81</v>
      </c>
      <c r="J139" s="39"/>
      <c r="K139" s="52"/>
    </row>
    <row r="140" spans="1:11" ht="12.75">
      <c r="A140" s="38">
        <f>DATA!H$3</f>
        <v>2011</v>
      </c>
      <c r="B140" s="52"/>
      <c r="C140" s="74">
        <f>1-DATA!P$12/DATA!H$12</f>
        <v>0.60061919504643968</v>
      </c>
      <c r="D140" s="75">
        <f>DATA!X$12</f>
        <v>0.105</v>
      </c>
      <c r="E140" s="39">
        <f>C140*D140</f>
        <v>6.3065015479876169E-2</v>
      </c>
      <c r="F140" s="38"/>
      <c r="G140" s="76">
        <f>DATA!AF$12</f>
        <v>30.86</v>
      </c>
      <c r="H140" s="52"/>
      <c r="I140" s="76">
        <f>DATA!AN$12</f>
        <v>325.81</v>
      </c>
      <c r="J140" s="39"/>
      <c r="K140" s="52"/>
    </row>
    <row r="141" spans="1:11" ht="12.75">
      <c r="A141" s="38">
        <f>DATA!I$3</f>
        <v>2012</v>
      </c>
      <c r="B141" s="52"/>
      <c r="C141" s="74">
        <f>1-DATA!Q$12/DATA!I$12</f>
        <v>0.712087912087912</v>
      </c>
      <c r="D141" s="75">
        <f>DATA!Y$12</f>
        <v>0.159</v>
      </c>
      <c r="E141" s="39">
        <f>C141*D141</f>
        <v>0.113221978021978</v>
      </c>
      <c r="F141" s="38"/>
      <c r="G141" s="76">
        <f>DATA!AG$12</f>
        <v>28.95</v>
      </c>
      <c r="H141" s="52"/>
      <c r="I141" s="76">
        <f>DATA!AO$12</f>
        <v>325.81</v>
      </c>
      <c r="J141" s="39"/>
      <c r="K141" s="52"/>
    </row>
    <row r="142" spans="1:11" ht="12.75">
      <c r="A142" s="38">
        <f>DATA!J$3</f>
        <v>2013</v>
      </c>
      <c r="B142" s="52"/>
      <c r="C142" s="74">
        <f>1-DATA!R$12/DATA!J$12</f>
        <v>0.63756613756613745</v>
      </c>
      <c r="D142" s="75">
        <f>DATA!Z$12</f>
        <v>0.125</v>
      </c>
      <c r="E142" s="43">
        <f>C142*D142</f>
        <v>7.9695767195767181E-2</v>
      </c>
      <c r="F142" s="42"/>
      <c r="G142" s="85">
        <f>DATA!AH$12</f>
        <v>30.5</v>
      </c>
      <c r="H142" s="86"/>
      <c r="I142" s="85">
        <f>DATA!AP$12</f>
        <v>325.81</v>
      </c>
      <c r="J142" s="39"/>
      <c r="K142" s="52"/>
    </row>
    <row r="143" spans="1:11" ht="12.75">
      <c r="A143" s="64" t="s">
        <v>82</v>
      </c>
      <c r="B143" s="52"/>
      <c r="C143" s="74"/>
      <c r="D143" s="75"/>
      <c r="E143" s="39">
        <f>AVERAGE(E138:E142)</f>
        <v>7.7377845671862594E-2</v>
      </c>
      <c r="F143" s="39"/>
      <c r="G143" s="39">
        <f>DATA!AX$12</f>
        <v>0.03</v>
      </c>
      <c r="H143" s="52"/>
      <c r="I143" s="76"/>
      <c r="J143" s="39">
        <f>(I142/I138)^0.25-1</f>
        <v>0</v>
      </c>
      <c r="K143" s="52"/>
    </row>
    <row r="144" spans="1:11" ht="12.75">
      <c r="A144" s="38">
        <f>DATA!K$3</f>
        <v>2014</v>
      </c>
      <c r="B144" s="52"/>
      <c r="C144" s="74">
        <f>1-DATA!S$12/DATA!K$12</f>
        <v>0.57971014492753625</v>
      </c>
      <c r="D144" s="75">
        <f>DATA!AA$12</f>
        <v>0.105</v>
      </c>
      <c r="E144" s="39">
        <f>C144*D144</f>
        <v>6.0869565217391307E-2</v>
      </c>
      <c r="F144" s="39"/>
      <c r="G144" s="39"/>
      <c r="H144" s="52"/>
      <c r="I144" s="76">
        <f>DATA!AQ$12</f>
        <v>325.81</v>
      </c>
      <c r="J144" s="39">
        <f>(I144/I142)-1</f>
        <v>0</v>
      </c>
      <c r="K144" s="52"/>
    </row>
    <row r="145" spans="1:11" ht="12.75">
      <c r="A145" s="38">
        <f>DATA!L$3</f>
        <v>2015</v>
      </c>
      <c r="B145" s="38"/>
      <c r="C145" s="74">
        <f>1-DATA!T$12/DATA!L$12</f>
        <v>0.59480519480519478</v>
      </c>
      <c r="D145" s="75">
        <f>DATA!AB$12</f>
        <v>0.11</v>
      </c>
      <c r="E145" s="39">
        <f>C145*D145</f>
        <v>6.5428571428571433E-2</v>
      </c>
      <c r="F145" s="38"/>
      <c r="G145" s="39"/>
      <c r="H145" s="38"/>
      <c r="I145" s="76">
        <f>DATA!AR$12</f>
        <v>325.81</v>
      </c>
      <c r="J145" s="39">
        <f>(I145/I142)^0.5-1</f>
        <v>0</v>
      </c>
      <c r="K145" s="38"/>
    </row>
    <row r="146" spans="1:11" ht="12.75">
      <c r="A146" s="38" t="str">
        <f>DATA!M$3</f>
        <v>2017-2019</v>
      </c>
      <c r="B146" s="52"/>
      <c r="C146" s="74">
        <f>1-DATA!U$12/DATA!M$12</f>
        <v>0.54444444444444451</v>
      </c>
      <c r="D146" s="75">
        <f>DATA!AC$12</f>
        <v>0.11</v>
      </c>
      <c r="E146" s="39">
        <f>C146*D146</f>
        <v>5.9888888888888894E-2</v>
      </c>
      <c r="F146" s="39"/>
      <c r="G146" s="39">
        <f>DATA!AY$12</f>
        <v>5.5E-2</v>
      </c>
      <c r="H146" s="52"/>
      <c r="I146" s="76">
        <f>DATA!AS$12</f>
        <v>325.81</v>
      </c>
      <c r="J146" s="39">
        <f>(I146/I142)^0.2-1</f>
        <v>0</v>
      </c>
      <c r="K146" s="52"/>
    </row>
    <row r="147" spans="1:11" ht="12.75">
      <c r="A147" s="38"/>
      <c r="B147" s="52"/>
      <c r="C147" s="74"/>
      <c r="D147" s="75"/>
      <c r="E147" s="39"/>
      <c r="F147" s="38"/>
      <c r="G147" s="38"/>
      <c r="H147" s="52"/>
      <c r="I147" s="76"/>
      <c r="J147" s="39"/>
      <c r="K147" s="52"/>
    </row>
    <row r="148" spans="1:11" ht="12.75">
      <c r="B148" s="52"/>
      <c r="C148" s="74"/>
      <c r="D148" s="75"/>
      <c r="E148" s="39"/>
      <c r="F148" s="38"/>
      <c r="G148" s="38"/>
      <c r="H148" s="52"/>
      <c r="I148" s="76"/>
      <c r="J148" s="39"/>
      <c r="K148" s="52"/>
    </row>
    <row r="149" spans="1:11" ht="12.75">
      <c r="A149" s="38"/>
      <c r="B149" s="52"/>
      <c r="C149" s="74"/>
      <c r="D149" s="75"/>
      <c r="E149" s="39"/>
      <c r="F149" s="38"/>
      <c r="G149" s="38"/>
      <c r="H149" s="52"/>
      <c r="I149" s="76"/>
      <c r="J149" s="39"/>
      <c r="K149" s="52"/>
    </row>
    <row r="150" spans="1:11" ht="12.75">
      <c r="A150" s="77" t="s">
        <v>76</v>
      </c>
      <c r="B150" s="52"/>
      <c r="C150" s="78"/>
      <c r="D150" s="79" t="s">
        <v>77</v>
      </c>
      <c r="E150" s="54" t="s">
        <v>78</v>
      </c>
      <c r="F150" s="77"/>
      <c r="G150" s="77"/>
      <c r="H150" s="52"/>
      <c r="I150" s="80" t="s">
        <v>149</v>
      </c>
      <c r="J150" s="81" t="s">
        <v>78</v>
      </c>
      <c r="K150" s="52"/>
    </row>
    <row r="151" spans="1:11" ht="12.75">
      <c r="A151" s="38"/>
      <c r="B151" s="52"/>
      <c r="C151" s="74"/>
      <c r="D151" s="75"/>
      <c r="E151" s="39"/>
      <c r="F151" s="38"/>
      <c r="G151" s="38"/>
      <c r="H151" s="52"/>
      <c r="I151" s="76"/>
      <c r="J151" s="39"/>
      <c r="K151" s="52"/>
    </row>
    <row r="152" spans="1:11" ht="12.75">
      <c r="A152" s="38"/>
      <c r="B152" s="52"/>
      <c r="C152" s="74" t="s">
        <v>150</v>
      </c>
      <c r="D152" s="75" t="s">
        <v>151</v>
      </c>
      <c r="E152" s="39"/>
      <c r="F152" s="38"/>
      <c r="G152" s="38" t="s">
        <v>152</v>
      </c>
      <c r="H152" s="52"/>
      <c r="I152" s="76" t="s">
        <v>51</v>
      </c>
      <c r="J152" s="39" t="s">
        <v>52</v>
      </c>
      <c r="K152" s="52"/>
    </row>
    <row r="153" spans="1:11" ht="12.75">
      <c r="A153" s="82" t="str">
        <f>DATA!A$13</f>
        <v>IDA</v>
      </c>
      <c r="B153" s="52"/>
      <c r="C153" s="78" t="s">
        <v>53</v>
      </c>
      <c r="D153" s="79" t="s">
        <v>54</v>
      </c>
      <c r="E153" s="54" t="s">
        <v>55</v>
      </c>
      <c r="F153" s="77"/>
      <c r="G153" s="77" t="s">
        <v>56</v>
      </c>
      <c r="H153" s="52"/>
      <c r="I153" s="83" t="s">
        <v>57</v>
      </c>
      <c r="J153" s="54" t="s">
        <v>78</v>
      </c>
      <c r="K153" s="52"/>
    </row>
    <row r="154" spans="1:11" ht="12.75">
      <c r="A154" s="38">
        <f>DATA!F$3</f>
        <v>2009</v>
      </c>
      <c r="B154" s="52"/>
      <c r="C154" s="74">
        <f>1-DATA!N$13/DATA!F$13</f>
        <v>0.54545454545454541</v>
      </c>
      <c r="D154" s="75">
        <f>DATA!V$13</f>
        <v>8.8999999999999996E-2</v>
      </c>
      <c r="E154" s="39">
        <f>C154*D154</f>
        <v>4.8545454545454537E-2</v>
      </c>
      <c r="F154" s="38"/>
      <c r="G154" s="38">
        <f>DATA!AD$13</f>
        <v>29.17</v>
      </c>
      <c r="H154" s="52"/>
      <c r="I154" s="76">
        <f>DATA!AL$13</f>
        <v>47.9</v>
      </c>
      <c r="J154" s="39"/>
      <c r="K154" s="52"/>
    </row>
    <row r="155" spans="1:11" ht="12.75">
      <c r="A155" s="38">
        <f>DATA!G$3</f>
        <v>2010</v>
      </c>
      <c r="B155" s="52"/>
      <c r="C155" s="74">
        <f>1-DATA!O$13/DATA!G$13</f>
        <v>0.59322033898305082</v>
      </c>
      <c r="D155" s="75">
        <f>DATA!W$13</f>
        <v>9.2999999999999999E-2</v>
      </c>
      <c r="E155" s="39">
        <f>C155*D155</f>
        <v>5.5169491525423726E-2</v>
      </c>
      <c r="F155" s="38"/>
      <c r="G155" s="38">
        <f>DATA!AE$13</f>
        <v>31.01</v>
      </c>
      <c r="H155" s="52"/>
      <c r="I155" s="76">
        <f>DATA!AM$13</f>
        <v>49.41</v>
      </c>
      <c r="J155" s="39"/>
      <c r="K155" s="52"/>
    </row>
    <row r="156" spans="1:11" ht="12.75">
      <c r="A156" s="38">
        <f>DATA!H$3</f>
        <v>2011</v>
      </c>
      <c r="B156" s="52"/>
      <c r="C156" s="74">
        <f>1-DATA!P$13/DATA!H$13</f>
        <v>0.64285714285714279</v>
      </c>
      <c r="D156" s="75">
        <f>DATA!X$13</f>
        <v>0.10100000000000001</v>
      </c>
      <c r="E156" s="39">
        <f>C156*D156</f>
        <v>6.4928571428571433E-2</v>
      </c>
      <c r="F156" s="38"/>
      <c r="G156" s="38">
        <f>DATA!AF$13</f>
        <v>33.19</v>
      </c>
      <c r="H156" s="52"/>
      <c r="I156" s="76">
        <f>DATA!AN$13</f>
        <v>49.95</v>
      </c>
      <c r="J156" s="39"/>
      <c r="K156" s="52"/>
    </row>
    <row r="157" spans="1:11" ht="12.75">
      <c r="A157" s="38">
        <f>DATA!I$3</f>
        <v>2012</v>
      </c>
      <c r="B157" s="52"/>
      <c r="C157" s="74">
        <f>1-DATA!Q$13/DATA!I$13</f>
        <v>0.59347181008902083</v>
      </c>
      <c r="D157" s="75">
        <f>DATA!Y$13</f>
        <v>9.6000000000000002E-2</v>
      </c>
      <c r="E157" s="39">
        <f>C157*D157</f>
        <v>5.6973293768545999E-2</v>
      </c>
      <c r="F157" s="38"/>
      <c r="G157" s="38">
        <f>DATA!AG$13</f>
        <v>35.07</v>
      </c>
      <c r="H157" s="52"/>
      <c r="I157" s="76">
        <f>DATA!AO$13</f>
        <v>50.16</v>
      </c>
      <c r="J157" s="39"/>
      <c r="K157" s="52"/>
    </row>
    <row r="158" spans="1:11" ht="12.75">
      <c r="A158" s="38">
        <f>DATA!J$3</f>
        <v>2013</v>
      </c>
      <c r="B158" s="52"/>
      <c r="C158" s="74">
        <f>1-DATA!R$13/DATA!J$13</f>
        <v>0.56868131868131866</v>
      </c>
      <c r="D158" s="75">
        <f>DATA!Z$13</f>
        <v>9.9000000000000005E-2</v>
      </c>
      <c r="E158" s="43">
        <f>C158*D158</f>
        <v>5.6299450549450548E-2</v>
      </c>
      <c r="F158" s="42"/>
      <c r="G158" s="42">
        <f>DATA!AH$13</f>
        <v>36.840000000000003</v>
      </c>
      <c r="H158" s="86"/>
      <c r="I158" s="85">
        <f>DATA!AP$13</f>
        <v>50.23</v>
      </c>
      <c r="J158" s="39"/>
      <c r="K158" s="52"/>
    </row>
    <row r="159" spans="1:11" ht="12.75">
      <c r="A159" s="64" t="s">
        <v>82</v>
      </c>
      <c r="B159" s="52"/>
      <c r="C159" s="74"/>
      <c r="D159" s="75"/>
      <c r="E159" s="39">
        <f>AVERAGE(E154:E158)</f>
        <v>5.6383252363489254E-2</v>
      </c>
      <c r="F159" s="39"/>
      <c r="G159" s="39">
        <f>DATA!AX$13</f>
        <v>5.5E-2</v>
      </c>
      <c r="H159" s="52"/>
      <c r="I159" s="76"/>
      <c r="J159" s="39">
        <f>(I158/I154)^0.25-1</f>
        <v>1.1945016974346023E-2</v>
      </c>
      <c r="K159" s="52"/>
    </row>
    <row r="160" spans="1:11" ht="12.75">
      <c r="A160" s="38">
        <f>DATA!K$3</f>
        <v>2014</v>
      </c>
      <c r="B160" s="52"/>
      <c r="C160" s="74">
        <f>1-DATA!S$13/DATA!K$13</f>
        <v>0.50857142857142856</v>
      </c>
      <c r="D160" s="75">
        <f>DATA!AA$13</f>
        <v>0.09</v>
      </c>
      <c r="E160" s="39">
        <f>C160*D160</f>
        <v>4.5771428571428567E-2</v>
      </c>
      <c r="F160" s="39"/>
      <c r="G160" s="39"/>
      <c r="H160" s="52"/>
      <c r="I160" s="76">
        <f>DATA!AQ$13</f>
        <v>50.23</v>
      </c>
      <c r="J160" s="39">
        <f>(I160/I158)-1</f>
        <v>0</v>
      </c>
      <c r="K160" s="52"/>
    </row>
    <row r="161" spans="1:11" ht="12.75">
      <c r="A161" s="38">
        <f>DATA!L$3</f>
        <v>2015</v>
      </c>
      <c r="B161" s="38"/>
      <c r="C161" s="74">
        <f>1-DATA!T$13/DATA!L$13</f>
        <v>0.47826086956521741</v>
      </c>
      <c r="D161" s="75">
        <f>DATA!AB$13</f>
        <v>8.5000000000000006E-2</v>
      </c>
      <c r="E161" s="39">
        <f>C161*D161</f>
        <v>4.0652173913043481E-2</v>
      </c>
      <c r="F161" s="38"/>
      <c r="G161" s="39"/>
      <c r="H161" s="38"/>
      <c r="I161" s="76">
        <f>DATA!AR$13</f>
        <v>50.2</v>
      </c>
      <c r="J161" s="39">
        <f>(I161/I158)^0.5-1</f>
        <v>-2.9867092109236992E-4</v>
      </c>
      <c r="K161" s="38"/>
    </row>
    <row r="162" spans="1:11" ht="12.75">
      <c r="A162" s="38" t="str">
        <f>DATA!M$3</f>
        <v>2017-2019</v>
      </c>
      <c r="B162" s="52"/>
      <c r="C162" s="74">
        <f>1-DATA!U$13/DATA!M$13</f>
        <v>0.45205479452054798</v>
      </c>
      <c r="D162" s="75">
        <f>DATA!AC$13</f>
        <v>0.08</v>
      </c>
      <c r="E162" s="39">
        <f>C162*D162</f>
        <v>3.6164383561643837E-2</v>
      </c>
      <c r="F162" s="39"/>
      <c r="G162" s="39">
        <f>DATA!AY$13</f>
        <v>0.04</v>
      </c>
      <c r="H162" s="52"/>
      <c r="I162" s="76">
        <f>DATA!AS$13</f>
        <v>51.2</v>
      </c>
      <c r="J162" s="39">
        <f>(I162/I158)^0.2-1</f>
        <v>3.8327410951028984E-3</v>
      </c>
      <c r="K162" s="52"/>
    </row>
    <row r="163" spans="1:11" ht="12.75">
      <c r="A163" s="38"/>
      <c r="B163" s="52"/>
      <c r="C163" s="74"/>
      <c r="D163" s="75"/>
      <c r="E163" s="39"/>
      <c r="F163" s="39"/>
      <c r="G163" s="39"/>
      <c r="H163" s="52"/>
      <c r="I163" s="76"/>
      <c r="J163" s="39"/>
      <c r="K163" s="73" t="s">
        <v>223</v>
      </c>
    </row>
    <row r="164" spans="1:11" ht="12.75">
      <c r="A164" s="38"/>
      <c r="B164" s="52"/>
      <c r="C164" s="74"/>
      <c r="D164" s="75"/>
      <c r="E164" s="39"/>
      <c r="F164" s="39"/>
      <c r="G164" s="39"/>
      <c r="H164" s="52"/>
      <c r="I164" s="76"/>
      <c r="J164" s="39"/>
      <c r="K164" s="73" t="s">
        <v>222</v>
      </c>
    </row>
    <row r="165" spans="1:11" ht="12.75">
      <c r="A165" s="38"/>
      <c r="B165" s="52"/>
      <c r="C165" s="74"/>
      <c r="D165" s="75"/>
      <c r="E165" s="39"/>
      <c r="F165" s="39"/>
      <c r="G165" s="39"/>
      <c r="H165" s="52"/>
      <c r="I165" s="76"/>
      <c r="J165" s="39"/>
      <c r="K165" s="73" t="s">
        <v>12</v>
      </c>
    </row>
    <row r="166" spans="1:11" ht="12.75">
      <c r="A166" s="38"/>
      <c r="B166" s="52"/>
      <c r="C166" s="74"/>
      <c r="D166" s="75"/>
      <c r="E166" s="39"/>
      <c r="F166" s="39"/>
      <c r="G166" s="39"/>
      <c r="H166" s="52"/>
      <c r="I166" s="76"/>
      <c r="J166" s="39"/>
      <c r="K166" s="52"/>
    </row>
    <row r="167" spans="1:11" ht="12.75">
      <c r="A167" s="38"/>
      <c r="B167" s="52"/>
      <c r="C167" s="74"/>
      <c r="D167" s="75"/>
      <c r="E167" s="39"/>
      <c r="F167" s="39"/>
      <c r="G167" s="39"/>
      <c r="H167" s="52"/>
      <c r="I167" s="76"/>
      <c r="J167" s="39"/>
      <c r="K167" s="52"/>
    </row>
    <row r="168" spans="1:11" ht="12.75">
      <c r="A168" s="64"/>
      <c r="B168" s="52"/>
      <c r="C168" s="74"/>
      <c r="D168" s="75"/>
      <c r="E168" s="39"/>
      <c r="F168" s="38"/>
      <c r="G168" s="38"/>
      <c r="H168" s="52"/>
      <c r="I168" s="76"/>
      <c r="J168" s="39"/>
      <c r="K168" s="52"/>
    </row>
    <row r="169" spans="1:11" ht="12.75">
      <c r="A169" s="38"/>
      <c r="B169" s="52"/>
      <c r="C169" s="74"/>
      <c r="D169" s="75"/>
      <c r="E169" s="53"/>
      <c r="F169" s="46" t="str">
        <f>F$5</f>
        <v>PACIFIC POWER &amp; LIGHT COMPANY</v>
      </c>
      <c r="G169" s="52"/>
      <c r="H169" s="52"/>
      <c r="I169" s="76"/>
      <c r="J169" s="39"/>
      <c r="K169" s="52"/>
    </row>
    <row r="170" spans="1:11" ht="12.75">
      <c r="A170" s="38"/>
      <c r="B170" s="52"/>
      <c r="C170" s="74"/>
      <c r="D170" s="75"/>
      <c r="E170" s="53"/>
      <c r="F170" s="46" t="s">
        <v>75</v>
      </c>
      <c r="G170" s="52"/>
      <c r="H170" s="52"/>
      <c r="I170" s="76"/>
      <c r="J170" s="39"/>
      <c r="K170" s="52"/>
    </row>
    <row r="171" spans="1:11" ht="12.75">
      <c r="A171" s="38"/>
      <c r="B171" s="52"/>
      <c r="C171" s="74"/>
      <c r="D171" s="75"/>
      <c r="E171" s="39"/>
      <c r="F171" s="38"/>
      <c r="G171" s="38"/>
      <c r="H171" s="52"/>
      <c r="I171" s="76"/>
      <c r="J171" s="39"/>
      <c r="K171" s="52"/>
    </row>
    <row r="172" spans="1:11" ht="12.75">
      <c r="A172" s="38"/>
      <c r="B172" s="52"/>
      <c r="C172" s="74"/>
      <c r="D172" s="75"/>
      <c r="E172" s="39"/>
      <c r="F172" s="38"/>
      <c r="G172" s="38"/>
      <c r="H172" s="52"/>
      <c r="I172" s="76"/>
      <c r="J172" s="39"/>
      <c r="K172" s="52"/>
    </row>
    <row r="173" spans="1:11" ht="12.75">
      <c r="A173" s="38"/>
      <c r="B173" s="52"/>
      <c r="C173" s="74"/>
      <c r="D173" s="75"/>
      <c r="E173" s="39"/>
      <c r="F173" s="38"/>
      <c r="G173" s="38"/>
      <c r="H173" s="52"/>
      <c r="I173" s="76"/>
      <c r="J173" s="39"/>
      <c r="K173" s="52"/>
    </row>
    <row r="174" spans="1:11" ht="12.75">
      <c r="A174" s="77" t="s">
        <v>76</v>
      </c>
      <c r="B174" s="52"/>
      <c r="C174" s="78"/>
      <c r="D174" s="79" t="s">
        <v>77</v>
      </c>
      <c r="E174" s="54" t="s">
        <v>78</v>
      </c>
      <c r="F174" s="77"/>
      <c r="G174" s="77"/>
      <c r="H174" s="52"/>
      <c r="I174" s="80" t="s">
        <v>149</v>
      </c>
      <c r="J174" s="81" t="s">
        <v>78</v>
      </c>
      <c r="K174" s="52"/>
    </row>
    <row r="175" spans="1:11" ht="12.75">
      <c r="A175" s="38"/>
      <c r="B175" s="52"/>
      <c r="C175" s="74"/>
      <c r="D175" s="75"/>
      <c r="E175" s="39"/>
      <c r="F175" s="38"/>
      <c r="G175" s="38"/>
      <c r="H175" s="52"/>
      <c r="I175" s="76"/>
      <c r="J175" s="39"/>
      <c r="K175" s="52"/>
    </row>
    <row r="176" spans="1:11" ht="12.75">
      <c r="A176" s="38"/>
      <c r="B176" s="52"/>
      <c r="C176" s="74" t="s">
        <v>150</v>
      </c>
      <c r="D176" s="75" t="s">
        <v>151</v>
      </c>
      <c r="E176" s="39"/>
      <c r="F176" s="38"/>
      <c r="G176" s="38" t="s">
        <v>152</v>
      </c>
      <c r="H176" s="52"/>
      <c r="I176" s="76" t="s">
        <v>51</v>
      </c>
      <c r="J176" s="39" t="s">
        <v>52</v>
      </c>
      <c r="K176" s="52"/>
    </row>
    <row r="177" spans="1:11" ht="12.75">
      <c r="A177" s="82" t="str">
        <f>DATA!A$14</f>
        <v>NWE</v>
      </c>
      <c r="B177" s="52"/>
      <c r="C177" s="78" t="s">
        <v>53</v>
      </c>
      <c r="D177" s="79" t="s">
        <v>54</v>
      </c>
      <c r="E177" s="54" t="s">
        <v>55</v>
      </c>
      <c r="F177" s="77"/>
      <c r="G177" s="77" t="s">
        <v>56</v>
      </c>
      <c r="H177" s="52"/>
      <c r="I177" s="83" t="s">
        <v>57</v>
      </c>
      <c r="J177" s="54" t="s">
        <v>78</v>
      </c>
      <c r="K177" s="52"/>
    </row>
    <row r="178" spans="1:11" ht="12.75">
      <c r="A178" s="38">
        <f>DATA!F$3</f>
        <v>2009</v>
      </c>
      <c r="B178" s="52"/>
      <c r="C178" s="74">
        <f>1-DATA!N$14/DATA!F$14</f>
        <v>0.3366336633663366</v>
      </c>
      <c r="D178" s="75">
        <f>DATA!V$14</f>
        <v>9.2999999999999999E-2</v>
      </c>
      <c r="E178" s="39">
        <f>C178*D178</f>
        <v>3.1306930693069307E-2</v>
      </c>
      <c r="F178" s="38"/>
      <c r="G178" s="76">
        <f>DATA!AD$14</f>
        <v>21.86</v>
      </c>
      <c r="H178" s="52"/>
      <c r="I178" s="76">
        <f>DATA!AL$14</f>
        <v>36</v>
      </c>
      <c r="J178" s="39"/>
      <c r="K178" s="52"/>
    </row>
    <row r="179" spans="1:11" ht="12.75">
      <c r="A179" s="38">
        <f>DATA!G$3</f>
        <v>2010</v>
      </c>
      <c r="B179" s="52"/>
      <c r="C179" s="74">
        <f>1-DATA!O$14/DATA!G$14</f>
        <v>0.36448598130841126</v>
      </c>
      <c r="D179" s="75">
        <f>DATA!W$14</f>
        <v>9.4E-2</v>
      </c>
      <c r="E179" s="39">
        <f>C179*D179</f>
        <v>3.4261682242990657E-2</v>
      </c>
      <c r="F179" s="38"/>
      <c r="G179" s="76">
        <f>DATA!AE$14</f>
        <v>22.64</v>
      </c>
      <c r="H179" s="52"/>
      <c r="I179" s="76">
        <f>DATA!AM$14</f>
        <v>36.229999999999997</v>
      </c>
      <c r="J179" s="39"/>
      <c r="K179" s="52"/>
    </row>
    <row r="180" spans="1:11" ht="12.75">
      <c r="A180" s="38">
        <f>DATA!H$3</f>
        <v>2011</v>
      </c>
      <c r="B180" s="52"/>
      <c r="C180" s="74">
        <f>1-DATA!P$14/DATA!H$14</f>
        <v>0.43083003952569165</v>
      </c>
      <c r="D180" s="75">
        <f>DATA!X$14</f>
        <v>0.108</v>
      </c>
      <c r="E180" s="39">
        <f>C180*D180</f>
        <v>4.6529644268774699E-2</v>
      </c>
      <c r="F180" s="38"/>
      <c r="G180" s="76">
        <f>DATA!AF$14</f>
        <v>23.68</v>
      </c>
      <c r="H180" s="52"/>
      <c r="I180" s="76">
        <f>DATA!AN$14</f>
        <v>36.28</v>
      </c>
      <c r="J180" s="39"/>
      <c r="K180" s="52"/>
    </row>
    <row r="181" spans="1:11" ht="12.75">
      <c r="A181" s="38">
        <f>DATA!I$3</f>
        <v>2012</v>
      </c>
      <c r="B181" s="52"/>
      <c r="C181" s="74">
        <f>1-DATA!Q$14/DATA!I$14</f>
        <v>0.34513274336283184</v>
      </c>
      <c r="D181" s="75">
        <f>DATA!Y$14</f>
        <v>0.09</v>
      </c>
      <c r="E181" s="39">
        <f>C181*D181</f>
        <v>3.1061946902654864E-2</v>
      </c>
      <c r="F181" s="38"/>
      <c r="G181" s="76">
        <f>DATA!AG$14</f>
        <v>25.09</v>
      </c>
      <c r="H181" s="52"/>
      <c r="I181" s="76">
        <f>DATA!AO$14</f>
        <v>37.22</v>
      </c>
      <c r="J181" s="39"/>
      <c r="K181" s="52"/>
    </row>
    <row r="182" spans="1:11" ht="12.75">
      <c r="A182" s="38">
        <f>DATA!J$3</f>
        <v>2013</v>
      </c>
      <c r="B182" s="52"/>
      <c r="C182" s="74">
        <f>1-DATA!R$14/DATA!J$14</f>
        <v>0.38211382113821135</v>
      </c>
      <c r="D182" s="75">
        <f>DATA!Z$14</f>
        <v>9.0999999999999998E-2</v>
      </c>
      <c r="E182" s="43">
        <f>C182*D182</f>
        <v>3.477235772357723E-2</v>
      </c>
      <c r="F182" s="42"/>
      <c r="G182" s="85">
        <f>DATA!AH$14</f>
        <v>26.6</v>
      </c>
      <c r="H182" s="86"/>
      <c r="I182" s="85">
        <f>DATA!AP$14</f>
        <v>38.75</v>
      </c>
      <c r="J182" s="39"/>
      <c r="K182" s="52"/>
    </row>
    <row r="183" spans="1:11" ht="12.75">
      <c r="A183" s="64" t="s">
        <v>82</v>
      </c>
      <c r="B183" s="52"/>
      <c r="C183" s="74"/>
      <c r="D183" s="75"/>
      <c r="E183" s="39">
        <f>AVERAGE(E178:E182)</f>
        <v>3.5586512366213352E-2</v>
      </c>
      <c r="F183" s="39"/>
      <c r="G183" s="39">
        <f>DATA!AX$14</f>
        <v>3.5000000000000003E-2</v>
      </c>
      <c r="H183" s="52"/>
      <c r="I183" s="76"/>
      <c r="J183" s="39">
        <f>(I182/I178)^0.25-1</f>
        <v>1.8573332247476371E-2</v>
      </c>
      <c r="K183" s="52"/>
    </row>
    <row r="184" spans="1:11" ht="12.75">
      <c r="A184" s="38">
        <f>DATA!K$3</f>
        <v>2014</v>
      </c>
      <c r="B184" s="52"/>
      <c r="C184" s="74">
        <f>1-DATA!S$14/DATA!K$14</f>
        <v>0.37254901960784303</v>
      </c>
      <c r="D184" s="75">
        <f>DATA!AA$14</f>
        <v>0.09</v>
      </c>
      <c r="E184" s="39">
        <f>C184*D184</f>
        <v>3.352941176470587E-2</v>
      </c>
      <c r="F184" s="39"/>
      <c r="G184" s="39"/>
      <c r="H184" s="52"/>
      <c r="I184" s="76">
        <f>DATA!AQ$14</f>
        <v>39.5</v>
      </c>
      <c r="J184" s="39">
        <f>(I184/I182)-1</f>
        <v>1.9354838709677358E-2</v>
      </c>
      <c r="K184" s="52"/>
    </row>
    <row r="185" spans="1:11" ht="12.75">
      <c r="A185" s="38">
        <f>DATA!L$3</f>
        <v>2015</v>
      </c>
      <c r="B185" s="38"/>
      <c r="C185" s="74">
        <f>1-DATA!T$14/DATA!L$14</f>
        <v>0.38909090909090915</v>
      </c>
      <c r="D185" s="75">
        <f>DATA!AB$14</f>
        <v>9.5000000000000001E-2</v>
      </c>
      <c r="E185" s="39">
        <f>C185*D185</f>
        <v>3.6963636363636372E-2</v>
      </c>
      <c r="F185" s="38"/>
      <c r="G185" s="39"/>
      <c r="H185" s="38"/>
      <c r="I185" s="76">
        <f>DATA!AR$14</f>
        <v>39.549999999999997</v>
      </c>
      <c r="J185" s="39">
        <f>(I185/I182)^0.5-1</f>
        <v>1.0269845778998921E-2</v>
      </c>
      <c r="K185" s="38"/>
    </row>
    <row r="186" spans="1:11" ht="12.75">
      <c r="A186" s="38" t="str">
        <f>DATA!M$3</f>
        <v>2017-2019</v>
      </c>
      <c r="B186" s="52"/>
      <c r="C186" s="74">
        <f>1-DATA!U$14/DATA!M$14</f>
        <v>0.3666666666666667</v>
      </c>
      <c r="D186" s="75">
        <f>DATA!AC$14</f>
        <v>9.5000000000000001E-2</v>
      </c>
      <c r="E186" s="39">
        <f>C186*D186</f>
        <v>3.4833333333333334E-2</v>
      </c>
      <c r="F186" s="39"/>
      <c r="G186" s="39">
        <f>DATA!AY$14</f>
        <v>0.04</v>
      </c>
      <c r="H186" s="52"/>
      <c r="I186" s="76">
        <f>DATA!AS$14</f>
        <v>39.700000000000003</v>
      </c>
      <c r="J186" s="39">
        <f>(I186/I182)^0.2-1</f>
        <v>4.8558379326988366E-3</v>
      </c>
      <c r="K186" s="52"/>
    </row>
    <row r="187" spans="1:11" ht="12.75">
      <c r="A187" s="38"/>
      <c r="B187" s="52"/>
      <c r="C187" s="74"/>
      <c r="D187" s="75"/>
      <c r="E187" s="39"/>
      <c r="F187" s="38"/>
      <c r="G187" s="38"/>
      <c r="H187" s="52"/>
      <c r="I187" s="76"/>
      <c r="J187" s="39"/>
      <c r="K187" s="52"/>
    </row>
    <row r="188" spans="1:11" ht="12.75">
      <c r="B188" s="52"/>
      <c r="C188" s="74"/>
      <c r="D188" s="75"/>
      <c r="E188" s="39"/>
      <c r="F188" s="38"/>
      <c r="G188" s="38"/>
      <c r="H188" s="52"/>
      <c r="I188" s="76"/>
      <c r="J188" s="39"/>
      <c r="K188" s="52"/>
    </row>
    <row r="189" spans="1:11" ht="12.75">
      <c r="A189" s="38"/>
      <c r="B189" s="52"/>
      <c r="C189" s="74"/>
      <c r="D189" s="75"/>
      <c r="E189" s="39"/>
      <c r="F189" s="38"/>
      <c r="G189" s="38"/>
      <c r="H189" s="52"/>
      <c r="I189" s="76"/>
      <c r="J189" s="39"/>
      <c r="K189" s="52"/>
    </row>
    <row r="190" spans="1:11" ht="12.75">
      <c r="A190" s="77" t="s">
        <v>76</v>
      </c>
      <c r="B190" s="52"/>
      <c r="C190" s="78"/>
      <c r="D190" s="79" t="s">
        <v>77</v>
      </c>
      <c r="E190" s="54" t="s">
        <v>78</v>
      </c>
      <c r="F190" s="77"/>
      <c r="G190" s="77"/>
      <c r="H190" s="52"/>
      <c r="I190" s="80" t="s">
        <v>149</v>
      </c>
      <c r="J190" s="81" t="s">
        <v>78</v>
      </c>
      <c r="K190" s="52"/>
    </row>
    <row r="191" spans="1:11" ht="12.75">
      <c r="A191" s="38"/>
      <c r="B191" s="52"/>
      <c r="C191" s="74"/>
      <c r="D191" s="75"/>
      <c r="E191" s="39"/>
      <c r="F191" s="38"/>
      <c r="G191" s="38"/>
      <c r="H191" s="52"/>
      <c r="I191" s="76"/>
      <c r="J191" s="39"/>
      <c r="K191" s="52"/>
    </row>
    <row r="192" spans="1:11" ht="12.75">
      <c r="A192" s="38"/>
      <c r="B192" s="52"/>
      <c r="C192" s="74" t="s">
        <v>150</v>
      </c>
      <c r="D192" s="75" t="s">
        <v>151</v>
      </c>
      <c r="E192" s="39"/>
      <c r="F192" s="38"/>
      <c r="G192" s="38" t="s">
        <v>152</v>
      </c>
      <c r="H192" s="52"/>
      <c r="I192" s="76" t="s">
        <v>51</v>
      </c>
      <c r="J192" s="39" t="s">
        <v>52</v>
      </c>
      <c r="K192" s="52"/>
    </row>
    <row r="193" spans="1:12" ht="12.75">
      <c r="A193" s="82" t="str">
        <f>DATA!A$15</f>
        <v>PNW</v>
      </c>
      <c r="B193" s="52"/>
      <c r="C193" s="78" t="s">
        <v>53</v>
      </c>
      <c r="D193" s="79" t="s">
        <v>54</v>
      </c>
      <c r="E193" s="54" t="s">
        <v>55</v>
      </c>
      <c r="F193" s="77"/>
      <c r="G193" s="77" t="s">
        <v>56</v>
      </c>
      <c r="H193" s="52"/>
      <c r="I193" s="83" t="s">
        <v>57</v>
      </c>
      <c r="J193" s="54" t="s">
        <v>78</v>
      </c>
      <c r="K193" s="52"/>
    </row>
    <row r="194" spans="1:12" ht="12.75">
      <c r="A194" s="38">
        <f>DATA!F$3</f>
        <v>2009</v>
      </c>
      <c r="B194" s="52"/>
      <c r="C194" s="74">
        <f>1-DATA!N$15/DATA!F$15</f>
        <v>7.0796460176991038E-2</v>
      </c>
      <c r="D194" s="75">
        <f>DATA!V$15</f>
        <v>6.9000000000000006E-2</v>
      </c>
      <c r="E194" s="39">
        <f>C194*D194</f>
        <v>4.8849557522123816E-3</v>
      </c>
      <c r="F194" s="38"/>
      <c r="G194" s="76">
        <f>DATA!AD$15</f>
        <v>32.69</v>
      </c>
      <c r="H194" s="52"/>
      <c r="I194" s="76">
        <f>DATA!AL$15</f>
        <v>101.43</v>
      </c>
      <c r="J194" s="39"/>
      <c r="K194" s="52"/>
    </row>
    <row r="195" spans="1:12" ht="12.75">
      <c r="A195" s="38">
        <f>DATA!G$3</f>
        <v>2010</v>
      </c>
      <c r="B195" s="52"/>
      <c r="C195" s="74">
        <f>1-DATA!O$15/DATA!G$15</f>
        <v>0.31818181818181812</v>
      </c>
      <c r="D195" s="75">
        <f>DATA!W$15</f>
        <v>0.09</v>
      </c>
      <c r="E195" s="39">
        <f>C195*D195</f>
        <v>2.863636363636363E-2</v>
      </c>
      <c r="F195" s="38"/>
      <c r="G195" s="76">
        <f>DATA!AE$15</f>
        <v>33.86</v>
      </c>
      <c r="H195" s="52"/>
      <c r="I195" s="76">
        <f>DATA!AM$15</f>
        <v>108.77</v>
      </c>
      <c r="J195" s="39"/>
      <c r="K195" s="52"/>
    </row>
    <row r="196" spans="1:12" ht="12.75">
      <c r="A196" s="38">
        <f>DATA!H$3</f>
        <v>2011</v>
      </c>
      <c r="B196" s="52"/>
      <c r="C196" s="74">
        <f>1-DATA!P$15/DATA!H$15</f>
        <v>0.2976588628762542</v>
      </c>
      <c r="D196" s="75">
        <f>DATA!X$15</f>
        <v>8.5999999999999993E-2</v>
      </c>
      <c r="E196" s="39">
        <f>C196*D196</f>
        <v>2.5598662207357861E-2</v>
      </c>
      <c r="F196" s="38"/>
      <c r="G196" s="76">
        <f>DATA!AF$15</f>
        <v>34.979999999999997</v>
      </c>
      <c r="H196" s="52"/>
      <c r="I196" s="76">
        <f>DATA!AN$15</f>
        <v>109.25</v>
      </c>
      <c r="J196" s="39"/>
      <c r="K196" s="52"/>
    </row>
    <row r="197" spans="1:12" ht="12.75">
      <c r="A197" s="38">
        <f>DATA!I$3</f>
        <v>2012</v>
      </c>
      <c r="B197" s="52"/>
      <c r="C197" s="74">
        <f>1-DATA!Q$15/DATA!I$15</f>
        <v>0.23714285714285721</v>
      </c>
      <c r="D197" s="75">
        <f>DATA!Y$15</f>
        <v>9.8000000000000004E-2</v>
      </c>
      <c r="E197" s="39">
        <f>C197*D197</f>
        <v>2.3240000000000007E-2</v>
      </c>
      <c r="F197" s="38"/>
      <c r="G197" s="76">
        <f>DATA!AG$15</f>
        <v>36.200000000000003</v>
      </c>
      <c r="H197" s="52"/>
      <c r="I197" s="76">
        <f>DATA!AO$15</f>
        <v>109.74</v>
      </c>
      <c r="J197" s="39"/>
      <c r="K197" s="52"/>
      <c r="L197" s="40">
        <f>(I197/I194)^0.3333-1</f>
        <v>2.6593169131758909E-2</v>
      </c>
    </row>
    <row r="198" spans="1:12" ht="12.75">
      <c r="A198" s="38">
        <f>DATA!J$3</f>
        <v>2013</v>
      </c>
      <c r="B198" s="52"/>
      <c r="C198" s="74">
        <f>1-DATA!R$15/DATA!J$15</f>
        <v>0.39071038251366119</v>
      </c>
      <c r="D198" s="75">
        <f>DATA!Z$15</f>
        <v>9.7000000000000003E-2</v>
      </c>
      <c r="E198" s="43">
        <f>C198*D198</f>
        <v>3.7898907103825138E-2</v>
      </c>
      <c r="F198" s="42"/>
      <c r="G198" s="85">
        <f>DATA!AH$15</f>
        <v>38.07</v>
      </c>
      <c r="H198" s="86"/>
      <c r="I198" s="85">
        <f>DATA!AP$15</f>
        <v>110.18</v>
      </c>
      <c r="J198" s="39"/>
      <c r="K198" s="52"/>
    </row>
    <row r="199" spans="1:12" ht="12.75">
      <c r="A199" s="64" t="s">
        <v>82</v>
      </c>
      <c r="B199" s="52"/>
      <c r="C199" s="74"/>
      <c r="D199" s="75"/>
      <c r="E199" s="39">
        <f>AVERAGE(E194:E198)</f>
        <v>2.4051777739951805E-2</v>
      </c>
      <c r="F199" s="39"/>
      <c r="G199" s="39">
        <f>DATA!AX$15</f>
        <v>0.01</v>
      </c>
      <c r="H199" s="52"/>
      <c r="I199" s="76"/>
      <c r="J199" s="39">
        <f>(I198/I194)^0.25-1</f>
        <v>2.0902072910289338E-2</v>
      </c>
      <c r="K199" s="52"/>
    </row>
    <row r="200" spans="1:12" ht="12.75">
      <c r="A200" s="38">
        <f>DATA!K$3</f>
        <v>2014</v>
      </c>
      <c r="B200" s="52"/>
      <c r="C200" s="74">
        <f>1-DATA!S$15/DATA!K$15</f>
        <v>0.37297297297297305</v>
      </c>
      <c r="D200" s="75">
        <f>DATA!AA$15</f>
        <v>9.5000000000000001E-2</v>
      </c>
      <c r="E200" s="39">
        <f>C200*D200</f>
        <v>3.5432432432432437E-2</v>
      </c>
      <c r="F200" s="39"/>
      <c r="G200" s="39"/>
      <c r="H200" s="52"/>
      <c r="I200" s="76">
        <f>DATA!AQ$15</f>
        <v>110.75</v>
      </c>
      <c r="J200" s="39">
        <f>(I200/I198)-1</f>
        <v>5.1733526955890508E-3</v>
      </c>
      <c r="K200" s="52"/>
    </row>
    <row r="201" spans="1:12" ht="12.75">
      <c r="A201" s="38">
        <f>DATA!L$3</f>
        <v>2015</v>
      </c>
      <c r="B201" s="38"/>
      <c r="C201" s="74">
        <f>1-DATA!T$15/DATA!L$15</f>
        <v>0.38205128205128203</v>
      </c>
      <c r="D201" s="75">
        <f>DATA!AB$15</f>
        <v>9.5000000000000001E-2</v>
      </c>
      <c r="E201" s="39">
        <f>C201*D201</f>
        <v>3.6294871794871793E-2</v>
      </c>
      <c r="F201" s="38"/>
      <c r="G201" s="39"/>
      <c r="H201" s="38"/>
      <c r="I201" s="76">
        <f>DATA!AR$15</f>
        <v>111.25</v>
      </c>
      <c r="J201" s="39">
        <f>(I201/I198)^0.5-1</f>
        <v>4.8439587199249345E-3</v>
      </c>
      <c r="K201" s="38"/>
    </row>
    <row r="202" spans="1:12" ht="12.75">
      <c r="A202" s="38" t="str">
        <f>DATA!M$3</f>
        <v>2017-2019</v>
      </c>
      <c r="B202" s="52"/>
      <c r="C202" s="74">
        <f>1-DATA!U$15/DATA!M$15</f>
        <v>0.3529411764705882</v>
      </c>
      <c r="D202" s="75">
        <f>DATA!AC$15</f>
        <v>9.5000000000000001E-2</v>
      </c>
      <c r="E202" s="39">
        <f>C202*D202</f>
        <v>3.3529411764705877E-2</v>
      </c>
      <c r="F202" s="39"/>
      <c r="G202" s="39">
        <f>DATA!AY$15</f>
        <v>0.04</v>
      </c>
      <c r="H202" s="52"/>
      <c r="I202" s="76">
        <f>DATA!AS$15</f>
        <v>117.5</v>
      </c>
      <c r="J202" s="39">
        <f>(I202/I198)^0.2-1</f>
        <v>1.2947693111416303E-2</v>
      </c>
      <c r="K202" s="52"/>
    </row>
    <row r="203" spans="1:12" ht="12.75">
      <c r="A203" s="38"/>
      <c r="B203" s="52"/>
      <c r="C203" s="74"/>
      <c r="D203" s="75"/>
      <c r="E203" s="39"/>
      <c r="F203" s="38"/>
      <c r="G203" s="38"/>
      <c r="H203" s="52"/>
      <c r="I203" s="76"/>
      <c r="J203" s="39"/>
      <c r="K203" s="52"/>
    </row>
    <row r="204" spans="1:12" ht="12.75">
      <c r="A204" s="64"/>
      <c r="B204" s="52"/>
      <c r="C204" s="74"/>
      <c r="D204" s="75"/>
      <c r="E204" s="39"/>
      <c r="F204" s="38"/>
      <c r="G204" s="38"/>
      <c r="H204" s="52"/>
      <c r="I204" s="76"/>
      <c r="J204" s="39"/>
      <c r="K204" s="52"/>
    </row>
    <row r="205" spans="1:12" ht="12.75">
      <c r="A205" s="38"/>
      <c r="B205" s="52"/>
      <c r="C205" s="74"/>
      <c r="D205" s="75"/>
      <c r="E205" s="39"/>
      <c r="F205" s="38"/>
      <c r="G205" s="38"/>
      <c r="H205" s="52"/>
      <c r="I205" s="76"/>
      <c r="J205" s="39"/>
      <c r="K205" s="52"/>
    </row>
    <row r="206" spans="1:12" ht="12.75">
      <c r="A206" s="77" t="s">
        <v>76</v>
      </c>
      <c r="B206" s="52"/>
      <c r="C206" s="78"/>
      <c r="D206" s="79" t="s">
        <v>77</v>
      </c>
      <c r="E206" s="54" t="s">
        <v>78</v>
      </c>
      <c r="F206" s="77"/>
      <c r="G206" s="77"/>
      <c r="H206" s="52"/>
      <c r="I206" s="80" t="s">
        <v>149</v>
      </c>
      <c r="J206" s="81" t="s">
        <v>78</v>
      </c>
      <c r="K206" s="52"/>
    </row>
    <row r="207" spans="1:12" ht="12.75">
      <c r="A207" s="38"/>
      <c r="B207" s="52"/>
      <c r="C207" s="74"/>
      <c r="D207" s="75"/>
      <c r="E207" s="39"/>
      <c r="F207" s="38"/>
      <c r="G207" s="38"/>
      <c r="H207" s="52"/>
      <c r="I207" s="76"/>
      <c r="J207" s="39"/>
      <c r="K207" s="52"/>
    </row>
    <row r="208" spans="1:12" ht="12.75">
      <c r="A208" s="38"/>
      <c r="B208" s="52"/>
      <c r="C208" s="74" t="s">
        <v>150</v>
      </c>
      <c r="D208" s="75" t="s">
        <v>151</v>
      </c>
      <c r="E208" s="39"/>
      <c r="F208" s="38"/>
      <c r="G208" s="38" t="s">
        <v>152</v>
      </c>
      <c r="H208" s="52"/>
      <c r="I208" s="76" t="s">
        <v>51</v>
      </c>
      <c r="J208" s="39" t="s">
        <v>52</v>
      </c>
      <c r="K208" s="52"/>
    </row>
    <row r="209" spans="1:11" ht="12.75">
      <c r="A209" s="82" t="str">
        <f>DATA!A$16</f>
        <v>POR</v>
      </c>
      <c r="B209" s="52"/>
      <c r="C209" s="78" t="s">
        <v>53</v>
      </c>
      <c r="D209" s="79" t="s">
        <v>54</v>
      </c>
      <c r="E209" s="54" t="s">
        <v>55</v>
      </c>
      <c r="F209" s="77"/>
      <c r="G209" s="77" t="s">
        <v>56</v>
      </c>
      <c r="H209" s="52"/>
      <c r="I209" s="83" t="s">
        <v>57</v>
      </c>
      <c r="J209" s="54" t="s">
        <v>78</v>
      </c>
      <c r="K209" s="52"/>
    </row>
    <row r="210" spans="1:11" ht="12.75">
      <c r="A210" s="38">
        <f>DATA!F$3</f>
        <v>2009</v>
      </c>
      <c r="B210" s="52"/>
      <c r="C210" s="74">
        <f>1-DATA!N$16/DATA!F$16</f>
        <v>0.22900763358778631</v>
      </c>
      <c r="D210" s="75">
        <f>DATA!V$16</f>
        <v>6.2E-2</v>
      </c>
      <c r="E210" s="39">
        <f>C210*D210</f>
        <v>1.4198473282442751E-2</v>
      </c>
      <c r="F210" s="38"/>
      <c r="G210" s="38">
        <f>DATA!AD$16</f>
        <v>20.5</v>
      </c>
      <c r="H210" s="52"/>
      <c r="I210" s="76">
        <f>DATA!AL$16</f>
        <v>75.209999999999994</v>
      </c>
      <c r="J210" s="39"/>
      <c r="K210" s="52"/>
    </row>
    <row r="211" spans="1:11" ht="12.75">
      <c r="A211" s="38">
        <f>DATA!G$3</f>
        <v>2010</v>
      </c>
      <c r="B211" s="52"/>
      <c r="C211" s="74">
        <f>1-DATA!O$16/DATA!G$16</f>
        <v>0.37349397590361444</v>
      </c>
      <c r="D211" s="75">
        <f>DATA!W$16</f>
        <v>7.9000000000000001E-2</v>
      </c>
      <c r="E211" s="39">
        <f>C211*D211</f>
        <v>2.9506024096385541E-2</v>
      </c>
      <c r="F211" s="38"/>
      <c r="G211" s="38">
        <f>DATA!AE$16</f>
        <v>21.14</v>
      </c>
      <c r="H211" s="52"/>
      <c r="I211" s="76">
        <f>DATA!AM$16</f>
        <v>75.319999999999993</v>
      </c>
      <c r="J211" s="39"/>
      <c r="K211" s="52"/>
    </row>
    <row r="212" spans="1:11" ht="12.75">
      <c r="A212" s="38">
        <f>DATA!H$3</f>
        <v>2011</v>
      </c>
      <c r="B212" s="52"/>
      <c r="C212" s="74">
        <f>1-DATA!P$16/DATA!H$16</f>
        <v>0.45641025641025634</v>
      </c>
      <c r="D212" s="75">
        <f>DATA!X$16</f>
        <v>8.7999999999999995E-2</v>
      </c>
      <c r="E212" s="39">
        <f>C212*D212</f>
        <v>4.0164102564102556E-2</v>
      </c>
      <c r="F212" s="38"/>
      <c r="G212" s="38">
        <f>DATA!AF$16</f>
        <v>22.07</v>
      </c>
      <c r="H212" s="52"/>
      <c r="I212" s="76">
        <f>DATA!AN$16</f>
        <v>75.36</v>
      </c>
      <c r="J212" s="39"/>
      <c r="K212" s="52"/>
    </row>
    <row r="213" spans="1:11" ht="12.75">
      <c r="A213" s="38">
        <f>DATA!I$3</f>
        <v>2012</v>
      </c>
      <c r="B213" s="52"/>
      <c r="C213" s="74">
        <f>1-DATA!Q$16/DATA!I$16</f>
        <v>0.42245989304812837</v>
      </c>
      <c r="D213" s="75">
        <f>DATA!Y$16</f>
        <v>8.2000000000000003E-2</v>
      </c>
      <c r="E213" s="39">
        <f>C213*D213</f>
        <v>3.4641711229946526E-2</v>
      </c>
      <c r="F213" s="38"/>
      <c r="G213" s="38">
        <f>DATA!AG$16</f>
        <v>22.87</v>
      </c>
      <c r="H213" s="52"/>
      <c r="I213" s="76">
        <f>DATA!AO$16</f>
        <v>75.56</v>
      </c>
      <c r="J213" s="39"/>
      <c r="K213" s="52"/>
    </row>
    <row r="214" spans="1:11" ht="12.75">
      <c r="A214" s="38">
        <f>DATA!J$3</f>
        <v>2013</v>
      </c>
      <c r="B214" s="52"/>
      <c r="C214" s="74">
        <f>1-DATA!R$16/DATA!J$16</f>
        <v>0.37853107344632764</v>
      </c>
      <c r="D214" s="75">
        <f>DATA!Z$16</f>
        <v>7.4999999999999997E-2</v>
      </c>
      <c r="E214" s="43">
        <f>C214*D214</f>
        <v>2.8389830508474573E-2</v>
      </c>
      <c r="F214" s="42"/>
      <c r="G214" s="42">
        <f>DATA!AH$16</f>
        <v>23.3</v>
      </c>
      <c r="H214" s="86"/>
      <c r="I214" s="85">
        <f>DATA!AP$16</f>
        <v>78.09</v>
      </c>
      <c r="J214" s="39"/>
      <c r="K214" s="52"/>
    </row>
    <row r="215" spans="1:11" ht="12.75">
      <c r="A215" s="64" t="s">
        <v>82</v>
      </c>
      <c r="B215" s="52"/>
      <c r="C215" s="74"/>
      <c r="D215" s="75"/>
      <c r="E215" s="39">
        <f>AVERAGE(E210:E214)</f>
        <v>2.9380028336270392E-2</v>
      </c>
      <c r="F215" s="39"/>
      <c r="G215" s="39">
        <f>DATA!AX$16</f>
        <v>0.02</v>
      </c>
      <c r="H215" s="52"/>
      <c r="I215" s="76"/>
      <c r="J215" s="39">
        <f>(I214/I210)^0.25-1</f>
        <v>9.4387180813682026E-3</v>
      </c>
      <c r="K215" s="52"/>
    </row>
    <row r="216" spans="1:11" ht="12.75">
      <c r="A216" s="38">
        <f>DATA!K$3</f>
        <v>2014</v>
      </c>
      <c r="B216" s="52"/>
      <c r="C216" s="74">
        <f>1-DATA!S$16/DATA!K$16</f>
        <v>0.46666666666666667</v>
      </c>
      <c r="D216" s="75">
        <f>DATA!AA$16</f>
        <v>0.09</v>
      </c>
      <c r="E216" s="39">
        <f>C216*D216</f>
        <v>4.1999999999999996E-2</v>
      </c>
      <c r="F216" s="39"/>
      <c r="G216" s="39"/>
      <c r="H216" s="52"/>
      <c r="I216" s="76">
        <f>DATA!AQ$16</f>
        <v>78.25</v>
      </c>
      <c r="J216" s="39">
        <f>(I216/I214)-1</f>
        <v>2.0489179152258785E-3</v>
      </c>
      <c r="K216" s="52"/>
    </row>
    <row r="217" spans="1:11" ht="12.75">
      <c r="A217" s="38">
        <f>DATA!L$3</f>
        <v>2015</v>
      </c>
      <c r="B217" s="38"/>
      <c r="C217" s="74">
        <f>1-DATA!T$16/DATA!L$16</f>
        <v>0.46976744186046515</v>
      </c>
      <c r="D217" s="75">
        <f>DATA!AB$16</f>
        <v>0.08</v>
      </c>
      <c r="E217" s="39">
        <f>C217*D217</f>
        <v>3.7581395348837213E-2</v>
      </c>
      <c r="F217" s="38"/>
      <c r="G217" s="39"/>
      <c r="H217" s="38"/>
      <c r="I217" s="76">
        <f>DATA!AR$16</f>
        <v>89.25</v>
      </c>
      <c r="J217" s="39">
        <f>(I217/I214)^0.5-1</f>
        <v>6.9070635920290835E-2</v>
      </c>
      <c r="K217" s="38"/>
    </row>
    <row r="218" spans="1:11" ht="12.75">
      <c r="A218" s="38" t="str">
        <f>DATA!M$3</f>
        <v>2017-2019</v>
      </c>
      <c r="B218" s="52"/>
      <c r="C218" s="74">
        <f>1-DATA!U$16/DATA!M$16</f>
        <v>0.44000000000000006</v>
      </c>
      <c r="D218" s="75">
        <f>DATA!AC$16</f>
        <v>8.5000000000000006E-2</v>
      </c>
      <c r="E218" s="39">
        <f>C218*D218</f>
        <v>3.740000000000001E-2</v>
      </c>
      <c r="F218" s="39"/>
      <c r="G218" s="39">
        <f>DATA!AY$16</f>
        <v>3.5000000000000003E-2</v>
      </c>
      <c r="H218" s="52"/>
      <c r="I218" s="76">
        <f>DATA!AS$16</f>
        <v>90</v>
      </c>
      <c r="J218" s="39">
        <f>(I218/I214)^0.2-1</f>
        <v>2.8796356027633419E-2</v>
      </c>
      <c r="K218" s="52"/>
    </row>
    <row r="219" spans="1:11" ht="12.75">
      <c r="B219" s="52"/>
      <c r="C219" s="74"/>
      <c r="D219" s="75"/>
      <c r="E219" s="39"/>
      <c r="F219" s="38"/>
      <c r="G219" s="38"/>
      <c r="H219" s="52"/>
      <c r="I219" s="76"/>
      <c r="J219" s="63"/>
      <c r="K219" s="73" t="s">
        <v>223</v>
      </c>
    </row>
    <row r="220" spans="1:11" ht="12.75">
      <c r="A220" s="38"/>
      <c r="B220" s="52"/>
      <c r="C220" s="74"/>
      <c r="D220" s="75"/>
      <c r="E220" s="39"/>
      <c r="F220" s="38"/>
      <c r="G220" s="38"/>
      <c r="H220" s="52"/>
      <c r="I220" s="76"/>
      <c r="K220" s="73" t="s">
        <v>222</v>
      </c>
    </row>
    <row r="221" spans="1:11" ht="12.75">
      <c r="A221" s="38"/>
      <c r="B221" s="52"/>
      <c r="C221" s="74"/>
      <c r="D221" s="75"/>
      <c r="E221" s="39"/>
      <c r="F221" s="38"/>
      <c r="G221" s="38"/>
      <c r="H221" s="52"/>
      <c r="I221" s="76"/>
      <c r="K221" s="44" t="s">
        <v>87</v>
      </c>
    </row>
    <row r="222" spans="1:11" ht="12.75">
      <c r="A222" s="38"/>
      <c r="B222" s="52"/>
      <c r="C222" s="74"/>
      <c r="D222" s="75"/>
      <c r="E222" s="39"/>
      <c r="F222" s="38"/>
      <c r="G222" s="38"/>
      <c r="H222" s="52"/>
      <c r="I222" s="76"/>
      <c r="J222" s="39"/>
      <c r="K222" s="52"/>
    </row>
    <row r="223" spans="1:11" ht="12.75">
      <c r="A223" s="38"/>
      <c r="B223" s="52"/>
      <c r="C223" s="74"/>
      <c r="D223" s="75"/>
      <c r="E223" s="39"/>
      <c r="F223" s="38"/>
      <c r="G223" s="38"/>
      <c r="H223" s="52"/>
      <c r="I223" s="76"/>
      <c r="J223" s="39"/>
      <c r="K223" s="52"/>
    </row>
    <row r="224" spans="1:11" ht="12.75">
      <c r="A224" s="38"/>
      <c r="B224" s="52"/>
      <c r="C224" s="74"/>
      <c r="D224" s="75"/>
      <c r="E224" s="53"/>
      <c r="F224" s="46" t="str">
        <f>F$5</f>
        <v>PACIFIC POWER &amp; LIGHT COMPANY</v>
      </c>
      <c r="G224" s="52"/>
      <c r="H224" s="52"/>
      <c r="I224" s="76"/>
      <c r="J224" s="39"/>
      <c r="K224" s="52"/>
    </row>
    <row r="225" spans="1:11" ht="12.75">
      <c r="A225" s="38"/>
      <c r="B225" s="52"/>
      <c r="C225" s="74"/>
      <c r="D225" s="75"/>
      <c r="E225" s="53"/>
      <c r="F225" s="46" t="s">
        <v>75</v>
      </c>
      <c r="G225" s="52"/>
      <c r="H225" s="52"/>
      <c r="I225" s="76"/>
      <c r="J225" s="39"/>
      <c r="K225" s="52"/>
    </row>
    <row r="226" spans="1:11" ht="12.75">
      <c r="A226" s="38"/>
      <c r="B226" s="52"/>
      <c r="C226" s="74"/>
      <c r="D226" s="75"/>
      <c r="E226" s="39"/>
      <c r="F226" s="38"/>
      <c r="G226" s="38"/>
      <c r="H226" s="52"/>
      <c r="I226" s="76"/>
      <c r="J226" s="39"/>
      <c r="K226" s="52"/>
    </row>
    <row r="227" spans="1:11" ht="12.75">
      <c r="A227" s="38"/>
      <c r="B227" s="52"/>
      <c r="C227" s="74"/>
      <c r="D227" s="75"/>
      <c r="E227" s="39"/>
      <c r="F227" s="38"/>
      <c r="G227" s="38"/>
      <c r="H227" s="52"/>
      <c r="I227" s="76"/>
      <c r="J227" s="39"/>
      <c r="K227" s="52"/>
    </row>
    <row r="228" spans="1:11" ht="12.75">
      <c r="A228" s="38"/>
      <c r="B228" s="52"/>
      <c r="C228" s="74"/>
      <c r="D228" s="75"/>
      <c r="E228" s="39"/>
      <c r="F228" s="38"/>
      <c r="G228" s="38"/>
      <c r="H228" s="52"/>
      <c r="I228" s="76"/>
      <c r="J228" s="39"/>
      <c r="K228" s="52"/>
    </row>
    <row r="229" spans="1:11" ht="12.75">
      <c r="A229" s="77" t="s">
        <v>76</v>
      </c>
      <c r="B229" s="52"/>
      <c r="C229" s="78"/>
      <c r="D229" s="79" t="s">
        <v>77</v>
      </c>
      <c r="E229" s="54" t="s">
        <v>78</v>
      </c>
      <c r="F229" s="77"/>
      <c r="G229" s="77"/>
      <c r="H229" s="52"/>
      <c r="I229" s="80" t="s">
        <v>149</v>
      </c>
      <c r="J229" s="81" t="s">
        <v>78</v>
      </c>
      <c r="K229" s="52"/>
    </row>
    <row r="230" spans="1:11" ht="12.75">
      <c r="A230" s="38"/>
      <c r="B230" s="52"/>
      <c r="C230" s="74"/>
      <c r="D230" s="75"/>
      <c r="E230" s="39"/>
      <c r="F230" s="38"/>
      <c r="G230" s="38"/>
      <c r="H230" s="52"/>
      <c r="I230" s="76"/>
      <c r="J230" s="39"/>
      <c r="K230" s="52"/>
    </row>
    <row r="231" spans="1:11" ht="12.75">
      <c r="A231" s="38"/>
      <c r="B231" s="52"/>
      <c r="C231" s="74" t="s">
        <v>150</v>
      </c>
      <c r="D231" s="75" t="s">
        <v>151</v>
      </c>
      <c r="E231" s="39"/>
      <c r="F231" s="38"/>
      <c r="G231" s="38" t="s">
        <v>152</v>
      </c>
      <c r="H231" s="52"/>
      <c r="I231" s="76" t="s">
        <v>51</v>
      </c>
      <c r="J231" s="39" t="s">
        <v>52</v>
      </c>
      <c r="K231" s="52"/>
    </row>
    <row r="232" spans="1:11" ht="12.75">
      <c r="A232" s="82" t="str">
        <f>DATA!A$17</f>
        <v>XEL</v>
      </c>
      <c r="B232" s="52"/>
      <c r="C232" s="78" t="s">
        <v>53</v>
      </c>
      <c r="D232" s="79" t="s">
        <v>54</v>
      </c>
      <c r="E232" s="54" t="s">
        <v>55</v>
      </c>
      <c r="F232" s="77"/>
      <c r="G232" s="77" t="s">
        <v>56</v>
      </c>
      <c r="H232" s="52"/>
      <c r="I232" s="83" t="s">
        <v>57</v>
      </c>
      <c r="J232" s="54" t="s">
        <v>78</v>
      </c>
      <c r="K232" s="52"/>
    </row>
    <row r="233" spans="1:11" ht="12.75">
      <c r="A233" s="38">
        <f>DATA!F$3</f>
        <v>2009</v>
      </c>
      <c r="B233" s="52"/>
      <c r="C233" s="74">
        <f>1-DATA!N$17/DATA!F$17</f>
        <v>0.34899328859060408</v>
      </c>
      <c r="D233" s="75">
        <f>DATA!V$17</f>
        <v>9.4E-2</v>
      </c>
      <c r="E233" s="39">
        <f>C233*D233</f>
        <v>3.2805369127516783E-2</v>
      </c>
      <c r="F233" s="38"/>
      <c r="G233" s="76">
        <f>DATA!AD$17</f>
        <v>15.92</v>
      </c>
      <c r="H233" s="52"/>
      <c r="I233" s="76">
        <f>DATA!AL$17</f>
        <v>457.51</v>
      </c>
      <c r="J233" s="39"/>
      <c r="K233" s="52"/>
    </row>
    <row r="234" spans="1:11" ht="12.75">
      <c r="A234" s="38">
        <f>DATA!G$3</f>
        <v>2010</v>
      </c>
      <c r="B234" s="52"/>
      <c r="C234" s="74">
        <f>1-DATA!O$17/DATA!G$17</f>
        <v>0.35897435897435903</v>
      </c>
      <c r="D234" s="75">
        <f>DATA!W$17</f>
        <v>8.8999999999999996E-2</v>
      </c>
      <c r="E234" s="39">
        <f>C234*D234</f>
        <v>3.1948717948717953E-2</v>
      </c>
      <c r="F234" s="38"/>
      <c r="G234" s="76">
        <f>DATA!AE$17</f>
        <v>16.760000000000002</v>
      </c>
      <c r="H234" s="52"/>
      <c r="I234" s="76">
        <f>DATA!AM$17</f>
        <v>482.33</v>
      </c>
      <c r="J234" s="39"/>
      <c r="K234" s="52"/>
    </row>
    <row r="235" spans="1:11" ht="12.75">
      <c r="A235" s="38">
        <f>DATA!H$3</f>
        <v>2011</v>
      </c>
      <c r="B235" s="52"/>
      <c r="C235" s="74">
        <f>1-DATA!P$17/DATA!H$17</f>
        <v>0.40116279069767435</v>
      </c>
      <c r="D235" s="75">
        <f>DATA!X$17</f>
        <v>9.9000000000000005E-2</v>
      </c>
      <c r="E235" s="39">
        <f>C235*D235</f>
        <v>3.9715116279069762E-2</v>
      </c>
      <c r="F235" s="38"/>
      <c r="G235" s="76">
        <f>DATA!AF$17</f>
        <v>17.440000000000001</v>
      </c>
      <c r="H235" s="52"/>
      <c r="I235" s="76">
        <f>DATA!AN$17</f>
        <v>486.49</v>
      </c>
      <c r="J235" s="39"/>
      <c r="K235" s="52"/>
    </row>
    <row r="236" spans="1:11" ht="12.75">
      <c r="A236" s="38">
        <f>DATA!I$3</f>
        <v>2012</v>
      </c>
      <c r="B236" s="52"/>
      <c r="C236" s="74">
        <f>1-DATA!Q$17/DATA!I$17</f>
        <v>0.42162162162162165</v>
      </c>
      <c r="D236" s="75">
        <f>DATA!Y$17</f>
        <v>0.10199999999999999</v>
      </c>
      <c r="E236" s="39">
        <f>C236*D236</f>
        <v>4.3005405405405407E-2</v>
      </c>
      <c r="F236" s="38"/>
      <c r="G236" s="76">
        <f>DATA!AG$17</f>
        <v>18.190000000000001</v>
      </c>
      <c r="H236" s="52"/>
      <c r="I236" s="76">
        <f>DATA!AO$17</f>
        <v>487.96</v>
      </c>
      <c r="J236" s="39"/>
      <c r="K236" s="52"/>
    </row>
    <row r="237" spans="1:11" ht="12.75">
      <c r="A237" s="38">
        <f>DATA!J$3</f>
        <v>2013</v>
      </c>
      <c r="B237" s="52"/>
      <c r="C237" s="74">
        <f>1-DATA!R$17/DATA!J$17</f>
        <v>0.4188481675392669</v>
      </c>
      <c r="D237" s="75">
        <f>DATA!Z$17</f>
        <v>9.9000000000000005E-2</v>
      </c>
      <c r="E237" s="43">
        <f>C237*D237</f>
        <v>4.1465968586387424E-2</v>
      </c>
      <c r="F237" s="42"/>
      <c r="G237" s="85">
        <f>DATA!AH$17</f>
        <v>19.21</v>
      </c>
      <c r="H237" s="86"/>
      <c r="I237" s="85">
        <f>DATA!AP$17</f>
        <v>497.97</v>
      </c>
      <c r="J237" s="39"/>
      <c r="K237" s="52"/>
    </row>
    <row r="238" spans="1:11" ht="12.75">
      <c r="A238" s="64" t="s">
        <v>82</v>
      </c>
      <c r="B238" s="52"/>
      <c r="C238" s="74"/>
      <c r="D238" s="75"/>
      <c r="E238" s="39">
        <f>AVERAGE(E233:E237)</f>
        <v>3.7788115469419466E-2</v>
      </c>
      <c r="F238" s="39"/>
      <c r="G238" s="39">
        <f>DATA!AX$17</f>
        <v>4.4999999999999998E-2</v>
      </c>
      <c r="H238" s="52"/>
      <c r="I238" s="76"/>
      <c r="J238" s="39">
        <f>(I237/I233)^0.25-1</f>
        <v>2.1411273999748737E-2</v>
      </c>
      <c r="K238" s="52"/>
    </row>
    <row r="239" spans="1:11" ht="12.75">
      <c r="A239" s="38">
        <f>DATA!K$3</f>
        <v>2014</v>
      </c>
      <c r="B239" s="52"/>
      <c r="C239" s="74">
        <f>1-DATA!S$17/DATA!K$17</f>
        <v>0.4</v>
      </c>
      <c r="D239" s="75">
        <f>DATA!AA$17</f>
        <v>9.5000000000000001E-2</v>
      </c>
      <c r="E239" s="39">
        <f>C239*D239</f>
        <v>3.8000000000000006E-2</v>
      </c>
      <c r="F239" s="39"/>
      <c r="G239" s="39"/>
      <c r="H239" s="52"/>
      <c r="I239" s="76">
        <f>DATA!AQ$17</f>
        <v>512</v>
      </c>
      <c r="J239" s="39">
        <f>(I239/I237)-1</f>
        <v>2.8174388015342222E-2</v>
      </c>
      <c r="K239" s="52"/>
    </row>
    <row r="240" spans="1:11" ht="12.75">
      <c r="A240" s="38">
        <f>DATA!L$3</f>
        <v>2015</v>
      </c>
      <c r="B240" s="38"/>
      <c r="C240" s="74">
        <f>1-DATA!T$17/DATA!L$17</f>
        <v>0.38536585365853648</v>
      </c>
      <c r="D240" s="75">
        <f>DATA!AB$17</f>
        <v>9.5000000000000001E-2</v>
      </c>
      <c r="E240" s="39">
        <f>C240*D240</f>
        <v>3.6609756097560966E-2</v>
      </c>
      <c r="F240" s="38"/>
      <c r="G240" s="39"/>
      <c r="H240" s="38"/>
      <c r="I240" s="76">
        <f>DATA!AR$17</f>
        <v>526</v>
      </c>
      <c r="J240" s="39">
        <f>(I240/I237)^0.5-1</f>
        <v>2.7758985092145361E-2</v>
      </c>
      <c r="K240" s="38"/>
    </row>
    <row r="241" spans="1:11" ht="12.75">
      <c r="A241" s="38" t="str">
        <f>DATA!M$3</f>
        <v>2017-2019</v>
      </c>
      <c r="B241" s="52"/>
      <c r="C241" s="74">
        <f>1-DATA!U$17/DATA!M$17</f>
        <v>0.42000000000000004</v>
      </c>
      <c r="D241" s="75">
        <f>DATA!AC$17</f>
        <v>0.105</v>
      </c>
      <c r="E241" s="39">
        <f>C241*D241</f>
        <v>4.41E-2</v>
      </c>
      <c r="F241" s="39"/>
      <c r="G241" s="39">
        <f>DATA!AY$17</f>
        <v>0.05</v>
      </c>
      <c r="H241" s="52"/>
      <c r="I241" s="76">
        <f>DATA!AS$17</f>
        <v>533</v>
      </c>
      <c r="J241" s="39">
        <f>(I241/I237)^0.2-1</f>
        <v>1.3689168245289984E-2</v>
      </c>
      <c r="K241" s="52"/>
    </row>
    <row r="242" spans="1:11" ht="12.75">
      <c r="A242" s="38"/>
      <c r="B242" s="52"/>
      <c r="C242" s="74"/>
      <c r="D242" s="75"/>
      <c r="E242" s="39"/>
      <c r="F242" s="38"/>
      <c r="G242" s="38"/>
      <c r="H242" s="52"/>
      <c r="I242" s="76"/>
      <c r="J242" s="39"/>
      <c r="K242" s="52"/>
    </row>
    <row r="243" spans="1:11" ht="12.75">
      <c r="A243" s="64" t="s">
        <v>221</v>
      </c>
      <c r="B243" s="52"/>
      <c r="C243" s="74"/>
      <c r="D243" s="75"/>
      <c r="E243" s="39"/>
      <c r="F243" s="38"/>
      <c r="G243" s="38"/>
      <c r="H243" s="52"/>
      <c r="I243" s="76"/>
      <c r="J243" s="39"/>
      <c r="K243" s="52"/>
    </row>
    <row r="244" spans="1:11" ht="12.75">
      <c r="A244" s="38"/>
      <c r="B244" s="52"/>
      <c r="C244" s="74"/>
      <c r="D244" s="75"/>
      <c r="E244" s="39"/>
      <c r="F244" s="38"/>
      <c r="G244" s="38"/>
      <c r="H244" s="52"/>
      <c r="I244" s="76"/>
      <c r="J244" s="39"/>
      <c r="K244" s="52"/>
    </row>
    <row r="245" spans="1:11" ht="12.75">
      <c r="A245" s="77" t="s">
        <v>76</v>
      </c>
      <c r="B245" s="52"/>
      <c r="C245" s="78"/>
      <c r="D245" s="79" t="s">
        <v>77</v>
      </c>
      <c r="E245" s="54" t="s">
        <v>78</v>
      </c>
      <c r="F245" s="77"/>
      <c r="G245" s="77"/>
      <c r="H245" s="52"/>
      <c r="I245" s="80" t="s">
        <v>149</v>
      </c>
      <c r="J245" s="81" t="s">
        <v>78</v>
      </c>
      <c r="K245" s="52"/>
    </row>
    <row r="246" spans="1:11" ht="12.75">
      <c r="A246" s="38"/>
      <c r="B246" s="52"/>
      <c r="C246" s="74"/>
      <c r="D246" s="75"/>
      <c r="E246" s="39"/>
      <c r="F246" s="38"/>
      <c r="G246" s="38"/>
      <c r="H246" s="52"/>
      <c r="I246" s="76"/>
      <c r="J246" s="39"/>
      <c r="K246" s="52"/>
    </row>
    <row r="247" spans="1:11" ht="12.75">
      <c r="A247" s="38"/>
      <c r="B247" s="52"/>
      <c r="C247" s="74" t="s">
        <v>150</v>
      </c>
      <c r="D247" s="75" t="s">
        <v>151</v>
      </c>
      <c r="E247" s="39"/>
      <c r="F247" s="38"/>
      <c r="G247" s="38" t="s">
        <v>152</v>
      </c>
      <c r="H247" s="52"/>
      <c r="I247" s="76" t="s">
        <v>51</v>
      </c>
      <c r="J247" s="39" t="s">
        <v>52</v>
      </c>
      <c r="K247" s="52"/>
    </row>
    <row r="248" spans="1:11" ht="12.75">
      <c r="A248" s="82">
        <f>DATA!A$18</f>
        <v>0</v>
      </c>
      <c r="B248" s="52"/>
      <c r="C248" s="78" t="s">
        <v>53</v>
      </c>
      <c r="D248" s="79" t="s">
        <v>54</v>
      </c>
      <c r="E248" s="54" t="s">
        <v>55</v>
      </c>
      <c r="F248" s="77"/>
      <c r="G248" s="77" t="s">
        <v>56</v>
      </c>
      <c r="H248" s="52"/>
      <c r="I248" s="83" t="s">
        <v>57</v>
      </c>
      <c r="J248" s="54" t="s">
        <v>78</v>
      </c>
      <c r="K248" s="52"/>
    </row>
    <row r="249" spans="1:11" ht="12.75">
      <c r="A249" s="38">
        <f>DATA!F$3</f>
        <v>2009</v>
      </c>
      <c r="B249" s="52"/>
      <c r="C249" s="74" t="e">
        <f>1-DATA!N$18/DATA!F$18</f>
        <v>#DIV/0!</v>
      </c>
      <c r="D249" s="75">
        <f>DATA!V$18</f>
        <v>0</v>
      </c>
      <c r="E249" s="39" t="e">
        <f>C249*D249</f>
        <v>#DIV/0!</v>
      </c>
      <c r="F249" s="38"/>
      <c r="G249" s="76">
        <f>DATA!AD$18</f>
        <v>0</v>
      </c>
      <c r="H249" s="52"/>
      <c r="I249" s="76">
        <f>DATA!AL$18</f>
        <v>0</v>
      </c>
      <c r="J249" s="39"/>
      <c r="K249" s="52"/>
    </row>
    <row r="250" spans="1:11" ht="12.75">
      <c r="A250" s="38">
        <f>DATA!G$3</f>
        <v>2010</v>
      </c>
      <c r="B250" s="52"/>
      <c r="C250" s="74" t="e">
        <f>1-DATA!O$18/DATA!G$18</f>
        <v>#DIV/0!</v>
      </c>
      <c r="D250" s="75">
        <f>DATA!W$18</f>
        <v>0</v>
      </c>
      <c r="E250" s="39" t="e">
        <f>C250*D250</f>
        <v>#DIV/0!</v>
      </c>
      <c r="F250" s="38"/>
      <c r="G250" s="76">
        <f>DATA!AE$18</f>
        <v>0</v>
      </c>
      <c r="H250" s="52"/>
      <c r="I250" s="76">
        <f>DATA!AM$18</f>
        <v>0</v>
      </c>
      <c r="J250" s="39"/>
      <c r="K250" s="52"/>
    </row>
    <row r="251" spans="1:11" ht="12.75">
      <c r="A251" s="38">
        <f>DATA!H$3</f>
        <v>2011</v>
      </c>
      <c r="B251" s="52"/>
      <c r="C251" s="74" t="e">
        <f>1-DATA!P$18/DATA!H$18</f>
        <v>#DIV/0!</v>
      </c>
      <c r="D251" s="75">
        <f>DATA!X$18</f>
        <v>0</v>
      </c>
      <c r="E251" s="39" t="e">
        <f>C251*D251</f>
        <v>#DIV/0!</v>
      </c>
      <c r="F251" s="38"/>
      <c r="G251" s="76">
        <f>DATA!AF$18</f>
        <v>0</v>
      </c>
      <c r="H251" s="52"/>
      <c r="I251" s="76">
        <f>DATA!AN$18</f>
        <v>0</v>
      </c>
      <c r="J251" s="39"/>
      <c r="K251" s="52"/>
    </row>
    <row r="252" spans="1:11" ht="12.75">
      <c r="A252" s="38">
        <f>DATA!I$3</f>
        <v>2012</v>
      </c>
      <c r="B252" s="52"/>
      <c r="C252" s="74" t="e">
        <f>1-DATA!Q$18/DATA!I$18</f>
        <v>#DIV/0!</v>
      </c>
      <c r="D252" s="75">
        <f>DATA!Y$18</f>
        <v>0</v>
      </c>
      <c r="E252" s="39" t="e">
        <f>C252*D252</f>
        <v>#DIV/0!</v>
      </c>
      <c r="F252" s="38"/>
      <c r="G252" s="76">
        <f>DATA!AG$18</f>
        <v>0</v>
      </c>
      <c r="H252" s="52"/>
      <c r="I252" s="76">
        <f>DATA!AO$18</f>
        <v>0</v>
      </c>
      <c r="J252" s="39"/>
      <c r="K252" s="52"/>
    </row>
    <row r="253" spans="1:11" ht="12.75">
      <c r="A253" s="38">
        <f>DATA!J$3</f>
        <v>2013</v>
      </c>
      <c r="B253" s="52"/>
      <c r="C253" s="74" t="e">
        <f>1-DATA!R$18/DATA!J$18</f>
        <v>#DIV/0!</v>
      </c>
      <c r="D253" s="75">
        <f>DATA!Z$18</f>
        <v>0</v>
      </c>
      <c r="E253" s="43" t="e">
        <f>C253*D253</f>
        <v>#DIV/0!</v>
      </c>
      <c r="F253" s="42"/>
      <c r="G253" s="85">
        <f>DATA!AH$18</f>
        <v>0</v>
      </c>
      <c r="H253" s="86"/>
      <c r="I253" s="85">
        <f>DATA!AP$18</f>
        <v>0</v>
      </c>
      <c r="J253" s="39"/>
      <c r="K253" s="52"/>
    </row>
    <row r="254" spans="1:11" ht="12.75">
      <c r="A254" s="64" t="s">
        <v>82</v>
      </c>
      <c r="B254" s="52"/>
      <c r="C254" s="74"/>
      <c r="D254" s="75"/>
      <c r="E254" s="39" t="e">
        <f>AVERAGE(E249:E253)</f>
        <v>#DIV/0!</v>
      </c>
      <c r="F254" s="39"/>
      <c r="G254" s="39">
        <f>DATA!AX$18</f>
        <v>0</v>
      </c>
      <c r="H254" s="52"/>
      <c r="I254" s="76"/>
      <c r="J254" s="39" t="e">
        <f>(I253/I249)^0.25-1</f>
        <v>#DIV/0!</v>
      </c>
      <c r="K254" s="52"/>
    </row>
    <row r="255" spans="1:11" ht="12.75">
      <c r="A255" s="38">
        <f>DATA!K$3</f>
        <v>2014</v>
      </c>
      <c r="B255" s="52"/>
      <c r="C255" s="74" t="e">
        <f>1-DATA!S$18/DATA!K$18</f>
        <v>#DIV/0!</v>
      </c>
      <c r="D255" s="75">
        <f>DATA!AA$18</f>
        <v>0</v>
      </c>
      <c r="E255" s="39" t="e">
        <f>C255*D255</f>
        <v>#DIV/0!</v>
      </c>
      <c r="F255" s="39"/>
      <c r="G255" s="39"/>
      <c r="H255" s="52"/>
      <c r="I255" s="76">
        <f>DATA!AQ$18</f>
        <v>0</v>
      </c>
      <c r="J255" s="39" t="e">
        <f>(I255/I253)-1</f>
        <v>#DIV/0!</v>
      </c>
      <c r="K255" s="52"/>
    </row>
    <row r="256" spans="1:11" ht="12.75">
      <c r="A256" s="38">
        <f>DATA!L$3</f>
        <v>2015</v>
      </c>
      <c r="B256" s="38"/>
      <c r="C256" s="74" t="e">
        <f>1-DATA!T$18/DATA!L$18</f>
        <v>#DIV/0!</v>
      </c>
      <c r="D256" s="75">
        <f>DATA!AB$18</f>
        <v>0</v>
      </c>
      <c r="E256" s="39" t="e">
        <f>C256*D256</f>
        <v>#DIV/0!</v>
      </c>
      <c r="F256" s="38"/>
      <c r="G256" s="39"/>
      <c r="H256" s="38"/>
      <c r="I256" s="76">
        <f>DATA!AR$18</f>
        <v>0</v>
      </c>
      <c r="J256" s="39" t="e">
        <f>(I256/I253)^0.5-1</f>
        <v>#DIV/0!</v>
      </c>
      <c r="K256" s="38"/>
    </row>
    <row r="257" spans="1:11" ht="12.75">
      <c r="A257" s="38" t="str">
        <f>DATA!M$3</f>
        <v>2017-2019</v>
      </c>
      <c r="B257" s="52"/>
      <c r="C257" s="74" t="e">
        <f>1-DATA!U$18/DATA!M$18</f>
        <v>#DIV/0!</v>
      </c>
      <c r="D257" s="75">
        <f>DATA!AC$18</f>
        <v>0</v>
      </c>
      <c r="E257" s="39" t="e">
        <f>C257*D257</f>
        <v>#DIV/0!</v>
      </c>
      <c r="F257" s="39"/>
      <c r="G257" s="39">
        <f>DATA!AY$18</f>
        <v>0</v>
      </c>
      <c r="H257" s="52"/>
      <c r="I257" s="76">
        <f>DATA!AS$18</f>
        <v>0</v>
      </c>
      <c r="J257" s="39" t="e">
        <f>(I257/I253)^0.2-1</f>
        <v>#DIV/0!</v>
      </c>
      <c r="K257" s="52"/>
    </row>
    <row r="258" spans="1:11" ht="12.75">
      <c r="A258" s="38"/>
      <c r="B258" s="52"/>
      <c r="C258" s="74"/>
      <c r="D258" s="75"/>
      <c r="E258" s="39"/>
      <c r="F258" s="38"/>
      <c r="G258" s="38"/>
      <c r="H258" s="52"/>
      <c r="I258" s="76"/>
      <c r="J258" s="39"/>
      <c r="K258" s="52"/>
    </row>
    <row r="259" spans="1:11" ht="12.75">
      <c r="A259" s="38"/>
      <c r="B259" s="52"/>
      <c r="C259" s="74"/>
      <c r="D259" s="75"/>
      <c r="E259" s="39"/>
      <c r="F259" s="38"/>
      <c r="G259" s="38"/>
      <c r="H259" s="52"/>
      <c r="I259" s="76"/>
      <c r="J259" s="39"/>
      <c r="K259" s="52"/>
    </row>
    <row r="260" spans="1:11" ht="12.75">
      <c r="A260" s="38"/>
      <c r="B260" s="52"/>
      <c r="C260" s="74"/>
      <c r="D260" s="75"/>
      <c r="E260" s="39"/>
      <c r="F260" s="38"/>
      <c r="G260" s="38"/>
      <c r="H260" s="52"/>
      <c r="I260" s="76"/>
      <c r="J260" s="39"/>
      <c r="K260" s="52"/>
    </row>
    <row r="261" spans="1:11" ht="12.75">
      <c r="A261" s="77" t="s">
        <v>76</v>
      </c>
      <c r="B261" s="52"/>
      <c r="C261" s="78"/>
      <c r="D261" s="79" t="s">
        <v>77</v>
      </c>
      <c r="E261" s="54" t="s">
        <v>78</v>
      </c>
      <c r="F261" s="77"/>
      <c r="G261" s="77"/>
      <c r="H261" s="52"/>
      <c r="I261" s="80" t="s">
        <v>149</v>
      </c>
      <c r="J261" s="81" t="s">
        <v>78</v>
      </c>
      <c r="K261" s="52"/>
    </row>
    <row r="262" spans="1:11" ht="12.75">
      <c r="A262" s="38"/>
      <c r="B262" s="52"/>
      <c r="C262" s="74"/>
      <c r="D262" s="75"/>
      <c r="E262" s="39"/>
      <c r="F262" s="38"/>
      <c r="G262" s="38"/>
      <c r="H262" s="52"/>
      <c r="I262" s="76"/>
      <c r="J262" s="39"/>
      <c r="K262" s="52"/>
    </row>
    <row r="263" spans="1:11" ht="12.75">
      <c r="A263" s="38"/>
      <c r="B263" s="52"/>
      <c r="C263" s="74" t="s">
        <v>150</v>
      </c>
      <c r="D263" s="75" t="s">
        <v>151</v>
      </c>
      <c r="E263" s="39"/>
      <c r="F263" s="38"/>
      <c r="G263" s="38" t="s">
        <v>152</v>
      </c>
      <c r="H263" s="52"/>
      <c r="I263" s="76" t="s">
        <v>51</v>
      </c>
      <c r="J263" s="39" t="s">
        <v>52</v>
      </c>
      <c r="K263" s="52"/>
    </row>
    <row r="264" spans="1:11" ht="12.75">
      <c r="A264" s="82">
        <f>DATA!A$19</f>
        <v>0</v>
      </c>
      <c r="B264" s="52"/>
      <c r="C264" s="78" t="s">
        <v>53</v>
      </c>
      <c r="D264" s="79" t="s">
        <v>54</v>
      </c>
      <c r="E264" s="54" t="s">
        <v>55</v>
      </c>
      <c r="F264" s="77"/>
      <c r="G264" s="77" t="s">
        <v>56</v>
      </c>
      <c r="H264" s="52"/>
      <c r="I264" s="83" t="s">
        <v>57</v>
      </c>
      <c r="J264" s="54" t="s">
        <v>78</v>
      </c>
      <c r="K264" s="52"/>
    </row>
    <row r="265" spans="1:11" ht="12.75">
      <c r="A265" s="38">
        <f>DATA!F$3</f>
        <v>2009</v>
      </c>
      <c r="B265" s="52"/>
      <c r="C265" s="74" t="e">
        <f>1-DATA!N$19/DATA!F$19</f>
        <v>#DIV/0!</v>
      </c>
      <c r="D265" s="75">
        <f>DATA!V$19</f>
        <v>0</v>
      </c>
      <c r="E265" s="39" t="e">
        <f>C265*D265</f>
        <v>#DIV/0!</v>
      </c>
      <c r="F265" s="38"/>
      <c r="G265" s="76">
        <f>DATA!AD$19</f>
        <v>0</v>
      </c>
      <c r="H265" s="52"/>
      <c r="I265" s="76">
        <f>DATA!AL$19</f>
        <v>0</v>
      </c>
      <c r="J265" s="39"/>
      <c r="K265" s="52"/>
    </row>
    <row r="266" spans="1:11" ht="12.75">
      <c r="A266" s="38">
        <f>DATA!G$3</f>
        <v>2010</v>
      </c>
      <c r="B266" s="52"/>
      <c r="C266" s="74" t="e">
        <f>1-DATA!O$19/DATA!G$19</f>
        <v>#DIV/0!</v>
      </c>
      <c r="D266" s="75">
        <f>DATA!W$19</f>
        <v>0</v>
      </c>
      <c r="E266" s="39" t="e">
        <f>C266*D266</f>
        <v>#DIV/0!</v>
      </c>
      <c r="F266" s="38"/>
      <c r="G266" s="76">
        <f>DATA!AE$19</f>
        <v>0</v>
      </c>
      <c r="H266" s="52"/>
      <c r="I266" s="76">
        <f>DATA!AM$19</f>
        <v>0</v>
      </c>
      <c r="J266" s="39"/>
      <c r="K266" s="52"/>
    </row>
    <row r="267" spans="1:11" ht="12.75">
      <c r="A267" s="38">
        <f>DATA!H$3</f>
        <v>2011</v>
      </c>
      <c r="B267" s="52"/>
      <c r="C267" s="74" t="e">
        <f>1-DATA!P$19/DATA!H$19</f>
        <v>#DIV/0!</v>
      </c>
      <c r="D267" s="75">
        <f>DATA!X$19</f>
        <v>0</v>
      </c>
      <c r="E267" s="39" t="e">
        <f>C267*D267</f>
        <v>#DIV/0!</v>
      </c>
      <c r="F267" s="38"/>
      <c r="G267" s="76">
        <f>DATA!AF$19</f>
        <v>0</v>
      </c>
      <c r="H267" s="52"/>
      <c r="I267" s="76">
        <f>DATA!AN$19</f>
        <v>0</v>
      </c>
      <c r="J267" s="39"/>
      <c r="K267" s="52"/>
    </row>
    <row r="268" spans="1:11" ht="12.75">
      <c r="A268" s="38">
        <f>DATA!I$3</f>
        <v>2012</v>
      </c>
      <c r="B268" s="52"/>
      <c r="C268" s="74" t="e">
        <f>1-DATA!Q$19/DATA!I$19</f>
        <v>#DIV/0!</v>
      </c>
      <c r="D268" s="75">
        <f>DATA!Y$19</f>
        <v>0</v>
      </c>
      <c r="E268" s="39" t="e">
        <f>C268*D268</f>
        <v>#DIV/0!</v>
      </c>
      <c r="F268" s="38"/>
      <c r="G268" s="76">
        <f>DATA!AG$19</f>
        <v>0</v>
      </c>
      <c r="H268" s="52"/>
      <c r="I268" s="76">
        <f>DATA!AO$19</f>
        <v>0</v>
      </c>
      <c r="J268" s="39"/>
      <c r="K268" s="52"/>
    </row>
    <row r="269" spans="1:11" ht="12.75">
      <c r="A269" s="38">
        <f>DATA!J$3</f>
        <v>2013</v>
      </c>
      <c r="B269" s="52"/>
      <c r="C269" s="74" t="e">
        <f>1-DATA!R$19/DATA!J$19</f>
        <v>#DIV/0!</v>
      </c>
      <c r="D269" s="75">
        <f>DATA!Z$19</f>
        <v>0</v>
      </c>
      <c r="E269" s="43" t="e">
        <f>C269*D269</f>
        <v>#DIV/0!</v>
      </c>
      <c r="F269" s="42"/>
      <c r="G269" s="85">
        <f>DATA!AH$19</f>
        <v>0</v>
      </c>
      <c r="H269" s="86"/>
      <c r="I269" s="85">
        <f>DATA!AP$19</f>
        <v>0</v>
      </c>
      <c r="J269" s="39"/>
      <c r="K269" s="52"/>
    </row>
    <row r="270" spans="1:11" ht="12.75">
      <c r="A270" s="64" t="s">
        <v>82</v>
      </c>
      <c r="B270" s="52"/>
      <c r="C270" s="74"/>
      <c r="D270" s="75"/>
      <c r="E270" s="39" t="e">
        <f>AVERAGE(E265:E269)</f>
        <v>#DIV/0!</v>
      </c>
      <c r="F270" s="39"/>
      <c r="G270" s="39">
        <f>DATA!AX$19</f>
        <v>0</v>
      </c>
      <c r="H270" s="52"/>
      <c r="I270" s="76"/>
      <c r="J270" s="39" t="e">
        <f>(I269/I265)^0.25-1</f>
        <v>#DIV/0!</v>
      </c>
      <c r="K270" s="52"/>
    </row>
    <row r="271" spans="1:11" ht="12.75">
      <c r="A271" s="38">
        <f>DATA!K$3</f>
        <v>2014</v>
      </c>
      <c r="B271" s="52"/>
      <c r="C271" s="74" t="e">
        <f>1-DATA!S$19/DATA!K$19</f>
        <v>#DIV/0!</v>
      </c>
      <c r="D271" s="75">
        <f>DATA!AA$19</f>
        <v>0</v>
      </c>
      <c r="E271" s="39" t="e">
        <f>C271*D271</f>
        <v>#DIV/0!</v>
      </c>
      <c r="F271" s="39"/>
      <c r="G271" s="39"/>
      <c r="H271" s="52"/>
      <c r="I271" s="76">
        <f>DATA!AQ$19</f>
        <v>0</v>
      </c>
      <c r="J271" s="39" t="e">
        <f>(I271/I269)-1</f>
        <v>#DIV/0!</v>
      </c>
      <c r="K271" s="52"/>
    </row>
    <row r="272" spans="1:11" ht="12.75">
      <c r="A272" s="38">
        <f>DATA!L$3</f>
        <v>2015</v>
      </c>
      <c r="B272" s="38"/>
      <c r="C272" s="74" t="e">
        <f>1-DATA!T$19/DATA!L$19</f>
        <v>#DIV/0!</v>
      </c>
      <c r="D272" s="75">
        <f>DATA!AB$19</f>
        <v>0</v>
      </c>
      <c r="E272" s="39" t="e">
        <f>C272*D272</f>
        <v>#DIV/0!</v>
      </c>
      <c r="F272" s="38"/>
      <c r="G272" s="39"/>
      <c r="H272" s="38"/>
      <c r="I272" s="76">
        <f>DATA!AR$19</f>
        <v>0</v>
      </c>
      <c r="J272" s="39" t="e">
        <f>(I272/I269)^0.5-1</f>
        <v>#DIV/0!</v>
      </c>
      <c r="K272" s="38"/>
    </row>
    <row r="273" spans="1:11" ht="12.75">
      <c r="A273" s="38" t="str">
        <f>DATA!M$3</f>
        <v>2017-2019</v>
      </c>
      <c r="B273" s="52"/>
      <c r="C273" s="74" t="e">
        <f>1-DATA!U$19/DATA!M$19</f>
        <v>#DIV/0!</v>
      </c>
      <c r="D273" s="75">
        <f>DATA!AC$19</f>
        <v>0</v>
      </c>
      <c r="E273" s="39" t="e">
        <f>C273*D273</f>
        <v>#DIV/0!</v>
      </c>
      <c r="F273" s="39"/>
      <c r="G273" s="39">
        <f>DATA!AY$19</f>
        <v>0</v>
      </c>
      <c r="H273" s="52"/>
      <c r="I273" s="76">
        <f>DATA!AS$19</f>
        <v>0</v>
      </c>
      <c r="J273" s="39" t="e">
        <f>(I273/I269)^0.2-1</f>
        <v>#DIV/0!</v>
      </c>
      <c r="K273" s="52"/>
    </row>
    <row r="274" spans="1:11" ht="12.75">
      <c r="B274" s="52"/>
      <c r="C274" s="74"/>
      <c r="D274" s="75"/>
      <c r="E274" s="39"/>
      <c r="F274" s="38"/>
      <c r="G274" s="38"/>
      <c r="H274" s="52"/>
      <c r="I274" s="76"/>
      <c r="J274" s="63"/>
      <c r="K274" s="52"/>
    </row>
    <row r="275" spans="1:11" ht="12.75">
      <c r="B275" s="52"/>
      <c r="C275" s="74"/>
      <c r="D275" s="75"/>
      <c r="E275" s="39"/>
      <c r="F275" s="38"/>
      <c r="G275" s="38"/>
      <c r="H275" s="52"/>
      <c r="I275" s="76"/>
      <c r="J275" s="63"/>
      <c r="K275" s="52"/>
    </row>
    <row r="276" spans="1:11" ht="12.75">
      <c r="A276" s="38"/>
      <c r="B276" s="52"/>
      <c r="C276" s="74"/>
      <c r="D276" s="75"/>
      <c r="E276" s="39"/>
      <c r="F276" s="38"/>
      <c r="G276" s="38"/>
      <c r="H276" s="52"/>
      <c r="I276" s="76"/>
      <c r="J276" s="63"/>
      <c r="K276" s="52"/>
    </row>
    <row r="277" spans="1:11" ht="12.75">
      <c r="A277" s="38"/>
      <c r="B277" s="52"/>
      <c r="C277" s="74"/>
      <c r="D277" s="75"/>
      <c r="E277" s="39"/>
      <c r="F277" s="38"/>
      <c r="G277" s="38"/>
      <c r="H277" s="52"/>
      <c r="I277" s="76"/>
      <c r="J277" s="39"/>
      <c r="K277" s="52"/>
    </row>
    <row r="278" spans="1:11" ht="12.75">
      <c r="A278" s="38"/>
      <c r="B278" s="52"/>
      <c r="C278" s="74"/>
      <c r="D278" s="75"/>
      <c r="E278" s="39"/>
      <c r="F278" s="38"/>
      <c r="G278" s="38"/>
      <c r="H278" s="52"/>
      <c r="I278" s="76"/>
      <c r="J278" s="39"/>
      <c r="K278" s="52"/>
    </row>
    <row r="279" spans="1:11" ht="12.75">
      <c r="A279" s="38"/>
      <c r="B279" s="52"/>
      <c r="C279" s="74"/>
      <c r="D279" s="75"/>
      <c r="E279" s="53"/>
      <c r="F279" s="46" t="str">
        <f>F$5</f>
        <v>PACIFIC POWER &amp; LIGHT COMPANY</v>
      </c>
      <c r="G279" s="52"/>
      <c r="H279" s="52"/>
      <c r="I279" s="76"/>
      <c r="J279" s="39"/>
      <c r="K279" s="52"/>
    </row>
    <row r="280" spans="1:11" ht="12.75">
      <c r="A280" s="38"/>
      <c r="B280" s="52"/>
      <c r="C280" s="74"/>
      <c r="D280" s="75"/>
      <c r="E280" s="53"/>
      <c r="F280" s="46" t="s">
        <v>75</v>
      </c>
      <c r="G280" s="52"/>
      <c r="H280" s="52"/>
      <c r="I280" s="76"/>
      <c r="J280" s="39"/>
      <c r="K280" s="52"/>
    </row>
    <row r="281" spans="1:11" ht="12.75">
      <c r="A281" s="38"/>
      <c r="B281" s="52"/>
      <c r="C281" s="74"/>
      <c r="D281" s="75"/>
      <c r="E281" s="39"/>
      <c r="F281" s="38"/>
      <c r="G281" s="38"/>
      <c r="H281" s="52"/>
      <c r="I281" s="76"/>
      <c r="J281" s="39"/>
      <c r="K281" s="52"/>
    </row>
    <row r="282" spans="1:11" ht="12.75">
      <c r="A282" s="38"/>
      <c r="B282" s="52"/>
      <c r="C282" s="74"/>
      <c r="D282" s="75"/>
      <c r="E282" s="39"/>
      <c r="F282" s="38"/>
      <c r="G282" s="38"/>
      <c r="H282" s="52"/>
      <c r="I282" s="76"/>
      <c r="J282" s="39"/>
      <c r="K282" s="52"/>
    </row>
    <row r="283" spans="1:11" ht="12.75">
      <c r="A283" s="38"/>
      <c r="B283" s="52"/>
      <c r="C283" s="74"/>
      <c r="D283" s="75"/>
      <c r="E283" s="39"/>
      <c r="F283" s="38"/>
      <c r="G283" s="38"/>
      <c r="H283" s="52"/>
      <c r="I283" s="76"/>
      <c r="J283" s="39"/>
      <c r="K283" s="52"/>
    </row>
    <row r="284" spans="1:11" ht="12.75">
      <c r="A284" s="77" t="s">
        <v>76</v>
      </c>
      <c r="B284" s="52"/>
      <c r="C284" s="78"/>
      <c r="D284" s="79" t="s">
        <v>77</v>
      </c>
      <c r="E284" s="54" t="s">
        <v>78</v>
      </c>
      <c r="F284" s="77"/>
      <c r="G284" s="77"/>
      <c r="H284" s="52"/>
      <c r="I284" s="80" t="s">
        <v>149</v>
      </c>
      <c r="J284" s="81" t="s">
        <v>78</v>
      </c>
      <c r="K284" s="52"/>
    </row>
    <row r="285" spans="1:11" ht="12.75">
      <c r="A285" s="38"/>
      <c r="B285" s="52"/>
      <c r="C285" s="74"/>
      <c r="D285" s="75"/>
      <c r="E285" s="39"/>
      <c r="F285" s="38"/>
      <c r="G285" s="38"/>
      <c r="H285" s="52"/>
      <c r="I285" s="76"/>
      <c r="J285" s="39"/>
      <c r="K285" s="52"/>
    </row>
    <row r="286" spans="1:11" ht="12.75">
      <c r="A286" s="38"/>
      <c r="B286" s="52"/>
      <c r="C286" s="74" t="s">
        <v>150</v>
      </c>
      <c r="D286" s="75" t="s">
        <v>151</v>
      </c>
      <c r="E286" s="39"/>
      <c r="F286" s="38"/>
      <c r="G286" s="38" t="s">
        <v>152</v>
      </c>
      <c r="H286" s="52"/>
      <c r="I286" s="76" t="s">
        <v>51</v>
      </c>
      <c r="J286" s="39" t="s">
        <v>52</v>
      </c>
      <c r="K286" s="52"/>
    </row>
    <row r="287" spans="1:11" ht="12.75">
      <c r="A287" s="82">
        <f>DATA!A$23</f>
        <v>0</v>
      </c>
      <c r="B287" s="52"/>
      <c r="C287" s="78" t="s">
        <v>53</v>
      </c>
      <c r="D287" s="79" t="s">
        <v>54</v>
      </c>
      <c r="E287" s="54" t="s">
        <v>55</v>
      </c>
      <c r="F287" s="77"/>
      <c r="G287" s="77" t="s">
        <v>56</v>
      </c>
      <c r="H287" s="52"/>
      <c r="I287" s="83" t="s">
        <v>57</v>
      </c>
      <c r="J287" s="54" t="s">
        <v>78</v>
      </c>
      <c r="K287" s="52"/>
    </row>
    <row r="288" spans="1:11" ht="12.75">
      <c r="A288" s="38">
        <f>DATA!F$3</f>
        <v>2009</v>
      </c>
      <c r="B288" s="52"/>
      <c r="C288" s="74" t="e">
        <f>1-DATA!N$23/DATA!F$23</f>
        <v>#DIV/0!</v>
      </c>
      <c r="D288" s="75">
        <f>DATA!V$23</f>
        <v>0</v>
      </c>
      <c r="E288" s="39" t="e">
        <f>C288*D288</f>
        <v>#DIV/0!</v>
      </c>
      <c r="F288" s="38"/>
      <c r="G288" s="38">
        <f>DATA!AD$23</f>
        <v>0</v>
      </c>
      <c r="H288" s="52"/>
      <c r="I288" s="76">
        <f>DATA!AL$23</f>
        <v>0</v>
      </c>
      <c r="J288" s="39"/>
      <c r="K288" s="52"/>
    </row>
    <row r="289" spans="1:11" ht="12.75">
      <c r="A289" s="38">
        <f>DATA!G$3</f>
        <v>2010</v>
      </c>
      <c r="B289" s="52"/>
      <c r="C289" s="74" t="e">
        <f>1-DATA!O$23/DATA!G$23</f>
        <v>#DIV/0!</v>
      </c>
      <c r="D289" s="75">
        <f>DATA!W$23</f>
        <v>0</v>
      </c>
      <c r="E289" s="39" t="e">
        <f>C289*D289</f>
        <v>#DIV/0!</v>
      </c>
      <c r="F289" s="38"/>
      <c r="G289" s="38">
        <f>DATA!AE$23</f>
        <v>0</v>
      </c>
      <c r="H289" s="52"/>
      <c r="I289" s="76">
        <f>DATA!AM$23</f>
        <v>0</v>
      </c>
      <c r="J289" s="39"/>
      <c r="K289" s="52"/>
    </row>
    <row r="290" spans="1:11" ht="12.75">
      <c r="A290" s="38">
        <f>DATA!H$3</f>
        <v>2011</v>
      </c>
      <c r="B290" s="52"/>
      <c r="C290" s="74" t="e">
        <f>1-DATA!P$23/DATA!H$23</f>
        <v>#DIV/0!</v>
      </c>
      <c r="D290" s="75">
        <f>DATA!X$23</f>
        <v>0</v>
      </c>
      <c r="E290" s="39" t="e">
        <f>C290*D290</f>
        <v>#DIV/0!</v>
      </c>
      <c r="F290" s="38"/>
      <c r="G290" s="38">
        <f>DATA!AF$23</f>
        <v>0</v>
      </c>
      <c r="H290" s="52"/>
      <c r="I290" s="76">
        <f>DATA!AN$23</f>
        <v>0</v>
      </c>
      <c r="J290" s="39"/>
      <c r="K290" s="52"/>
    </row>
    <row r="291" spans="1:11" ht="12.75">
      <c r="A291" s="38">
        <f>DATA!I$3</f>
        <v>2012</v>
      </c>
      <c r="B291" s="52"/>
      <c r="C291" s="74" t="e">
        <f>1-DATA!Q$23/DATA!I$23</f>
        <v>#DIV/0!</v>
      </c>
      <c r="D291" s="75">
        <f>DATA!Y$23</f>
        <v>0</v>
      </c>
      <c r="E291" s="39" t="e">
        <f>C291*D291</f>
        <v>#DIV/0!</v>
      </c>
      <c r="F291" s="38"/>
      <c r="G291" s="38">
        <f>DATA!AG$23</f>
        <v>0</v>
      </c>
      <c r="H291" s="52"/>
      <c r="I291" s="76">
        <f>DATA!AO$23</f>
        <v>0</v>
      </c>
      <c r="J291" s="39"/>
      <c r="K291" s="52"/>
    </row>
    <row r="292" spans="1:11" ht="12.75">
      <c r="A292" s="38">
        <f>DATA!J$3</f>
        <v>2013</v>
      </c>
      <c r="B292" s="52"/>
      <c r="C292" s="74" t="e">
        <f>1-DATA!R$23/DATA!J$23</f>
        <v>#DIV/0!</v>
      </c>
      <c r="D292" s="75">
        <f>DATA!Z$23</f>
        <v>0</v>
      </c>
      <c r="E292" s="43" t="e">
        <f>C292*D292</f>
        <v>#DIV/0!</v>
      </c>
      <c r="F292" s="42"/>
      <c r="G292" s="42">
        <f>DATA!AH$23</f>
        <v>0</v>
      </c>
      <c r="H292" s="86"/>
      <c r="I292" s="85">
        <f>DATA!AP$23</f>
        <v>0</v>
      </c>
      <c r="J292" s="39"/>
      <c r="K292" s="52"/>
    </row>
    <row r="293" spans="1:11" ht="12.75">
      <c r="A293" s="64" t="s">
        <v>82</v>
      </c>
      <c r="B293" s="52"/>
      <c r="C293" s="74"/>
      <c r="D293" s="75"/>
      <c r="E293" s="39" t="e">
        <f>AVERAGE(E288:E292)</f>
        <v>#DIV/0!</v>
      </c>
      <c r="F293" s="39"/>
      <c r="G293" s="39">
        <f>DATA!AX$23</f>
        <v>0</v>
      </c>
      <c r="H293" s="52"/>
      <c r="I293" s="76"/>
      <c r="J293" s="39" t="e">
        <f>(I292/I288)^0.25-1</f>
        <v>#DIV/0!</v>
      </c>
      <c r="K293" s="52"/>
    </row>
    <row r="294" spans="1:11" ht="12.75">
      <c r="A294" s="38">
        <f>DATA!K$3</f>
        <v>2014</v>
      </c>
      <c r="B294" s="52"/>
      <c r="C294" s="74" t="e">
        <f>1-DATA!S$23/DATA!K$23</f>
        <v>#DIV/0!</v>
      </c>
      <c r="D294" s="75">
        <f>DATA!AA$23</f>
        <v>0</v>
      </c>
      <c r="E294" s="39" t="e">
        <f>C294*D294</f>
        <v>#DIV/0!</v>
      </c>
      <c r="F294" s="39"/>
      <c r="G294" s="39"/>
      <c r="H294" s="52"/>
      <c r="I294" s="76">
        <f>DATA!AQ$23</f>
        <v>0</v>
      </c>
      <c r="J294" s="39" t="e">
        <f>(I294/I292)-1</f>
        <v>#DIV/0!</v>
      </c>
      <c r="K294" s="52"/>
    </row>
    <row r="295" spans="1:11" ht="12.75">
      <c r="A295" s="38">
        <f>DATA!L$3</f>
        <v>2015</v>
      </c>
      <c r="B295" s="38"/>
      <c r="C295" s="74" t="e">
        <f>1-DATA!T$23/DATA!L$23</f>
        <v>#DIV/0!</v>
      </c>
      <c r="D295" s="75">
        <f>DATA!AB$23</f>
        <v>0</v>
      </c>
      <c r="E295" s="39" t="e">
        <f>C295*D295</f>
        <v>#DIV/0!</v>
      </c>
      <c r="F295" s="38"/>
      <c r="G295" s="39"/>
      <c r="H295" s="38"/>
      <c r="I295" s="76">
        <f>DATA!AR$23</f>
        <v>0</v>
      </c>
      <c r="J295" s="39" t="e">
        <f>(I295/I292)^0.5-1</f>
        <v>#DIV/0!</v>
      </c>
      <c r="K295" s="38"/>
    </row>
    <row r="296" spans="1:11" ht="12.75">
      <c r="A296" s="38" t="str">
        <f>DATA!M$3</f>
        <v>2017-2019</v>
      </c>
      <c r="B296" s="52"/>
      <c r="C296" s="74" t="e">
        <f>1-DATA!U$23/DATA!M$23</f>
        <v>#DIV/0!</v>
      </c>
      <c r="D296" s="75">
        <f>DATA!AC$23</f>
        <v>0</v>
      </c>
      <c r="E296" s="39" t="e">
        <f>C296*D296</f>
        <v>#DIV/0!</v>
      </c>
      <c r="F296" s="39"/>
      <c r="G296" s="39">
        <f>DATA!AY$23</f>
        <v>0</v>
      </c>
      <c r="H296" s="52"/>
      <c r="I296" s="76">
        <f>DATA!AS$23</f>
        <v>0</v>
      </c>
      <c r="J296" s="39" t="e">
        <f>(I296/I292)^0.2-1</f>
        <v>#DIV/0!</v>
      </c>
      <c r="K296" s="52"/>
    </row>
    <row r="297" spans="1:11" ht="12.75">
      <c r="A297" s="38"/>
      <c r="B297" s="52"/>
      <c r="C297" s="74"/>
      <c r="D297" s="75"/>
      <c r="E297" s="39"/>
      <c r="F297" s="38"/>
      <c r="G297" s="38"/>
      <c r="H297" s="52"/>
      <c r="I297" s="76"/>
      <c r="J297" s="39"/>
      <c r="K297" s="52"/>
    </row>
    <row r="298" spans="1:11" ht="12.75">
      <c r="A298" s="64"/>
      <c r="B298" s="52"/>
      <c r="C298" s="74"/>
      <c r="D298" s="75"/>
      <c r="E298" s="39"/>
      <c r="F298" s="38"/>
      <c r="G298" s="38"/>
      <c r="H298" s="52"/>
      <c r="I298" s="76"/>
      <c r="J298" s="39"/>
      <c r="K298" s="52"/>
    </row>
    <row r="299" spans="1:11" ht="12.75">
      <c r="A299" s="38"/>
      <c r="B299" s="52"/>
      <c r="C299" s="74"/>
      <c r="D299" s="75"/>
      <c r="E299" s="39"/>
      <c r="F299" s="38"/>
      <c r="G299" s="38"/>
      <c r="H299" s="52"/>
      <c r="I299" s="76"/>
      <c r="J299" s="39"/>
      <c r="K299" s="52"/>
    </row>
    <row r="300" spans="1:11" ht="12.75">
      <c r="A300" s="77" t="s">
        <v>76</v>
      </c>
      <c r="B300" s="52"/>
      <c r="C300" s="78"/>
      <c r="D300" s="79" t="s">
        <v>77</v>
      </c>
      <c r="E300" s="54" t="s">
        <v>78</v>
      </c>
      <c r="F300" s="77"/>
      <c r="G300" s="77"/>
      <c r="H300" s="52"/>
      <c r="I300" s="80" t="s">
        <v>149</v>
      </c>
      <c r="J300" s="81" t="s">
        <v>78</v>
      </c>
      <c r="K300" s="52"/>
    </row>
    <row r="301" spans="1:11" ht="12.75">
      <c r="A301" s="38"/>
      <c r="B301" s="52"/>
      <c r="C301" s="74"/>
      <c r="D301" s="75"/>
      <c r="E301" s="39"/>
      <c r="F301" s="38"/>
      <c r="G301" s="38"/>
      <c r="H301" s="52"/>
      <c r="I301" s="76"/>
      <c r="J301" s="39"/>
      <c r="K301" s="52"/>
    </row>
    <row r="302" spans="1:11" ht="12.75">
      <c r="A302" s="38"/>
      <c r="B302" s="52"/>
      <c r="C302" s="74" t="s">
        <v>150</v>
      </c>
      <c r="D302" s="75" t="s">
        <v>151</v>
      </c>
      <c r="E302" s="39"/>
      <c r="F302" s="38"/>
      <c r="G302" s="38" t="s">
        <v>152</v>
      </c>
      <c r="H302" s="52"/>
      <c r="I302" s="76" t="s">
        <v>51</v>
      </c>
      <c r="J302" s="39" t="s">
        <v>52</v>
      </c>
      <c r="K302" s="52"/>
    </row>
    <row r="303" spans="1:11" ht="12.75">
      <c r="A303" s="82">
        <f>DATA!A$24</f>
        <v>0</v>
      </c>
      <c r="B303" s="52"/>
      <c r="C303" s="78" t="s">
        <v>53</v>
      </c>
      <c r="D303" s="79" t="s">
        <v>54</v>
      </c>
      <c r="E303" s="54" t="s">
        <v>55</v>
      </c>
      <c r="F303" s="77"/>
      <c r="G303" s="77" t="s">
        <v>56</v>
      </c>
      <c r="H303" s="52"/>
      <c r="I303" s="83" t="s">
        <v>57</v>
      </c>
      <c r="J303" s="54" t="s">
        <v>78</v>
      </c>
      <c r="K303" s="52"/>
    </row>
    <row r="304" spans="1:11" ht="12.75">
      <c r="A304" s="38">
        <f>DATA!F$3</f>
        <v>2009</v>
      </c>
      <c r="B304" s="52"/>
      <c r="C304" s="74" t="e">
        <f>1-DATA!N$24/DATA!F$24</f>
        <v>#DIV/0!</v>
      </c>
      <c r="D304" s="75">
        <f>DATA!V$24</f>
        <v>0</v>
      </c>
      <c r="E304" s="39" t="e">
        <f>C304*D304</f>
        <v>#DIV/0!</v>
      </c>
      <c r="F304" s="38"/>
      <c r="G304" s="76">
        <f>DATA!AD$24</f>
        <v>0</v>
      </c>
      <c r="H304" s="52"/>
      <c r="I304" s="76">
        <f>DATA!AL$24</f>
        <v>0</v>
      </c>
      <c r="J304" s="39"/>
      <c r="K304" s="52"/>
    </row>
    <row r="305" spans="1:11" ht="12.75">
      <c r="A305" s="38">
        <f>DATA!G$3</f>
        <v>2010</v>
      </c>
      <c r="B305" s="52"/>
      <c r="C305" s="74" t="e">
        <f>1-DATA!O$24/DATA!G$24</f>
        <v>#DIV/0!</v>
      </c>
      <c r="D305" s="75">
        <f>DATA!W$24</f>
        <v>0</v>
      </c>
      <c r="E305" s="39" t="e">
        <f>C305*D305</f>
        <v>#DIV/0!</v>
      </c>
      <c r="F305" s="38"/>
      <c r="G305" s="76">
        <f>DATA!AE$24</f>
        <v>0</v>
      </c>
      <c r="H305" s="52"/>
      <c r="I305" s="76">
        <f>DATA!AM$24</f>
        <v>0</v>
      </c>
      <c r="J305" s="39"/>
      <c r="K305" s="52"/>
    </row>
    <row r="306" spans="1:11" ht="12.75">
      <c r="A306" s="38">
        <f>DATA!H$3</f>
        <v>2011</v>
      </c>
      <c r="B306" s="52"/>
      <c r="C306" s="74" t="e">
        <f>1-DATA!P$24/DATA!H$24</f>
        <v>#DIV/0!</v>
      </c>
      <c r="D306" s="75">
        <f>DATA!X$24</f>
        <v>0</v>
      </c>
      <c r="E306" s="39" t="e">
        <f>C306*D306</f>
        <v>#DIV/0!</v>
      </c>
      <c r="F306" s="38"/>
      <c r="G306" s="76">
        <f>DATA!AF$24</f>
        <v>0</v>
      </c>
      <c r="H306" s="52"/>
      <c r="I306" s="76">
        <f>DATA!AN$24</f>
        <v>0</v>
      </c>
      <c r="J306" s="39"/>
      <c r="K306" s="52"/>
    </row>
    <row r="307" spans="1:11" ht="12.75">
      <c r="A307" s="38">
        <f>DATA!I$3</f>
        <v>2012</v>
      </c>
      <c r="B307" s="52"/>
      <c r="C307" s="74" t="e">
        <f>1-DATA!Q$24/DATA!I$24</f>
        <v>#VALUE!</v>
      </c>
      <c r="D307" s="75">
        <f>DATA!Y$24</f>
        <v>0</v>
      </c>
      <c r="E307" s="39" t="e">
        <f>C307*D307</f>
        <v>#VALUE!</v>
      </c>
      <c r="F307" s="38"/>
      <c r="G307" s="76">
        <f>DATA!AG$24</f>
        <v>0</v>
      </c>
      <c r="H307" s="52"/>
      <c r="I307" s="76">
        <f>DATA!AO$24</f>
        <v>0</v>
      </c>
      <c r="J307" s="39"/>
      <c r="K307" s="52"/>
    </row>
    <row r="308" spans="1:11" ht="12.75">
      <c r="A308" s="38">
        <f>DATA!J$3</f>
        <v>2013</v>
      </c>
      <c r="B308" s="52"/>
      <c r="C308" s="74" t="e">
        <f>1-DATA!R$24/DATA!J$24</f>
        <v>#DIV/0!</v>
      </c>
      <c r="D308" s="75">
        <f>DATA!Z$24</f>
        <v>0</v>
      </c>
      <c r="E308" s="43" t="e">
        <f>C308*D308</f>
        <v>#DIV/0!</v>
      </c>
      <c r="F308" s="42"/>
      <c r="G308" s="85">
        <f>DATA!AH$24</f>
        <v>0</v>
      </c>
      <c r="H308" s="86"/>
      <c r="I308" s="85">
        <f>DATA!AP$24</f>
        <v>0</v>
      </c>
      <c r="J308" s="39"/>
      <c r="K308" s="52"/>
    </row>
    <row r="309" spans="1:11" ht="12.75">
      <c r="A309" s="64" t="s">
        <v>82</v>
      </c>
      <c r="B309" s="52"/>
      <c r="C309" s="74"/>
      <c r="D309" s="75"/>
      <c r="E309" s="39" t="e">
        <f>AVERAGE(E304:E308)</f>
        <v>#DIV/0!</v>
      </c>
      <c r="F309" s="39"/>
      <c r="G309" s="39">
        <f>DATA!AX$24</f>
        <v>0</v>
      </c>
      <c r="H309" s="52"/>
      <c r="I309" s="76"/>
      <c r="J309" s="39" t="e">
        <f>(I308/I304)^0.25-1</f>
        <v>#DIV/0!</v>
      </c>
      <c r="K309" s="52"/>
    </row>
    <row r="310" spans="1:11" ht="12.75">
      <c r="A310" s="38">
        <f>DATA!K$3</f>
        <v>2014</v>
      </c>
      <c r="B310" s="52"/>
      <c r="C310" s="74" t="e">
        <f>1-DATA!S$24/DATA!K$24</f>
        <v>#DIV/0!</v>
      </c>
      <c r="D310" s="75">
        <f>DATA!AA$24</f>
        <v>0</v>
      </c>
      <c r="E310" s="39" t="e">
        <f>C310*D310</f>
        <v>#DIV/0!</v>
      </c>
      <c r="F310" s="39"/>
      <c r="G310" s="39"/>
      <c r="H310" s="52"/>
      <c r="I310" s="76">
        <f>DATA!AQ$24</f>
        <v>0</v>
      </c>
      <c r="J310" s="39" t="e">
        <f>(I310/I308)-1</f>
        <v>#DIV/0!</v>
      </c>
      <c r="K310" s="52"/>
    </row>
    <row r="311" spans="1:11" ht="12.75">
      <c r="A311" s="38">
        <f>DATA!L$3</f>
        <v>2015</v>
      </c>
      <c r="B311" s="38"/>
      <c r="C311" s="74" t="e">
        <f>1-DATA!T$24/DATA!L$24</f>
        <v>#DIV/0!</v>
      </c>
      <c r="D311" s="75">
        <f>DATA!AB$24</f>
        <v>0</v>
      </c>
      <c r="E311" s="39" t="e">
        <f>C311*D311</f>
        <v>#DIV/0!</v>
      </c>
      <c r="F311" s="38"/>
      <c r="G311" s="39"/>
      <c r="H311" s="38"/>
      <c r="I311" s="76">
        <f>DATA!AR$24</f>
        <v>0</v>
      </c>
      <c r="J311" s="39" t="e">
        <f>(I311/I308)^0.5-1</f>
        <v>#DIV/0!</v>
      </c>
      <c r="K311" s="38"/>
    </row>
    <row r="312" spans="1:11" ht="12.75">
      <c r="A312" s="38" t="str">
        <f>DATA!M$3</f>
        <v>2017-2019</v>
      </c>
      <c r="B312" s="52"/>
      <c r="C312" s="74" t="e">
        <f>1-DATA!U$24/DATA!M$24</f>
        <v>#DIV/0!</v>
      </c>
      <c r="D312" s="75">
        <f>DATA!AC$24</f>
        <v>0</v>
      </c>
      <c r="E312" s="39" t="e">
        <f>C312*D312</f>
        <v>#DIV/0!</v>
      </c>
      <c r="F312" s="39"/>
      <c r="G312" s="39">
        <f>DATA!AY$24</f>
        <v>0</v>
      </c>
      <c r="H312" s="52"/>
      <c r="I312" s="76">
        <f>DATA!AS$24</f>
        <v>0</v>
      </c>
      <c r="J312" s="39" t="e">
        <f>(I312/I308)^0.2-1</f>
        <v>#DIV/0!</v>
      </c>
      <c r="K312" s="52"/>
    </row>
    <row r="313" spans="1:11" ht="12.75">
      <c r="A313" s="38"/>
      <c r="B313" s="52"/>
      <c r="C313" s="74"/>
      <c r="D313" s="75"/>
      <c r="E313" s="39"/>
      <c r="F313" s="38"/>
      <c r="G313" s="38"/>
      <c r="H313" s="52"/>
      <c r="I313" s="76"/>
      <c r="J313" s="39"/>
      <c r="K313" s="52"/>
    </row>
    <row r="314" spans="1:11" ht="12.75">
      <c r="A314" s="38"/>
      <c r="B314" s="52"/>
      <c r="C314" s="74"/>
      <c r="D314" s="75"/>
      <c r="E314" s="39"/>
      <c r="F314" s="38"/>
      <c r="G314" s="38"/>
      <c r="H314" s="52"/>
      <c r="I314" s="76"/>
      <c r="J314" s="39"/>
      <c r="K314" s="52"/>
    </row>
    <row r="315" spans="1:11" ht="12.75">
      <c r="A315" s="38"/>
      <c r="B315" s="52"/>
      <c r="C315" s="74"/>
      <c r="D315" s="75"/>
      <c r="E315" s="39"/>
      <c r="F315" s="38"/>
      <c r="G315" s="38"/>
      <c r="H315" s="52"/>
      <c r="I315" s="76"/>
      <c r="J315" s="39"/>
      <c r="K315" s="52"/>
    </row>
    <row r="316" spans="1:11" ht="12.75">
      <c r="A316" s="77" t="s">
        <v>76</v>
      </c>
      <c r="B316" s="52"/>
      <c r="C316" s="78"/>
      <c r="D316" s="79" t="s">
        <v>77</v>
      </c>
      <c r="E316" s="54" t="s">
        <v>78</v>
      </c>
      <c r="F316" s="77"/>
      <c r="G316" s="77"/>
      <c r="H316" s="52"/>
      <c r="I316" s="80" t="s">
        <v>149</v>
      </c>
      <c r="J316" s="81" t="s">
        <v>78</v>
      </c>
      <c r="K316" s="52"/>
    </row>
    <row r="317" spans="1:11" ht="12.75">
      <c r="A317" s="38"/>
      <c r="B317" s="52"/>
      <c r="C317" s="74"/>
      <c r="D317" s="75"/>
      <c r="E317" s="39"/>
      <c r="F317" s="38"/>
      <c r="G317" s="38"/>
      <c r="H317" s="52"/>
      <c r="I317" s="76"/>
      <c r="J317" s="39"/>
      <c r="K317" s="52"/>
    </row>
    <row r="318" spans="1:11" ht="12.75">
      <c r="A318" s="38"/>
      <c r="B318" s="52"/>
      <c r="C318" s="74" t="s">
        <v>150</v>
      </c>
      <c r="D318" s="75" t="s">
        <v>151</v>
      </c>
      <c r="E318" s="39"/>
      <c r="F318" s="38"/>
      <c r="G318" s="38" t="s">
        <v>152</v>
      </c>
      <c r="H318" s="52"/>
      <c r="I318" s="76" t="s">
        <v>51</v>
      </c>
      <c r="J318" s="39" t="s">
        <v>52</v>
      </c>
      <c r="K318" s="52"/>
    </row>
    <row r="319" spans="1:11" ht="12.75">
      <c r="A319" s="82">
        <f>DATA!A$25</f>
        <v>0</v>
      </c>
      <c r="B319" s="52"/>
      <c r="C319" s="78" t="s">
        <v>53</v>
      </c>
      <c r="D319" s="79" t="s">
        <v>54</v>
      </c>
      <c r="E319" s="54" t="s">
        <v>55</v>
      </c>
      <c r="F319" s="77"/>
      <c r="G319" s="77" t="s">
        <v>56</v>
      </c>
      <c r="H319" s="52"/>
      <c r="I319" s="83" t="s">
        <v>57</v>
      </c>
      <c r="J319" s="54" t="s">
        <v>78</v>
      </c>
      <c r="K319" s="52"/>
    </row>
    <row r="320" spans="1:11" ht="12.75">
      <c r="A320" s="38">
        <f>DATA!F$3</f>
        <v>2009</v>
      </c>
      <c r="B320" s="52"/>
      <c r="C320" s="74" t="e">
        <f>1-DATA!N$25/DATA!#REF!</f>
        <v>#REF!</v>
      </c>
      <c r="D320" s="75">
        <f>DATA!V$25</f>
        <v>0</v>
      </c>
      <c r="E320" s="39" t="e">
        <f>C320*D320</f>
        <v>#REF!</v>
      </c>
      <c r="F320" s="38"/>
      <c r="G320" s="76">
        <f>DATA!AD$25</f>
        <v>0</v>
      </c>
      <c r="H320" s="52"/>
      <c r="I320" s="76">
        <f>DATA!AL$25</f>
        <v>0</v>
      </c>
      <c r="J320" s="39"/>
      <c r="K320" s="52"/>
    </row>
    <row r="321" spans="1:11" ht="12.75">
      <c r="A321" s="38">
        <f>DATA!G$3</f>
        <v>2010</v>
      </c>
      <c r="B321" s="52"/>
      <c r="C321" s="74" t="e">
        <f>1-DATA!O$25/DATA!#REF!</f>
        <v>#REF!</v>
      </c>
      <c r="D321" s="75">
        <f>DATA!W$25</f>
        <v>0</v>
      </c>
      <c r="E321" s="39" t="e">
        <f>C321*D321</f>
        <v>#REF!</v>
      </c>
      <c r="F321" s="38"/>
      <c r="G321" s="76">
        <f>DATA!AE$25</f>
        <v>0</v>
      </c>
      <c r="H321" s="52"/>
      <c r="I321" s="76">
        <f>DATA!AM$25</f>
        <v>0</v>
      </c>
      <c r="J321" s="39"/>
      <c r="K321" s="52"/>
    </row>
    <row r="322" spans="1:11" ht="12.75">
      <c r="A322" s="38">
        <f>DATA!H$3</f>
        <v>2011</v>
      </c>
      <c r="B322" s="52"/>
      <c r="C322" s="74" t="e">
        <f>1-DATA!P$25/DATA!H$25</f>
        <v>#VALUE!</v>
      </c>
      <c r="D322" s="75">
        <f>DATA!X$25</f>
        <v>0</v>
      </c>
      <c r="E322" s="39" t="e">
        <f>C322*D322</f>
        <v>#VALUE!</v>
      </c>
      <c r="F322" s="38"/>
      <c r="G322" s="76">
        <f>DATA!AF$25</f>
        <v>0</v>
      </c>
      <c r="H322" s="52"/>
      <c r="I322" s="76">
        <f>DATA!AN$25</f>
        <v>0</v>
      </c>
      <c r="J322" s="39"/>
      <c r="K322" s="52"/>
    </row>
    <row r="323" spans="1:11" ht="12.75">
      <c r="A323" s="38">
        <f>DATA!I$3</f>
        <v>2012</v>
      </c>
      <c r="B323" s="52"/>
      <c r="C323" s="74" t="e">
        <f>1-DATA!Q$25/DATA!I$25</f>
        <v>#VALUE!</v>
      </c>
      <c r="D323" s="75">
        <f>DATA!Y$25</f>
        <v>0</v>
      </c>
      <c r="E323" s="39" t="e">
        <f>C323*D323</f>
        <v>#VALUE!</v>
      </c>
      <c r="F323" s="38"/>
      <c r="G323" s="76">
        <f>DATA!AG$25</f>
        <v>0</v>
      </c>
      <c r="H323" s="52"/>
      <c r="I323" s="76">
        <f>DATA!AO$25</f>
        <v>0</v>
      </c>
      <c r="J323" s="39"/>
      <c r="K323" s="52"/>
    </row>
    <row r="324" spans="1:11" ht="12.75">
      <c r="A324" s="38">
        <f>DATA!J$3</f>
        <v>2013</v>
      </c>
      <c r="B324" s="52"/>
      <c r="C324" s="74" t="e">
        <f>1-DATA!R$25/DATA!J$25</f>
        <v>#DIV/0!</v>
      </c>
      <c r="D324" s="75">
        <f>DATA!Z$25</f>
        <v>0</v>
      </c>
      <c r="E324" s="43" t="e">
        <f>C324*D324</f>
        <v>#DIV/0!</v>
      </c>
      <c r="F324" s="42"/>
      <c r="G324" s="85">
        <f>DATA!AH$25</f>
        <v>0</v>
      </c>
      <c r="H324" s="86"/>
      <c r="I324" s="85">
        <f>DATA!AP$25</f>
        <v>0</v>
      </c>
      <c r="J324" s="39"/>
      <c r="K324" s="52"/>
    </row>
    <row r="325" spans="1:11" ht="12.75">
      <c r="A325" s="64" t="s">
        <v>82</v>
      </c>
      <c r="B325" s="52"/>
      <c r="C325" s="74"/>
      <c r="D325" s="75"/>
      <c r="E325" s="39" t="e">
        <f>AVERAGE(E320:E324)</f>
        <v>#REF!</v>
      </c>
      <c r="F325" s="39"/>
      <c r="G325" s="39">
        <f>DATA!AX$25</f>
        <v>0</v>
      </c>
      <c r="H325" s="52"/>
      <c r="I325" s="76"/>
      <c r="J325" s="39" t="e">
        <f>(I324/I320)^0.25-1</f>
        <v>#DIV/0!</v>
      </c>
      <c r="K325" s="52"/>
    </row>
    <row r="326" spans="1:11" ht="12.75">
      <c r="A326" s="38">
        <f>DATA!K$3</f>
        <v>2014</v>
      </c>
      <c r="B326" s="52"/>
      <c r="C326" s="74" t="e">
        <f>1-DATA!S$25/DATA!K$25</f>
        <v>#DIV/0!</v>
      </c>
      <c r="D326" s="75">
        <f>DATA!AA$25</f>
        <v>0</v>
      </c>
      <c r="E326" s="39" t="e">
        <f>C326*D326</f>
        <v>#DIV/0!</v>
      </c>
      <c r="F326" s="39"/>
      <c r="G326" s="39"/>
      <c r="H326" s="52"/>
      <c r="I326" s="76">
        <f>DATA!AQ$25</f>
        <v>0</v>
      </c>
      <c r="J326" s="39" t="e">
        <f>(I326/I324)-1</f>
        <v>#DIV/0!</v>
      </c>
      <c r="K326" s="52"/>
    </row>
    <row r="327" spans="1:11" ht="12.75">
      <c r="A327" s="38">
        <f>DATA!L$3</f>
        <v>2015</v>
      </c>
      <c r="B327" s="38"/>
      <c r="C327" s="74" t="e">
        <f>1-DATA!T$25/DATA!L$25</f>
        <v>#DIV/0!</v>
      </c>
      <c r="D327" s="75">
        <f>DATA!AB$25</f>
        <v>0</v>
      </c>
      <c r="E327" s="39" t="e">
        <f>C327*D327</f>
        <v>#DIV/0!</v>
      </c>
      <c r="F327" s="38"/>
      <c r="G327" s="39"/>
      <c r="H327" s="38"/>
      <c r="I327" s="76">
        <f>DATA!AR$25</f>
        <v>0</v>
      </c>
      <c r="J327" s="39" t="e">
        <f>(I327/I324)^0.5-1</f>
        <v>#DIV/0!</v>
      </c>
      <c r="K327" s="38"/>
    </row>
    <row r="328" spans="1:11" ht="12.75">
      <c r="A328" s="38" t="str">
        <f>DATA!M$3</f>
        <v>2017-2019</v>
      </c>
      <c r="B328" s="52"/>
      <c r="C328" s="74" t="e">
        <f>1-DATA!U$25/DATA!M$25</f>
        <v>#DIV/0!</v>
      </c>
      <c r="D328" s="75">
        <f>DATA!AC$25</f>
        <v>0</v>
      </c>
      <c r="E328" s="39" t="e">
        <f>C328*D328</f>
        <v>#DIV/0!</v>
      </c>
      <c r="F328" s="39"/>
      <c r="G328" s="39">
        <f>DATA!AY$25</f>
        <v>0</v>
      </c>
      <c r="H328" s="52"/>
      <c r="I328" s="76">
        <f>DATA!AS$25</f>
        <v>0</v>
      </c>
      <c r="J328" s="39" t="e">
        <f>(I328/I324)^0.2-1</f>
        <v>#DIV/0!</v>
      </c>
      <c r="K328" s="52"/>
    </row>
  </sheetData>
  <phoneticPr fontId="5" type="noConversion"/>
  <pageMargins left="1.01" right="0.75" top="1" bottom="1" header="0.5" footer="0.5"/>
  <pageSetup scale="89" orientation="portrait" horizontalDpi="4294967292" verticalDpi="4294967292"/>
  <rowBreaks count="4" manualBreakCount="4">
    <brk id="54" max="10" man="1"/>
    <brk id="108" max="10" man="1"/>
    <brk id="162" max="10" man="1"/>
    <brk id="218" max="10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workbookViewId="0">
      <selection activeCell="A41" sqref="A1:M41"/>
    </sheetView>
  </sheetViews>
  <sheetFormatPr defaultColWidth="10.85546875" defaultRowHeight="12.75"/>
  <cols>
    <col min="1" max="1" width="6.140625" style="52" customWidth="1"/>
    <col min="2" max="2" width="14" style="52" customWidth="1"/>
    <col min="3" max="3" width="10.85546875" style="52"/>
    <col min="4" max="4" width="7.140625" style="52" customWidth="1"/>
    <col min="5" max="5" width="6.140625" style="52" customWidth="1"/>
    <col min="6" max="6" width="1.28515625" style="52" customWidth="1"/>
    <col min="7" max="7" width="2" style="52" customWidth="1"/>
    <col min="8" max="8" width="1.7109375" style="52" customWidth="1"/>
    <col min="9" max="9" width="2.7109375" style="52" customWidth="1"/>
    <col min="10" max="10" width="4.7109375" style="52" customWidth="1"/>
    <col min="11" max="11" width="1.85546875" style="52" customWidth="1"/>
    <col min="12" max="12" width="10.85546875" style="52"/>
    <col min="13" max="13" width="15" style="52" customWidth="1"/>
    <col min="14" max="16384" width="10.85546875" style="52"/>
  </cols>
  <sheetData>
    <row r="1" spans="2:16">
      <c r="B1" s="38"/>
      <c r="C1" s="39"/>
      <c r="D1" s="38"/>
      <c r="E1" s="63"/>
      <c r="F1" s="63"/>
      <c r="G1" s="63"/>
      <c r="H1" s="63"/>
      <c r="I1" s="63"/>
      <c r="J1" s="64"/>
      <c r="K1" s="64"/>
      <c r="L1" s="38"/>
      <c r="M1" s="39"/>
    </row>
    <row r="2" spans="2:16">
      <c r="B2" s="38"/>
      <c r="C2" s="39"/>
      <c r="D2" s="38"/>
      <c r="E2" s="65"/>
      <c r="F2" s="65"/>
      <c r="G2" s="65"/>
      <c r="H2" s="65"/>
      <c r="I2" s="46" t="str">
        <f>DATA!A1</f>
        <v>PACIFIC POWER &amp; LIGHT COMPANY</v>
      </c>
      <c r="K2" s="66"/>
      <c r="L2" s="38"/>
      <c r="M2" s="39"/>
    </row>
    <row r="3" spans="2:16">
      <c r="B3" s="38"/>
      <c r="C3" s="39"/>
      <c r="D3" s="38"/>
      <c r="E3" s="65"/>
      <c r="F3" s="65"/>
      <c r="G3" s="65"/>
      <c r="H3" s="65"/>
      <c r="I3" s="46" t="s">
        <v>83</v>
      </c>
      <c r="K3" s="66"/>
      <c r="L3" s="38"/>
      <c r="M3" s="39"/>
    </row>
    <row r="4" spans="2:16">
      <c r="B4" s="38"/>
      <c r="C4" s="39"/>
      <c r="D4" s="38"/>
      <c r="E4" s="63"/>
      <c r="F4" s="63"/>
      <c r="G4" s="63"/>
      <c r="H4" s="63"/>
      <c r="I4" s="38"/>
      <c r="K4" s="64"/>
      <c r="L4" s="38"/>
      <c r="M4" s="39"/>
    </row>
    <row r="5" spans="2:16">
      <c r="B5" s="38"/>
      <c r="C5" s="39"/>
      <c r="D5" s="38"/>
      <c r="E5" s="63"/>
      <c r="F5" s="63"/>
      <c r="G5" s="63"/>
      <c r="H5" s="63"/>
      <c r="I5" s="63"/>
      <c r="J5" s="64"/>
      <c r="K5" s="64"/>
      <c r="L5" s="38"/>
      <c r="M5" s="39"/>
    </row>
    <row r="6" spans="2:16">
      <c r="B6" s="42" t="s">
        <v>76</v>
      </c>
      <c r="C6" s="43" t="s">
        <v>84</v>
      </c>
      <c r="D6" s="38" t="s">
        <v>85</v>
      </c>
      <c r="E6" s="67"/>
      <c r="F6" s="67"/>
      <c r="G6" s="67"/>
      <c r="H6" s="67"/>
      <c r="I6" s="43" t="s">
        <v>31</v>
      </c>
      <c r="K6" s="64"/>
      <c r="L6" s="38" t="s">
        <v>25</v>
      </c>
      <c r="M6" s="43" t="s">
        <v>26</v>
      </c>
    </row>
    <row r="7" spans="2:16">
      <c r="B7" s="38"/>
      <c r="C7" s="39"/>
      <c r="D7" s="38"/>
      <c r="E7" s="63"/>
      <c r="F7" s="63"/>
      <c r="G7" s="63"/>
      <c r="H7" s="63"/>
      <c r="I7" s="63"/>
      <c r="J7" s="64"/>
      <c r="K7" s="64"/>
      <c r="L7" s="38"/>
      <c r="M7" s="39"/>
    </row>
    <row r="8" spans="2:16" ht="20.100000000000001" customHeight="1">
      <c r="B8" s="38" t="str">
        <f>DATA!A5</f>
        <v>NEE</v>
      </c>
      <c r="C8" s="39">
        <v>0.06</v>
      </c>
      <c r="D8" s="38" t="s">
        <v>85</v>
      </c>
      <c r="E8" s="63">
        <v>1.2500000000000001E-2</v>
      </c>
      <c r="F8" s="63" t="s">
        <v>32</v>
      </c>
      <c r="G8" s="68">
        <v>1</v>
      </c>
      <c r="H8" s="69" t="s">
        <v>33</v>
      </c>
      <c r="I8" s="69" t="s">
        <v>34</v>
      </c>
      <c r="J8" s="70">
        <f>DATA!$B5/DATA!$AI5</f>
        <v>2.1520907738095234</v>
      </c>
      <c r="K8" s="38" t="s">
        <v>35</v>
      </c>
      <c r="L8" s="38" t="s">
        <v>25</v>
      </c>
      <c r="M8" s="39">
        <f>C8+E8*(1-(1/J8))</f>
        <v>6.6691694815050426E-2</v>
      </c>
      <c r="P8" s="53">
        <f>M8-C8</f>
        <v>6.691694815050428E-3</v>
      </c>
    </row>
    <row r="9" spans="2:16" ht="20.100000000000001" customHeight="1">
      <c r="B9" s="38" t="str">
        <f>DATA!A6</f>
        <v>SO</v>
      </c>
      <c r="C9" s="39">
        <v>3.5000000000000003E-2</v>
      </c>
      <c r="D9" s="38" t="s">
        <v>85</v>
      </c>
      <c r="E9" s="63">
        <v>1.4999999999999999E-2</v>
      </c>
      <c r="F9" s="63" t="s">
        <v>32</v>
      </c>
      <c r="G9" s="68">
        <v>1</v>
      </c>
      <c r="H9" s="69" t="s">
        <v>33</v>
      </c>
      <c r="I9" s="69" t="s">
        <v>34</v>
      </c>
      <c r="J9" s="70">
        <f>DATA!$B6/DATA!$AI6</f>
        <v>1.9853453453453453</v>
      </c>
      <c r="K9" s="38" t="s">
        <v>35</v>
      </c>
      <c r="L9" s="38" t="s">
        <v>25</v>
      </c>
      <c r="M9" s="39">
        <f t="shared" ref="M9:M16" si="0">C9+E9*(1-(1/J9))</f>
        <v>4.2444639399806389E-2</v>
      </c>
      <c r="P9" s="53">
        <f t="shared" ref="P9:P20" si="1">M9-C9</f>
        <v>7.4446393998063853E-3</v>
      </c>
    </row>
    <row r="10" spans="2:16" ht="20.100000000000001" customHeight="1">
      <c r="B10" s="38" t="str">
        <f>DATA!A7</f>
        <v>TE</v>
      </c>
      <c r="C10" s="39">
        <v>3.7499999999999999E-2</v>
      </c>
      <c r="D10" s="38" t="s">
        <v>85</v>
      </c>
      <c r="E10" s="63">
        <v>7.4999999999999997E-3</v>
      </c>
      <c r="F10" s="63" t="s">
        <v>32</v>
      </c>
      <c r="G10" s="68">
        <v>1</v>
      </c>
      <c r="H10" s="69" t="s">
        <v>33</v>
      </c>
      <c r="I10" s="69" t="s">
        <v>34</v>
      </c>
      <c r="J10" s="70">
        <f>DATA!$B7/DATA!$AI7</f>
        <v>1.5687905604719761</v>
      </c>
      <c r="K10" s="38" t="s">
        <v>35</v>
      </c>
      <c r="L10" s="38" t="s">
        <v>25</v>
      </c>
      <c r="M10" s="39">
        <f t="shared" si="0"/>
        <v>4.0219247113685082E-2</v>
      </c>
      <c r="P10" s="53">
        <f t="shared" si="1"/>
        <v>2.7192471136850832E-3</v>
      </c>
    </row>
    <row r="11" spans="2:16" ht="20.100000000000001" customHeight="1">
      <c r="B11" s="38" t="str">
        <f>DATA!A8</f>
        <v>ALE</v>
      </c>
      <c r="C11" s="39">
        <v>4.2500000000000003E-2</v>
      </c>
      <c r="D11" s="38" t="s">
        <v>85</v>
      </c>
      <c r="E11" s="63">
        <v>0.03</v>
      </c>
      <c r="F11" s="63" t="s">
        <v>32</v>
      </c>
      <c r="G11" s="68">
        <v>1</v>
      </c>
      <c r="H11" s="69" t="s">
        <v>33</v>
      </c>
      <c r="I11" s="69" t="s">
        <v>34</v>
      </c>
      <c r="J11" s="70">
        <f>DATA!$B8/DATA!$AI8</f>
        <v>1.3998174831892412</v>
      </c>
      <c r="K11" s="38" t="s">
        <v>35</v>
      </c>
      <c r="L11" s="38" t="s">
        <v>25</v>
      </c>
      <c r="M11" s="39">
        <f t="shared" si="0"/>
        <v>5.1068634582524142E-2</v>
      </c>
      <c r="P11" s="53">
        <f t="shared" si="1"/>
        <v>8.5686345825241386E-3</v>
      </c>
    </row>
    <row r="12" spans="2:16" ht="20.100000000000001" customHeight="1">
      <c r="B12" s="38" t="str">
        <f>DATA!A9</f>
        <v>LNT</v>
      </c>
      <c r="C12" s="39">
        <v>4.4999999999999998E-2</v>
      </c>
      <c r="D12" s="38" t="s">
        <v>85</v>
      </c>
      <c r="E12" s="63">
        <v>5.0000000000000001E-3</v>
      </c>
      <c r="F12" s="63" t="s">
        <v>32</v>
      </c>
      <c r="G12" s="68">
        <v>1</v>
      </c>
      <c r="H12" s="69" t="s">
        <v>33</v>
      </c>
      <c r="I12" s="69" t="s">
        <v>34</v>
      </c>
      <c r="J12" s="70">
        <f>DATA!$B9/DATA!$AI9</f>
        <v>1.9333333333333333</v>
      </c>
      <c r="K12" s="38" t="s">
        <v>35</v>
      </c>
      <c r="L12" s="38" t="s">
        <v>25</v>
      </c>
      <c r="M12" s="39">
        <f t="shared" si="0"/>
        <v>4.7413793103448273E-2</v>
      </c>
      <c r="P12" s="53">
        <f t="shared" si="1"/>
        <v>2.4137931034482751E-3</v>
      </c>
    </row>
    <row r="13" spans="2:16" ht="20.100000000000001" customHeight="1">
      <c r="B13" s="38" t="str">
        <f>DATA!A10</f>
        <v>OGE</v>
      </c>
      <c r="C13" s="39">
        <v>0.06</v>
      </c>
      <c r="D13" s="38" t="s">
        <v>85</v>
      </c>
      <c r="E13" s="63">
        <v>5.0000000000000001E-3</v>
      </c>
      <c r="F13" s="63" t="s">
        <v>32</v>
      </c>
      <c r="G13" s="68">
        <v>1</v>
      </c>
      <c r="H13" s="69" t="s">
        <v>33</v>
      </c>
      <c r="I13" s="69" t="s">
        <v>34</v>
      </c>
      <c r="J13" s="70">
        <f>DATA!$B10/DATA!$AI10</f>
        <v>2.2489634146341464</v>
      </c>
      <c r="K13" s="38" t="s">
        <v>35</v>
      </c>
      <c r="L13" s="38" t="s">
        <v>25</v>
      </c>
      <c r="M13" s="39">
        <f t="shared" si="0"/>
        <v>6.2776753517880868E-2</v>
      </c>
      <c r="P13" s="53">
        <f t="shared" si="1"/>
        <v>2.77675351788087E-3</v>
      </c>
    </row>
    <row r="14" spans="2:16" ht="20.100000000000001" customHeight="1">
      <c r="B14" s="38" t="str">
        <f>DATA!A11</f>
        <v>WR</v>
      </c>
      <c r="C14" s="39">
        <v>4.7500000000000001E-2</v>
      </c>
      <c r="D14" s="38" t="s">
        <v>85</v>
      </c>
      <c r="E14" s="63">
        <v>0.02</v>
      </c>
      <c r="F14" s="63" t="s">
        <v>32</v>
      </c>
      <c r="G14" s="68">
        <v>1</v>
      </c>
      <c r="H14" s="69" t="s">
        <v>33</v>
      </c>
      <c r="I14" s="69" t="s">
        <v>34</v>
      </c>
      <c r="J14" s="70">
        <f>DATA!$B11/DATA!$AI11</f>
        <v>1.5182710926694329</v>
      </c>
      <c r="K14" s="38" t="s">
        <v>35</v>
      </c>
      <c r="L14" s="38" t="s">
        <v>25</v>
      </c>
      <c r="M14" s="39">
        <f t="shared" si="0"/>
        <v>5.4327121917446319E-2</v>
      </c>
      <c r="P14" s="53">
        <f t="shared" si="1"/>
        <v>6.8271219174463188E-3</v>
      </c>
    </row>
    <row r="15" spans="2:16" ht="20.100000000000001" customHeight="1">
      <c r="B15" s="38" t="str">
        <f>DATA!A12</f>
        <v>EIX</v>
      </c>
      <c r="C15" s="39">
        <v>0.06</v>
      </c>
      <c r="D15" s="38" t="s">
        <v>85</v>
      </c>
      <c r="E15" s="63">
        <v>0</v>
      </c>
      <c r="F15" s="63" t="s">
        <v>32</v>
      </c>
      <c r="G15" s="68">
        <v>1</v>
      </c>
      <c r="H15" s="69" t="s">
        <v>33</v>
      </c>
      <c r="I15" s="69" t="s">
        <v>34</v>
      </c>
      <c r="J15" s="70">
        <f>DATA!$B12/DATA!$AI12</f>
        <v>1.7184959349593498</v>
      </c>
      <c r="K15" s="38" t="s">
        <v>35</v>
      </c>
      <c r="L15" s="38" t="s">
        <v>25</v>
      </c>
      <c r="M15" s="39">
        <f t="shared" si="0"/>
        <v>0.06</v>
      </c>
      <c r="P15" s="53">
        <f t="shared" si="1"/>
        <v>0</v>
      </c>
    </row>
    <row r="16" spans="2:16" ht="20.100000000000001" customHeight="1">
      <c r="B16" s="38" t="str">
        <f>DATA!A13</f>
        <v>IDA</v>
      </c>
      <c r="C16" s="39">
        <v>4.4999999999999998E-2</v>
      </c>
      <c r="D16" s="38" t="s">
        <v>85</v>
      </c>
      <c r="E16" s="63">
        <v>0.01</v>
      </c>
      <c r="F16" s="63" t="s">
        <v>32</v>
      </c>
      <c r="G16" s="68">
        <v>1</v>
      </c>
      <c r="H16" s="69" t="s">
        <v>33</v>
      </c>
      <c r="I16" s="69" t="s">
        <v>34</v>
      </c>
      <c r="J16" s="70">
        <f>DATA!$B13/DATA!$AI13</f>
        <v>1.4132557136696855</v>
      </c>
      <c r="K16" s="38" t="s">
        <v>35</v>
      </c>
      <c r="L16" s="38" t="s">
        <v>25</v>
      </c>
      <c r="M16" s="39">
        <f t="shared" si="0"/>
        <v>4.792413969865806E-2</v>
      </c>
      <c r="P16" s="53">
        <f t="shared" si="1"/>
        <v>2.9241396986580612E-3</v>
      </c>
    </row>
    <row r="17" spans="2:16" ht="20.100000000000001" customHeight="1">
      <c r="B17" s="38" t="str">
        <f>DATA!A14</f>
        <v>NWE</v>
      </c>
      <c r="C17" s="39">
        <v>4.2500000000000003E-2</v>
      </c>
      <c r="D17" s="38" t="s">
        <v>85</v>
      </c>
      <c r="E17" s="63">
        <v>0.01</v>
      </c>
      <c r="F17" s="63" t="s">
        <v>32</v>
      </c>
      <c r="G17" s="68">
        <v>1</v>
      </c>
      <c r="H17" s="69" t="s">
        <v>33</v>
      </c>
      <c r="I17" s="69" t="s">
        <v>34</v>
      </c>
      <c r="J17" s="70">
        <f>DATA!$B14/DATA!$AI14</f>
        <v>1.749981981981982</v>
      </c>
      <c r="K17" s="38" t="s">
        <v>35</v>
      </c>
      <c r="L17" s="38" t="s">
        <v>25</v>
      </c>
      <c r="M17" s="39">
        <f t="shared" ref="M17:M20" si="2">C17+E17*(1-(1/J17))</f>
        <v>4.6785655450763977E-2</v>
      </c>
      <c r="P17" s="53">
        <f t="shared" si="1"/>
        <v>4.2856554507639741E-3</v>
      </c>
    </row>
    <row r="18" spans="2:16" ht="20.100000000000001" customHeight="1">
      <c r="B18" s="38" t="str">
        <f>DATA!A15</f>
        <v>PNW</v>
      </c>
      <c r="C18" s="39">
        <v>3.7499999999999999E-2</v>
      </c>
      <c r="D18" s="38" t="s">
        <v>85</v>
      </c>
      <c r="E18" s="63">
        <v>1.7500000000000002E-2</v>
      </c>
      <c r="F18" s="63" t="s">
        <v>32</v>
      </c>
      <c r="G18" s="68">
        <v>1</v>
      </c>
      <c r="H18" s="69" t="s">
        <v>33</v>
      </c>
      <c r="I18" s="69" t="s">
        <v>34</v>
      </c>
      <c r="J18" s="70">
        <f>DATA!$B15/DATA!$AI15</f>
        <v>1.4039797211660332</v>
      </c>
      <c r="K18" s="38" t="s">
        <v>35</v>
      </c>
      <c r="L18" s="38" t="s">
        <v>25</v>
      </c>
      <c r="M18" s="39">
        <f t="shared" si="2"/>
        <v>4.2535432502211715E-2</v>
      </c>
      <c r="P18" s="53">
        <f t="shared" si="1"/>
        <v>5.0354325022117161E-3</v>
      </c>
    </row>
    <row r="19" spans="2:16" ht="20.100000000000001" customHeight="1">
      <c r="B19" s="38" t="str">
        <f>DATA!A16</f>
        <v>POR</v>
      </c>
      <c r="C19" s="39">
        <v>4.4999999999999998E-2</v>
      </c>
      <c r="D19" s="38" t="s">
        <v>85</v>
      </c>
      <c r="E19" s="63">
        <v>1.4999999999999999E-2</v>
      </c>
      <c r="F19" s="63" t="s">
        <v>32</v>
      </c>
      <c r="G19" s="68">
        <v>1</v>
      </c>
      <c r="H19" s="69" t="s">
        <v>33</v>
      </c>
      <c r="I19" s="69" t="s">
        <v>34</v>
      </c>
      <c r="J19" s="70">
        <f>DATA!$B16/DATA!$AI16</f>
        <v>1.3557250859106529</v>
      </c>
      <c r="K19" s="38" t="s">
        <v>35</v>
      </c>
      <c r="L19" s="38" t="s">
        <v>25</v>
      </c>
      <c r="M19" s="39">
        <f t="shared" si="2"/>
        <v>4.8935809954475863E-2</v>
      </c>
      <c r="P19" s="53">
        <f t="shared" si="1"/>
        <v>3.9358099544758648E-3</v>
      </c>
    </row>
    <row r="20" spans="2:16" ht="20.100000000000001" customHeight="1">
      <c r="B20" s="38" t="str">
        <f>DATA!A17</f>
        <v>XEL</v>
      </c>
      <c r="C20" s="39">
        <v>4.4999999999999998E-2</v>
      </c>
      <c r="D20" s="38" t="s">
        <v>85</v>
      </c>
      <c r="E20" s="63">
        <v>1.4999999999999999E-2</v>
      </c>
      <c r="F20" s="63" t="s">
        <v>32</v>
      </c>
      <c r="G20" s="68">
        <v>1</v>
      </c>
      <c r="H20" s="69" t="s">
        <v>33</v>
      </c>
      <c r="I20" s="69" t="s">
        <v>34</v>
      </c>
      <c r="J20" s="70">
        <f>DATA!$B17/DATA!$AI17</f>
        <v>1.538374384236453</v>
      </c>
      <c r="K20" s="38" t="s">
        <v>35</v>
      </c>
      <c r="L20" s="38" t="s">
        <v>25</v>
      </c>
      <c r="M20" s="39">
        <f t="shared" si="2"/>
        <v>5.0249447628806551E-2</v>
      </c>
      <c r="P20" s="53">
        <f t="shared" si="1"/>
        <v>5.2494476288065528E-3</v>
      </c>
    </row>
    <row r="21" spans="2:16" ht="9.9499999999999993" customHeight="1">
      <c r="B21" s="38"/>
      <c r="C21" s="39"/>
      <c r="D21" s="38"/>
      <c r="E21" s="63"/>
      <c r="F21" s="63"/>
      <c r="G21" s="63"/>
      <c r="H21" s="63"/>
      <c r="I21" s="63"/>
      <c r="J21" s="70"/>
      <c r="K21" s="38"/>
      <c r="L21" s="38"/>
      <c r="M21" s="39"/>
    </row>
    <row r="22" spans="2:16" ht="9.9499999999999993" customHeight="1">
      <c r="B22" s="38"/>
      <c r="C22" s="39"/>
      <c r="D22" s="38"/>
      <c r="E22" s="63"/>
      <c r="F22" s="63"/>
      <c r="G22" s="63"/>
      <c r="H22" s="63"/>
      <c r="I22" s="63"/>
      <c r="J22" s="70"/>
      <c r="K22" s="38"/>
      <c r="L22" s="38"/>
      <c r="M22" s="39"/>
    </row>
    <row r="23" spans="2:16" ht="9.9499999999999993" customHeight="1">
      <c r="B23" s="38"/>
      <c r="C23" s="39"/>
      <c r="D23" s="38"/>
      <c r="E23" s="63"/>
      <c r="F23" s="63"/>
      <c r="G23" s="63"/>
      <c r="H23" s="63"/>
      <c r="I23" s="63"/>
      <c r="J23" s="70"/>
      <c r="K23" s="38"/>
      <c r="L23" s="38"/>
      <c r="M23" s="39"/>
      <c r="P23" s="53">
        <f>AVERAGE(P8:P20)</f>
        <v>4.5286438219044357E-3</v>
      </c>
    </row>
    <row r="24" spans="2:16" ht="9.9499999999999993" customHeight="1">
      <c r="B24" s="38"/>
      <c r="K24" s="64"/>
      <c r="L24" s="38"/>
      <c r="M24" s="39"/>
    </row>
    <row r="25" spans="2:16">
      <c r="B25" s="38"/>
      <c r="D25" s="38"/>
      <c r="F25" s="44" t="s">
        <v>27</v>
      </c>
      <c r="G25" s="63"/>
      <c r="H25" s="63" t="s">
        <v>25</v>
      </c>
      <c r="I25" s="63"/>
      <c r="J25" s="70">
        <f>AVERAGE(J8:J20)</f>
        <v>1.6912634481059345</v>
      </c>
      <c r="K25" s="64"/>
      <c r="L25" s="38"/>
      <c r="M25" s="39"/>
    </row>
    <row r="26" spans="2:16">
      <c r="B26" s="38"/>
      <c r="D26" s="38"/>
      <c r="E26" s="63"/>
      <c r="F26" s="63"/>
      <c r="G26" s="63"/>
      <c r="H26" s="63"/>
      <c r="I26" s="63"/>
      <c r="J26" s="64"/>
      <c r="K26" s="64"/>
      <c r="L26" s="38"/>
      <c r="M26" s="39"/>
    </row>
    <row r="27" spans="2:16">
      <c r="B27" s="38"/>
      <c r="D27" s="44" t="str">
        <f t="shared" ref="D27:D39" si="3">B8</f>
        <v>NEE</v>
      </c>
      <c r="E27" s="38" t="s">
        <v>25</v>
      </c>
      <c r="F27" s="64" t="str">
        <f>DATA!A26</f>
        <v>NextEra Energy</v>
      </c>
      <c r="G27" s="64"/>
      <c r="H27" s="64"/>
      <c r="I27" s="64"/>
      <c r="J27" s="64"/>
      <c r="K27" s="64"/>
      <c r="L27" s="38"/>
      <c r="M27" s="39"/>
    </row>
    <row r="28" spans="2:16">
      <c r="B28" s="38"/>
      <c r="D28" s="44" t="str">
        <f t="shared" si="3"/>
        <v>SO</v>
      </c>
      <c r="E28" s="38" t="s">
        <v>25</v>
      </c>
      <c r="F28" s="64" t="str">
        <f>DATA!A27</f>
        <v>Southern Company</v>
      </c>
      <c r="G28" s="64"/>
      <c r="H28" s="64"/>
      <c r="I28" s="64"/>
      <c r="J28" s="64"/>
      <c r="K28" s="64"/>
      <c r="L28" s="38"/>
      <c r="M28" s="39"/>
    </row>
    <row r="29" spans="2:16">
      <c r="B29" s="38"/>
      <c r="D29" s="44" t="str">
        <f t="shared" si="3"/>
        <v>TE</v>
      </c>
      <c r="E29" s="38" t="s">
        <v>25</v>
      </c>
      <c r="F29" s="64" t="str">
        <f>DATA!A28</f>
        <v>TECO Energy</v>
      </c>
      <c r="G29" s="64"/>
      <c r="H29" s="64"/>
      <c r="I29" s="64"/>
      <c r="J29" s="64"/>
      <c r="K29" s="64"/>
      <c r="L29" s="38"/>
      <c r="M29" s="39"/>
    </row>
    <row r="30" spans="2:16">
      <c r="B30" s="38"/>
      <c r="D30" s="44" t="str">
        <f t="shared" si="3"/>
        <v>ALE</v>
      </c>
      <c r="E30" s="38" t="s">
        <v>25</v>
      </c>
      <c r="F30" s="64" t="str">
        <f>DATA!A29</f>
        <v>ALLETE</v>
      </c>
      <c r="G30" s="64"/>
      <c r="H30" s="64"/>
      <c r="I30" s="64"/>
      <c r="J30" s="64"/>
      <c r="K30" s="64"/>
      <c r="L30" s="38"/>
      <c r="M30" s="39"/>
    </row>
    <row r="31" spans="2:16">
      <c r="B31" s="38"/>
      <c r="D31" s="44" t="str">
        <f t="shared" si="3"/>
        <v>LNT</v>
      </c>
      <c r="E31" s="38" t="s">
        <v>25</v>
      </c>
      <c r="F31" s="64" t="str">
        <f>DATA!A30</f>
        <v>Alliant Energy</v>
      </c>
      <c r="G31" s="64"/>
      <c r="H31" s="64"/>
      <c r="I31" s="64"/>
      <c r="J31" s="64"/>
      <c r="K31" s="64"/>
      <c r="L31" s="38"/>
      <c r="M31" s="39"/>
    </row>
    <row r="32" spans="2:16">
      <c r="B32" s="38"/>
      <c r="D32" s="44" t="str">
        <f t="shared" si="3"/>
        <v>OGE</v>
      </c>
      <c r="E32" s="38" t="s">
        <v>25</v>
      </c>
      <c r="F32" s="64" t="str">
        <f>DATA!A31</f>
        <v>OGE Energy Corp.</v>
      </c>
      <c r="G32" s="64"/>
      <c r="H32" s="64"/>
      <c r="I32" s="64"/>
      <c r="J32" s="64"/>
      <c r="K32" s="64"/>
      <c r="L32" s="38"/>
      <c r="M32" s="39"/>
    </row>
    <row r="33" spans="2:13">
      <c r="B33" s="38"/>
      <c r="D33" s="44" t="str">
        <f t="shared" si="3"/>
        <v>WR</v>
      </c>
      <c r="E33" s="38" t="s">
        <v>25</v>
      </c>
      <c r="F33" s="64" t="str">
        <f>DATA!A32</f>
        <v>Westar Energy</v>
      </c>
      <c r="G33" s="64"/>
      <c r="H33" s="64"/>
      <c r="I33" s="64"/>
      <c r="J33" s="64"/>
      <c r="K33" s="64"/>
      <c r="L33" s="38"/>
      <c r="M33" s="39"/>
    </row>
    <row r="34" spans="2:13">
      <c r="B34" s="38"/>
      <c r="D34" s="44" t="str">
        <f t="shared" si="3"/>
        <v>EIX</v>
      </c>
      <c r="E34" s="38" t="s">
        <v>25</v>
      </c>
      <c r="F34" s="64" t="str">
        <f>DATA!A33</f>
        <v>Edison International</v>
      </c>
      <c r="G34" s="64"/>
      <c r="H34" s="64"/>
      <c r="I34" s="64"/>
      <c r="J34" s="64"/>
      <c r="K34" s="64"/>
      <c r="L34" s="38"/>
      <c r="M34" s="39"/>
    </row>
    <row r="35" spans="2:13">
      <c r="B35" s="38"/>
      <c r="D35" s="44" t="str">
        <f t="shared" si="3"/>
        <v>IDA</v>
      </c>
      <c r="E35" s="38" t="s">
        <v>25</v>
      </c>
      <c r="F35" s="64" t="str">
        <f>DATA!A34</f>
        <v>IDACORP, Inc.</v>
      </c>
      <c r="G35" s="64"/>
      <c r="H35" s="64"/>
      <c r="I35" s="64"/>
      <c r="J35" s="64"/>
      <c r="K35" s="64"/>
      <c r="L35" s="38"/>
      <c r="M35" s="39"/>
    </row>
    <row r="36" spans="2:13">
      <c r="B36" s="38"/>
      <c r="D36" s="44" t="str">
        <f t="shared" si="3"/>
        <v>NWE</v>
      </c>
      <c r="E36" s="38" t="s">
        <v>25</v>
      </c>
      <c r="F36" s="64" t="str">
        <f>DATA!A35</f>
        <v>Northwestern Corp.</v>
      </c>
      <c r="H36" s="64"/>
      <c r="I36" s="64"/>
      <c r="J36" s="38"/>
      <c r="K36" s="39"/>
    </row>
    <row r="37" spans="2:13">
      <c r="B37" s="38"/>
      <c r="D37" s="44" t="str">
        <f t="shared" si="3"/>
        <v>PNW</v>
      </c>
      <c r="E37" s="38" t="s">
        <v>25</v>
      </c>
      <c r="F37" s="64" t="str">
        <f>DATA!A36</f>
        <v>Pinnacle West Capital</v>
      </c>
      <c r="G37" s="64"/>
      <c r="H37" s="64"/>
      <c r="I37" s="64"/>
      <c r="J37" s="38"/>
      <c r="K37" s="39"/>
    </row>
    <row r="38" spans="2:13">
      <c r="B38" s="38"/>
      <c r="C38" s="38"/>
      <c r="D38" s="44" t="str">
        <f t="shared" si="3"/>
        <v>POR</v>
      </c>
      <c r="E38" s="38" t="s">
        <v>25</v>
      </c>
      <c r="F38" s="64" t="str">
        <f>DATA!A37</f>
        <v>Portland General</v>
      </c>
      <c r="G38" s="64"/>
      <c r="H38" s="64"/>
      <c r="I38" s="64"/>
      <c r="J38" s="39"/>
    </row>
    <row r="39" spans="2:13">
      <c r="C39" s="38"/>
      <c r="D39" s="44" t="str">
        <f t="shared" si="3"/>
        <v>XEL</v>
      </c>
      <c r="E39" s="38" t="s">
        <v>25</v>
      </c>
      <c r="F39" s="64" t="str">
        <f>DATA!A38</f>
        <v>Xcel Energy, Inc.</v>
      </c>
      <c r="G39" s="64"/>
      <c r="H39" s="64"/>
      <c r="I39" s="64"/>
      <c r="J39" s="64"/>
      <c r="K39" s="64"/>
      <c r="L39" s="39"/>
    </row>
    <row r="40" spans="2:13">
      <c r="B40" s="38"/>
      <c r="C40" s="38"/>
      <c r="D40" s="44"/>
      <c r="E40" s="38"/>
      <c r="F40" s="64"/>
      <c r="G40" s="64"/>
      <c r="H40" s="64"/>
      <c r="I40" s="64"/>
      <c r="J40" s="64"/>
      <c r="K40" s="64"/>
      <c r="L40" s="39"/>
    </row>
    <row r="41" spans="2:13">
      <c r="B41" s="64" t="s">
        <v>68</v>
      </c>
      <c r="C41" s="39"/>
      <c r="D41" s="44"/>
      <c r="E41" s="38"/>
      <c r="F41" s="64"/>
      <c r="G41" s="64"/>
      <c r="H41" s="64"/>
      <c r="I41" s="64"/>
      <c r="J41" s="64"/>
      <c r="K41" s="64"/>
      <c r="L41" s="38"/>
      <c r="M41" s="39"/>
    </row>
    <row r="42" spans="2:13">
      <c r="B42" s="38"/>
      <c r="C42" s="39"/>
      <c r="D42" s="44"/>
      <c r="E42" s="38"/>
      <c r="F42" s="64"/>
      <c r="G42" s="64"/>
      <c r="H42" s="64"/>
      <c r="I42" s="64"/>
      <c r="J42" s="64"/>
      <c r="K42" s="64"/>
      <c r="L42" s="38"/>
      <c r="M42" s="39"/>
    </row>
    <row r="43" spans="2:13">
      <c r="C43" s="39"/>
      <c r="D43" s="44"/>
      <c r="E43" s="38"/>
      <c r="F43" s="64"/>
      <c r="G43" s="64"/>
      <c r="H43" s="64"/>
      <c r="I43" s="64"/>
      <c r="J43" s="64"/>
      <c r="K43" s="64"/>
      <c r="L43" s="38"/>
      <c r="M43" s="39"/>
    </row>
    <row r="44" spans="2:13">
      <c r="B44" s="38"/>
      <c r="C44" s="39"/>
      <c r="D44" s="38"/>
      <c r="E44" s="63"/>
      <c r="F44" s="63"/>
      <c r="G44" s="63"/>
      <c r="H44" s="63"/>
      <c r="I44" s="63"/>
      <c r="J44" s="64"/>
      <c r="K44" s="64"/>
      <c r="L44" s="38"/>
      <c r="M44" s="39"/>
    </row>
    <row r="45" spans="2:13">
      <c r="C45" s="39"/>
      <c r="D45" s="38"/>
      <c r="E45" s="63"/>
      <c r="F45" s="63"/>
      <c r="G45" s="63"/>
      <c r="H45" s="63"/>
      <c r="I45" s="63"/>
      <c r="J45" s="64"/>
      <c r="K45" s="64"/>
      <c r="L45" s="38"/>
      <c r="M45" s="39"/>
    </row>
  </sheetData>
  <phoneticPr fontId="4"/>
  <pageMargins left="1.01" right="0.75" top="1" bottom="1" header="0.5" footer="0.5"/>
  <pageSetup scale="89" orientation="portrait" horizontalDpi="4294967292" verticalDpi="4294967292"/>
  <headerFooter>
    <oddHeader>&amp;R&amp;"Times New Roman,Regular"&amp;10&amp;K000000Docket No. UE-140762 et al._x000D_Exhibit No. SGH-7_x000D_Page 1 of 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2"/>
  <sheetViews>
    <sheetView workbookViewId="0">
      <selection activeCell="I35" sqref="I35"/>
    </sheetView>
  </sheetViews>
  <sheetFormatPr defaultColWidth="10.85546875" defaultRowHeight="12"/>
  <cols>
    <col min="1" max="1" width="10" style="40" customWidth="1"/>
    <col min="2" max="2" width="7.28515625" style="40" customWidth="1"/>
    <col min="3" max="3" width="6.85546875" style="40" customWidth="1"/>
    <col min="4" max="5" width="7" style="40" customWidth="1"/>
    <col min="6" max="6" width="8.28515625" style="40" customWidth="1"/>
    <col min="7" max="7" width="6.7109375" style="40" customWidth="1"/>
    <col min="8" max="8" width="6.85546875" style="40" customWidth="1"/>
    <col min="9" max="9" width="6.28515625" style="40" customWidth="1"/>
    <col min="10" max="10" width="7" style="40" customWidth="1"/>
    <col min="11" max="11" width="7.28515625" style="40" customWidth="1"/>
    <col min="12" max="13" width="7.7109375" style="40" customWidth="1"/>
    <col min="14" max="16384" width="10.85546875" style="40"/>
  </cols>
  <sheetData>
    <row r="1" spans="1:14" ht="12.7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3"/>
      <c r="N1" s="53"/>
    </row>
    <row r="2" spans="1:14" ht="12.75">
      <c r="A2" s="38"/>
      <c r="B2" s="39"/>
      <c r="C2" s="53"/>
      <c r="D2" s="52"/>
      <c r="E2" s="39"/>
      <c r="F2" s="39"/>
      <c r="G2" s="41" t="str">
        <f>DATA!A1</f>
        <v>PACIFIC POWER &amp; LIGHT COMPANY</v>
      </c>
      <c r="I2" s="52"/>
      <c r="J2" s="39"/>
      <c r="K2" s="39"/>
      <c r="L2" s="39"/>
      <c r="M2" s="53"/>
      <c r="N2" s="53"/>
    </row>
    <row r="3" spans="1:14" ht="12.75">
      <c r="A3" s="38"/>
      <c r="B3" s="39"/>
      <c r="C3" s="53"/>
      <c r="D3" s="52"/>
      <c r="E3" s="39"/>
      <c r="F3" s="39"/>
      <c r="G3" s="41" t="s">
        <v>64</v>
      </c>
      <c r="I3" s="52"/>
      <c r="J3" s="39"/>
      <c r="K3" s="39"/>
      <c r="L3" s="39"/>
      <c r="M3" s="53"/>
      <c r="N3" s="53"/>
    </row>
    <row r="4" spans="1:14" ht="12.75">
      <c r="A4" s="38"/>
      <c r="B4" s="39"/>
      <c r="C4" s="39"/>
      <c r="D4" s="39"/>
      <c r="E4" s="39"/>
      <c r="F4" s="39"/>
      <c r="G4" s="38"/>
      <c r="H4" s="39"/>
      <c r="I4" s="39"/>
      <c r="J4" s="39"/>
      <c r="K4" s="39"/>
      <c r="L4" s="39"/>
      <c r="M4" s="53"/>
      <c r="N4" s="53"/>
    </row>
    <row r="5" spans="1:14" ht="12.75">
      <c r="A5" s="38"/>
      <c r="B5" s="39"/>
      <c r="C5" s="39"/>
      <c r="D5" s="39"/>
      <c r="E5" s="39"/>
      <c r="F5" s="39"/>
      <c r="G5" s="39"/>
      <c r="H5" s="39"/>
      <c r="I5" s="39"/>
      <c r="J5" s="39" t="s">
        <v>7</v>
      </c>
      <c r="K5" s="39"/>
      <c r="L5" s="39"/>
      <c r="M5" s="53"/>
      <c r="N5" s="53"/>
    </row>
    <row r="6" spans="1:14" ht="12.75">
      <c r="A6" s="38"/>
      <c r="B6" s="39" t="s">
        <v>46</v>
      </c>
      <c r="C6" s="54"/>
      <c r="D6" s="54" t="s">
        <v>69</v>
      </c>
      <c r="E6" s="54"/>
      <c r="F6" s="39" t="s">
        <v>8</v>
      </c>
      <c r="G6" s="54"/>
      <c r="H6" s="54" t="s">
        <v>70</v>
      </c>
      <c r="I6" s="54"/>
      <c r="J6" s="39" t="s">
        <v>62</v>
      </c>
      <c r="K6" s="54"/>
      <c r="L6" s="54" t="s">
        <v>71</v>
      </c>
      <c r="M6" s="55"/>
      <c r="N6" s="52"/>
    </row>
    <row r="7" spans="1:14" ht="12.75">
      <c r="A7" s="42" t="s">
        <v>76</v>
      </c>
      <c r="B7" s="43" t="s">
        <v>47</v>
      </c>
      <c r="C7" s="43" t="s">
        <v>145</v>
      </c>
      <c r="D7" s="43" t="s">
        <v>146</v>
      </c>
      <c r="E7" s="43" t="s">
        <v>18</v>
      </c>
      <c r="F7" s="43" t="s">
        <v>145</v>
      </c>
      <c r="G7" s="43" t="s">
        <v>145</v>
      </c>
      <c r="H7" s="43" t="s">
        <v>146</v>
      </c>
      <c r="I7" s="43" t="s">
        <v>18</v>
      </c>
      <c r="J7" s="43" t="s">
        <v>63</v>
      </c>
      <c r="K7" s="43" t="s">
        <v>145</v>
      </c>
      <c r="L7" s="43" t="s">
        <v>146</v>
      </c>
      <c r="M7" s="43" t="s">
        <v>18</v>
      </c>
      <c r="N7" s="52"/>
    </row>
    <row r="8" spans="1:14" ht="20.100000000000001" customHeight="1">
      <c r="A8" s="38" t="str">
        <f>DATA!A5</f>
        <v>NEE</v>
      </c>
      <c r="B8" s="56">
        <f>'SGH-7,p1'!M8</f>
        <v>6.6691694815050426E-2</v>
      </c>
      <c r="C8" s="39">
        <f>DATA!AU5</f>
        <v>0.06</v>
      </c>
      <c r="D8" s="39">
        <f>DATA!AW5</f>
        <v>8.5000000000000006E-2</v>
      </c>
      <c r="E8" s="39">
        <f>DATA!AY5</f>
        <v>7.0000000000000007E-2</v>
      </c>
      <c r="F8" s="56">
        <f>DATA!BA5</f>
        <v>6.4799999999999996E-2</v>
      </c>
      <c r="G8" s="39">
        <f>DATA!AT5</f>
        <v>0.06</v>
      </c>
      <c r="H8" s="39">
        <f>DATA!AV5</f>
        <v>0.08</v>
      </c>
      <c r="I8" s="39">
        <f>DATA!AX5</f>
        <v>7.4999999999999997E-2</v>
      </c>
      <c r="J8" s="56">
        <f t="shared" ref="J8:J14" si="0">AVERAGE(C8,D8,E8,G8,H8,I8,F8)</f>
        <v>7.0685714285714282E-2</v>
      </c>
      <c r="K8" s="39">
        <f>(DATA!$K5/DATA!$F5)^0.2-1</f>
        <v>3.6527003017346127E-2</v>
      </c>
      <c r="L8" s="39">
        <f>(DATA!$S5/DATA!$N5)^0.2-1</f>
        <v>8.9399668404925414E-2</v>
      </c>
      <c r="M8" s="39">
        <f>(DATA!$AI5/DATA!$AD5)^0.2-1</f>
        <v>7.4009428023358304E-2</v>
      </c>
      <c r="N8" s="52"/>
    </row>
    <row r="9" spans="1:14" ht="20.100000000000001" customHeight="1">
      <c r="A9" s="38" t="str">
        <f>DATA!A6</f>
        <v>SO</v>
      </c>
      <c r="B9" s="57">
        <f>'SGH-7,p1'!M9</f>
        <v>4.2444639399806389E-2</v>
      </c>
      <c r="C9" s="39">
        <f>DATA!AU6</f>
        <v>3.5000000000000003E-2</v>
      </c>
      <c r="D9" s="39">
        <f>DATA!AW6</f>
        <v>3.5000000000000003E-2</v>
      </c>
      <c r="E9" s="39">
        <f>DATA!AY6</f>
        <v>0.04</v>
      </c>
      <c r="F9" s="57">
        <f>DATA!BA6</f>
        <v>3.3500000000000002E-2</v>
      </c>
      <c r="G9" s="39">
        <f>DATA!AT6</f>
        <v>3.5000000000000003E-2</v>
      </c>
      <c r="H9" s="39">
        <f>DATA!AV6</f>
        <v>0.04</v>
      </c>
      <c r="I9" s="39">
        <f>DATA!AX6</f>
        <v>5.5E-2</v>
      </c>
      <c r="J9" s="57">
        <f t="shared" si="0"/>
        <v>3.9071428571428576E-2</v>
      </c>
      <c r="K9" s="39">
        <f>(DATA!$K6/DATA!$F6)^0.2-1</f>
        <v>3.8326670088616899E-2</v>
      </c>
      <c r="L9" s="39">
        <f>(DATA!$S6/DATA!$N6)^0.2-1</f>
        <v>3.7536649212209339E-2</v>
      </c>
      <c r="M9" s="39">
        <f>(DATA!$AI6/DATA!$AD6)^0.2-1</f>
        <v>4.1106766271336692E-2</v>
      </c>
      <c r="N9" s="52"/>
    </row>
    <row r="10" spans="1:14" ht="20.100000000000001" customHeight="1">
      <c r="A10" s="38" t="str">
        <f>DATA!A7</f>
        <v>TE</v>
      </c>
      <c r="B10" s="57">
        <f>'SGH-7,p1'!M10</f>
        <v>4.0219247113685082E-2</v>
      </c>
      <c r="C10" s="39">
        <f>DATA!AU7</f>
        <v>3.5000000000000003E-2</v>
      </c>
      <c r="D10" s="39">
        <f>DATA!AW7</f>
        <v>1.4999999999999999E-2</v>
      </c>
      <c r="E10" s="39">
        <f>DATA!AY7</f>
        <v>2.5000000000000001E-2</v>
      </c>
      <c r="F10" s="57">
        <f>DATA!BA7</f>
        <v>5.0799999999999998E-2</v>
      </c>
      <c r="G10" s="39">
        <f>DATA!AT7</f>
        <v>5.0000000000000001E-3</v>
      </c>
      <c r="H10" s="39">
        <f>DATA!AV7</f>
        <v>2.5000000000000001E-2</v>
      </c>
      <c r="I10" s="39">
        <f>DATA!AX7</f>
        <v>0.03</v>
      </c>
      <c r="J10" s="57">
        <f t="shared" si="0"/>
        <v>2.6542857142857146E-2</v>
      </c>
      <c r="K10" s="39">
        <f>(DATA!$K7/DATA!$F7)^0.2-1</f>
        <v>-1.0206218313011495E-2</v>
      </c>
      <c r="L10" s="39">
        <f>(DATA!$S7/DATA!$N7)^0.2-1</f>
        <v>1.9244876491456564E-2</v>
      </c>
      <c r="M10" s="39">
        <f>(DATA!$AI7/DATA!$AD7)^0.2-1</f>
        <v>2.9946735854433859E-2</v>
      </c>
      <c r="N10" s="52"/>
    </row>
    <row r="11" spans="1:14" ht="20.100000000000001" customHeight="1">
      <c r="A11" s="38" t="str">
        <f>DATA!A8</f>
        <v>ALE</v>
      </c>
      <c r="B11" s="57">
        <f>'SGH-7,p1'!M11</f>
        <v>5.1068634582524142E-2</v>
      </c>
      <c r="C11" s="39">
        <f>DATA!AU8</f>
        <v>0.06</v>
      </c>
      <c r="D11" s="39">
        <f>DATA!AW8</f>
        <v>0.04</v>
      </c>
      <c r="E11" s="39">
        <f>DATA!AY8</f>
        <v>4.4999999999999998E-2</v>
      </c>
      <c r="F11" s="57">
        <f>DATA!BA8</f>
        <v>0.06</v>
      </c>
      <c r="G11" s="39">
        <f>DATA!AT8</f>
        <v>-0.02</v>
      </c>
      <c r="H11" s="39">
        <f>DATA!AV8</f>
        <v>0.03</v>
      </c>
      <c r="I11" s="39">
        <f>DATA!AX8</f>
        <v>0.05</v>
      </c>
      <c r="J11" s="57">
        <f t="shared" si="0"/>
        <v>3.785714285714286E-2</v>
      </c>
      <c r="K11" s="39">
        <f>(DATA!$K8/DATA!$F8)^0.2-1</f>
        <v>8.1780741066402873E-2</v>
      </c>
      <c r="L11" s="39">
        <f>(DATA!$S8/DATA!$N8)^0.2-1</f>
        <v>2.1759491464241165E-2</v>
      </c>
      <c r="M11" s="39">
        <f>(DATA!$AI8/DATA!$AD8)^0.2-1</f>
        <v>5.6117440957985432E-2</v>
      </c>
      <c r="N11" s="52"/>
    </row>
    <row r="12" spans="1:14" ht="20.100000000000001" customHeight="1">
      <c r="A12" s="38" t="str">
        <f>DATA!A9</f>
        <v>LNT</v>
      </c>
      <c r="B12" s="57">
        <f>'SGH-7,p1'!M12</f>
        <v>4.7413793103448273E-2</v>
      </c>
      <c r="C12" s="39">
        <f>DATA!AU9</f>
        <v>0.06</v>
      </c>
      <c r="D12" s="39">
        <f>DATA!AW9</f>
        <v>4.4999999999999998E-2</v>
      </c>
      <c r="E12" s="39">
        <f>DATA!AY9</f>
        <v>0.04</v>
      </c>
      <c r="F12" s="57">
        <f>DATA!BA9</f>
        <v>4.7E-2</v>
      </c>
      <c r="G12" s="39">
        <f>DATA!AT9</f>
        <v>0.04</v>
      </c>
      <c r="H12" s="39">
        <f>DATA!AV9</f>
        <v>0.08</v>
      </c>
      <c r="I12" s="39">
        <f>DATA!AX9</f>
        <v>3.5000000000000003E-2</v>
      </c>
      <c r="J12" s="57">
        <f t="shared" si="0"/>
        <v>4.9571428571428579E-2</v>
      </c>
      <c r="K12" s="39">
        <f>(DATA!$K9/DATA!$F9)^0.2-1</f>
        <v>0.14068626451800847</v>
      </c>
      <c r="L12" s="39">
        <f>(DATA!$S9/DATA!$N9)^0.2-1</f>
        <v>6.342724238285391E-2</v>
      </c>
      <c r="M12" s="39">
        <f>(DATA!$AI9/DATA!$AD9)^0.2-1</f>
        <v>3.6557466194341748E-2</v>
      </c>
      <c r="N12" s="52"/>
    </row>
    <row r="13" spans="1:14" ht="20.100000000000001" customHeight="1">
      <c r="A13" s="38" t="str">
        <f>DATA!A10</f>
        <v>OGE</v>
      </c>
      <c r="B13" s="57">
        <f>'SGH-7,p1'!M13</f>
        <v>6.2776753517880868E-2</v>
      </c>
      <c r="C13" s="39">
        <f>DATA!AU10</f>
        <v>5.5E-2</v>
      </c>
      <c r="D13" s="39">
        <f>DATA!AW10</f>
        <v>0.09</v>
      </c>
      <c r="E13" s="39">
        <f>DATA!AY10</f>
        <v>7.0000000000000007E-2</v>
      </c>
      <c r="F13" s="57">
        <f>DATA!BA10</f>
        <v>6.7500000000000004E-2</v>
      </c>
      <c r="G13" s="39">
        <f>DATA!AT10</f>
        <v>7.4999999999999997E-2</v>
      </c>
      <c r="H13" s="39">
        <f>DATA!AV10</f>
        <v>0.03</v>
      </c>
      <c r="I13" s="39">
        <f>DATA!AX10</f>
        <v>8.5000000000000006E-2</v>
      </c>
      <c r="J13" s="57">
        <f t="shared" si="0"/>
        <v>6.7499999999999991E-2</v>
      </c>
      <c r="K13" s="39">
        <f>(DATA!$K10/DATA!$F10)^0.2-1</f>
        <v>9.0386445085393508E-2</v>
      </c>
      <c r="L13" s="39">
        <f>(DATA!$S10/DATA!$N10)^0.2-1</f>
        <v>5.5467633500259517E-2</v>
      </c>
      <c r="M13" s="39">
        <f>(DATA!$AI10/DATA!$AD10)^0.2-1</f>
        <v>9.286274564515451E-2</v>
      </c>
      <c r="N13" s="52"/>
    </row>
    <row r="14" spans="1:14" ht="20.100000000000001" customHeight="1">
      <c r="A14" s="38" t="str">
        <f>DATA!A11</f>
        <v>WR</v>
      </c>
      <c r="B14" s="57">
        <f>'SGH-7,p1'!M14</f>
        <v>5.4327121917446319E-2</v>
      </c>
      <c r="C14" s="39">
        <f>DATA!AU11</f>
        <v>0.06</v>
      </c>
      <c r="D14" s="39">
        <f>DATA!AW11</f>
        <v>0.03</v>
      </c>
      <c r="E14" s="39">
        <f>DATA!AY11</f>
        <v>0.05</v>
      </c>
      <c r="F14" s="57">
        <f>DATA!BA11</f>
        <v>2.9000000000000001E-2</v>
      </c>
      <c r="G14" s="39">
        <f>DATA!AT11</f>
        <v>1.4999999999999999E-2</v>
      </c>
      <c r="H14" s="39">
        <f>DATA!AV11</f>
        <v>0.05</v>
      </c>
      <c r="I14" s="39">
        <f>DATA!AX11</f>
        <v>4.4999999999999998E-2</v>
      </c>
      <c r="J14" s="57">
        <f t="shared" si="0"/>
        <v>3.9857142857142862E-2</v>
      </c>
      <c r="K14" s="39">
        <f>(DATA!$K11/DATA!$F11)^0.2-1</f>
        <v>0.13865254964091678</v>
      </c>
      <c r="L14" s="39">
        <f>(DATA!$S11/DATA!$N11)^0.2-1</f>
        <v>3.1310306477545069E-2</v>
      </c>
      <c r="M14" s="39">
        <f>(DATA!$AI11/DATA!$AD11)^0.2-1</f>
        <v>3.1982040086915742E-2</v>
      </c>
      <c r="N14" s="52"/>
    </row>
    <row r="15" spans="1:14" ht="20.100000000000001" customHeight="1">
      <c r="A15" s="38" t="str">
        <f>DATA!A12</f>
        <v>EIX</v>
      </c>
      <c r="B15" s="57">
        <f>'SGH-7,p1'!M15</f>
        <v>0.06</v>
      </c>
      <c r="C15" s="39">
        <f>DATA!AU12</f>
        <v>2.5000000000000001E-2</v>
      </c>
      <c r="D15" s="39">
        <f>DATA!AW12</f>
        <v>7.4999999999999997E-2</v>
      </c>
      <c r="E15" s="39">
        <f>DATA!AY12</f>
        <v>5.5E-2</v>
      </c>
      <c r="F15" s="57">
        <f>DATA!BA12</f>
        <v>3.8699999999999998E-2</v>
      </c>
      <c r="G15" s="39">
        <f>DATA!AT12</f>
        <v>2.5000000000000001E-2</v>
      </c>
      <c r="H15" s="39">
        <f>DATA!AV12</f>
        <v>2.5000000000000001E-2</v>
      </c>
      <c r="I15" s="39">
        <f>DATA!AX12</f>
        <v>0.03</v>
      </c>
      <c r="J15" s="57">
        <f>AVERAGE(C15,D15,E15,G15,H15,I15,F15)</f>
        <v>3.9100000000000003E-2</v>
      </c>
      <c r="K15" s="39">
        <f>(DATA!$K12/DATA!$F12)^0.2-1</f>
        <v>1.2639390596416611E-2</v>
      </c>
      <c r="L15" s="39">
        <f>(DATA!$S12/DATA!$N12)^0.2-1</f>
        <v>3.0128962818398941E-2</v>
      </c>
      <c r="M15" s="39">
        <f>(DATA!$AI12/DATA!$AD12)^0.2-1</f>
        <v>1.6654483261156594E-2</v>
      </c>
    </row>
    <row r="16" spans="1:14" ht="20.100000000000001" customHeight="1">
      <c r="A16" s="38" t="str">
        <f>DATA!A13</f>
        <v>IDA</v>
      </c>
      <c r="B16" s="57">
        <f>'SGH-7,p1'!M16</f>
        <v>4.792413969865806E-2</v>
      </c>
      <c r="C16" s="39">
        <f>DATA!AU13</f>
        <v>0.01</v>
      </c>
      <c r="D16" s="39">
        <f>DATA!AW13</f>
        <v>6.5000000000000002E-2</v>
      </c>
      <c r="E16" s="39">
        <f>DATA!AY13</f>
        <v>0.04</v>
      </c>
      <c r="F16" s="57">
        <f>DATA!BA13</f>
        <v>0.04</v>
      </c>
      <c r="G16" s="39">
        <f>DATA!AT13</f>
        <v>0.1</v>
      </c>
      <c r="H16" s="39">
        <f>DATA!AV13</f>
        <v>0.03</v>
      </c>
      <c r="I16" s="39">
        <f>DATA!AX13</f>
        <v>5.5E-2</v>
      </c>
      <c r="J16" s="57">
        <f>AVERAGE(C16,D16,E16,G16,H16,I16,F16)</f>
        <v>4.8571428571428564E-2</v>
      </c>
      <c r="K16" s="39">
        <f>(DATA!$K13/DATA!$F13)^0.2-1</f>
        <v>5.8017432631154442E-2</v>
      </c>
      <c r="L16" s="39">
        <f>(DATA!$S13/DATA!$N13)^0.2-1</f>
        <v>7.4655931692266808E-2</v>
      </c>
      <c r="M16" s="39">
        <f>(DATA!$AI13/DATA!$AD13)^0.2-1</f>
        <v>5.7895120151471025E-2</v>
      </c>
    </row>
    <row r="17" spans="1:14" ht="20.100000000000001" customHeight="1">
      <c r="A17" s="38" t="str">
        <f>DATA!A14</f>
        <v>NWE</v>
      </c>
      <c r="B17" s="57">
        <f>'SGH-7,p1'!M17</f>
        <v>4.6785655450763977E-2</v>
      </c>
      <c r="C17" s="39">
        <f>DATA!AU14</f>
        <v>3.5000000000000003E-2</v>
      </c>
      <c r="D17" s="39">
        <f>DATA!AW14</f>
        <v>4.4999999999999998E-2</v>
      </c>
      <c r="E17" s="39">
        <f>DATA!AY14</f>
        <v>0.04</v>
      </c>
      <c r="F17" s="57">
        <f>DATA!BA14</f>
        <v>7.0000000000000007E-2</v>
      </c>
      <c r="G17" s="39">
        <f>DATA!AT14</f>
        <v>0.1</v>
      </c>
      <c r="H17" s="39">
        <f>DATA!AV14</f>
        <v>0.03</v>
      </c>
      <c r="I17" s="39">
        <f>DATA!AX14</f>
        <v>3.5000000000000003E-2</v>
      </c>
      <c r="J17" s="57">
        <f t="shared" ref="J17:J20" si="1">AVERAGE(C17,D17,E17,G17,H17,I17,F17)</f>
        <v>5.0714285714285719E-2</v>
      </c>
      <c r="K17" s="39">
        <f>(DATA!$K14/DATA!$F14)^0.2-1</f>
        <v>4.7701974051653107E-2</v>
      </c>
      <c r="L17" s="39">
        <f>(DATA!$S14/DATA!$N14)^0.2-1</f>
        <v>3.6103252096112426E-2</v>
      </c>
      <c r="M17" s="39">
        <f>(DATA!$AI14/DATA!$AD14)^0.2-1</f>
        <v>4.8872178824477697E-2</v>
      </c>
    </row>
    <row r="18" spans="1:14" ht="20.100000000000001" customHeight="1">
      <c r="A18" s="38" t="str">
        <f>DATA!A15</f>
        <v>PNW</v>
      </c>
      <c r="B18" s="57">
        <f>'SGH-7,p1'!M18</f>
        <v>4.2535432502211715E-2</v>
      </c>
      <c r="C18" s="39">
        <f>DATA!AU15</f>
        <v>0.04</v>
      </c>
      <c r="D18" s="39">
        <f>DATA!AW15</f>
        <v>0.03</v>
      </c>
      <c r="E18" s="39">
        <f>DATA!AY15</f>
        <v>0.04</v>
      </c>
      <c r="F18" s="57">
        <f>DATA!BA15</f>
        <v>3.7499999999999999E-2</v>
      </c>
      <c r="G18" s="39">
        <f>DATA!AT15</f>
        <v>0.04</v>
      </c>
      <c r="H18" s="39">
        <f>DATA!AV15</f>
        <v>2.5000000000000001E-2</v>
      </c>
      <c r="I18" s="39">
        <f>DATA!AX15</f>
        <v>0.01</v>
      </c>
      <c r="J18" s="57">
        <f t="shared" si="1"/>
        <v>3.1785714285714292E-2</v>
      </c>
      <c r="K18" s="39">
        <f>(DATA!$K15/DATA!$F15)^0.2-1</f>
        <v>0.10361769958183897</v>
      </c>
      <c r="L18" s="39">
        <f>(DATA!$S15/DATA!$N15)^0.2-1</f>
        <v>2.0125815470397157E-2</v>
      </c>
      <c r="M18" s="39">
        <f>(DATA!$AI15/DATA!$AD15)^0.2-1</f>
        <v>3.8308519269714347E-2</v>
      </c>
    </row>
    <row r="19" spans="1:14" ht="20.100000000000001" customHeight="1">
      <c r="A19" s="38" t="str">
        <f>DATA!A16</f>
        <v>POR</v>
      </c>
      <c r="B19" s="57">
        <f>'SGH-7,p1'!M19</f>
        <v>4.8935809954475863E-2</v>
      </c>
      <c r="C19" s="39">
        <f>DATA!AU16</f>
        <v>0.05</v>
      </c>
      <c r="D19" s="39">
        <f>DATA!AW16</f>
        <v>4.4999999999999998E-2</v>
      </c>
      <c r="E19" s="39">
        <f>DATA!AY16</f>
        <v>3.5000000000000003E-2</v>
      </c>
      <c r="F19" s="57">
        <f>DATA!BA16</f>
        <v>0.11210000000000001</v>
      </c>
      <c r="G19" s="39">
        <f>DATA!AT16</f>
        <v>0.03</v>
      </c>
      <c r="H19" s="39">
        <f>DATA!AV16</f>
        <v>4.4999999999999998E-2</v>
      </c>
      <c r="I19" s="39">
        <f>DATA!AX16</f>
        <v>0.02</v>
      </c>
      <c r="J19" s="57">
        <f t="shared" si="1"/>
        <v>4.8157142857142857E-2</v>
      </c>
      <c r="K19" s="39">
        <f>(DATA!$K16/DATA!$F16)^0.2-1</f>
        <v>9.8979521514673152E-2</v>
      </c>
      <c r="L19" s="39">
        <f>(DATA!$S16/DATA!$N16)^0.2-1</f>
        <v>2.0890893304238434E-2</v>
      </c>
      <c r="M19" s="39">
        <f>(DATA!$AI16/DATA!$AD16)^0.2-1</f>
        <v>3.4169145380273935E-2</v>
      </c>
    </row>
    <row r="20" spans="1:14" ht="20.100000000000001" customHeight="1">
      <c r="A20" s="38" t="str">
        <f>DATA!A17</f>
        <v>XEL</v>
      </c>
      <c r="B20" s="57">
        <f>'SGH-7,p1'!M20</f>
        <v>5.0249447628806551E-2</v>
      </c>
      <c r="C20" s="39">
        <f>DATA!AU17</f>
        <v>5.5E-2</v>
      </c>
      <c r="D20" s="39">
        <f>DATA!AW17</f>
        <v>0.05</v>
      </c>
      <c r="E20" s="39">
        <f>DATA!AY17</f>
        <v>0.05</v>
      </c>
      <c r="F20" s="57">
        <f>DATA!BA17</f>
        <v>4.4900000000000002E-2</v>
      </c>
      <c r="G20" s="39">
        <f>DATA!AT17</f>
        <v>5.5E-2</v>
      </c>
      <c r="H20" s="39">
        <f>DATA!AV17</f>
        <v>3.5000000000000003E-2</v>
      </c>
      <c r="I20" s="39">
        <f>DATA!AX17</f>
        <v>4.4999999999999998E-2</v>
      </c>
      <c r="J20" s="57">
        <f t="shared" si="1"/>
        <v>4.7842857142857145E-2</v>
      </c>
      <c r="K20" s="39">
        <f>(DATA!$K17/DATA!$F17)^0.2-1</f>
        <v>6.0641816463770981E-2</v>
      </c>
      <c r="L20" s="39">
        <f>(DATA!$S17/DATA!$N17)^0.2-1</f>
        <v>4.3474648810011729E-2</v>
      </c>
      <c r="M20" s="39">
        <f>(DATA!$AI17/DATA!$AD17)^0.2-1</f>
        <v>4.9809733045611315E-2</v>
      </c>
    </row>
    <row r="21" spans="1:14" ht="20.100000000000001" customHeight="1">
      <c r="A21" s="52"/>
      <c r="B21" s="58"/>
      <c r="C21" s="59">
        <f>AVERAGE(C8:C20)</f>
        <v>4.4615384615384619E-2</v>
      </c>
      <c r="D21" s="54">
        <f>AVERAGE(D8:D20)</f>
        <v>5.0000000000000017E-2</v>
      </c>
      <c r="E21" s="54">
        <f>AVERAGE(E8:E20)</f>
        <v>4.6153846153846163E-2</v>
      </c>
      <c r="F21" s="60"/>
      <c r="G21" s="59">
        <f>AVERAGE(G8:G20)</f>
        <v>4.3076923076923082E-2</v>
      </c>
      <c r="H21" s="54">
        <f>AVERAGE(H8:H20)</f>
        <v>4.0384615384615387E-2</v>
      </c>
      <c r="I21" s="54">
        <f>AVERAGE(I8:I20)</f>
        <v>4.3846153846153854E-2</v>
      </c>
      <c r="J21" s="61"/>
      <c r="K21" s="59">
        <f>AVERAGE(K8:K20)</f>
        <v>6.9057791534090807E-2</v>
      </c>
      <c r="L21" s="54">
        <f>AVERAGE(L8:L20)</f>
        <v>4.1809644009608959E-2</v>
      </c>
      <c r="M21" s="54">
        <f>AVERAGE(M8:M20)</f>
        <v>4.6791677151248552E-2</v>
      </c>
      <c r="N21" s="52"/>
    </row>
    <row r="22" spans="1:14" ht="20.100000000000001" customHeight="1">
      <c r="A22" s="38" t="s">
        <v>61</v>
      </c>
      <c r="B22" s="62">
        <f>AVERAGE(B8:B20)</f>
        <v>5.0874797668058282E-2</v>
      </c>
      <c r="C22" s="52"/>
      <c r="D22" s="39">
        <f>(C21+D21+E21)/3</f>
        <v>4.6923076923076928E-2</v>
      </c>
      <c r="E22" s="52"/>
      <c r="F22" s="62">
        <f>AVERAGE(F8:F20)</f>
        <v>5.352307692307693E-2</v>
      </c>
      <c r="G22" s="52"/>
      <c r="H22" s="39">
        <f>(G21+H21+I21)/3</f>
        <v>4.243589743589745E-2</v>
      </c>
      <c r="I22" s="52"/>
      <c r="J22" s="62">
        <f>AVERAGE(J8:J20)</f>
        <v>4.5942857142857146E-2</v>
      </c>
      <c r="K22" s="52"/>
      <c r="L22" s="39">
        <f>(K21+L21+M21)/3</f>
        <v>5.2553037564982773E-2</v>
      </c>
      <c r="M22" s="52"/>
      <c r="N22" s="52"/>
    </row>
    <row r="23" spans="1:14" ht="20.100000000000001" customHeight="1">
      <c r="F23" s="45"/>
    </row>
    <row r="25" spans="1:14" ht="12.75">
      <c r="A25" s="52" t="s">
        <v>216</v>
      </c>
    </row>
    <row r="26" spans="1:14" ht="12.75">
      <c r="A26" s="52"/>
      <c r="C26" s="53" t="s">
        <v>217</v>
      </c>
    </row>
    <row r="27" spans="1:14" ht="12.75">
      <c r="A27" s="52"/>
      <c r="C27" s="52"/>
      <c r="D27" s="53"/>
    </row>
    <row r="30" spans="1:14" s="53" customFormat="1" ht="12.75">
      <c r="C30" s="40"/>
      <c r="D30" s="40"/>
      <c r="F30" s="40"/>
      <c r="G30" s="40"/>
      <c r="H30"/>
      <c r="I30"/>
    </row>
    <row r="31" spans="1:14" s="52" customFormat="1" ht="12.75">
      <c r="C31" s="40"/>
      <c r="D31" s="40"/>
      <c r="F31" s="40"/>
      <c r="G31" s="40"/>
      <c r="H31"/>
      <c r="I31"/>
      <c r="L31" s="53"/>
    </row>
    <row r="32" spans="1:14">
      <c r="H32"/>
      <c r="I32"/>
    </row>
    <row r="33" spans="8:9">
      <c r="H33"/>
      <c r="I33"/>
    </row>
    <row r="34" spans="8:9">
      <c r="H34"/>
      <c r="I34" s="3">
        <f>AVERAGE(C20:E20)</f>
        <v>5.1666666666666673E-2</v>
      </c>
    </row>
    <row r="35" spans="8:9">
      <c r="H35"/>
      <c r="I35"/>
    </row>
    <row r="36" spans="8:9">
      <c r="H36"/>
      <c r="I36"/>
    </row>
    <row r="37" spans="8:9">
      <c r="H37"/>
      <c r="I37"/>
    </row>
    <row r="38" spans="8:9">
      <c r="H38"/>
      <c r="I38"/>
    </row>
    <row r="39" spans="8:9">
      <c r="H39"/>
      <c r="I39"/>
    </row>
    <row r="40" spans="8:9">
      <c r="H40"/>
      <c r="I40"/>
    </row>
    <row r="41" spans="8:9">
      <c r="H41"/>
      <c r="I41"/>
    </row>
    <row r="42" spans="8:9">
      <c r="H42"/>
      <c r="I42"/>
    </row>
  </sheetData>
  <phoneticPr fontId="5" type="noConversion"/>
  <pageMargins left="0.99" right="0.75" top="1" bottom="1" header="0.5" footer="0.5"/>
  <pageSetup scale="84" orientation="portrait" horizontalDpi="4294967292" verticalDpi="4294967292"/>
  <headerFooter>
    <oddHeader>&amp;R&amp;"Times New Roman,Regular"&amp;10&amp;K000000Docket UE-140762 et al._x000D_Exhibit No. SGH-7_x000D_Page 2 of 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workbookViewId="0">
      <selection activeCell="D27" sqref="D27"/>
    </sheetView>
  </sheetViews>
  <sheetFormatPr defaultColWidth="10.85546875" defaultRowHeight="12.75"/>
  <cols>
    <col min="1" max="1" width="7.42578125" style="52" customWidth="1"/>
    <col min="2" max="2" width="13.7109375" style="52" customWidth="1"/>
    <col min="3" max="3" width="17.140625" style="52" customWidth="1"/>
    <col min="4" max="4" width="15" style="52" customWidth="1"/>
    <col min="5" max="5" width="17.42578125" style="52" customWidth="1"/>
    <col min="6" max="6" width="9.42578125" style="52" customWidth="1"/>
    <col min="7" max="7" width="10.85546875" style="38"/>
    <col min="8" max="16384" width="10.85546875" style="52"/>
  </cols>
  <sheetData>
    <row r="1" spans="2:13">
      <c r="B1" s="38"/>
      <c r="C1" s="38"/>
      <c r="D1" s="38"/>
      <c r="E1" s="38"/>
      <c r="F1" s="38"/>
    </row>
    <row r="2" spans="2:13">
      <c r="B2" s="38"/>
      <c r="C2" s="38"/>
      <c r="D2" s="46" t="str">
        <f>DATA!A1</f>
        <v>PACIFIC POWER &amp; LIGHT COMPANY</v>
      </c>
      <c r="E2" s="38"/>
      <c r="F2" s="38"/>
    </row>
    <row r="3" spans="2:13">
      <c r="B3" s="38"/>
      <c r="C3" s="38"/>
      <c r="D3" s="46" t="s">
        <v>3</v>
      </c>
      <c r="E3" s="38"/>
      <c r="F3" s="38"/>
    </row>
    <row r="4" spans="2:13">
      <c r="B4" s="38"/>
      <c r="C4" s="38"/>
      <c r="D4" s="38"/>
      <c r="E4" s="38"/>
      <c r="F4" s="38"/>
    </row>
    <row r="5" spans="2:13">
      <c r="B5" s="38"/>
      <c r="C5" s="47"/>
      <c r="D5" s="38"/>
      <c r="E5" s="38"/>
      <c r="G5" s="52"/>
      <c r="M5" s="38"/>
    </row>
    <row r="6" spans="2:13">
      <c r="B6" s="38"/>
      <c r="C6" s="38" t="s">
        <v>93</v>
      </c>
      <c r="D6" s="38" t="s">
        <v>4</v>
      </c>
      <c r="E6" s="38" t="s">
        <v>5</v>
      </c>
      <c r="G6" s="52"/>
      <c r="K6" s="38"/>
      <c r="L6" s="38"/>
      <c r="M6" s="38"/>
    </row>
    <row r="7" spans="2:13">
      <c r="B7" s="42" t="s">
        <v>76</v>
      </c>
      <c r="C7" s="48" t="str">
        <f>DATA!B2</f>
        <v>7/2/14-8/13/14</v>
      </c>
      <c r="D7" s="42" t="s">
        <v>120</v>
      </c>
      <c r="E7" s="42" t="s">
        <v>121</v>
      </c>
      <c r="G7" s="52"/>
      <c r="K7" s="42"/>
      <c r="L7" s="42"/>
      <c r="M7" s="42"/>
    </row>
    <row r="8" spans="2:13">
      <c r="B8" s="38"/>
      <c r="C8" s="38" t="s">
        <v>49</v>
      </c>
      <c r="D8" s="38"/>
      <c r="E8" s="38"/>
      <c r="G8" s="52"/>
      <c r="K8" s="38"/>
      <c r="L8" s="38"/>
      <c r="M8" s="38"/>
    </row>
    <row r="9" spans="2:13">
      <c r="B9" s="38"/>
      <c r="C9" s="38"/>
      <c r="D9" s="38"/>
      <c r="E9" s="38"/>
      <c r="G9" s="52"/>
      <c r="K9" s="38"/>
      <c r="L9" s="38"/>
      <c r="M9" s="38"/>
    </row>
    <row r="10" spans="2:13" ht="21.95" customHeight="1">
      <c r="B10" s="38" t="str">
        <f>DATA!A5</f>
        <v>NEE</v>
      </c>
      <c r="C10" s="49">
        <f>DATA!B5</f>
        <v>96.413666666666643</v>
      </c>
      <c r="D10" s="50">
        <f>DATA!E5</f>
        <v>2.97</v>
      </c>
      <c r="E10" s="39">
        <f>D10/C10</f>
        <v>3.0804761427321862E-2</v>
      </c>
      <c r="G10" s="52"/>
      <c r="K10" s="38"/>
      <c r="L10" s="39"/>
      <c r="M10" s="39"/>
    </row>
    <row r="11" spans="2:13" ht="21.95" customHeight="1">
      <c r="B11" s="38" t="str">
        <f>DATA!A6</f>
        <v>SO</v>
      </c>
      <c r="C11" s="49">
        <f>DATA!B6</f>
        <v>44.074666666666666</v>
      </c>
      <c r="D11" s="50">
        <f>DATA!E6</f>
        <v>2.12</v>
      </c>
      <c r="E11" s="39">
        <f t="shared" ref="E11:E22" si="0">D11/C11</f>
        <v>4.810019361084221E-2</v>
      </c>
      <c r="G11" s="52"/>
      <c r="K11" s="38"/>
      <c r="L11" s="39"/>
      <c r="M11" s="39"/>
    </row>
    <row r="12" spans="2:13" ht="21.95" customHeight="1">
      <c r="B12" s="38" t="str">
        <f>DATA!A7</f>
        <v>TE</v>
      </c>
      <c r="C12" s="49">
        <f>DATA!B7</f>
        <v>17.727333333333331</v>
      </c>
      <c r="D12" s="50">
        <f>DATA!E7</f>
        <v>0.88</v>
      </c>
      <c r="E12" s="39">
        <f t="shared" si="0"/>
        <v>4.9640855928697686E-2</v>
      </c>
      <c r="G12" s="52"/>
      <c r="K12" s="38"/>
      <c r="L12" s="39"/>
      <c r="M12" s="39"/>
    </row>
    <row r="13" spans="2:13" ht="21.95" customHeight="1">
      <c r="B13" s="38" t="str">
        <f>DATA!A8</f>
        <v>ALE</v>
      </c>
      <c r="C13" s="49">
        <f>DATA!B8</f>
        <v>48.573666666666675</v>
      </c>
      <c r="D13" s="50">
        <f>DATA!E8</f>
        <v>2</v>
      </c>
      <c r="E13" s="39">
        <f t="shared" si="0"/>
        <v>4.1174573328483878E-2</v>
      </c>
      <c r="G13" s="52"/>
      <c r="K13" s="38"/>
      <c r="L13" s="39"/>
      <c r="M13" s="39"/>
    </row>
    <row r="14" spans="2:13" ht="21.95" customHeight="1">
      <c r="B14" s="38" t="str">
        <f>DATA!A9</f>
        <v>LNT</v>
      </c>
      <c r="C14" s="49">
        <f>DATA!B9</f>
        <v>58</v>
      </c>
      <c r="D14" s="50">
        <f>DATA!E9</f>
        <v>2.04</v>
      </c>
      <c r="E14" s="39">
        <f t="shared" si="0"/>
        <v>3.5172413793103451E-2</v>
      </c>
      <c r="G14" s="52"/>
      <c r="K14" s="38"/>
      <c r="L14" s="39"/>
      <c r="M14" s="39"/>
    </row>
    <row r="15" spans="2:13" ht="21.95" customHeight="1">
      <c r="B15" s="38" t="str">
        <f>DATA!A10</f>
        <v>OGE</v>
      </c>
      <c r="C15" s="49">
        <f>DATA!B10</f>
        <v>36.882999999999996</v>
      </c>
      <c r="D15" s="50">
        <f>DATA!E10</f>
        <v>0.98</v>
      </c>
      <c r="E15" s="39">
        <f t="shared" si="0"/>
        <v>2.6570506737521354E-2</v>
      </c>
      <c r="G15" s="52"/>
      <c r="K15" s="38"/>
      <c r="L15" s="39"/>
      <c r="M15" s="39"/>
    </row>
    <row r="16" spans="2:13" ht="21.95" customHeight="1">
      <c r="B16" s="38" t="str">
        <f>DATA!A11</f>
        <v>WR</v>
      </c>
      <c r="C16" s="49">
        <f>DATA!B11</f>
        <v>36.590333333333334</v>
      </c>
      <c r="D16" s="50">
        <f>DATA!E11</f>
        <v>1.4</v>
      </c>
      <c r="E16" s="39">
        <f t="shared" si="0"/>
        <v>3.8261471609077079E-2</v>
      </c>
      <c r="G16" s="52"/>
      <c r="K16" s="38"/>
      <c r="L16" s="43"/>
      <c r="M16" s="43"/>
    </row>
    <row r="17" spans="2:13" ht="20.100000000000001" customHeight="1">
      <c r="B17" s="38" t="str">
        <f>DATA!A12</f>
        <v>EIX</v>
      </c>
      <c r="C17" s="49">
        <f>DATA!B12</f>
        <v>56.366666666666667</v>
      </c>
      <c r="D17" s="50">
        <f>DATA!E12</f>
        <v>1.45</v>
      </c>
      <c r="E17" s="39">
        <f t="shared" si="0"/>
        <v>2.5724423418095801E-2</v>
      </c>
      <c r="G17" s="52"/>
      <c r="K17" s="38"/>
      <c r="L17" s="38"/>
      <c r="M17" s="39"/>
    </row>
    <row r="18" spans="2:13" ht="20.100000000000001" customHeight="1">
      <c r="B18" s="38" t="str">
        <f>DATA!A13</f>
        <v>IDA</v>
      </c>
      <c r="C18" s="49">
        <f>DATA!B13</f>
        <v>54.622333333333344</v>
      </c>
      <c r="D18" s="50">
        <f>DATA!E13</f>
        <v>1.72</v>
      </c>
      <c r="E18" s="39">
        <f t="shared" si="0"/>
        <v>3.1488951405713166E-2</v>
      </c>
      <c r="G18" s="52"/>
      <c r="K18" s="38"/>
      <c r="L18" s="38"/>
      <c r="M18" s="38"/>
    </row>
    <row r="19" spans="2:13" ht="20.100000000000001" customHeight="1">
      <c r="B19" s="38" t="str">
        <f>DATA!A14</f>
        <v>NWE</v>
      </c>
      <c r="C19" s="49">
        <f>DATA!B14</f>
        <v>48.561999999999998</v>
      </c>
      <c r="D19" s="50">
        <f>DATA!E14</f>
        <v>2.48</v>
      </c>
      <c r="E19" s="39">
        <f t="shared" si="0"/>
        <v>5.1068736872451712E-2</v>
      </c>
      <c r="G19" s="52"/>
      <c r="K19" s="38"/>
      <c r="L19" s="38"/>
      <c r="M19" s="38"/>
    </row>
    <row r="20" spans="2:13" ht="20.100000000000001" customHeight="1">
      <c r="B20" s="38" t="str">
        <f>DATA!A15</f>
        <v>PNW</v>
      </c>
      <c r="C20" s="49">
        <f>DATA!B15</f>
        <v>55.387000000000015</v>
      </c>
      <c r="D20" s="50">
        <f>DATA!E15</f>
        <v>2.34</v>
      </c>
      <c r="E20" s="39">
        <f t="shared" si="0"/>
        <v>4.2248180981096631E-2</v>
      </c>
      <c r="G20" s="52"/>
      <c r="K20" s="38"/>
      <c r="L20" s="38"/>
      <c r="M20" s="38"/>
    </row>
    <row r="21" spans="2:13" ht="20.100000000000001" customHeight="1">
      <c r="B21" s="38" t="str">
        <f>DATA!A16</f>
        <v>POR</v>
      </c>
      <c r="C21" s="49">
        <f>DATA!B16</f>
        <v>32.876333333333335</v>
      </c>
      <c r="D21" s="50">
        <f>DATA!E16</f>
        <v>1.1200000000000001</v>
      </c>
      <c r="E21" s="39">
        <f t="shared" si="0"/>
        <v>3.4067059384156793E-2</v>
      </c>
      <c r="G21" s="52"/>
      <c r="K21" s="38"/>
      <c r="L21" s="38"/>
      <c r="M21" s="38"/>
    </row>
    <row r="22" spans="2:13" ht="20.100000000000001" customHeight="1">
      <c r="B22" s="38" t="str">
        <f>DATA!A17</f>
        <v>XEL</v>
      </c>
      <c r="C22" s="49">
        <f>DATA!B17</f>
        <v>31.228999999999999</v>
      </c>
      <c r="D22" s="50">
        <f>DATA!E17</f>
        <v>1.23</v>
      </c>
      <c r="E22" s="43">
        <f t="shared" si="0"/>
        <v>3.9386467706298632E-2</v>
      </c>
      <c r="G22" s="52"/>
      <c r="K22" s="38"/>
      <c r="L22" s="38"/>
      <c r="M22" s="38"/>
    </row>
    <row r="23" spans="2:13">
      <c r="B23" s="38"/>
      <c r="C23" s="49"/>
      <c r="D23" s="38"/>
      <c r="G23" s="52"/>
    </row>
    <row r="24" spans="2:13">
      <c r="B24" s="38"/>
      <c r="C24" s="38"/>
      <c r="D24" s="38" t="s">
        <v>122</v>
      </c>
      <c r="E24" s="41">
        <f>AVERAGE(E10:E22)</f>
        <v>3.797758432329694E-2</v>
      </c>
      <c r="G24" s="52"/>
    </row>
    <row r="25" spans="2:13">
      <c r="B25" s="38"/>
      <c r="C25" s="38"/>
      <c r="D25" s="38"/>
      <c r="E25" s="38"/>
      <c r="F25" s="38"/>
    </row>
    <row r="26" spans="2:13">
      <c r="B26" s="38"/>
      <c r="C26" s="38"/>
      <c r="D26" s="38"/>
    </row>
    <row r="27" spans="2:13">
      <c r="B27" s="38"/>
      <c r="C27" s="38"/>
      <c r="D27" s="38"/>
      <c r="E27" s="38"/>
      <c r="F27" s="38"/>
    </row>
    <row r="28" spans="2:13">
      <c r="B28" s="38"/>
      <c r="C28" s="38"/>
      <c r="D28" s="38"/>
      <c r="E28" s="38"/>
      <c r="F28" s="38"/>
    </row>
    <row r="29" spans="2:13">
      <c r="B29" s="51"/>
      <c r="C29" s="38"/>
      <c r="D29" s="38"/>
      <c r="E29" s="38"/>
      <c r="F29" s="38"/>
    </row>
    <row r="30" spans="2:13">
      <c r="B30" s="52" t="s">
        <v>215</v>
      </c>
    </row>
    <row r="31" spans="2:13">
      <c r="B31" s="52" t="s">
        <v>6</v>
      </c>
    </row>
  </sheetData>
  <phoneticPr fontId="5" type="noConversion"/>
  <pageMargins left="0.99" right="0.75" top="1" bottom="1" header="0.5" footer="0.5"/>
  <pageSetup orientation="portrait" horizontalDpi="4294967292" verticalDpi="4294967292"/>
  <headerFooter>
    <oddHeader>&amp;R&amp;"Times New Roman,Regular"&amp;10&amp;K000000Docket UE-140762 et al._x000D_Exhibit No. SGH-9_x000D_Page 1 of 1_x000D_&amp;"Arial,Regular"_x000D_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G29" sqref="G29"/>
    </sheetView>
  </sheetViews>
  <sheetFormatPr defaultColWidth="10.85546875" defaultRowHeight="12"/>
  <cols>
    <col min="1" max="2" width="18.85546875" style="40" customWidth="1"/>
    <col min="3" max="3" width="1.28515625" style="40" customWidth="1"/>
    <col min="4" max="5" width="18.85546875" style="40" customWidth="1"/>
    <col min="6" max="16384" width="10.85546875" style="40"/>
  </cols>
  <sheetData>
    <row r="1" spans="1:5" ht="12.75">
      <c r="A1" s="38"/>
      <c r="B1" s="39"/>
      <c r="C1" s="39"/>
      <c r="D1" s="39"/>
      <c r="E1" s="39"/>
    </row>
    <row r="2" spans="1:5" ht="12.75">
      <c r="A2" s="38"/>
      <c r="B2" s="39"/>
      <c r="C2" s="41" t="str">
        <f>DATA!A1</f>
        <v>PACIFIC POWER &amp; LIGHT COMPANY</v>
      </c>
      <c r="D2" s="39"/>
      <c r="E2" s="39"/>
    </row>
    <row r="3" spans="1:5" ht="12.75">
      <c r="A3" s="38"/>
      <c r="B3" s="39"/>
      <c r="C3" s="41" t="s">
        <v>58</v>
      </c>
      <c r="D3" s="39"/>
      <c r="E3" s="39"/>
    </row>
    <row r="4" spans="1:5" ht="12.75">
      <c r="A4" s="38"/>
      <c r="B4" s="39"/>
      <c r="C4" s="38"/>
      <c r="D4" s="39"/>
      <c r="E4" s="39"/>
    </row>
    <row r="5" spans="1:5" ht="12.75">
      <c r="A5" s="38"/>
      <c r="B5" s="39"/>
      <c r="C5" s="39"/>
      <c r="D5" s="39"/>
      <c r="E5" s="39"/>
    </row>
    <row r="6" spans="1:5" ht="12.75">
      <c r="A6" s="38"/>
      <c r="B6" s="39" t="s">
        <v>59</v>
      </c>
      <c r="C6" s="39"/>
      <c r="D6" s="39" t="s">
        <v>60</v>
      </c>
      <c r="E6" s="39" t="s">
        <v>65</v>
      </c>
    </row>
    <row r="7" spans="1:5" ht="12.75">
      <c r="A7" s="42" t="s">
        <v>76</v>
      </c>
      <c r="B7" s="43" t="s">
        <v>1</v>
      </c>
      <c r="C7" s="43"/>
      <c r="D7" s="43" t="s">
        <v>2</v>
      </c>
      <c r="E7" s="43" t="s">
        <v>28</v>
      </c>
    </row>
    <row r="8" spans="1:5" ht="12.75">
      <c r="A8" s="38"/>
      <c r="B8" s="39"/>
      <c r="C8" s="39"/>
      <c r="D8" s="39"/>
      <c r="E8" s="39"/>
    </row>
    <row r="9" spans="1:5" ht="12.75">
      <c r="A9" s="38"/>
      <c r="B9" s="39"/>
      <c r="C9" s="39"/>
      <c r="D9" s="39"/>
      <c r="E9" s="39"/>
    </row>
    <row r="10" spans="1:5" ht="21.95" customHeight="1">
      <c r="A10" s="38" t="str">
        <f>DATA!A5</f>
        <v>NEE</v>
      </c>
      <c r="B10" s="39">
        <f>'SGH-9'!E10</f>
        <v>3.0804761427321862E-2</v>
      </c>
      <c r="C10" s="39"/>
      <c r="D10" s="39">
        <f>'SGH-7,p1'!M8</f>
        <v>6.6691694815050426E-2</v>
      </c>
      <c r="E10" s="39">
        <f t="shared" ref="E10:E16" si="0">B10+D10</f>
        <v>9.7496456242372284E-2</v>
      </c>
    </row>
    <row r="11" spans="1:5" ht="21.95" customHeight="1">
      <c r="A11" s="38" t="str">
        <f>DATA!A6</f>
        <v>SO</v>
      </c>
      <c r="B11" s="39">
        <f>'SGH-9'!E11</f>
        <v>4.810019361084221E-2</v>
      </c>
      <c r="C11" s="39"/>
      <c r="D11" s="39">
        <f>'SGH-7,p1'!M9</f>
        <v>4.2444639399806389E-2</v>
      </c>
      <c r="E11" s="39">
        <f t="shared" si="0"/>
        <v>9.0544833010648598E-2</v>
      </c>
    </row>
    <row r="12" spans="1:5" ht="21.95" customHeight="1">
      <c r="A12" s="38" t="str">
        <f>DATA!A7</f>
        <v>TE</v>
      </c>
      <c r="B12" s="39">
        <f>'SGH-9'!E12</f>
        <v>4.9640855928697686E-2</v>
      </c>
      <c r="C12" s="39"/>
      <c r="D12" s="39">
        <f>'SGH-7,p1'!M10</f>
        <v>4.0219247113685082E-2</v>
      </c>
      <c r="E12" s="39">
        <f t="shared" si="0"/>
        <v>8.9860103042382761E-2</v>
      </c>
    </row>
    <row r="13" spans="1:5" ht="21.95" customHeight="1">
      <c r="A13" s="38" t="str">
        <f>DATA!A8</f>
        <v>ALE</v>
      </c>
      <c r="B13" s="39">
        <f>'SGH-9'!E13</f>
        <v>4.1174573328483878E-2</v>
      </c>
      <c r="C13" s="39"/>
      <c r="D13" s="39">
        <f>'SGH-7,p1'!M11</f>
        <v>5.1068634582524142E-2</v>
      </c>
      <c r="E13" s="39">
        <f t="shared" si="0"/>
        <v>9.2243207911008013E-2</v>
      </c>
    </row>
    <row r="14" spans="1:5" ht="21.95" customHeight="1">
      <c r="A14" s="38" t="str">
        <f>DATA!A9</f>
        <v>LNT</v>
      </c>
      <c r="B14" s="39">
        <f>'SGH-9'!E14</f>
        <v>3.5172413793103451E-2</v>
      </c>
      <c r="C14" s="39"/>
      <c r="D14" s="39">
        <f>'SGH-7,p1'!M12</f>
        <v>4.7413793103448273E-2</v>
      </c>
      <c r="E14" s="39">
        <f t="shared" si="0"/>
        <v>8.2586206896551717E-2</v>
      </c>
    </row>
    <row r="15" spans="1:5" ht="21.95" customHeight="1">
      <c r="A15" s="38" t="str">
        <f>DATA!A10</f>
        <v>OGE</v>
      </c>
      <c r="B15" s="39">
        <f>'SGH-9'!E15</f>
        <v>2.6570506737521354E-2</v>
      </c>
      <c r="C15" s="39"/>
      <c r="D15" s="39">
        <f>'SGH-7,p1'!M13</f>
        <v>6.2776753517880868E-2</v>
      </c>
      <c r="E15" s="39">
        <f t="shared" si="0"/>
        <v>8.9347260255402225E-2</v>
      </c>
    </row>
    <row r="16" spans="1:5" ht="21.95" customHeight="1">
      <c r="A16" s="38" t="str">
        <f>DATA!A11</f>
        <v>WR</v>
      </c>
      <c r="B16" s="39">
        <f>'SGH-9'!E16</f>
        <v>3.8261471609077079E-2</v>
      </c>
      <c r="C16" s="39"/>
      <c r="D16" s="39">
        <f>'SGH-7,p1'!M14</f>
        <v>5.4327121917446319E-2</v>
      </c>
      <c r="E16" s="39">
        <f t="shared" si="0"/>
        <v>9.2588593526523405E-2</v>
      </c>
    </row>
    <row r="17" spans="1:7" ht="20.100000000000001" customHeight="1">
      <c r="A17" s="38" t="str">
        <f>DATA!A12</f>
        <v>EIX</v>
      </c>
      <c r="B17" s="39">
        <f>'SGH-9'!E17</f>
        <v>2.5724423418095801E-2</v>
      </c>
      <c r="C17" s="39"/>
      <c r="D17" s="39">
        <f>'SGH-7,p1'!M15</f>
        <v>0.06</v>
      </c>
      <c r="E17" s="39">
        <f>B17+D17</f>
        <v>8.5724423418095802E-2</v>
      </c>
    </row>
    <row r="18" spans="1:7" ht="20.100000000000001" customHeight="1">
      <c r="A18" s="38" t="str">
        <f>DATA!A13</f>
        <v>IDA</v>
      </c>
      <c r="B18" s="39">
        <f>'SGH-9'!E18</f>
        <v>3.1488951405713166E-2</v>
      </c>
      <c r="C18" s="39"/>
      <c r="D18" s="39">
        <f>'SGH-7,p1'!M16</f>
        <v>4.792413969865806E-2</v>
      </c>
      <c r="E18" s="39">
        <f>B18+D18</f>
        <v>7.9413091104371225E-2</v>
      </c>
    </row>
    <row r="19" spans="1:7" ht="20.100000000000001" customHeight="1">
      <c r="A19" s="38" t="str">
        <f>DATA!A14</f>
        <v>NWE</v>
      </c>
      <c r="B19" s="39">
        <f>'SGH-9'!E19</f>
        <v>5.1068736872451712E-2</v>
      </c>
      <c r="C19" s="39"/>
      <c r="D19" s="39">
        <f>'SGH-7,p1'!M17</f>
        <v>4.6785655450763977E-2</v>
      </c>
      <c r="E19" s="39">
        <f t="shared" ref="E19:E22" si="1">B19+D19</f>
        <v>9.7854392323215689E-2</v>
      </c>
    </row>
    <row r="20" spans="1:7" ht="20.100000000000001" customHeight="1">
      <c r="A20" s="38" t="str">
        <f>DATA!A15</f>
        <v>PNW</v>
      </c>
      <c r="B20" s="39">
        <f>'SGH-9'!E20</f>
        <v>4.2248180981096631E-2</v>
      </c>
      <c r="C20" s="39"/>
      <c r="D20" s="39">
        <f>'SGH-7,p1'!M18</f>
        <v>4.2535432502211715E-2</v>
      </c>
      <c r="E20" s="39">
        <f t="shared" si="1"/>
        <v>8.4783613483308345E-2</v>
      </c>
    </row>
    <row r="21" spans="1:7" ht="20.100000000000001" customHeight="1">
      <c r="A21" s="38" t="str">
        <f>DATA!A16</f>
        <v>POR</v>
      </c>
      <c r="B21" s="39">
        <f>'SGH-9'!E21</f>
        <v>3.4067059384156793E-2</v>
      </c>
      <c r="C21" s="39"/>
      <c r="D21" s="39">
        <f>'SGH-7,p1'!M19</f>
        <v>4.8935809954475863E-2</v>
      </c>
      <c r="E21" s="39">
        <f t="shared" si="1"/>
        <v>8.3002869338632657E-2</v>
      </c>
    </row>
    <row r="22" spans="1:7" ht="20.100000000000001" customHeight="1">
      <c r="A22" s="38" t="str">
        <f>DATA!A17</f>
        <v>XEL</v>
      </c>
      <c r="B22" s="39">
        <f>'SGH-9'!E22</f>
        <v>3.9386467706298632E-2</v>
      </c>
      <c r="C22" s="39"/>
      <c r="D22" s="39">
        <f>'SGH-7,p1'!M20</f>
        <v>5.0249447628806551E-2</v>
      </c>
      <c r="E22" s="43">
        <f t="shared" si="1"/>
        <v>8.9635915335105176E-2</v>
      </c>
    </row>
    <row r="23" spans="1:7" ht="12.75">
      <c r="A23" s="38"/>
      <c r="B23" s="39"/>
      <c r="C23" s="39"/>
      <c r="D23" s="39"/>
      <c r="E23" s="39"/>
    </row>
    <row r="24" spans="1:7" ht="12.75">
      <c r="A24" s="38"/>
      <c r="B24" s="39"/>
      <c r="C24" s="39"/>
      <c r="D24" s="44" t="s">
        <v>50</v>
      </c>
      <c r="E24" s="41">
        <f>AVERAGE(E10:E22)</f>
        <v>8.8852381991355228E-2</v>
      </c>
      <c r="G24" s="45"/>
    </row>
    <row r="25" spans="1:7" ht="12.75">
      <c r="A25" s="38"/>
      <c r="B25" s="39"/>
      <c r="C25" s="39"/>
      <c r="D25" s="39"/>
      <c r="E25" s="41"/>
    </row>
    <row r="26" spans="1:7" ht="12.75">
      <c r="A26" s="38"/>
      <c r="B26" s="39"/>
      <c r="C26" s="39"/>
      <c r="D26" s="44" t="s">
        <v>29</v>
      </c>
      <c r="E26" s="41">
        <f>STDEV(E10:E22)</f>
        <v>5.5892222993723564E-3</v>
      </c>
    </row>
    <row r="29" spans="1:7">
      <c r="E29" s="45"/>
    </row>
    <row r="60" spans="4:4">
      <c r="D60" s="40">
        <f>(10.28+9.3+10.86)/3</f>
        <v>10.146666666666667</v>
      </c>
    </row>
    <row r="61" spans="4:4">
      <c r="D61" s="40">
        <f>(11.42+10.23+10.21)/3</f>
        <v>10.62</v>
      </c>
    </row>
  </sheetData>
  <phoneticPr fontId="5" type="noConversion"/>
  <pageMargins left="0.99" right="0.75" top="1" bottom="1" header="0.5" footer="0.5"/>
  <pageSetup orientation="portrait" horizontalDpi="4294967292" verticalDpi="4294967292"/>
  <headerFooter>
    <oddHeader>&amp;R&amp;"Times,Regular"&amp;10&amp;K000000Docket UE-140762 et al._x000D_Exhibit No. SGH-10_x000D_Page 1 of 1_x000D_&amp;"Arial,Regular"_x000D_&amp;"Times New Roman,Regular"&amp;12_x000D_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8"/>
  <sheetViews>
    <sheetView tabSelected="1" zoomScaleNormal="100" workbookViewId="0">
      <selection activeCell="J39" sqref="J39"/>
    </sheetView>
  </sheetViews>
  <sheetFormatPr defaultColWidth="10.85546875" defaultRowHeight="12"/>
  <cols>
    <col min="1" max="1" width="23.7109375" style="40" customWidth="1"/>
    <col min="2" max="2" width="10.85546875" style="40"/>
    <col min="3" max="3" width="1.85546875" style="40" customWidth="1"/>
    <col min="4" max="4" width="23.42578125" style="40" customWidth="1"/>
    <col min="5" max="5" width="19" style="40" customWidth="1"/>
    <col min="6" max="16384" width="10.85546875" style="40"/>
  </cols>
  <sheetData>
    <row r="1" spans="1:5" ht="12.75">
      <c r="A1" s="52"/>
      <c r="B1" s="52"/>
      <c r="D1" s="52"/>
      <c r="E1" s="52"/>
    </row>
    <row r="2" spans="1:5" ht="12.75">
      <c r="A2" s="52"/>
      <c r="B2" s="52"/>
      <c r="C2" s="46" t="str">
        <f>DATA!A1</f>
        <v>PACIFIC POWER &amp; LIGHT COMPANY</v>
      </c>
      <c r="D2" s="52"/>
      <c r="E2" s="52"/>
    </row>
    <row r="3" spans="1:5" ht="12.75">
      <c r="A3" s="52"/>
      <c r="C3" s="46" t="s">
        <v>81</v>
      </c>
      <c r="E3" s="52"/>
    </row>
    <row r="4" spans="1:5" ht="12.75">
      <c r="A4" s="52"/>
      <c r="C4" s="38"/>
      <c r="E4" s="52"/>
    </row>
    <row r="5" spans="1:5" ht="12.75">
      <c r="A5" s="52"/>
      <c r="C5" s="38"/>
      <c r="E5" s="52"/>
    </row>
    <row r="6" spans="1:5" ht="12.75">
      <c r="A6" s="52"/>
      <c r="C6" s="38"/>
      <c r="E6" s="52"/>
    </row>
    <row r="7" spans="1:5" ht="12.75">
      <c r="A7" s="52"/>
      <c r="C7" s="38"/>
      <c r="E7" s="52"/>
    </row>
    <row r="8" spans="1:5" ht="12.75">
      <c r="A8" s="52"/>
      <c r="C8" s="38"/>
      <c r="E8" s="52"/>
    </row>
    <row r="9" spans="1:5" ht="12.75">
      <c r="A9" s="52"/>
      <c r="C9" s="38"/>
      <c r="E9" s="52"/>
    </row>
    <row r="10" spans="1:5" ht="12.75">
      <c r="A10" s="52"/>
      <c r="C10" s="38"/>
      <c r="E10" s="52"/>
    </row>
    <row r="11" spans="1:5" ht="12.75">
      <c r="A11" s="52"/>
      <c r="E11" s="52"/>
    </row>
    <row r="12" spans="1:5" ht="12.75">
      <c r="A12" s="52"/>
      <c r="E12" s="52"/>
    </row>
    <row r="13" spans="1:5" ht="12.75">
      <c r="A13" s="52"/>
      <c r="E13" s="52"/>
    </row>
    <row r="14" spans="1:5" ht="12.75">
      <c r="A14" s="52"/>
      <c r="B14" s="52"/>
      <c r="C14" s="46" t="s">
        <v>66</v>
      </c>
      <c r="D14" s="52"/>
      <c r="E14" s="52"/>
    </row>
    <row r="15" spans="1:5" ht="12.75">
      <c r="A15" s="52"/>
      <c r="B15" s="52"/>
      <c r="C15" s="52"/>
      <c r="D15" s="52"/>
      <c r="E15" s="52"/>
    </row>
    <row r="16" spans="1:5" ht="12.75">
      <c r="A16" s="52"/>
      <c r="B16" s="52"/>
      <c r="C16" s="52"/>
      <c r="D16" s="52"/>
      <c r="E16" s="52"/>
    </row>
    <row r="17" spans="1:12" ht="12.75">
      <c r="B17" s="73" t="s">
        <v>153</v>
      </c>
      <c r="C17" s="52" t="s">
        <v>25</v>
      </c>
      <c r="D17" s="63">
        <v>3.3300000000000003E-2</v>
      </c>
      <c r="E17" s="52"/>
    </row>
    <row r="18" spans="1:12" ht="12.75">
      <c r="A18" s="52"/>
      <c r="B18" s="73" t="s">
        <v>154</v>
      </c>
      <c r="C18" s="52" t="s">
        <v>25</v>
      </c>
      <c r="D18" s="63">
        <v>0.06</v>
      </c>
      <c r="E18" s="52"/>
    </row>
    <row r="19" spans="1:12" ht="12.75">
      <c r="A19" s="52"/>
      <c r="B19" s="73" t="s">
        <v>48</v>
      </c>
      <c r="C19" s="52" t="s">
        <v>25</v>
      </c>
      <c r="D19" s="70">
        <f>DATA!C21</f>
        <v>0.73846153846153839</v>
      </c>
      <c r="E19" s="52"/>
      <c r="I19" s="87">
        <f>D17+0.74*D18</f>
        <v>7.7699999999999991E-2</v>
      </c>
    </row>
    <row r="20" spans="1:12" ht="12.75">
      <c r="A20" s="52"/>
      <c r="B20" s="73"/>
      <c r="C20" s="52"/>
      <c r="D20" s="64"/>
      <c r="E20" s="52"/>
    </row>
    <row r="21" spans="1:12" ht="12.75">
      <c r="B21" s="73"/>
      <c r="C21" s="52"/>
      <c r="D21" s="64"/>
      <c r="E21" s="52"/>
      <c r="I21" s="40">
        <f>0.74*6</f>
        <v>4.4399999999999995</v>
      </c>
    </row>
    <row r="22" spans="1:12" ht="12.75">
      <c r="B22" s="73" t="s">
        <v>155</v>
      </c>
      <c r="C22" s="52" t="s">
        <v>25</v>
      </c>
      <c r="D22" s="64" t="s">
        <v>218</v>
      </c>
      <c r="E22" s="52"/>
    </row>
    <row r="23" spans="1:12" ht="12.75">
      <c r="B23" s="73" t="s">
        <v>155</v>
      </c>
      <c r="C23" s="52" t="s">
        <v>25</v>
      </c>
      <c r="D23" s="64" t="s">
        <v>219</v>
      </c>
      <c r="E23" s="52"/>
    </row>
    <row r="24" spans="1:12" ht="12.75">
      <c r="B24" s="73" t="s">
        <v>155</v>
      </c>
      <c r="C24" s="52" t="s">
        <v>25</v>
      </c>
      <c r="D24" s="65">
        <v>7.7700000000000005E-2</v>
      </c>
      <c r="E24" s="52"/>
    </row>
    <row r="25" spans="1:12" ht="12.75">
      <c r="E25" s="52"/>
      <c r="H25" s="45"/>
    </row>
    <row r="26" spans="1:12" ht="12.75">
      <c r="B26" s="88"/>
      <c r="C26" s="89"/>
      <c r="D26" s="65"/>
    </row>
    <row r="27" spans="1:12" ht="12.75">
      <c r="E27" s="52"/>
    </row>
    <row r="28" spans="1:12" ht="12.75">
      <c r="E28" s="52"/>
    </row>
    <row r="29" spans="1:12" ht="12.75">
      <c r="E29" s="52"/>
    </row>
    <row r="30" spans="1:12" ht="12.75">
      <c r="E30" s="52"/>
      <c r="H30" s="52" t="s">
        <v>140</v>
      </c>
      <c r="I30" s="52"/>
      <c r="J30" s="52" t="s">
        <v>141</v>
      </c>
      <c r="K30" s="52" t="s">
        <v>142</v>
      </c>
      <c r="L30" s="52" t="s">
        <v>123</v>
      </c>
    </row>
    <row r="31" spans="1:12" ht="12.75">
      <c r="E31" s="86"/>
      <c r="H31" s="52" t="s">
        <v>14</v>
      </c>
      <c r="I31" s="52" t="s">
        <v>15</v>
      </c>
      <c r="J31" s="52" t="s">
        <v>16</v>
      </c>
      <c r="K31" s="52" t="s">
        <v>108</v>
      </c>
      <c r="L31" s="52" t="s">
        <v>124</v>
      </c>
    </row>
    <row r="32" spans="1:12" ht="12.75">
      <c r="E32" s="52"/>
      <c r="H32" s="90">
        <v>40369</v>
      </c>
      <c r="I32" s="53">
        <v>2E-3</v>
      </c>
      <c r="J32" s="53">
        <v>3.44E-2</v>
      </c>
      <c r="K32" s="53">
        <v>4.5699999999999998E-2</v>
      </c>
      <c r="L32" s="52">
        <v>4.8899999999999999E-2</v>
      </c>
    </row>
    <row r="33" spans="1:12" ht="12.75">
      <c r="E33" s="52"/>
      <c r="H33" s="92">
        <v>40376</v>
      </c>
      <c r="I33" s="53">
        <v>2E-3</v>
      </c>
      <c r="J33" s="53">
        <v>3.3300000000000003E-2</v>
      </c>
      <c r="K33" s="53">
        <v>4.58E-2</v>
      </c>
      <c r="L33" s="52">
        <v>5.0500000000000003E-2</v>
      </c>
    </row>
    <row r="34" spans="1:12" ht="12.75">
      <c r="E34" s="52"/>
      <c r="H34" s="90">
        <v>40383</v>
      </c>
      <c r="I34" s="53">
        <v>2E-3</v>
      </c>
      <c r="J34" s="53">
        <v>3.32E-2</v>
      </c>
      <c r="K34" s="53">
        <v>4.5699999999999998E-2</v>
      </c>
      <c r="L34" s="52">
        <v>4.9799999999999997E-2</v>
      </c>
    </row>
    <row r="35" spans="1:12" ht="12.75">
      <c r="E35" s="52"/>
      <c r="H35" s="90">
        <v>40390</v>
      </c>
      <c r="I35" s="53">
        <v>2E-3</v>
      </c>
      <c r="J35" s="53">
        <v>3.2899999999999999E-2</v>
      </c>
      <c r="K35" s="53">
        <v>4.4900000000000002E-2</v>
      </c>
      <c r="L35" s="52">
        <v>4.9700000000000001E-2</v>
      </c>
    </row>
    <row r="36" spans="1:12" ht="12.75">
      <c r="E36" s="52"/>
      <c r="H36" s="90">
        <v>40397</v>
      </c>
      <c r="I36" s="53">
        <v>2E-3</v>
      </c>
      <c r="J36" s="53">
        <v>3.3500000000000002E-2</v>
      </c>
      <c r="K36" s="53">
        <v>4.4900000000000002E-2</v>
      </c>
      <c r="L36" s="52">
        <v>4.9399999999999999E-2</v>
      </c>
    </row>
    <row r="37" spans="1:12" ht="12.75">
      <c r="E37" s="52"/>
      <c r="H37" s="90">
        <v>40404</v>
      </c>
      <c r="I37" s="53">
        <v>2E-3</v>
      </c>
      <c r="J37" s="53">
        <v>3.27E-2</v>
      </c>
      <c r="K37" s="53">
        <v>4.5199999999999997E-2</v>
      </c>
      <c r="L37" s="52">
        <v>0.05</v>
      </c>
    </row>
    <row r="38" spans="1:12" ht="12.75">
      <c r="E38" s="52"/>
      <c r="H38" s="52"/>
      <c r="I38" s="53"/>
      <c r="J38" s="53"/>
      <c r="K38" s="53"/>
      <c r="L38" s="52"/>
    </row>
    <row r="39" spans="1:12" ht="12.75">
      <c r="H39" s="52" t="s">
        <v>109</v>
      </c>
      <c r="I39" s="53">
        <f>AVERAGE(I32:I37)</f>
        <v>2E-3</v>
      </c>
      <c r="J39" s="53">
        <f>AVERAGE(J32:J37)</f>
        <v>3.333333333333334E-2</v>
      </c>
      <c r="K39" s="53">
        <f>AVERAGE(K32:K37)</f>
        <v>4.5366666666666666E-2</v>
      </c>
      <c r="L39" s="53">
        <f>AVERAGE(L32:L37)</f>
        <v>4.9716666666666666E-2</v>
      </c>
    </row>
    <row r="40" spans="1:12" ht="12.75">
      <c r="A40" s="91"/>
    </row>
    <row r="41" spans="1:12" ht="12.75">
      <c r="A41" s="52"/>
      <c r="K41" s="92"/>
    </row>
    <row r="42" spans="1:12" ht="12.75">
      <c r="A42" s="52" t="s">
        <v>125</v>
      </c>
      <c r="K42" s="92"/>
    </row>
    <row r="43" spans="1:12" ht="12.75">
      <c r="A43" s="91" t="s">
        <v>162</v>
      </c>
      <c r="K43" s="92"/>
    </row>
    <row r="44" spans="1:12" ht="12.75">
      <c r="A44" s="52" t="s">
        <v>220</v>
      </c>
      <c r="K44" s="92"/>
    </row>
    <row r="45" spans="1:12" ht="12.75">
      <c r="A45" s="86"/>
      <c r="K45" s="92"/>
    </row>
    <row r="46" spans="1:12">
      <c r="K46" s="92"/>
    </row>
    <row r="47" spans="1:12">
      <c r="K47" s="92"/>
    </row>
    <row r="48" spans="1:12">
      <c r="K48" s="92"/>
    </row>
  </sheetData>
  <phoneticPr fontId="5" type="noConversion"/>
  <pageMargins left="1.01" right="0.75" top="1" bottom="1" header="0.5" footer="0.5"/>
  <pageSetup orientation="portrait" horizontalDpi="4294967292" verticalDpi="4294967292" r:id="rId1"/>
  <headerFooter>
    <oddHeader xml:space="preserve">&amp;R&amp;"Times New Roman,Regular"&amp;10&amp;K000000Docket UE-140762 et al.
Exhibit No. SGH-11
Page 1 of 1
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69751A-DD8A-40F4-9590-D42CA38F56FC}"/>
</file>

<file path=customXml/itemProps2.xml><?xml version="1.0" encoding="utf-8"?>
<ds:datastoreItem xmlns:ds="http://schemas.openxmlformats.org/officeDocument/2006/customXml" ds:itemID="{3C41360E-B200-4D30-BB2A-BF1DC0F01CC4}"/>
</file>

<file path=customXml/itemProps3.xml><?xml version="1.0" encoding="utf-8"?>
<ds:datastoreItem xmlns:ds="http://schemas.openxmlformats.org/officeDocument/2006/customXml" ds:itemID="{5498A65A-6C93-4D69-BF83-D186CE31ADC2}"/>
</file>

<file path=customXml/itemProps4.xml><?xml version="1.0" encoding="utf-8"?>
<ds:datastoreItem xmlns:ds="http://schemas.openxmlformats.org/officeDocument/2006/customXml" ds:itemID="{5BDF7689-2429-46A0-BCB8-67012184DE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prices</vt:lpstr>
      <vt:lpstr>Earns.</vt:lpstr>
      <vt:lpstr>DATA</vt:lpstr>
      <vt:lpstr>SGH-6</vt:lpstr>
      <vt:lpstr>SGH-7,p1</vt:lpstr>
      <vt:lpstr>SGH-7,p2</vt:lpstr>
      <vt:lpstr>SGH-9</vt:lpstr>
      <vt:lpstr>SGH-10</vt:lpstr>
      <vt:lpstr>SGH-11</vt:lpstr>
      <vt:lpstr>SGH-13</vt:lpstr>
      <vt:lpstr>SGH-14,p1</vt:lpstr>
      <vt:lpstr>SGH-14,p2</vt:lpstr>
      <vt:lpstr>Sheet1</vt:lpstr>
      <vt:lpstr>'SGH-10'!Print_Area</vt:lpstr>
      <vt:lpstr>'SGH-11'!Print_Area</vt:lpstr>
      <vt:lpstr>'SGH-13'!Print_Area</vt:lpstr>
      <vt:lpstr>'SGH-14,p1'!Print_Area</vt:lpstr>
      <vt:lpstr>'SGH-14,p2'!Print_Area</vt:lpstr>
      <vt:lpstr>'SGH-6'!Print_Area</vt:lpstr>
      <vt:lpstr>'SGH-7,p1'!Print_Area</vt:lpstr>
      <vt:lpstr>'SGH-7,p2'!Print_Area</vt:lpstr>
      <vt:lpstr>'SGH-9'!Print_Area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G. Hill</dc:creator>
  <cp:lastModifiedBy>Mak, Chanda (ATG)</cp:lastModifiedBy>
  <cp:lastPrinted>2014-10-03T19:52:48Z</cp:lastPrinted>
  <dcterms:created xsi:type="dcterms:W3CDTF">1999-05-05T16:36:35Z</dcterms:created>
  <dcterms:modified xsi:type="dcterms:W3CDTF">2014-10-06T20:53:02Z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