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4355" windowHeight="7995" activeTab="1"/>
  </bookViews>
  <sheets>
    <sheet name="Summary" sheetId="7" r:id="rId1"/>
    <sheet name="Rate Base" sheetId="1" r:id="rId2"/>
    <sheet name="Expenses" sheetId="2" r:id="rId3"/>
    <sheet name="Labor" sheetId="6" r:id="rId4"/>
    <sheet name="Revenue" sheetId="3" r:id="rId5"/>
    <sheet name="Alloc Amt" sheetId="4" r:id="rId6"/>
    <sheet name="Alloc Pct" sheetId="5" r:id="rId7"/>
  </sheets>
  <definedNames>
    <definedName name="Alloc">'Alloc Pct'!$F$10:$N$100</definedName>
    <definedName name="ColHdr">SUBSTITUTE(ADDRESS(1,COLUMN(),4),1,"")</definedName>
    <definedName name="_xlnm.Print_Area" localSheetId="5">'Alloc Amt'!$F$2:$N$43</definedName>
    <definedName name="_xlnm.Print_Area" localSheetId="6">'Alloc Pct'!$F$2:$N$43</definedName>
    <definedName name="_xlnm.Print_Area" localSheetId="2">Expenses!$B$2:$N$253</definedName>
    <definedName name="_xlnm.Print_Area" localSheetId="3">Labor!$B$2:$N$179</definedName>
    <definedName name="_xlnm.Print_Area" localSheetId="1">'Rate Base'!$B$2:$N$127</definedName>
    <definedName name="_xlnm.Print_Area" localSheetId="4">Revenue!$B$2:$N$22</definedName>
    <definedName name="_xlnm.Print_Area" localSheetId="0">Summary!$B$2:$N$49</definedName>
    <definedName name="_xlnm.Print_Titles" localSheetId="5">'Alloc Amt'!$2:$9</definedName>
    <definedName name="_xlnm.Print_Titles" localSheetId="6">'Alloc Pct'!$2:$9</definedName>
    <definedName name="_xlnm.Print_Titles" localSheetId="2">Expenses!$2:$9</definedName>
    <definedName name="_xlnm.Print_Titles" localSheetId="3">Labor!$2:$9</definedName>
    <definedName name="_xlnm.Print_Titles" localSheetId="1">'Rate Base'!$2:$9</definedName>
    <definedName name="_xlnm.Print_Titles" localSheetId="0">Summary!$2:$9</definedName>
    <definedName name="RowHdr">ROW('Rate Base'!A1)</definedName>
  </definedNames>
  <calcPr calcId="145621"/>
</workbook>
</file>

<file path=xl/calcChain.xml><?xml version="1.0" encoding="utf-8"?>
<calcChain xmlns="http://schemas.openxmlformats.org/spreadsheetml/2006/main">
  <c r="I45" i="7" l="1"/>
  <c r="I40" i="7"/>
  <c r="I32" i="7"/>
  <c r="I31" i="7"/>
  <c r="I30" i="7"/>
  <c r="I29" i="7"/>
  <c r="I28" i="7"/>
  <c r="I25" i="7"/>
  <c r="I26" i="7" s="1"/>
  <c r="I34" i="7" s="1"/>
  <c r="I24" i="7"/>
  <c r="I18" i="7"/>
  <c r="I17" i="7"/>
  <c r="I16" i="7"/>
  <c r="I15" i="7"/>
  <c r="I19" i="7" s="1"/>
  <c r="I13" i="7"/>
  <c r="I12" i="7"/>
  <c r="I11" i="7"/>
  <c r="F39" i="5"/>
  <c r="I21" i="7" l="1"/>
  <c r="I36" i="7" s="1"/>
  <c r="I37" i="7" s="1"/>
  <c r="I34" i="1" l="1"/>
  <c r="I32" i="1"/>
  <c r="I177" i="6" l="1"/>
  <c r="I17" i="6"/>
  <c r="I88" i="6"/>
  <c r="I81" i="6"/>
  <c r="I73" i="6"/>
  <c r="I64" i="6"/>
  <c r="I54" i="6"/>
  <c r="I31" i="6"/>
  <c r="I41" i="6" s="1"/>
  <c r="I203" i="2"/>
  <c r="I65" i="6" l="1"/>
  <c r="I90" i="6"/>
  <c r="I179" i="6" s="1"/>
  <c r="I80" i="1" l="1"/>
  <c r="N28" i="4"/>
  <c r="N27" i="4" s="1"/>
  <c r="M28" i="4"/>
  <c r="M27" i="4" s="1"/>
  <c r="L28" i="4"/>
  <c r="L27" i="4" s="1"/>
  <c r="K28" i="4"/>
  <c r="K27" i="4" s="1"/>
  <c r="J28" i="4"/>
  <c r="J27" i="4" s="1"/>
  <c r="I27" i="4" s="1"/>
  <c r="N27" i="5" s="1"/>
  <c r="I30" i="4"/>
  <c r="H11" i="5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H52" i="5" s="1"/>
  <c r="H53" i="5" s="1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99" i="5" s="1"/>
  <c r="H100" i="5" s="1"/>
  <c r="H11" i="4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N100" i="5"/>
  <c r="M100" i="5"/>
  <c r="L100" i="5"/>
  <c r="K100" i="5"/>
  <c r="J100" i="5"/>
  <c r="I100" i="5"/>
  <c r="N99" i="5"/>
  <c r="M99" i="5"/>
  <c r="L99" i="5"/>
  <c r="K99" i="5"/>
  <c r="J99" i="5"/>
  <c r="I99" i="5" s="1"/>
  <c r="N98" i="5"/>
  <c r="M98" i="5"/>
  <c r="L98" i="5"/>
  <c r="K98" i="5"/>
  <c r="J98" i="5"/>
  <c r="I98" i="5" s="1"/>
  <c r="N97" i="5"/>
  <c r="M97" i="5"/>
  <c r="L97" i="5"/>
  <c r="K97" i="5"/>
  <c r="J97" i="5"/>
  <c r="I97" i="5" s="1"/>
  <c r="N96" i="5"/>
  <c r="M96" i="5"/>
  <c r="L96" i="5"/>
  <c r="K96" i="5"/>
  <c r="J96" i="5"/>
  <c r="I96" i="5" s="1"/>
  <c r="N95" i="5"/>
  <c r="M95" i="5"/>
  <c r="L95" i="5"/>
  <c r="K95" i="5"/>
  <c r="J95" i="5"/>
  <c r="I95" i="5" s="1"/>
  <c r="N94" i="5"/>
  <c r="M94" i="5"/>
  <c r="L94" i="5"/>
  <c r="K94" i="5"/>
  <c r="J94" i="5"/>
  <c r="I94" i="5" s="1"/>
  <c r="N93" i="5"/>
  <c r="M93" i="5"/>
  <c r="L93" i="5"/>
  <c r="K93" i="5"/>
  <c r="J93" i="5"/>
  <c r="I93" i="5" s="1"/>
  <c r="N92" i="5"/>
  <c r="M92" i="5"/>
  <c r="L92" i="5"/>
  <c r="K92" i="5"/>
  <c r="J92" i="5"/>
  <c r="I92" i="5" s="1"/>
  <c r="N91" i="5"/>
  <c r="M91" i="5"/>
  <c r="L91" i="5"/>
  <c r="K91" i="5"/>
  <c r="J91" i="5"/>
  <c r="I91" i="5" s="1"/>
  <c r="N90" i="5"/>
  <c r="M90" i="5"/>
  <c r="L90" i="5"/>
  <c r="K90" i="5"/>
  <c r="J90" i="5"/>
  <c r="I90" i="5" s="1"/>
  <c r="N89" i="5"/>
  <c r="M89" i="5"/>
  <c r="L89" i="5"/>
  <c r="K89" i="5"/>
  <c r="J89" i="5"/>
  <c r="I89" i="5" s="1"/>
  <c r="N88" i="5"/>
  <c r="M88" i="5"/>
  <c r="L88" i="5"/>
  <c r="K88" i="5"/>
  <c r="J88" i="5"/>
  <c r="I88" i="5" s="1"/>
  <c r="N87" i="5"/>
  <c r="M87" i="5"/>
  <c r="L87" i="5"/>
  <c r="K87" i="5"/>
  <c r="J87" i="5"/>
  <c r="I87" i="5" s="1"/>
  <c r="N86" i="5"/>
  <c r="M86" i="5"/>
  <c r="L86" i="5"/>
  <c r="K86" i="5"/>
  <c r="J86" i="5"/>
  <c r="I86" i="5" s="1"/>
  <c r="N85" i="5"/>
  <c r="M85" i="5"/>
  <c r="L85" i="5"/>
  <c r="K85" i="5"/>
  <c r="J85" i="5"/>
  <c r="I85" i="5" s="1"/>
  <c r="N84" i="5"/>
  <c r="M84" i="5"/>
  <c r="L84" i="5"/>
  <c r="K84" i="5"/>
  <c r="J84" i="5"/>
  <c r="I84" i="5"/>
  <c r="N83" i="5"/>
  <c r="M83" i="5"/>
  <c r="L83" i="5"/>
  <c r="K83" i="5"/>
  <c r="J83" i="5"/>
  <c r="I83" i="5" s="1"/>
  <c r="N82" i="5"/>
  <c r="M82" i="5"/>
  <c r="L82" i="5"/>
  <c r="K82" i="5"/>
  <c r="J82" i="5"/>
  <c r="I82" i="5" s="1"/>
  <c r="N81" i="5"/>
  <c r="M81" i="5"/>
  <c r="L81" i="5"/>
  <c r="K81" i="5"/>
  <c r="J81" i="5"/>
  <c r="I81" i="5" s="1"/>
  <c r="N80" i="5"/>
  <c r="M80" i="5"/>
  <c r="L80" i="5"/>
  <c r="K80" i="5"/>
  <c r="J80" i="5"/>
  <c r="I80" i="5" s="1"/>
  <c r="N79" i="5"/>
  <c r="M79" i="5"/>
  <c r="L79" i="5"/>
  <c r="K79" i="5"/>
  <c r="J79" i="5"/>
  <c r="I79" i="5" s="1"/>
  <c r="N78" i="5"/>
  <c r="M78" i="5"/>
  <c r="L78" i="5"/>
  <c r="K78" i="5"/>
  <c r="J78" i="5"/>
  <c r="I78" i="5" s="1"/>
  <c r="N77" i="5"/>
  <c r="M77" i="5"/>
  <c r="L77" i="5"/>
  <c r="K77" i="5"/>
  <c r="J77" i="5"/>
  <c r="I77" i="5" s="1"/>
  <c r="N76" i="5"/>
  <c r="M76" i="5"/>
  <c r="L76" i="5"/>
  <c r="K76" i="5"/>
  <c r="J76" i="5"/>
  <c r="I76" i="5" s="1"/>
  <c r="N75" i="5"/>
  <c r="M75" i="5"/>
  <c r="L75" i="5"/>
  <c r="K75" i="5"/>
  <c r="J75" i="5"/>
  <c r="I75" i="5" s="1"/>
  <c r="N74" i="5"/>
  <c r="M74" i="5"/>
  <c r="L74" i="5"/>
  <c r="K74" i="5"/>
  <c r="J74" i="5"/>
  <c r="I74" i="5" s="1"/>
  <c r="N73" i="5"/>
  <c r="M73" i="5"/>
  <c r="L73" i="5"/>
  <c r="K73" i="5"/>
  <c r="J73" i="5"/>
  <c r="I73" i="5" s="1"/>
  <c r="N72" i="5"/>
  <c r="M72" i="5"/>
  <c r="L72" i="5"/>
  <c r="K72" i="5"/>
  <c r="J72" i="5"/>
  <c r="I72" i="5" s="1"/>
  <c r="N71" i="5"/>
  <c r="M71" i="5"/>
  <c r="L71" i="5"/>
  <c r="K71" i="5"/>
  <c r="J71" i="5"/>
  <c r="I71" i="5" s="1"/>
  <c r="N70" i="5"/>
  <c r="M70" i="5"/>
  <c r="L70" i="5"/>
  <c r="K70" i="5"/>
  <c r="J70" i="5"/>
  <c r="I70" i="5" s="1"/>
  <c r="N69" i="5"/>
  <c r="M69" i="5"/>
  <c r="L69" i="5"/>
  <c r="K69" i="5"/>
  <c r="J69" i="5"/>
  <c r="I69" i="5" s="1"/>
  <c r="N68" i="5"/>
  <c r="M68" i="5"/>
  <c r="L68" i="5"/>
  <c r="K68" i="5"/>
  <c r="J68" i="5"/>
  <c r="I68" i="5" s="1"/>
  <c r="N67" i="5"/>
  <c r="M67" i="5"/>
  <c r="L67" i="5"/>
  <c r="K67" i="5"/>
  <c r="J67" i="5"/>
  <c r="I67" i="5" s="1"/>
  <c r="N66" i="5"/>
  <c r="M66" i="5"/>
  <c r="L66" i="5"/>
  <c r="K66" i="5"/>
  <c r="J66" i="5"/>
  <c r="I66" i="5" s="1"/>
  <c r="N65" i="5"/>
  <c r="M65" i="5"/>
  <c r="L65" i="5"/>
  <c r="K65" i="5"/>
  <c r="J65" i="5"/>
  <c r="I65" i="5" s="1"/>
  <c r="N64" i="5"/>
  <c r="M64" i="5"/>
  <c r="L64" i="5"/>
  <c r="K64" i="5"/>
  <c r="J64" i="5"/>
  <c r="I64" i="5" s="1"/>
  <c r="N63" i="5"/>
  <c r="M63" i="5"/>
  <c r="L63" i="5"/>
  <c r="K63" i="5"/>
  <c r="J63" i="5"/>
  <c r="I63" i="5" s="1"/>
  <c r="N62" i="5"/>
  <c r="M62" i="5"/>
  <c r="L62" i="5"/>
  <c r="K62" i="5"/>
  <c r="J62" i="5"/>
  <c r="I62" i="5" s="1"/>
  <c r="N61" i="5"/>
  <c r="M61" i="5"/>
  <c r="L61" i="5"/>
  <c r="K61" i="5"/>
  <c r="J61" i="5"/>
  <c r="I61" i="5" s="1"/>
  <c r="N60" i="5"/>
  <c r="M60" i="5"/>
  <c r="L60" i="5"/>
  <c r="K60" i="5"/>
  <c r="J60" i="5"/>
  <c r="I60" i="5" s="1"/>
  <c r="N59" i="5"/>
  <c r="M59" i="5"/>
  <c r="L59" i="5"/>
  <c r="K59" i="5"/>
  <c r="J59" i="5"/>
  <c r="I59" i="5" s="1"/>
  <c r="N58" i="5"/>
  <c r="M58" i="5"/>
  <c r="L58" i="5"/>
  <c r="K58" i="5"/>
  <c r="J58" i="5"/>
  <c r="I58" i="5" s="1"/>
  <c r="N57" i="5"/>
  <c r="M57" i="5"/>
  <c r="L57" i="5"/>
  <c r="K57" i="5"/>
  <c r="J57" i="5"/>
  <c r="I57" i="5" s="1"/>
  <c r="N56" i="5"/>
  <c r="M56" i="5"/>
  <c r="L56" i="5"/>
  <c r="K56" i="5"/>
  <c r="J56" i="5"/>
  <c r="I56" i="5" s="1"/>
  <c r="N55" i="5"/>
  <c r="M55" i="5"/>
  <c r="L55" i="5"/>
  <c r="K55" i="5"/>
  <c r="J55" i="5"/>
  <c r="I55" i="5"/>
  <c r="N54" i="5"/>
  <c r="M54" i="5"/>
  <c r="L54" i="5"/>
  <c r="K54" i="5"/>
  <c r="J54" i="5"/>
  <c r="I54" i="5" s="1"/>
  <c r="N53" i="5"/>
  <c r="M53" i="5"/>
  <c r="L53" i="5"/>
  <c r="K53" i="5"/>
  <c r="J53" i="5"/>
  <c r="I53" i="5" s="1"/>
  <c r="N52" i="5"/>
  <c r="M52" i="5"/>
  <c r="L52" i="5"/>
  <c r="K52" i="5"/>
  <c r="J52" i="5"/>
  <c r="I52" i="5" s="1"/>
  <c r="N51" i="5"/>
  <c r="M51" i="5"/>
  <c r="L51" i="5"/>
  <c r="K51" i="5"/>
  <c r="J51" i="5"/>
  <c r="I51" i="5" s="1"/>
  <c r="N50" i="5"/>
  <c r="M50" i="5"/>
  <c r="L50" i="5"/>
  <c r="K50" i="5"/>
  <c r="J50" i="5"/>
  <c r="I50" i="5" s="1"/>
  <c r="N49" i="5"/>
  <c r="M49" i="5"/>
  <c r="L49" i="5"/>
  <c r="K49" i="5"/>
  <c r="J49" i="5"/>
  <c r="I49" i="5" s="1"/>
  <c r="N48" i="5"/>
  <c r="M48" i="5"/>
  <c r="L48" i="5"/>
  <c r="K48" i="5"/>
  <c r="J48" i="5"/>
  <c r="I48" i="5" s="1"/>
  <c r="N47" i="5"/>
  <c r="M47" i="5"/>
  <c r="L47" i="5"/>
  <c r="K47" i="5"/>
  <c r="J47" i="5"/>
  <c r="I47" i="5" s="1"/>
  <c r="N46" i="5"/>
  <c r="M46" i="5"/>
  <c r="L46" i="5"/>
  <c r="K46" i="5"/>
  <c r="J46" i="5"/>
  <c r="I46" i="5" s="1"/>
  <c r="N45" i="5"/>
  <c r="M45" i="5"/>
  <c r="L45" i="5"/>
  <c r="K45" i="5"/>
  <c r="J45" i="5"/>
  <c r="I45" i="5" s="1"/>
  <c r="N44" i="5"/>
  <c r="M44" i="5"/>
  <c r="L44" i="5"/>
  <c r="K44" i="5"/>
  <c r="J44" i="5"/>
  <c r="I44" i="5" s="1"/>
  <c r="N26" i="5"/>
  <c r="M26" i="5"/>
  <c r="L26" i="5"/>
  <c r="K26" i="5"/>
  <c r="J26" i="5"/>
  <c r="N25" i="5"/>
  <c r="N119" i="1" s="1"/>
  <c r="N29" i="7" s="1"/>
  <c r="M25" i="5"/>
  <c r="M119" i="1" s="1"/>
  <c r="M29" i="7" s="1"/>
  <c r="L25" i="5"/>
  <c r="L119" i="1" s="1"/>
  <c r="L29" i="7" s="1"/>
  <c r="K25" i="5"/>
  <c r="K119" i="1" s="1"/>
  <c r="K29" i="7" s="1"/>
  <c r="J25" i="5"/>
  <c r="N24" i="5"/>
  <c r="M24" i="5"/>
  <c r="L24" i="5"/>
  <c r="K24" i="5"/>
  <c r="J24" i="5"/>
  <c r="N23" i="5"/>
  <c r="M23" i="5"/>
  <c r="L23" i="5"/>
  <c r="K23" i="5"/>
  <c r="J23" i="5"/>
  <c r="N22" i="5"/>
  <c r="M22" i="5"/>
  <c r="L22" i="5"/>
  <c r="K22" i="5"/>
  <c r="J22" i="5"/>
  <c r="N21" i="5"/>
  <c r="M21" i="5"/>
  <c r="L21" i="5"/>
  <c r="K21" i="5"/>
  <c r="J21" i="5"/>
  <c r="N20" i="5"/>
  <c r="M20" i="5"/>
  <c r="L20" i="5"/>
  <c r="K20" i="5"/>
  <c r="J20" i="5"/>
  <c r="N19" i="5"/>
  <c r="M19" i="5"/>
  <c r="L19" i="5"/>
  <c r="K19" i="5"/>
  <c r="J19" i="5"/>
  <c r="N18" i="5"/>
  <c r="M18" i="5"/>
  <c r="L18" i="5"/>
  <c r="K18" i="5"/>
  <c r="J18" i="5"/>
  <c r="N17" i="5"/>
  <c r="M17" i="5"/>
  <c r="L17" i="5"/>
  <c r="K17" i="5"/>
  <c r="J17" i="5"/>
  <c r="N16" i="5"/>
  <c r="M16" i="5"/>
  <c r="L16" i="5"/>
  <c r="K16" i="5"/>
  <c r="J16" i="5"/>
  <c r="N15" i="5"/>
  <c r="M15" i="5"/>
  <c r="L15" i="5"/>
  <c r="K15" i="5"/>
  <c r="J15" i="5"/>
  <c r="N14" i="5"/>
  <c r="N13" i="2" s="1"/>
  <c r="M14" i="5"/>
  <c r="M13" i="2" s="1"/>
  <c r="L14" i="5"/>
  <c r="L13" i="2" s="1"/>
  <c r="K14" i="5"/>
  <c r="K13" i="2" s="1"/>
  <c r="J14" i="5"/>
  <c r="J13" i="2" s="1"/>
  <c r="N13" i="5"/>
  <c r="M13" i="5"/>
  <c r="L13" i="5"/>
  <c r="K13" i="5"/>
  <c r="J13" i="5"/>
  <c r="N12" i="5"/>
  <c r="M12" i="5"/>
  <c r="L12" i="5"/>
  <c r="K12" i="5"/>
  <c r="J12" i="5"/>
  <c r="N11" i="5"/>
  <c r="M11" i="5"/>
  <c r="L11" i="5"/>
  <c r="K11" i="5"/>
  <c r="J11" i="5"/>
  <c r="N10" i="5"/>
  <c r="M10" i="5"/>
  <c r="L10" i="5"/>
  <c r="K10" i="5"/>
  <c r="J10" i="5"/>
  <c r="G100" i="5"/>
  <c r="F100" i="5"/>
  <c r="G99" i="5"/>
  <c r="F99" i="5"/>
  <c r="G98" i="5"/>
  <c r="F98" i="5"/>
  <c r="G97" i="5"/>
  <c r="F97" i="5"/>
  <c r="G96" i="5"/>
  <c r="F96" i="5"/>
  <c r="G95" i="5"/>
  <c r="F95" i="5"/>
  <c r="G94" i="5"/>
  <c r="F94" i="5"/>
  <c r="G93" i="5"/>
  <c r="F93" i="5"/>
  <c r="G92" i="5"/>
  <c r="F92" i="5"/>
  <c r="G91" i="5"/>
  <c r="F91" i="5"/>
  <c r="G90" i="5"/>
  <c r="F90" i="5"/>
  <c r="G89" i="5"/>
  <c r="F89" i="5"/>
  <c r="G88" i="5"/>
  <c r="F88" i="5"/>
  <c r="G87" i="5"/>
  <c r="F87" i="5"/>
  <c r="G86" i="5"/>
  <c r="F86" i="5"/>
  <c r="G85" i="5"/>
  <c r="F85" i="5"/>
  <c r="G84" i="5"/>
  <c r="F84" i="5"/>
  <c r="G83" i="5"/>
  <c r="F83" i="5"/>
  <c r="G82" i="5"/>
  <c r="F82" i="5"/>
  <c r="G81" i="5"/>
  <c r="F81" i="5"/>
  <c r="G80" i="5"/>
  <c r="F80" i="5"/>
  <c r="G79" i="5"/>
  <c r="F79" i="5"/>
  <c r="G78" i="5"/>
  <c r="F78" i="5"/>
  <c r="G77" i="5"/>
  <c r="F77" i="5"/>
  <c r="G76" i="5"/>
  <c r="F76" i="5"/>
  <c r="G75" i="5"/>
  <c r="F75" i="5"/>
  <c r="G74" i="5"/>
  <c r="F74" i="5"/>
  <c r="G73" i="5"/>
  <c r="F73" i="5"/>
  <c r="G72" i="5"/>
  <c r="F72" i="5"/>
  <c r="G71" i="5"/>
  <c r="F71" i="5"/>
  <c r="G70" i="5"/>
  <c r="F70" i="5"/>
  <c r="G69" i="5"/>
  <c r="F69" i="5"/>
  <c r="G68" i="5"/>
  <c r="F68" i="5"/>
  <c r="G67" i="5"/>
  <c r="F67" i="5"/>
  <c r="G66" i="5"/>
  <c r="F66" i="5"/>
  <c r="G65" i="5"/>
  <c r="F65" i="5"/>
  <c r="G64" i="5"/>
  <c r="F64" i="5"/>
  <c r="G63" i="5"/>
  <c r="F63" i="5"/>
  <c r="G62" i="5"/>
  <c r="F62" i="5"/>
  <c r="G61" i="5"/>
  <c r="F61" i="5"/>
  <c r="G60" i="5"/>
  <c r="F60" i="5"/>
  <c r="G59" i="5"/>
  <c r="F59" i="5"/>
  <c r="G58" i="5"/>
  <c r="F58" i="5"/>
  <c r="G57" i="5"/>
  <c r="F57" i="5"/>
  <c r="G56" i="5"/>
  <c r="F56" i="5"/>
  <c r="G55" i="5"/>
  <c r="F55" i="5"/>
  <c r="G54" i="5"/>
  <c r="F54" i="5"/>
  <c r="G53" i="5"/>
  <c r="F53" i="5"/>
  <c r="G52" i="5"/>
  <c r="F52" i="5"/>
  <c r="G51" i="5"/>
  <c r="F51" i="5"/>
  <c r="G50" i="5"/>
  <c r="F50" i="5"/>
  <c r="G49" i="5"/>
  <c r="F49" i="5"/>
  <c r="G48" i="5"/>
  <c r="F48" i="5"/>
  <c r="G47" i="5"/>
  <c r="F47" i="5"/>
  <c r="G46" i="5"/>
  <c r="F46" i="5"/>
  <c r="G45" i="5"/>
  <c r="F45" i="5"/>
  <c r="G44" i="5"/>
  <c r="F44" i="5"/>
  <c r="G43" i="5"/>
  <c r="F43" i="5"/>
  <c r="G42" i="5"/>
  <c r="F42" i="5"/>
  <c r="G41" i="5"/>
  <c r="F41" i="5"/>
  <c r="G40" i="5"/>
  <c r="F40" i="5"/>
  <c r="G39" i="5"/>
  <c r="G38" i="5"/>
  <c r="F38" i="5"/>
  <c r="G37" i="5"/>
  <c r="F37" i="5"/>
  <c r="G36" i="5"/>
  <c r="F36" i="5"/>
  <c r="G35" i="5"/>
  <c r="F35" i="5"/>
  <c r="G34" i="5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J35" i="4" l="1"/>
  <c r="J158" i="6"/>
  <c r="J109" i="6"/>
  <c r="J151" i="6"/>
  <c r="J102" i="6"/>
  <c r="J130" i="6"/>
  <c r="J95" i="6"/>
  <c r="J116" i="6"/>
  <c r="J150" i="2"/>
  <c r="J101" i="2"/>
  <c r="J94" i="2"/>
  <c r="J164" i="2"/>
  <c r="J129" i="2"/>
  <c r="J157" i="2"/>
  <c r="J115" i="2"/>
  <c r="J108" i="2"/>
  <c r="N35" i="4"/>
  <c r="N158" i="6"/>
  <c r="N109" i="6"/>
  <c r="N151" i="6"/>
  <c r="N102" i="6"/>
  <c r="N130" i="6"/>
  <c r="N95" i="6"/>
  <c r="N116" i="6"/>
  <c r="N150" i="2"/>
  <c r="N101" i="2"/>
  <c r="N164" i="2"/>
  <c r="N129" i="2"/>
  <c r="N94" i="2"/>
  <c r="N157" i="2"/>
  <c r="N115" i="2"/>
  <c r="N108" i="2"/>
  <c r="L49" i="2"/>
  <c r="L80" i="6"/>
  <c r="L68" i="6"/>
  <c r="L51" i="6"/>
  <c r="L79" i="6"/>
  <c r="L72" i="6"/>
  <c r="L77" i="6"/>
  <c r="L70" i="6"/>
  <c r="L85" i="6"/>
  <c r="L88" i="6" s="1"/>
  <c r="L69" i="6"/>
  <c r="K59" i="2"/>
  <c r="K61" i="6"/>
  <c r="K206" i="2"/>
  <c r="J60" i="2"/>
  <c r="J62" i="6"/>
  <c r="J50" i="6"/>
  <c r="J207" i="2"/>
  <c r="N60" i="2"/>
  <c r="N62" i="6"/>
  <c r="N50" i="6"/>
  <c r="N207" i="2"/>
  <c r="L57" i="2"/>
  <c r="L59" i="6"/>
  <c r="L48" i="6"/>
  <c r="L211" i="2"/>
  <c r="J69" i="2"/>
  <c r="J11" i="3"/>
  <c r="J11" i="7" s="1"/>
  <c r="J185" i="2"/>
  <c r="J153" i="2"/>
  <c r="N69" i="2"/>
  <c r="N11" i="3"/>
  <c r="N11" i="7" s="1"/>
  <c r="N185" i="2"/>
  <c r="N153" i="2"/>
  <c r="K35" i="4"/>
  <c r="K151" i="6"/>
  <c r="K102" i="6"/>
  <c r="K130" i="6"/>
  <c r="K95" i="6"/>
  <c r="K116" i="6"/>
  <c r="K158" i="6"/>
  <c r="K109" i="6"/>
  <c r="K164" i="2"/>
  <c r="K129" i="2"/>
  <c r="K94" i="2"/>
  <c r="K157" i="2"/>
  <c r="K115" i="2"/>
  <c r="K108" i="2"/>
  <c r="K150" i="2"/>
  <c r="K101" i="2"/>
  <c r="M79" i="6"/>
  <c r="M72" i="6"/>
  <c r="M77" i="6"/>
  <c r="M70" i="6"/>
  <c r="M85" i="6"/>
  <c r="M88" i="6" s="1"/>
  <c r="M69" i="6"/>
  <c r="M80" i="6"/>
  <c r="M68" i="6"/>
  <c r="M51" i="6"/>
  <c r="L59" i="2"/>
  <c r="L61" i="6"/>
  <c r="L206" i="2"/>
  <c r="K60" i="2"/>
  <c r="K50" i="6"/>
  <c r="K62" i="6"/>
  <c r="K207" i="2"/>
  <c r="M57" i="2"/>
  <c r="M59" i="6"/>
  <c r="M48" i="6"/>
  <c r="M211" i="2"/>
  <c r="K69" i="2"/>
  <c r="K185" i="2"/>
  <c r="K11" i="3"/>
  <c r="K11" i="7" s="1"/>
  <c r="K153" i="2"/>
  <c r="L32" i="4"/>
  <c r="L130" i="6"/>
  <c r="L95" i="6"/>
  <c r="L116" i="6"/>
  <c r="L158" i="6"/>
  <c r="L109" i="6"/>
  <c r="L151" i="6"/>
  <c r="L102" i="6"/>
  <c r="L157" i="2"/>
  <c r="L115" i="2"/>
  <c r="L101" i="2"/>
  <c r="L94" i="2"/>
  <c r="L108" i="2"/>
  <c r="L150" i="2"/>
  <c r="L164" i="2"/>
  <c r="L129" i="2"/>
  <c r="J77" i="6"/>
  <c r="J70" i="6"/>
  <c r="J85" i="6"/>
  <c r="J88" i="6" s="1"/>
  <c r="J69" i="6"/>
  <c r="J80" i="6"/>
  <c r="J68" i="6"/>
  <c r="J51" i="6"/>
  <c r="J79" i="6"/>
  <c r="J72" i="6"/>
  <c r="N77" i="6"/>
  <c r="N70" i="6"/>
  <c r="N85" i="6"/>
  <c r="N88" i="6" s="1"/>
  <c r="N69" i="6"/>
  <c r="N80" i="6"/>
  <c r="N68" i="6"/>
  <c r="N51" i="6"/>
  <c r="N79" i="6"/>
  <c r="N72" i="6"/>
  <c r="M59" i="2"/>
  <c r="M61" i="6"/>
  <c r="M206" i="2"/>
  <c r="L60" i="2"/>
  <c r="L50" i="6"/>
  <c r="L62" i="6"/>
  <c r="L207" i="2"/>
  <c r="J57" i="2"/>
  <c r="J48" i="6"/>
  <c r="J59" i="6"/>
  <c r="J211" i="2"/>
  <c r="N57" i="2"/>
  <c r="N48" i="6"/>
  <c r="N59" i="6"/>
  <c r="N211" i="2"/>
  <c r="L69" i="2"/>
  <c r="L11" i="3"/>
  <c r="L11" i="7" s="1"/>
  <c r="L185" i="2"/>
  <c r="L153" i="2"/>
  <c r="M32" i="4"/>
  <c r="M116" i="6"/>
  <c r="M158" i="6"/>
  <c r="M109" i="6"/>
  <c r="M151" i="6"/>
  <c r="M102" i="6"/>
  <c r="M130" i="6"/>
  <c r="M95" i="6"/>
  <c r="M108" i="2"/>
  <c r="M101" i="2"/>
  <c r="M150" i="2"/>
  <c r="M94" i="2"/>
  <c r="M164" i="2"/>
  <c r="M129" i="2"/>
  <c r="M157" i="2"/>
  <c r="M115" i="2"/>
  <c r="K49" i="2"/>
  <c r="K85" i="6"/>
  <c r="K88" i="6" s="1"/>
  <c r="K69" i="6"/>
  <c r="K80" i="6"/>
  <c r="K68" i="6"/>
  <c r="K51" i="6"/>
  <c r="K79" i="6"/>
  <c r="K72" i="6"/>
  <c r="K77" i="6"/>
  <c r="K70" i="6"/>
  <c r="J59" i="2"/>
  <c r="J61" i="6"/>
  <c r="J206" i="2"/>
  <c r="N59" i="2"/>
  <c r="N61" i="6"/>
  <c r="N206" i="2"/>
  <c r="M60" i="2"/>
  <c r="M50" i="6"/>
  <c r="M62" i="6"/>
  <c r="M207" i="2"/>
  <c r="K46" i="2"/>
  <c r="K48" i="6"/>
  <c r="K59" i="6"/>
  <c r="K211" i="2"/>
  <c r="M69" i="2"/>
  <c r="M11" i="3"/>
  <c r="M11" i="7" s="1"/>
  <c r="M185" i="2"/>
  <c r="M153" i="2"/>
  <c r="M70" i="2"/>
  <c r="M83" i="2"/>
  <c r="M77" i="2"/>
  <c r="M74" i="2"/>
  <c r="M75" i="2"/>
  <c r="M82" i="2"/>
  <c r="M76" i="2"/>
  <c r="M68" i="2"/>
  <c r="M85" i="2"/>
  <c r="M67" i="2"/>
  <c r="M84" i="2"/>
  <c r="M78" i="2"/>
  <c r="M66" i="2"/>
  <c r="K38" i="1"/>
  <c r="K83" i="1" s="1"/>
  <c r="J39" i="1"/>
  <c r="J84" i="1" s="1"/>
  <c r="N39" i="1"/>
  <c r="N84" i="1" s="1"/>
  <c r="M43" i="1"/>
  <c r="M88" i="1" s="1"/>
  <c r="J32" i="4"/>
  <c r="N32" i="4"/>
  <c r="L35" i="4"/>
  <c r="J46" i="2"/>
  <c r="N46" i="2"/>
  <c r="L48" i="2"/>
  <c r="J82" i="2"/>
  <c r="J76" i="2"/>
  <c r="J68" i="2"/>
  <c r="J78" i="2"/>
  <c r="J70" i="2"/>
  <c r="J85" i="2"/>
  <c r="J74" i="2"/>
  <c r="J75" i="2"/>
  <c r="J67" i="2"/>
  <c r="J84" i="2"/>
  <c r="J66" i="2"/>
  <c r="J83" i="2"/>
  <c r="J77" i="2"/>
  <c r="N82" i="2"/>
  <c r="N76" i="2"/>
  <c r="N68" i="2"/>
  <c r="N84" i="2"/>
  <c r="N66" i="2"/>
  <c r="N83" i="2"/>
  <c r="N77" i="2"/>
  <c r="N85" i="2"/>
  <c r="N74" i="2"/>
  <c r="N75" i="2"/>
  <c r="N67" i="2"/>
  <c r="N78" i="2"/>
  <c r="N70" i="2"/>
  <c r="L38" i="1"/>
  <c r="L83" i="1" s="1"/>
  <c r="K39" i="1"/>
  <c r="K84" i="1" s="1"/>
  <c r="J43" i="1"/>
  <c r="J88" i="1" s="1"/>
  <c r="N43" i="1"/>
  <c r="N88" i="1" s="1"/>
  <c r="K32" i="4"/>
  <c r="I32" i="4" s="1"/>
  <c r="L32" i="5" s="1"/>
  <c r="M35" i="4"/>
  <c r="M48" i="2"/>
  <c r="I13" i="5"/>
  <c r="I14" i="5"/>
  <c r="K85" i="2"/>
  <c r="K74" i="2"/>
  <c r="K75" i="2"/>
  <c r="K67" i="2"/>
  <c r="K83" i="2"/>
  <c r="K77" i="2"/>
  <c r="K82" i="2"/>
  <c r="K76" i="2"/>
  <c r="K84" i="2"/>
  <c r="K78" i="2"/>
  <c r="K70" i="2"/>
  <c r="K66" i="2"/>
  <c r="K68" i="2"/>
  <c r="I24" i="5"/>
  <c r="K57" i="2"/>
  <c r="I25" i="5"/>
  <c r="M38" i="1"/>
  <c r="M83" i="1" s="1"/>
  <c r="L39" i="1"/>
  <c r="L84" i="1" s="1"/>
  <c r="K43" i="1"/>
  <c r="K88" i="1" s="1"/>
  <c r="J119" i="1"/>
  <c r="J29" i="7" s="1"/>
  <c r="L46" i="2"/>
  <c r="J48" i="2"/>
  <c r="N48" i="2"/>
  <c r="M49" i="2"/>
  <c r="L84" i="2"/>
  <c r="L78" i="2"/>
  <c r="L70" i="2"/>
  <c r="L66" i="2"/>
  <c r="L68" i="2"/>
  <c r="L85" i="2"/>
  <c r="L74" i="2"/>
  <c r="L67" i="2"/>
  <c r="L83" i="2"/>
  <c r="L77" i="2"/>
  <c r="L82" i="2"/>
  <c r="L76" i="2"/>
  <c r="L75" i="2"/>
  <c r="J38" i="1"/>
  <c r="J83" i="1" s="1"/>
  <c r="N38" i="1"/>
  <c r="N83" i="1" s="1"/>
  <c r="M39" i="1"/>
  <c r="M84" i="1" s="1"/>
  <c r="L43" i="1"/>
  <c r="L88" i="1" s="1"/>
  <c r="M46" i="2"/>
  <c r="K48" i="2"/>
  <c r="J49" i="2"/>
  <c r="N49" i="2"/>
  <c r="N32" i="1"/>
  <c r="L27" i="5"/>
  <c r="L32" i="1" s="1"/>
  <c r="K27" i="5"/>
  <c r="K32" i="1" s="1"/>
  <c r="J27" i="5"/>
  <c r="J32" i="1" s="1"/>
  <c r="M27" i="5"/>
  <c r="M32" i="1" s="1"/>
  <c r="I28" i="4"/>
  <c r="L28" i="5" s="1"/>
  <c r="I12" i="5"/>
  <c r="I16" i="5"/>
  <c r="I26" i="5"/>
  <c r="I18" i="5"/>
  <c r="I20" i="5"/>
  <c r="I10" i="5"/>
  <c r="I19" i="5"/>
  <c r="I11" i="5"/>
  <c r="I23" i="5"/>
  <c r="I21" i="5"/>
  <c r="I22" i="5"/>
  <c r="I17" i="5"/>
  <c r="I15" i="5"/>
  <c r="J32" i="5" l="1"/>
  <c r="J23" i="1"/>
  <c r="J19" i="1"/>
  <c r="J18" i="1"/>
  <c r="J22" i="1"/>
  <c r="J24" i="1"/>
  <c r="J21" i="1"/>
  <c r="K32" i="5"/>
  <c r="K81" i="6"/>
  <c r="K73" i="6"/>
  <c r="J73" i="6"/>
  <c r="L81" i="6"/>
  <c r="L73" i="6"/>
  <c r="M32" i="5"/>
  <c r="N32" i="5"/>
  <c r="L60" i="6"/>
  <c r="L47" i="6"/>
  <c r="L58" i="6"/>
  <c r="L49" i="6"/>
  <c r="L205" i="2"/>
  <c r="L204" i="2"/>
  <c r="N73" i="6"/>
  <c r="M81" i="6"/>
  <c r="N81" i="6"/>
  <c r="J81" i="6"/>
  <c r="J28" i="5"/>
  <c r="M73" i="6"/>
  <c r="M20" i="6"/>
  <c r="M31" i="6" s="1"/>
  <c r="M41" i="6" s="1"/>
  <c r="M181" i="2"/>
  <c r="M197" i="2"/>
  <c r="M193" i="2"/>
  <c r="M196" i="2"/>
  <c r="M192" i="2"/>
  <c r="M195" i="2"/>
  <c r="M191" i="2"/>
  <c r="M194" i="2"/>
  <c r="M190" i="2"/>
  <c r="K181" i="2"/>
  <c r="K20" i="6"/>
  <c r="K31" i="6" s="1"/>
  <c r="K41" i="6" s="1"/>
  <c r="K195" i="2"/>
  <c r="K191" i="2"/>
  <c r="K194" i="2"/>
  <c r="K190" i="2"/>
  <c r="K197" i="2"/>
  <c r="K193" i="2"/>
  <c r="K196" i="2"/>
  <c r="K192" i="2"/>
  <c r="L20" i="6"/>
  <c r="L31" i="6" s="1"/>
  <c r="L41" i="6" s="1"/>
  <c r="L181" i="2"/>
  <c r="L194" i="2"/>
  <c r="L190" i="2"/>
  <c r="L197" i="2"/>
  <c r="L193" i="2"/>
  <c r="L196" i="2"/>
  <c r="L192" i="2"/>
  <c r="L195" i="2"/>
  <c r="L191" i="2"/>
  <c r="N18" i="1"/>
  <c r="N20" i="6"/>
  <c r="N31" i="6" s="1"/>
  <c r="N41" i="6" s="1"/>
  <c r="N181" i="2"/>
  <c r="N196" i="2"/>
  <c r="N192" i="2"/>
  <c r="N195" i="2"/>
  <c r="N191" i="2"/>
  <c r="N194" i="2"/>
  <c r="N190" i="2"/>
  <c r="N197" i="2"/>
  <c r="N193" i="2"/>
  <c r="K18" i="1"/>
  <c r="K20" i="1"/>
  <c r="K25" i="1"/>
  <c r="J20" i="6"/>
  <c r="J31" i="6" s="1"/>
  <c r="J41" i="6" s="1"/>
  <c r="J181" i="2"/>
  <c r="J196" i="2"/>
  <c r="J192" i="2"/>
  <c r="J195" i="2"/>
  <c r="J191" i="2"/>
  <c r="J194" i="2"/>
  <c r="J190" i="2"/>
  <c r="J197" i="2"/>
  <c r="J193" i="2"/>
  <c r="I35" i="4"/>
  <c r="N35" i="5" s="1"/>
  <c r="M35" i="5"/>
  <c r="K35" i="5"/>
  <c r="L35" i="5"/>
  <c r="J34" i="1"/>
  <c r="J80" i="1" s="1"/>
  <c r="J56" i="2"/>
  <c r="J58" i="2"/>
  <c r="J45" i="2"/>
  <c r="J37" i="1"/>
  <c r="J36" i="1"/>
  <c r="J47" i="2"/>
  <c r="L28" i="2"/>
  <c r="L24" i="2"/>
  <c r="L20" i="2"/>
  <c r="L27" i="2"/>
  <c r="L23" i="2"/>
  <c r="L19" i="2"/>
  <c r="L26" i="2"/>
  <c r="L22" i="2"/>
  <c r="L18" i="2"/>
  <c r="L120" i="1"/>
  <c r="L30" i="7" s="1"/>
  <c r="L37" i="2"/>
  <c r="L25" i="2"/>
  <c r="L21" i="2"/>
  <c r="J26" i="2"/>
  <c r="J22" i="2"/>
  <c r="J120" i="1"/>
  <c r="J30" i="7" s="1"/>
  <c r="J37" i="2"/>
  <c r="J25" i="2"/>
  <c r="J21" i="2"/>
  <c r="J28" i="2"/>
  <c r="J24" i="2"/>
  <c r="J20" i="2"/>
  <c r="J27" i="2"/>
  <c r="J23" i="2"/>
  <c r="J19" i="2"/>
  <c r="J18" i="2"/>
  <c r="L34" i="1"/>
  <c r="L38" i="4" s="1"/>
  <c r="L58" i="2"/>
  <c r="L56" i="2"/>
  <c r="L47" i="2"/>
  <c r="L45" i="2"/>
  <c r="L37" i="1"/>
  <c r="L82" i="1" s="1"/>
  <c r="L36" i="1"/>
  <c r="L81" i="1" s="1"/>
  <c r="J20" i="1"/>
  <c r="K23" i="1"/>
  <c r="K37" i="2"/>
  <c r="K25" i="2"/>
  <c r="K21" i="2"/>
  <c r="K28" i="2"/>
  <c r="K24" i="2"/>
  <c r="K20" i="2"/>
  <c r="K27" i="2"/>
  <c r="K23" i="2"/>
  <c r="K19" i="2"/>
  <c r="K26" i="2"/>
  <c r="K22" i="2"/>
  <c r="K18" i="2"/>
  <c r="K120" i="1"/>
  <c r="K30" i="7" s="1"/>
  <c r="M27" i="2"/>
  <c r="M23" i="2"/>
  <c r="M19" i="2"/>
  <c r="M26" i="2"/>
  <c r="M22" i="2"/>
  <c r="M18" i="2"/>
  <c r="M120" i="1"/>
  <c r="M30" i="7" s="1"/>
  <c r="M37" i="2"/>
  <c r="M25" i="2"/>
  <c r="M21" i="2"/>
  <c r="M28" i="2"/>
  <c r="M24" i="2"/>
  <c r="M20" i="2"/>
  <c r="N23" i="1"/>
  <c r="N26" i="2"/>
  <c r="N22" i="2"/>
  <c r="N18" i="2"/>
  <c r="N120" i="1"/>
  <c r="N30" i="7" s="1"/>
  <c r="N37" i="2"/>
  <c r="N25" i="2"/>
  <c r="N21" i="2"/>
  <c r="N28" i="2"/>
  <c r="N24" i="2"/>
  <c r="N20" i="2"/>
  <c r="N27" i="2"/>
  <c r="N23" i="2"/>
  <c r="N19" i="2"/>
  <c r="I32" i="5"/>
  <c r="L71" i="1"/>
  <c r="L74" i="1"/>
  <c r="L70" i="1"/>
  <c r="L73" i="1"/>
  <c r="L69" i="1"/>
  <c r="L72" i="1"/>
  <c r="L68" i="1"/>
  <c r="L67" i="1"/>
  <c r="N21" i="1"/>
  <c r="K19" i="1"/>
  <c r="N19" i="1"/>
  <c r="N22" i="1"/>
  <c r="M74" i="1"/>
  <c r="M70" i="1"/>
  <c r="M73" i="1"/>
  <c r="M69" i="1"/>
  <c r="M72" i="1"/>
  <c r="M68" i="1"/>
  <c r="M71" i="1"/>
  <c r="M67" i="1"/>
  <c r="J25" i="1"/>
  <c r="J73" i="1"/>
  <c r="J69" i="1"/>
  <c r="J72" i="1"/>
  <c r="J68" i="1"/>
  <c r="J71" i="1"/>
  <c r="J67" i="1"/>
  <c r="J74" i="1"/>
  <c r="J70" i="1"/>
  <c r="K24" i="1"/>
  <c r="K68" i="1"/>
  <c r="K71" i="1"/>
  <c r="K67" i="1"/>
  <c r="K74" i="1"/>
  <c r="K70" i="1"/>
  <c r="K73" i="1"/>
  <c r="K69" i="1"/>
  <c r="K72" i="1"/>
  <c r="N25" i="1"/>
  <c r="N73" i="1"/>
  <c r="N69" i="1"/>
  <c r="N72" i="1"/>
  <c r="N68" i="1"/>
  <c r="N71" i="1"/>
  <c r="N67" i="1"/>
  <c r="N74" i="1"/>
  <c r="N70" i="1"/>
  <c r="M22" i="1"/>
  <c r="M18" i="1"/>
  <c r="M25" i="1"/>
  <c r="M21" i="1"/>
  <c r="M24" i="1"/>
  <c r="M20" i="1"/>
  <c r="M23" i="1"/>
  <c r="M19" i="1"/>
  <c r="L23" i="1"/>
  <c r="L19" i="1"/>
  <c r="L22" i="1"/>
  <c r="L18" i="1"/>
  <c r="L25" i="1"/>
  <c r="L21" i="1"/>
  <c r="L24" i="1"/>
  <c r="L20" i="1"/>
  <c r="I27" i="5"/>
  <c r="M28" i="5"/>
  <c r="N28" i="5"/>
  <c r="K28" i="5"/>
  <c r="K22" i="1" l="1"/>
  <c r="K21" i="1"/>
  <c r="N20" i="1"/>
  <c r="N24" i="1"/>
  <c r="M58" i="6"/>
  <c r="M49" i="6"/>
  <c r="M60" i="6"/>
  <c r="M47" i="6"/>
  <c r="M205" i="2"/>
  <c r="M204" i="2"/>
  <c r="J58" i="6"/>
  <c r="J49" i="6"/>
  <c r="J60" i="6"/>
  <c r="J47" i="6"/>
  <c r="J204" i="2"/>
  <c r="J205" i="2"/>
  <c r="K47" i="6"/>
  <c r="K60" i="6"/>
  <c r="K58" i="6"/>
  <c r="K49" i="6"/>
  <c r="K205" i="2"/>
  <c r="K204" i="2"/>
  <c r="J35" i="5"/>
  <c r="J16" i="6" s="1"/>
  <c r="J17" i="6" s="1"/>
  <c r="N58" i="6"/>
  <c r="N49" i="6"/>
  <c r="N47" i="6"/>
  <c r="N60" i="6"/>
  <c r="N204" i="2"/>
  <c r="N205" i="2"/>
  <c r="M14" i="2"/>
  <c r="M16" i="6"/>
  <c r="M17" i="6" s="1"/>
  <c r="K14" i="2"/>
  <c r="K16" i="6"/>
  <c r="K17" i="6" s="1"/>
  <c r="L14" i="2"/>
  <c r="L16" i="6"/>
  <c r="L17" i="6" s="1"/>
  <c r="N14" i="2"/>
  <c r="N16" i="6"/>
  <c r="N17" i="6" s="1"/>
  <c r="J36" i="4"/>
  <c r="L80" i="1"/>
  <c r="J38" i="4"/>
  <c r="L30" i="4"/>
  <c r="J30" i="4"/>
  <c r="J30" i="5" s="1"/>
  <c r="L36" i="4"/>
  <c r="K34" i="1"/>
  <c r="K38" i="4" s="1"/>
  <c r="K56" i="2"/>
  <c r="K58" i="2"/>
  <c r="K36" i="1"/>
  <c r="K81" i="1" s="1"/>
  <c r="K47" i="2"/>
  <c r="K45" i="2"/>
  <c r="K37" i="1"/>
  <c r="K82" i="1" s="1"/>
  <c r="J81" i="1"/>
  <c r="N34" i="1"/>
  <c r="N38" i="4" s="1"/>
  <c r="N56" i="2"/>
  <c r="N58" i="2"/>
  <c r="N45" i="2"/>
  <c r="N37" i="1"/>
  <c r="N82" i="1" s="1"/>
  <c r="N36" i="1"/>
  <c r="N81" i="1" s="1"/>
  <c r="N47" i="2"/>
  <c r="J82" i="1"/>
  <c r="M34" i="1"/>
  <c r="M80" i="1" s="1"/>
  <c r="M56" i="2"/>
  <c r="M58" i="2"/>
  <c r="M45" i="2"/>
  <c r="M37" i="1"/>
  <c r="M82" i="1" s="1"/>
  <c r="M36" i="1"/>
  <c r="M81" i="1" s="1"/>
  <c r="M47" i="2"/>
  <c r="I28" i="5"/>
  <c r="J14" i="2" l="1"/>
  <c r="I35" i="5"/>
  <c r="K36" i="4"/>
  <c r="K80" i="1"/>
  <c r="M38" i="4"/>
  <c r="I38" i="4" s="1"/>
  <c r="J38" i="5" s="1"/>
  <c r="J57" i="6" s="1"/>
  <c r="M36" i="4"/>
  <c r="N36" i="4"/>
  <c r="N80" i="1"/>
  <c r="K30" i="4"/>
  <c r="K30" i="5" s="1"/>
  <c r="M30" i="4"/>
  <c r="M30" i="5" s="1"/>
  <c r="N30" i="4"/>
  <c r="N30" i="5" s="1"/>
  <c r="L30" i="5"/>
  <c r="J29" i="1" l="1"/>
  <c r="J30" i="1"/>
  <c r="J79" i="1" s="1"/>
  <c r="J202" i="2"/>
  <c r="I36" i="4"/>
  <c r="L36" i="5" s="1"/>
  <c r="L44" i="2" s="1"/>
  <c r="J55" i="2"/>
  <c r="J203" i="2"/>
  <c r="N38" i="5"/>
  <c r="N57" i="6" s="1"/>
  <c r="L38" i="5"/>
  <c r="L57" i="6" s="1"/>
  <c r="M38" i="5"/>
  <c r="M57" i="6" s="1"/>
  <c r="K38" i="5"/>
  <c r="K57" i="6" s="1"/>
  <c r="I30" i="5"/>
  <c r="J36" i="5" l="1"/>
  <c r="J44" i="2" s="1"/>
  <c r="N36" i="5"/>
  <c r="N44" i="2" s="1"/>
  <c r="L30" i="1"/>
  <c r="L79" i="1" s="1"/>
  <c r="M36" i="5"/>
  <c r="M46" i="6" s="1"/>
  <c r="K30" i="1"/>
  <c r="K79" i="1" s="1"/>
  <c r="K29" i="1"/>
  <c r="N30" i="1"/>
  <c r="N79" i="1" s="1"/>
  <c r="K202" i="2"/>
  <c r="L29" i="1"/>
  <c r="K36" i="5"/>
  <c r="K46" i="6" s="1"/>
  <c r="N202" i="2"/>
  <c r="M202" i="2"/>
  <c r="L202" i="2"/>
  <c r="M30" i="1"/>
  <c r="M79" i="1" s="1"/>
  <c r="M29" i="1"/>
  <c r="N29" i="1"/>
  <c r="L46" i="6"/>
  <c r="K44" i="2"/>
  <c r="M55" i="2"/>
  <c r="M203" i="2"/>
  <c r="L55" i="2"/>
  <c r="L203" i="2"/>
  <c r="K55" i="2"/>
  <c r="K203" i="2"/>
  <c r="N55" i="2"/>
  <c r="N203" i="2"/>
  <c r="I38" i="5"/>
  <c r="M44" i="2" l="1"/>
  <c r="J46" i="6"/>
  <c r="I36" i="5"/>
  <c r="N46" i="6"/>
  <c r="I20" i="3"/>
  <c r="I22" i="3" s="1"/>
  <c r="E20" i="3"/>
  <c r="E22" i="3" s="1"/>
  <c r="I125" i="1" l="1"/>
  <c r="E125" i="1"/>
  <c r="I251" i="2"/>
  <c r="E251" i="2"/>
  <c r="I236" i="2"/>
  <c r="E236" i="2"/>
  <c r="I226" i="2"/>
  <c r="E226" i="2"/>
  <c r="N213" i="2"/>
  <c r="M213" i="2"/>
  <c r="L213" i="2"/>
  <c r="K213" i="2"/>
  <c r="J213" i="2"/>
  <c r="I213" i="2"/>
  <c r="E213" i="2"/>
  <c r="N198" i="2"/>
  <c r="M198" i="2"/>
  <c r="L198" i="2"/>
  <c r="K198" i="2"/>
  <c r="J198" i="2"/>
  <c r="I198" i="2"/>
  <c r="E198" i="2"/>
  <c r="I186" i="2"/>
  <c r="E186" i="2"/>
  <c r="I176" i="2"/>
  <c r="E176" i="2"/>
  <c r="N86" i="2"/>
  <c r="M86" i="2"/>
  <c r="L86" i="2"/>
  <c r="K86" i="2"/>
  <c r="J86" i="2"/>
  <c r="I86" i="2"/>
  <c r="E86" i="2"/>
  <c r="N79" i="2"/>
  <c r="M79" i="2"/>
  <c r="L79" i="2"/>
  <c r="K79" i="2"/>
  <c r="J79" i="2"/>
  <c r="I79" i="2"/>
  <c r="E79" i="2"/>
  <c r="N71" i="2"/>
  <c r="M71" i="2"/>
  <c r="L71" i="2"/>
  <c r="K71" i="2"/>
  <c r="J71" i="2"/>
  <c r="I71" i="2"/>
  <c r="E71" i="2"/>
  <c r="I62" i="2"/>
  <c r="E62" i="2"/>
  <c r="I52" i="2"/>
  <c r="E52" i="2"/>
  <c r="N38" i="2"/>
  <c r="M38" i="2"/>
  <c r="L38" i="2"/>
  <c r="K38" i="2"/>
  <c r="J38" i="2"/>
  <c r="I38" i="2"/>
  <c r="E38" i="2"/>
  <c r="N29" i="2"/>
  <c r="M29" i="2"/>
  <c r="L29" i="2"/>
  <c r="K29" i="2"/>
  <c r="J29" i="2"/>
  <c r="I29" i="2"/>
  <c r="E29" i="2"/>
  <c r="N15" i="2"/>
  <c r="M15" i="2"/>
  <c r="L15" i="2"/>
  <c r="K15" i="2"/>
  <c r="J15" i="2"/>
  <c r="I15" i="2"/>
  <c r="E15" i="2"/>
  <c r="I110" i="1"/>
  <c r="E110" i="1"/>
  <c r="I103" i="1"/>
  <c r="E103" i="1"/>
  <c r="N90" i="1"/>
  <c r="M90" i="1"/>
  <c r="L90" i="1"/>
  <c r="K90" i="1"/>
  <c r="J90" i="1"/>
  <c r="I90" i="1"/>
  <c r="E90" i="1"/>
  <c r="N75" i="1"/>
  <c r="M75" i="1"/>
  <c r="L75" i="1"/>
  <c r="K75" i="1"/>
  <c r="J75" i="1"/>
  <c r="I75" i="1"/>
  <c r="E75" i="1"/>
  <c r="I60" i="1"/>
  <c r="E60" i="1"/>
  <c r="N45" i="1"/>
  <c r="M45" i="1"/>
  <c r="L45" i="1"/>
  <c r="K45" i="1"/>
  <c r="J45" i="1"/>
  <c r="J31" i="4" s="1"/>
  <c r="I45" i="1"/>
  <c r="E45" i="1"/>
  <c r="N26" i="1"/>
  <c r="M26" i="1"/>
  <c r="L26" i="1"/>
  <c r="K26" i="1"/>
  <c r="J26" i="1"/>
  <c r="I26" i="1"/>
  <c r="E26" i="1"/>
  <c r="E47" i="1" s="1"/>
  <c r="I15" i="1"/>
  <c r="E15" i="1"/>
  <c r="I47" i="1" l="1"/>
  <c r="I62" i="1" s="1"/>
  <c r="E63" i="2"/>
  <c r="E228" i="2"/>
  <c r="E238" i="2" s="1"/>
  <c r="I63" i="2"/>
  <c r="I39" i="2"/>
  <c r="I228" i="2"/>
  <c r="I238" i="2" s="1"/>
  <c r="E39" i="2"/>
  <c r="E88" i="2" s="1"/>
  <c r="E105" i="1"/>
  <c r="E112" i="1" s="1"/>
  <c r="E62" i="1"/>
  <c r="E114" i="1" s="1"/>
  <c r="E127" i="1" s="1"/>
  <c r="J39" i="2"/>
  <c r="N39" i="2"/>
  <c r="K39" i="2"/>
  <c r="L39" i="2"/>
  <c r="M39" i="2"/>
  <c r="I105" i="1"/>
  <c r="I112" i="1" s="1"/>
  <c r="I114" i="1" s="1"/>
  <c r="I127" i="1" s="1"/>
  <c r="K47" i="1"/>
  <c r="K33" i="4" s="1"/>
  <c r="K31" i="4"/>
  <c r="L47" i="1"/>
  <c r="L33" i="4" s="1"/>
  <c r="L31" i="4"/>
  <c r="M47" i="1"/>
  <c r="M33" i="4" s="1"/>
  <c r="M31" i="4"/>
  <c r="N47" i="1"/>
  <c r="N33" i="4" s="1"/>
  <c r="N31" i="4"/>
  <c r="J47" i="1"/>
  <c r="I88" i="2" l="1"/>
  <c r="I178" i="2"/>
  <c r="I240" i="2" s="1"/>
  <c r="I244" i="2" s="1"/>
  <c r="I89" i="2"/>
  <c r="E89" i="2"/>
  <c r="E178" i="2"/>
  <c r="E240" i="2" s="1"/>
  <c r="E253" i="2" s="1"/>
  <c r="J33" i="4"/>
  <c r="I31" i="4"/>
  <c r="J31" i="5" s="1"/>
  <c r="I253" i="2" l="1"/>
  <c r="I255" i="2" s="1"/>
  <c r="J182" i="2"/>
  <c r="J186" i="2" s="1"/>
  <c r="J16" i="7" s="1"/>
  <c r="J15" i="3"/>
  <c r="J63" i="6"/>
  <c r="J55" i="6"/>
  <c r="J44" i="6"/>
  <c r="J53" i="2"/>
  <c r="J61" i="2"/>
  <c r="J13" i="1"/>
  <c r="J42" i="2"/>
  <c r="J109" i="1"/>
  <c r="I33" i="4"/>
  <c r="J33" i="5" s="1"/>
  <c r="N31" i="5"/>
  <c r="L31" i="5"/>
  <c r="M31" i="5"/>
  <c r="K31" i="5"/>
  <c r="I257" i="2" l="1"/>
  <c r="I41" i="7"/>
  <c r="I42" i="7" s="1"/>
  <c r="J42" i="7" s="1"/>
  <c r="K182" i="2"/>
  <c r="K186" i="2" s="1"/>
  <c r="K16" i="7" s="1"/>
  <c r="K15" i="3"/>
  <c r="L182" i="2"/>
  <c r="L186" i="2" s="1"/>
  <c r="L16" i="7" s="1"/>
  <c r="L15" i="3"/>
  <c r="M182" i="2"/>
  <c r="M186" i="2" s="1"/>
  <c r="M16" i="7" s="1"/>
  <c r="M15" i="3"/>
  <c r="N182" i="2"/>
  <c r="N186" i="2" s="1"/>
  <c r="N16" i="7" s="1"/>
  <c r="N15" i="3"/>
  <c r="J64" i="6"/>
  <c r="J52" i="6" s="1"/>
  <c r="J54" i="6" s="1"/>
  <c r="J65" i="6" s="1"/>
  <c r="J90" i="6" s="1"/>
  <c r="J41" i="4" s="1"/>
  <c r="M61" i="2"/>
  <c r="M55" i="6"/>
  <c r="M44" i="6"/>
  <c r="M63" i="6"/>
  <c r="L61" i="2"/>
  <c r="L55" i="6"/>
  <c r="L44" i="6"/>
  <c r="L63" i="6"/>
  <c r="N61" i="2"/>
  <c r="N63" i="6"/>
  <c r="N55" i="6"/>
  <c r="N44" i="6"/>
  <c r="K44" i="6"/>
  <c r="K55" i="6"/>
  <c r="K63" i="6"/>
  <c r="J224" i="2"/>
  <c r="J220" i="2"/>
  <c r="J216" i="2"/>
  <c r="J223" i="2"/>
  <c r="J219" i="2"/>
  <c r="J234" i="2"/>
  <c r="J222" i="2"/>
  <c r="J218" i="2"/>
  <c r="J225" i="2"/>
  <c r="J221" i="2"/>
  <c r="J217" i="2"/>
  <c r="J62" i="2"/>
  <c r="J39" i="4" s="1"/>
  <c r="K53" i="2"/>
  <c r="K61" i="2"/>
  <c r="L42" i="2"/>
  <c r="L53" i="2"/>
  <c r="N42" i="2"/>
  <c r="N53" i="2"/>
  <c r="N62" i="2" s="1"/>
  <c r="M42" i="2"/>
  <c r="M53" i="2"/>
  <c r="K109" i="1"/>
  <c r="K42" i="2"/>
  <c r="M33" i="5"/>
  <c r="M59" i="1" s="1"/>
  <c r="J100" i="1"/>
  <c r="J96" i="1"/>
  <c r="J108" i="1"/>
  <c r="J99" i="1"/>
  <c r="J95" i="1"/>
  <c r="J102" i="1"/>
  <c r="J98" i="1"/>
  <c r="J94" i="1"/>
  <c r="J101" i="1"/>
  <c r="J97" i="1"/>
  <c r="J93" i="1"/>
  <c r="L13" i="1"/>
  <c r="L109" i="1"/>
  <c r="M13" i="1"/>
  <c r="M109" i="1"/>
  <c r="N13" i="1"/>
  <c r="N109" i="1"/>
  <c r="J14" i="1"/>
  <c r="J15" i="1" s="1"/>
  <c r="J54" i="1"/>
  <c r="J50" i="1"/>
  <c r="J57" i="1"/>
  <c r="J53" i="1"/>
  <c r="J56" i="1"/>
  <c r="J52" i="1"/>
  <c r="J59" i="1"/>
  <c r="J55" i="1"/>
  <c r="J51" i="1"/>
  <c r="J58" i="1"/>
  <c r="K33" i="5"/>
  <c r="N33" i="5"/>
  <c r="L33" i="5"/>
  <c r="I31" i="5"/>
  <c r="K13" i="1"/>
  <c r="J46" i="7" l="1"/>
  <c r="K42" i="7"/>
  <c r="M62" i="2"/>
  <c r="M39" i="4" s="1"/>
  <c r="L62" i="2"/>
  <c r="L39" i="4" s="1"/>
  <c r="M52" i="1"/>
  <c r="M50" i="1"/>
  <c r="K64" i="6"/>
  <c r="K52" i="6" s="1"/>
  <c r="K54" i="6" s="1"/>
  <c r="K65" i="6" s="1"/>
  <c r="K90" i="6" s="1"/>
  <c r="K41" i="4" s="1"/>
  <c r="L64" i="6"/>
  <c r="M64" i="6"/>
  <c r="N64" i="6"/>
  <c r="N224" i="2"/>
  <c r="N220" i="2"/>
  <c r="N216" i="2"/>
  <c r="N223" i="2"/>
  <c r="N219" i="2"/>
  <c r="N234" i="2"/>
  <c r="N236" i="2" s="1"/>
  <c r="N222" i="2"/>
  <c r="N218" i="2"/>
  <c r="N225" i="2"/>
  <c r="N221" i="2"/>
  <c r="N217" i="2"/>
  <c r="M225" i="2"/>
  <c r="M221" i="2"/>
  <c r="M217" i="2"/>
  <c r="M224" i="2"/>
  <c r="M220" i="2"/>
  <c r="M216" i="2"/>
  <c r="M223" i="2"/>
  <c r="M219" i="2"/>
  <c r="M234" i="2"/>
  <c r="M236" i="2" s="1"/>
  <c r="M222" i="2"/>
  <c r="M218" i="2"/>
  <c r="J226" i="2"/>
  <c r="J236" i="2"/>
  <c r="K223" i="2"/>
  <c r="K219" i="2"/>
  <c r="K234" i="2"/>
  <c r="K236" i="2" s="1"/>
  <c r="K222" i="2"/>
  <c r="K218" i="2"/>
  <c r="K225" i="2"/>
  <c r="K221" i="2"/>
  <c r="K217" i="2"/>
  <c r="K224" i="2"/>
  <c r="K220" i="2"/>
  <c r="K216" i="2"/>
  <c r="L234" i="2"/>
  <c r="L236" i="2" s="1"/>
  <c r="L222" i="2"/>
  <c r="L218" i="2"/>
  <c r="L225" i="2"/>
  <c r="L221" i="2"/>
  <c r="L217" i="2"/>
  <c r="L224" i="2"/>
  <c r="L220" i="2"/>
  <c r="L216" i="2"/>
  <c r="L223" i="2"/>
  <c r="L219" i="2"/>
  <c r="N39" i="4"/>
  <c r="K62" i="2"/>
  <c r="K39" i="4" s="1"/>
  <c r="M98" i="1"/>
  <c r="M108" i="1"/>
  <c r="M110" i="1" s="1"/>
  <c r="M56" i="1"/>
  <c r="M54" i="1"/>
  <c r="M14" i="1"/>
  <c r="M15" i="1" s="1"/>
  <c r="M102" i="1"/>
  <c r="M96" i="1"/>
  <c r="M53" i="1"/>
  <c r="M58" i="1"/>
  <c r="M95" i="1"/>
  <c r="M100" i="1"/>
  <c r="M51" i="1"/>
  <c r="M57" i="1"/>
  <c r="M55" i="1"/>
  <c r="M94" i="1"/>
  <c r="M99" i="1"/>
  <c r="M101" i="1"/>
  <c r="M93" i="1"/>
  <c r="M97" i="1"/>
  <c r="L102" i="1"/>
  <c r="L98" i="1"/>
  <c r="L94" i="1"/>
  <c r="L101" i="1"/>
  <c r="L97" i="1"/>
  <c r="L93" i="1"/>
  <c r="L100" i="1"/>
  <c r="L96" i="1"/>
  <c r="L108" i="1"/>
  <c r="L110" i="1" s="1"/>
  <c r="L99" i="1"/>
  <c r="L95" i="1"/>
  <c r="K108" i="1"/>
  <c r="K110" i="1" s="1"/>
  <c r="K99" i="1"/>
  <c r="K95" i="1"/>
  <c r="K102" i="1"/>
  <c r="K98" i="1"/>
  <c r="K94" i="1"/>
  <c r="K101" i="1"/>
  <c r="K97" i="1"/>
  <c r="K93" i="1"/>
  <c r="K100" i="1"/>
  <c r="K96" i="1"/>
  <c r="N100" i="1"/>
  <c r="N96" i="1"/>
  <c r="N108" i="1"/>
  <c r="N110" i="1" s="1"/>
  <c r="N99" i="1"/>
  <c r="N95" i="1"/>
  <c r="N102" i="1"/>
  <c r="N98" i="1"/>
  <c r="N94" i="1"/>
  <c r="N101" i="1"/>
  <c r="N97" i="1"/>
  <c r="N93" i="1"/>
  <c r="J103" i="1"/>
  <c r="J110" i="1"/>
  <c r="J60" i="1"/>
  <c r="K14" i="1"/>
  <c r="K57" i="1"/>
  <c r="K56" i="1"/>
  <c r="K52" i="1"/>
  <c r="K59" i="1"/>
  <c r="K55" i="1"/>
  <c r="K51" i="1"/>
  <c r="K58" i="1"/>
  <c r="K54" i="1"/>
  <c r="K50" i="1"/>
  <c r="K53" i="1"/>
  <c r="L14" i="1"/>
  <c r="L15" i="1" s="1"/>
  <c r="L52" i="1"/>
  <c r="L59" i="1"/>
  <c r="L55" i="1"/>
  <c r="L51" i="1"/>
  <c r="L58" i="1"/>
  <c r="L54" i="1"/>
  <c r="L50" i="1"/>
  <c r="L57" i="1"/>
  <c r="L53" i="1"/>
  <c r="L56" i="1"/>
  <c r="N14" i="1"/>
  <c r="N15" i="1" s="1"/>
  <c r="N57" i="1"/>
  <c r="N53" i="1"/>
  <c r="N56" i="1"/>
  <c r="N52" i="1"/>
  <c r="N59" i="1"/>
  <c r="N55" i="1"/>
  <c r="N51" i="1"/>
  <c r="N58" i="1"/>
  <c r="N54" i="1"/>
  <c r="N50" i="1"/>
  <c r="I33" i="5"/>
  <c r="L42" i="7" l="1"/>
  <c r="K46" i="7"/>
  <c r="L52" i="6"/>
  <c r="K226" i="2"/>
  <c r="K228" i="2" s="1"/>
  <c r="K238" i="2" s="1"/>
  <c r="K17" i="7" s="1"/>
  <c r="L226" i="2"/>
  <c r="L228" i="2" s="1"/>
  <c r="L238" i="2" s="1"/>
  <c r="L17" i="7" s="1"/>
  <c r="J228" i="2"/>
  <c r="M226" i="2"/>
  <c r="M228" i="2" s="1"/>
  <c r="M238" i="2" s="1"/>
  <c r="M17" i="7" s="1"/>
  <c r="N226" i="2"/>
  <c r="N228" i="2" s="1"/>
  <c r="N238" i="2" s="1"/>
  <c r="N17" i="7" s="1"/>
  <c r="I39" i="4"/>
  <c r="I37" i="4"/>
  <c r="M60" i="1"/>
  <c r="M62" i="1" s="1"/>
  <c r="M103" i="1"/>
  <c r="M105" i="1" s="1"/>
  <c r="M112" i="1" s="1"/>
  <c r="M25" i="7" s="1"/>
  <c r="K15" i="1"/>
  <c r="K103" i="1"/>
  <c r="K105" i="1" s="1"/>
  <c r="K112" i="1" s="1"/>
  <c r="K25" i="7" s="1"/>
  <c r="L103" i="1"/>
  <c r="L105" i="1" s="1"/>
  <c r="L112" i="1" s="1"/>
  <c r="L25" i="7" s="1"/>
  <c r="J105" i="1"/>
  <c r="N60" i="1"/>
  <c r="N62" i="1" s="1"/>
  <c r="N24" i="7" s="1"/>
  <c r="N26" i="7" s="1"/>
  <c r="N103" i="1"/>
  <c r="N105" i="1" s="1"/>
  <c r="N112" i="1" s="1"/>
  <c r="N25" i="7" s="1"/>
  <c r="L60" i="1"/>
  <c r="L62" i="1" s="1"/>
  <c r="K60" i="1"/>
  <c r="J62" i="1"/>
  <c r="J34" i="4" l="1"/>
  <c r="J24" i="7"/>
  <c r="L34" i="4"/>
  <c r="L24" i="7"/>
  <c r="L26" i="7" s="1"/>
  <c r="M34" i="4"/>
  <c r="M24" i="7"/>
  <c r="M26" i="7" s="1"/>
  <c r="M42" i="7"/>
  <c r="L46" i="7"/>
  <c r="L54" i="6"/>
  <c r="L65" i="6" s="1"/>
  <c r="L90" i="6" s="1"/>
  <c r="L41" i="4" s="1"/>
  <c r="M52" i="6"/>
  <c r="J238" i="2"/>
  <c r="J17" i="7" s="1"/>
  <c r="M114" i="1"/>
  <c r="J39" i="5"/>
  <c r="L39" i="5"/>
  <c r="M39" i="5"/>
  <c r="K39" i="5"/>
  <c r="N39" i="5"/>
  <c r="N114" i="1"/>
  <c r="N34" i="4"/>
  <c r="L114" i="1"/>
  <c r="J112" i="1"/>
  <c r="J25" i="7" s="1"/>
  <c r="K62" i="1"/>
  <c r="K114" i="1" l="1"/>
  <c r="K24" i="7"/>
  <c r="K26" i="7" s="1"/>
  <c r="J26" i="7"/>
  <c r="N42" i="7"/>
  <c r="N46" i="7" s="1"/>
  <c r="M46" i="7"/>
  <c r="M54" i="6"/>
  <c r="M65" i="6" s="1"/>
  <c r="M90" i="6" s="1"/>
  <c r="M41" i="4" s="1"/>
  <c r="N52" i="6"/>
  <c r="N54" i="6" s="1"/>
  <c r="N65" i="6" s="1"/>
  <c r="N90" i="6" s="1"/>
  <c r="N41" i="4" s="1"/>
  <c r="M51" i="2"/>
  <c r="M50" i="2"/>
  <c r="L50" i="2"/>
  <c r="L51" i="2"/>
  <c r="J51" i="2"/>
  <c r="J50" i="2"/>
  <c r="N51" i="2"/>
  <c r="N50" i="2"/>
  <c r="K51" i="2"/>
  <c r="K50" i="2"/>
  <c r="I39" i="5"/>
  <c r="K34" i="4"/>
  <c r="J114" i="1"/>
  <c r="I46" i="7" l="1"/>
  <c r="I41" i="4"/>
  <c r="M41" i="5" s="1"/>
  <c r="K52" i="2"/>
  <c r="K63" i="2" s="1"/>
  <c r="K88" i="2" s="1"/>
  <c r="K89" i="2" s="1"/>
  <c r="K40" i="4" s="1"/>
  <c r="M52" i="2"/>
  <c r="M63" i="2" s="1"/>
  <c r="M88" i="2" s="1"/>
  <c r="M89" i="2" s="1"/>
  <c r="M40" i="4" s="1"/>
  <c r="L52" i="2"/>
  <c r="L63" i="2" s="1"/>
  <c r="L88" i="2" s="1"/>
  <c r="L89" i="2" s="1"/>
  <c r="L40" i="4" s="1"/>
  <c r="N52" i="2"/>
  <c r="N63" i="2" s="1"/>
  <c r="N88" i="2" s="1"/>
  <c r="N89" i="2" s="1"/>
  <c r="N40" i="4" s="1"/>
  <c r="J52" i="2"/>
  <c r="J63" i="2" s="1"/>
  <c r="I34" i="4"/>
  <c r="M150" i="6" l="1"/>
  <c r="M115" i="6"/>
  <c r="M101" i="6"/>
  <c r="M157" i="6"/>
  <c r="M129" i="6"/>
  <c r="M108" i="6"/>
  <c r="J41" i="5"/>
  <c r="K41" i="5"/>
  <c r="L41" i="5"/>
  <c r="N41" i="5"/>
  <c r="J88" i="2"/>
  <c r="M34" i="5"/>
  <c r="M173" i="6" s="1"/>
  <c r="L34" i="5"/>
  <c r="L173" i="6" s="1"/>
  <c r="J34" i="5"/>
  <c r="J173" i="6" s="1"/>
  <c r="N34" i="5"/>
  <c r="N173" i="6" s="1"/>
  <c r="K34" i="5"/>
  <c r="K173" i="6" s="1"/>
  <c r="K157" i="6" l="1"/>
  <c r="K129" i="6"/>
  <c r="K108" i="6"/>
  <c r="K150" i="6"/>
  <c r="K115" i="6"/>
  <c r="K101" i="6"/>
  <c r="J150" i="6"/>
  <c r="J115" i="6"/>
  <c r="J101" i="6"/>
  <c r="J157" i="6"/>
  <c r="J129" i="6"/>
  <c r="J108" i="6"/>
  <c r="N150" i="6"/>
  <c r="N115" i="6"/>
  <c r="N101" i="6"/>
  <c r="N157" i="6"/>
  <c r="N129" i="6"/>
  <c r="N108" i="6"/>
  <c r="L157" i="6"/>
  <c r="L129" i="6"/>
  <c r="L108" i="6"/>
  <c r="L150" i="6"/>
  <c r="L115" i="6"/>
  <c r="L101" i="6"/>
  <c r="I41" i="5"/>
  <c r="N121" i="1"/>
  <c r="N31" i="7" s="1"/>
  <c r="N172" i="2"/>
  <c r="N123" i="2"/>
  <c r="J121" i="1"/>
  <c r="J31" i="7" s="1"/>
  <c r="J172" i="2"/>
  <c r="J123" i="2"/>
  <c r="L121" i="1"/>
  <c r="L31" i="7" s="1"/>
  <c r="L123" i="2"/>
  <c r="L172" i="2"/>
  <c r="K121" i="1"/>
  <c r="K31" i="7" s="1"/>
  <c r="K123" i="2"/>
  <c r="K172" i="2"/>
  <c r="M121" i="1"/>
  <c r="M31" i="7" s="1"/>
  <c r="M172" i="2"/>
  <c r="M123" i="2"/>
  <c r="J89" i="2"/>
  <c r="J40" i="4" s="1"/>
  <c r="J123" i="1"/>
  <c r="J32" i="7" s="1"/>
  <c r="J116" i="1"/>
  <c r="J28" i="7" s="1"/>
  <c r="J34" i="7" s="1"/>
  <c r="N123" i="1"/>
  <c r="N32" i="7" s="1"/>
  <c r="N116" i="1"/>
  <c r="N28" i="7" s="1"/>
  <c r="L123" i="1"/>
  <c r="L32" i="7" s="1"/>
  <c r="L116" i="1"/>
  <c r="L28" i="7" s="1"/>
  <c r="L34" i="7" s="1"/>
  <c r="K123" i="1"/>
  <c r="K32" i="7" s="1"/>
  <c r="K116" i="1"/>
  <c r="K28" i="7" s="1"/>
  <c r="M123" i="1"/>
  <c r="M32" i="7" s="1"/>
  <c r="M116" i="1"/>
  <c r="M28" i="7" s="1"/>
  <c r="M34" i="7" s="1"/>
  <c r="I34" i="5"/>
  <c r="K34" i="7" l="1"/>
  <c r="N34" i="7"/>
  <c r="I40" i="4"/>
  <c r="M125" i="1"/>
  <c r="M127" i="1" s="1"/>
  <c r="M40" i="7" s="1"/>
  <c r="L125" i="1"/>
  <c r="L127" i="1" s="1"/>
  <c r="L40" i="7" s="1"/>
  <c r="K125" i="1"/>
  <c r="K127" i="1" s="1"/>
  <c r="K40" i="7" s="1"/>
  <c r="N125" i="1"/>
  <c r="N127" i="1" s="1"/>
  <c r="N40" i="7" s="1"/>
  <c r="J125" i="1"/>
  <c r="N43" i="4" l="1"/>
  <c r="K43" i="4"/>
  <c r="L43" i="4"/>
  <c r="M43" i="4"/>
  <c r="M40" i="5"/>
  <c r="M94" i="6" s="1"/>
  <c r="M177" i="6" s="1"/>
  <c r="M179" i="6" s="1"/>
  <c r="M42" i="4" s="1"/>
  <c r="K40" i="5"/>
  <c r="K94" i="6" s="1"/>
  <c r="K177" i="6" s="1"/>
  <c r="K179" i="6" s="1"/>
  <c r="K42" i="4" s="1"/>
  <c r="N40" i="5"/>
  <c r="N94" i="6" s="1"/>
  <c r="N177" i="6" s="1"/>
  <c r="N179" i="6" s="1"/>
  <c r="N42" i="4" s="1"/>
  <c r="L40" i="5"/>
  <c r="L94" i="6" s="1"/>
  <c r="L177" i="6" s="1"/>
  <c r="L179" i="6" s="1"/>
  <c r="L42" i="4" s="1"/>
  <c r="J40" i="5"/>
  <c r="J94" i="6" s="1"/>
  <c r="J177" i="6" s="1"/>
  <c r="J179" i="6" s="1"/>
  <c r="J42" i="4" s="1"/>
  <c r="J127" i="1"/>
  <c r="J40" i="7" s="1"/>
  <c r="J43" i="4" l="1"/>
  <c r="I42" i="4"/>
  <c r="N42" i="5" s="1"/>
  <c r="N140" i="2" s="1"/>
  <c r="N163" i="2"/>
  <c r="N114" i="2"/>
  <c r="N156" i="2"/>
  <c r="N107" i="2"/>
  <c r="N149" i="2"/>
  <c r="N100" i="2"/>
  <c r="N128" i="2"/>
  <c r="N93" i="2"/>
  <c r="K156" i="2"/>
  <c r="K107" i="2"/>
  <c r="K149" i="2"/>
  <c r="K100" i="2"/>
  <c r="K128" i="2"/>
  <c r="K93" i="2"/>
  <c r="K163" i="2"/>
  <c r="K114" i="2"/>
  <c r="L149" i="2"/>
  <c r="L100" i="2"/>
  <c r="L128" i="2"/>
  <c r="L93" i="2"/>
  <c r="L163" i="2"/>
  <c r="L114" i="2"/>
  <c r="L156" i="2"/>
  <c r="L107" i="2"/>
  <c r="J163" i="2"/>
  <c r="J114" i="2"/>
  <c r="J156" i="2"/>
  <c r="J107" i="2"/>
  <c r="J149" i="2"/>
  <c r="J100" i="2"/>
  <c r="J128" i="2"/>
  <c r="J93" i="2"/>
  <c r="M128" i="2"/>
  <c r="M93" i="2"/>
  <c r="M163" i="2"/>
  <c r="M114" i="2"/>
  <c r="M156" i="2"/>
  <c r="M107" i="2"/>
  <c r="M149" i="2"/>
  <c r="M100" i="2"/>
  <c r="I40" i="5"/>
  <c r="I43" i="4" l="1"/>
  <c r="J43" i="5" s="1"/>
  <c r="L42" i="5"/>
  <c r="L140" i="2" s="1"/>
  <c r="L176" i="2" s="1"/>
  <c r="L178" i="2" s="1"/>
  <c r="J42" i="5"/>
  <c r="J140" i="2" s="1"/>
  <c r="J176" i="2" s="1"/>
  <c r="J178" i="2" s="1"/>
  <c r="K42" i="5"/>
  <c r="K140" i="2" s="1"/>
  <c r="K176" i="2" s="1"/>
  <c r="K178" i="2" s="1"/>
  <c r="M42" i="5"/>
  <c r="M140" i="2" s="1"/>
  <c r="M176" i="2" s="1"/>
  <c r="M178" i="2" s="1"/>
  <c r="K240" i="2" l="1"/>
  <c r="K15" i="7"/>
  <c r="J240" i="2"/>
  <c r="J15" i="7"/>
  <c r="L240" i="2"/>
  <c r="L15" i="7"/>
  <c r="M240" i="2"/>
  <c r="M15" i="7"/>
  <c r="J242" i="2"/>
  <c r="J18" i="3"/>
  <c r="J16" i="3"/>
  <c r="K43" i="5"/>
  <c r="M43" i="5"/>
  <c r="N43" i="5"/>
  <c r="L43" i="5"/>
  <c r="I42" i="5"/>
  <c r="N176" i="2"/>
  <c r="N178" i="2" s="1"/>
  <c r="N240" i="2" l="1"/>
  <c r="N15" i="7"/>
  <c r="J20" i="3"/>
  <c r="L242" i="2"/>
  <c r="L16" i="3"/>
  <c r="L18" i="3"/>
  <c r="M242" i="2"/>
  <c r="M18" i="3"/>
  <c r="M16" i="3"/>
  <c r="N242" i="2"/>
  <c r="N18" i="3"/>
  <c r="N16" i="3"/>
  <c r="K18" i="3"/>
  <c r="K16" i="3"/>
  <c r="I43" i="5"/>
  <c r="K242" i="2"/>
  <c r="J22" i="3" l="1"/>
  <c r="J244" i="2" s="1"/>
  <c r="J12" i="7"/>
  <c r="J13" i="7" s="1"/>
  <c r="M20" i="3"/>
  <c r="N20" i="3"/>
  <c r="L20" i="3"/>
  <c r="K20" i="3"/>
  <c r="J249" i="2"/>
  <c r="J248" i="2"/>
  <c r="J247" i="2"/>
  <c r="J250" i="2"/>
  <c r="K22" i="3" l="1"/>
  <c r="K12" i="7"/>
  <c r="K13" i="7" s="1"/>
  <c r="M22" i="3"/>
  <c r="M244" i="2" s="1"/>
  <c r="M250" i="2" s="1"/>
  <c r="M12" i="7"/>
  <c r="M13" i="7" s="1"/>
  <c r="L22" i="3"/>
  <c r="L12" i="7"/>
  <c r="L13" i="7" s="1"/>
  <c r="N22" i="3"/>
  <c r="N244" i="2" s="1"/>
  <c r="N247" i="2" s="1"/>
  <c r="N12" i="7"/>
  <c r="N13" i="7" s="1"/>
  <c r="J251" i="2"/>
  <c r="J18" i="7" s="1"/>
  <c r="J19" i="7" s="1"/>
  <c r="J21" i="7" s="1"/>
  <c r="J36" i="7" s="1"/>
  <c r="J37" i="7" s="1"/>
  <c r="K244" i="2"/>
  <c r="L244" i="2"/>
  <c r="M247" i="2"/>
  <c r="M248" i="2" l="1"/>
  <c r="N249" i="2"/>
  <c r="N248" i="2"/>
  <c r="M249" i="2"/>
  <c r="N250" i="2"/>
  <c r="K248" i="2"/>
  <c r="K247" i="2"/>
  <c r="K250" i="2"/>
  <c r="K249" i="2"/>
  <c r="J253" i="2"/>
  <c r="J255" i="2" s="1"/>
  <c r="L247" i="2"/>
  <c r="L250" i="2"/>
  <c r="L249" i="2"/>
  <c r="L248" i="2"/>
  <c r="M251" i="2"/>
  <c r="N251" i="2"/>
  <c r="N253" i="2" l="1"/>
  <c r="N18" i="7"/>
  <c r="N19" i="7" s="1"/>
  <c r="N21" i="7" s="1"/>
  <c r="N36" i="7" s="1"/>
  <c r="N37" i="7" s="1"/>
  <c r="M253" i="2"/>
  <c r="M255" i="2" s="1"/>
  <c r="M18" i="7"/>
  <c r="M19" i="7" s="1"/>
  <c r="M21" i="7" s="1"/>
  <c r="M36" i="7" s="1"/>
  <c r="M37" i="7" s="1"/>
  <c r="J47" i="7"/>
  <c r="J41" i="7"/>
  <c r="J43" i="7" s="1"/>
  <c r="M257" i="2"/>
  <c r="M258" i="2" s="1"/>
  <c r="L251" i="2"/>
  <c r="J257" i="2"/>
  <c r="J258" i="2" s="1"/>
  <c r="K251" i="2"/>
  <c r="K18" i="7" s="1"/>
  <c r="K19" i="7" s="1"/>
  <c r="K21" i="7" s="1"/>
  <c r="K36" i="7" s="1"/>
  <c r="K37" i="7" s="1"/>
  <c r="N255" i="2"/>
  <c r="N47" i="7" l="1"/>
  <c r="N48" i="7" s="1"/>
  <c r="N41" i="7"/>
  <c r="N43" i="7" s="1"/>
  <c r="M47" i="7"/>
  <c r="M48" i="7" s="1"/>
  <c r="M41" i="7"/>
  <c r="M43" i="7" s="1"/>
  <c r="L253" i="2"/>
  <c r="L255" i="2" s="1"/>
  <c r="L18" i="7"/>
  <c r="L19" i="7" s="1"/>
  <c r="L21" i="7" s="1"/>
  <c r="L36" i="7" s="1"/>
  <c r="L37" i="7" s="1"/>
  <c r="J48" i="7"/>
  <c r="N257" i="2"/>
  <c r="N258" i="2" s="1"/>
  <c r="L257" i="2"/>
  <c r="L258" i="2" s="1"/>
  <c r="K253" i="2"/>
  <c r="L47" i="7" l="1"/>
  <c r="L48" i="7" s="1"/>
  <c r="L41" i="7"/>
  <c r="L43" i="7" s="1"/>
  <c r="N49" i="7"/>
  <c r="K255" i="2"/>
  <c r="K47" i="7" l="1"/>
  <c r="K41" i="7"/>
  <c r="K43" i="7" s="1"/>
  <c r="M49" i="7"/>
  <c r="K257" i="2"/>
  <c r="K48" i="7" l="1"/>
  <c r="I47" i="7"/>
  <c r="I48" i="7" s="1"/>
  <c r="J49" i="7" s="1"/>
  <c r="K258" i="2"/>
  <c r="K49" i="7" l="1"/>
  <c r="L49" i="7"/>
</calcChain>
</file>

<file path=xl/sharedStrings.xml><?xml version="1.0" encoding="utf-8"?>
<sst xmlns="http://schemas.openxmlformats.org/spreadsheetml/2006/main" count="1345" uniqueCount="539">
  <si>
    <t>Pro Forma</t>
  </si>
  <si>
    <t xml:space="preserve">Cross Check </t>
  </si>
  <si>
    <t>Acct</t>
  </si>
  <si>
    <t>Func</t>
  </si>
  <si>
    <t>Description</t>
  </si>
  <si>
    <t>Totals</t>
  </si>
  <si>
    <t>classif. basis (line)</t>
  </si>
  <si>
    <t>derived classif.</t>
  </si>
  <si>
    <t>Total</t>
  </si>
  <si>
    <t>Sch 101</t>
  </si>
  <si>
    <t>Sch 111</t>
  </si>
  <si>
    <t>Sch 121</t>
  </si>
  <si>
    <t>Sch 131</t>
  </si>
  <si>
    <t>Sch 146</t>
  </si>
  <si>
    <t>Open</t>
  </si>
  <si>
    <t>Throughput</t>
  </si>
  <si>
    <t>Purchased Gas - Commodity</t>
  </si>
  <si>
    <t>GTI Expense</t>
  </si>
  <si>
    <t>Coincident Peak - All</t>
  </si>
  <si>
    <t>Coincident Peak - Small Mains</t>
  </si>
  <si>
    <t>Purchased Gas - Demand</t>
  </si>
  <si>
    <t>DA 131</t>
  </si>
  <si>
    <t>DA 146</t>
  </si>
  <si>
    <t>All Customers</t>
  </si>
  <si>
    <t>Service Cost</t>
  </si>
  <si>
    <t>Meter Cost</t>
  </si>
  <si>
    <t>Regulator Cost</t>
  </si>
  <si>
    <t>Ind Meas &amp; Reg Cost</t>
  </si>
  <si>
    <t>DA 101</t>
  </si>
  <si>
    <t>Revenues From Retail Rates</t>
  </si>
  <si>
    <t>E01</t>
  </si>
  <si>
    <t>E04</t>
  </si>
  <si>
    <t>E06</t>
  </si>
  <si>
    <t>E07</t>
  </si>
  <si>
    <t>E08</t>
  </si>
  <si>
    <t>D01</t>
  </si>
  <si>
    <t>D02</t>
  </si>
  <si>
    <t>D05</t>
  </si>
  <si>
    <t>D06</t>
  </si>
  <si>
    <t>D07</t>
  </si>
  <si>
    <t>C01</t>
  </si>
  <si>
    <t>C02</t>
  </si>
  <si>
    <t>C03</t>
  </si>
  <si>
    <t>C04</t>
  </si>
  <si>
    <t>C06</t>
  </si>
  <si>
    <t>C10</t>
  </si>
  <si>
    <t>R01</t>
  </si>
  <si>
    <t>A</t>
  </si>
  <si>
    <t>C</t>
  </si>
  <si>
    <t>D</t>
  </si>
  <si>
    <t>M</t>
  </si>
  <si>
    <t>O</t>
  </si>
  <si>
    <t>P</t>
  </si>
  <si>
    <t>R</t>
  </si>
  <si>
    <t>U</t>
  </si>
  <si>
    <t>Rate Base</t>
  </si>
  <si>
    <t>Plant In Service</t>
  </si>
  <si>
    <t>Intangible Plant</t>
  </si>
  <si>
    <t>Intangible Gas Plant</t>
  </si>
  <si>
    <t>as Distrib Plant (40)</t>
  </si>
  <si>
    <t>Miscellaneous - Computer Software</t>
  </si>
  <si>
    <t>as UG/D Plant (42)</t>
  </si>
  <si>
    <t>Total Intangible Plant</t>
  </si>
  <si>
    <t xml:space="preserve">         </t>
  </si>
  <si>
    <t>Underground Storage Plant</t>
  </si>
  <si>
    <t>Land &amp; Land Rights</t>
  </si>
  <si>
    <t>Input - Settlement</t>
  </si>
  <si>
    <t>Structures &amp; Improvements</t>
  </si>
  <si>
    <t>Wells</t>
  </si>
  <si>
    <t>Lines</t>
  </si>
  <si>
    <t>Compressor Station Equipment</t>
  </si>
  <si>
    <t>Measuring &amp; Regulating Equipment</t>
  </si>
  <si>
    <t>Purification Equipment</t>
  </si>
  <si>
    <t>Other Equipment</t>
  </si>
  <si>
    <t>Total Underground Storage Plant</t>
  </si>
  <si>
    <t>UG Storage Plant (S14)</t>
  </si>
  <si>
    <t>Distribution Plant</t>
  </si>
  <si>
    <t>as other Dist Plt (28-38)</t>
  </si>
  <si>
    <t>376-SM</t>
  </si>
  <si>
    <t>Mains</t>
  </si>
  <si>
    <t>Input - Peak &amp; Avg Calc</t>
  </si>
  <si>
    <t>oth Dist Plt (S05); (S06); (S21)</t>
  </si>
  <si>
    <t>376-LG</t>
  </si>
  <si>
    <t>Input - Peak &amp; Avg w/131&amp;146</t>
  </si>
  <si>
    <t>Meas &amp; Reg Station Equip-General</t>
  </si>
  <si>
    <t>oth Dist Plt (S05); (S08)</t>
  </si>
  <si>
    <t>Meas &amp; Reg Station Equip-City Gate</t>
  </si>
  <si>
    <t>oth Dist Plt (S05); (S09)</t>
  </si>
  <si>
    <t>Services</t>
  </si>
  <si>
    <t>Input - 100% Svcs cost</t>
  </si>
  <si>
    <t>oth Dist Plt (S05); (S06); (S20)</t>
  </si>
  <si>
    <t>Meters</t>
  </si>
  <si>
    <t>Input - 100% Mtrs cost</t>
  </si>
  <si>
    <t>oth Dist Plt (S05); (S07)</t>
  </si>
  <si>
    <t>Meter Installations</t>
  </si>
  <si>
    <t>Input - 100% Install cost</t>
  </si>
  <si>
    <t>House Regulators</t>
  </si>
  <si>
    <t>Input - 100% Reg. cost</t>
  </si>
  <si>
    <t>House Regulator Installations</t>
  </si>
  <si>
    <t>Industrial Meas &amp; Reg Station Equip</t>
  </si>
  <si>
    <t>Input - 100% Ind Meas cost</t>
  </si>
  <si>
    <t>oth Dist Plt (S05); (S19)</t>
  </si>
  <si>
    <t>Total Distribution Plant</t>
  </si>
  <si>
    <t>Distrib Plant (S15)</t>
  </si>
  <si>
    <t>UG/D Plant</t>
  </si>
  <si>
    <t>(23+40)</t>
  </si>
  <si>
    <t>UG/D Plant (S03)</t>
  </si>
  <si>
    <t>General Plant</t>
  </si>
  <si>
    <t>Office Furniture &amp; Equipment</t>
  </si>
  <si>
    <t>Transportation Equipment</t>
  </si>
  <si>
    <t>Stores Equipment</t>
  </si>
  <si>
    <t>Tools, Shop &amp; Garage Equipment</t>
  </si>
  <si>
    <t>Laboratory Equipment</t>
  </si>
  <si>
    <t>Power Operated Equipment</t>
  </si>
  <si>
    <t>Communication Equipment</t>
  </si>
  <si>
    <t>Miscellaneous Equipment</t>
  </si>
  <si>
    <t>Total General Plant</t>
  </si>
  <si>
    <t>Genl Plant (S16)</t>
  </si>
  <si>
    <t>Total Plant In Service</t>
  </si>
  <si>
    <t>(12+23+40+55)</t>
  </si>
  <si>
    <t>Plant in Service (S17)</t>
  </si>
  <si>
    <t>Accumulated Reserve For Depreciation</t>
  </si>
  <si>
    <t>Underground Storage Plant Accumulated Depreciation</t>
  </si>
  <si>
    <t>Land &amp; Land Rights Accum. Depr.</t>
  </si>
  <si>
    <t>as 350 Plant (15)</t>
  </si>
  <si>
    <t>Structures &amp; Improvements Accum. Depr.</t>
  </si>
  <si>
    <t>as 351 Plant (16)</t>
  </si>
  <si>
    <t>Wells Accum. Depr.</t>
  </si>
  <si>
    <t>as 352 Plant (17)</t>
  </si>
  <si>
    <t>Lines Accum. Depr.</t>
  </si>
  <si>
    <t>as 353 Plant (18)</t>
  </si>
  <si>
    <t>Compressor Station Equip. Accum. Depr.</t>
  </si>
  <si>
    <t>as 354 Plant (19)</t>
  </si>
  <si>
    <t>Measuring &amp; Regulating Equip. Accum. Depr.</t>
  </si>
  <si>
    <t>as 355 Plant (20)</t>
  </si>
  <si>
    <t>Purification Equipment Accum. Depr.</t>
  </si>
  <si>
    <t>as 356 Plant (21)</t>
  </si>
  <si>
    <t>Other Equipment Accum. Depr.</t>
  </si>
  <si>
    <t>as 357 Plant (22)</t>
  </si>
  <si>
    <t>Total Transmission Plant Accum Depr</t>
  </si>
  <si>
    <t>Distribution Plant Accumulated Depreciation</t>
  </si>
  <si>
    <t>as 374 Plant (26)</t>
  </si>
  <si>
    <t>as 375 Plant (27)</t>
  </si>
  <si>
    <t>Mains Accum. Depr.</t>
  </si>
  <si>
    <t>Meas &amp; Reg Station Equip-Gen. Accum. Depr.</t>
  </si>
  <si>
    <t>as 378 Plant (31)</t>
  </si>
  <si>
    <t>Meas &amp; Reg Station Equip-City Gate Accum. Depr.</t>
  </si>
  <si>
    <t>as 379 Plant (32)</t>
  </si>
  <si>
    <t>Services Accum. Depr.</t>
  </si>
  <si>
    <t>as 380 Plant (33)</t>
  </si>
  <si>
    <t>Meters Accum. Depr.</t>
  </si>
  <si>
    <t>as 381 Plant (34)</t>
  </si>
  <si>
    <t>Meter Installations Accum. Depr.</t>
  </si>
  <si>
    <t>as 382 Plant (35)</t>
  </si>
  <si>
    <t>House Regulators Accum. Depr.</t>
  </si>
  <si>
    <t>as 383 Plant (36)</t>
  </si>
  <si>
    <t>House Regulator Installations Accum. Depr.</t>
  </si>
  <si>
    <t>as 384 Plant (37)</t>
  </si>
  <si>
    <t>Industrial Meas &amp; Reg Station Equip Accum. Depr.</t>
  </si>
  <si>
    <t>as 385 Plant (38)</t>
  </si>
  <si>
    <t>as 387 Plant (39)</t>
  </si>
  <si>
    <t>Total Distribution Plant Accum Depr</t>
  </si>
  <si>
    <t>General Plant Accumulated Depreciation</t>
  </si>
  <si>
    <t>as 389 Plant (45)</t>
  </si>
  <si>
    <t>as 390 Plant (46)</t>
  </si>
  <si>
    <t>Office Furniture &amp; Equipment Accum. Depr.</t>
  </si>
  <si>
    <t>as 391 Plant (47)</t>
  </si>
  <si>
    <t>Transportation Equipment Accum. Depr.</t>
  </si>
  <si>
    <t>as 392 Plant (48)</t>
  </si>
  <si>
    <t>Stores Equipment Accum. Depr.</t>
  </si>
  <si>
    <t>as 393 Plant (49)</t>
  </si>
  <si>
    <t>Tools, Shop &amp; Garage Equip. Accum. Depr.</t>
  </si>
  <si>
    <t>as 394 Plant (50)</t>
  </si>
  <si>
    <t>Laboratory Equipment Accum. Depr.</t>
  </si>
  <si>
    <t>as 395 Plant (51)</t>
  </si>
  <si>
    <t>Power Operated Equipment Accum. Depr.</t>
  </si>
  <si>
    <t>as 396 Plant (52)</t>
  </si>
  <si>
    <t>Communication Equipment Accum. Depr.</t>
  </si>
  <si>
    <t>as 397 Plant (53)</t>
  </si>
  <si>
    <t>Miscellaneous Equipment Accum. Depr.</t>
  </si>
  <si>
    <t>as 398 Plant (54)</t>
  </si>
  <si>
    <t>Total General Plant Accum Depreciation</t>
  </si>
  <si>
    <t>Total Accumulated Reserve for Depreciation</t>
  </si>
  <si>
    <t>(70+86+99)</t>
  </si>
  <si>
    <t>Amortization</t>
  </si>
  <si>
    <t>Accum Amort of Intangible Plant-Software</t>
  </si>
  <si>
    <t>Intangible Distribution Plant</t>
  </si>
  <si>
    <t>Total Amortization</t>
  </si>
  <si>
    <t>Total Accum Reserve for Depr &amp; Amort</t>
  </si>
  <si>
    <t>(101+106)</t>
  </si>
  <si>
    <t>Total Net Plant</t>
  </si>
  <si>
    <t>(57+108)</t>
  </si>
  <si>
    <t>Net Plant (S18)</t>
  </si>
  <si>
    <t>Accumulated Deferred Income Taxes</t>
  </si>
  <si>
    <t>as Plant in Service (57)</t>
  </si>
  <si>
    <t>Miscellaneous Rate Base Items</t>
  </si>
  <si>
    <t>Customer Advances and Deposits</t>
  </si>
  <si>
    <t>input - DA 101</t>
  </si>
  <si>
    <t>Gas Inventory</t>
  </si>
  <si>
    <t>as UG Storage Plant (23)</t>
  </si>
  <si>
    <t>Working Capital</t>
  </si>
  <si>
    <t>as Genl Plant (55)</t>
  </si>
  <si>
    <t>Demand Side Management Investment</t>
  </si>
  <si>
    <t>Other</t>
  </si>
  <si>
    <t>as Plant in Service (56)</t>
  </si>
  <si>
    <t>Total Other Rate Base Items</t>
  </si>
  <si>
    <t>Total Rate Base</t>
  </si>
  <si>
    <t>(110+121)</t>
  </si>
  <si>
    <t>Total Rate Base (S01)</t>
  </si>
  <si>
    <t>Operation &amp; Maintenance Expenses</t>
  </si>
  <si>
    <t>Purchased Gas Expenses</t>
  </si>
  <si>
    <t>Proforma Purchased Gas Expense</t>
  </si>
  <si>
    <t>Input - from PF Gas Costs</t>
  </si>
  <si>
    <t>813-010</t>
  </si>
  <si>
    <t>Gas Research Institute Expense</t>
  </si>
  <si>
    <t>Input - 100% GTI</t>
  </si>
  <si>
    <t>Other Gas Expenses</t>
  </si>
  <si>
    <t>Input - purch vs. sched analysis</t>
  </si>
  <si>
    <t>Total Purchased Gas Expenses</t>
  </si>
  <si>
    <t>Underground Storage Expenses</t>
  </si>
  <si>
    <t>814-OP</t>
  </si>
  <si>
    <t>Supervision &amp; Engineering</t>
  </si>
  <si>
    <t>815-OP</t>
  </si>
  <si>
    <t>Maps &amp; Records</t>
  </si>
  <si>
    <t>816-OP</t>
  </si>
  <si>
    <t>Wells Expenses</t>
  </si>
  <si>
    <t>817-OP</t>
  </si>
  <si>
    <t>Lines Expenses</t>
  </si>
  <si>
    <t>818-OP</t>
  </si>
  <si>
    <t>Compressor Station Expenses</t>
  </si>
  <si>
    <t>819-OP</t>
  </si>
  <si>
    <t>Compressor Station Fuel &amp; Power</t>
  </si>
  <si>
    <t>820-OP</t>
  </si>
  <si>
    <t>Measuring &amp; Regulator Station</t>
  </si>
  <si>
    <t>821-OP</t>
  </si>
  <si>
    <t>Purification Expenses</t>
  </si>
  <si>
    <t>824-OP</t>
  </si>
  <si>
    <t>Other Expenses</t>
  </si>
  <si>
    <t>825-OP</t>
  </si>
  <si>
    <t>Storage Well Royalties &amp; Rents</t>
  </si>
  <si>
    <t>826-OP</t>
  </si>
  <si>
    <t>Rents</t>
  </si>
  <si>
    <t>Total Underground Storage Operation</t>
  </si>
  <si>
    <t>830-MT</t>
  </si>
  <si>
    <t>831-MT</t>
  </si>
  <si>
    <t>832-MT</t>
  </si>
  <si>
    <t>833-MT</t>
  </si>
  <si>
    <t>834-MT</t>
  </si>
  <si>
    <t>835-MT</t>
  </si>
  <si>
    <t>836-MT</t>
  </si>
  <si>
    <t>Measuring and Regulator Station Expenses</t>
  </si>
  <si>
    <t>837-MT</t>
  </si>
  <si>
    <t>Total Underground Storage Maintenance</t>
  </si>
  <si>
    <t>Total Underground Storage Expenses</t>
  </si>
  <si>
    <t>Distribution Expenses</t>
  </si>
  <si>
    <t>870-OP</t>
  </si>
  <si>
    <t>all oth Dist Exp (S04)</t>
  </si>
  <si>
    <t>871-OP</t>
  </si>
  <si>
    <t>Distribution Load Dispatching</t>
  </si>
  <si>
    <t>Input - 100% Throughput</t>
  </si>
  <si>
    <t>(S04)</t>
  </si>
  <si>
    <t>874-OP</t>
  </si>
  <si>
    <t>Mains &amp; Services Expense</t>
  </si>
  <si>
    <t>as 376/380 Mn/Sv Plt (28,30,33)</t>
  </si>
  <si>
    <t>875-OP</t>
  </si>
  <si>
    <t>Measuring &amp; Regulating Stations-General</t>
  </si>
  <si>
    <t>as 378 Meas &amp; Reg St Genl (31)</t>
  </si>
  <si>
    <t>876-OP</t>
  </si>
  <si>
    <t>Measuring &amp; Regulating Stations-Industrial</t>
  </si>
  <si>
    <t>as 385 Meas &amp; Reg St Ind (38)</t>
  </si>
  <si>
    <t>877-OP</t>
  </si>
  <si>
    <t>Measuring &amp; Regulating Stations-City Gate</t>
  </si>
  <si>
    <t>as 379 Meas &amp; Reg St Cty G (32)</t>
  </si>
  <si>
    <t>878-OP</t>
  </si>
  <si>
    <t>Meters &amp; House Regulators Expenses</t>
  </si>
  <si>
    <t>as 381-4 Mtr &amp; Reg (34-37)</t>
  </si>
  <si>
    <t>879-OP</t>
  </si>
  <si>
    <t>Customer Installations</t>
  </si>
  <si>
    <t>880-OP</t>
  </si>
  <si>
    <t>Other Distribution Expense</t>
  </si>
  <si>
    <t>as all other Dist Ops Exp</t>
  </si>
  <si>
    <t>881-OP</t>
  </si>
  <si>
    <t>Total Distribution Operation</t>
  </si>
  <si>
    <t>885-MT</t>
  </si>
  <si>
    <t>886-MT</t>
  </si>
  <si>
    <t>887-MT</t>
  </si>
  <si>
    <t>as 376 Mains Plt (28,30)</t>
  </si>
  <si>
    <t>889-MT</t>
  </si>
  <si>
    <t>890-MT</t>
  </si>
  <si>
    <t>891-MT</t>
  </si>
  <si>
    <t>892-MT</t>
  </si>
  <si>
    <t>as 380 Svcs Plant (33)</t>
  </si>
  <si>
    <t>893-MT</t>
  </si>
  <si>
    <t>Meters &amp; House Regulators</t>
  </si>
  <si>
    <t>894-MT</t>
  </si>
  <si>
    <t>Total Distribution Maintenance</t>
  </si>
  <si>
    <t>Total Distribution Expenses</t>
  </si>
  <si>
    <t>Customer Accounting Expenses</t>
  </si>
  <si>
    <t>901-OP</t>
  </si>
  <si>
    <t>Supervision</t>
  </si>
  <si>
    <t>Input - 100% Cust</t>
  </si>
  <si>
    <t>902-OP</t>
  </si>
  <si>
    <t>Meter Reading</t>
  </si>
  <si>
    <t>903-OP</t>
  </si>
  <si>
    <t>Customer Records &amp; Collection</t>
  </si>
  <si>
    <t>904-OP</t>
  </si>
  <si>
    <t>Uncollectible Accounts</t>
  </si>
  <si>
    <t>Input - 100% Rev</t>
  </si>
  <si>
    <t>905-OP</t>
  </si>
  <si>
    <t>Misc Customer Accounts Expenses</t>
  </si>
  <si>
    <t>Total Customer Accounting Expenses</t>
  </si>
  <si>
    <t>Customer Information Expenses</t>
  </si>
  <si>
    <t>907-OP</t>
  </si>
  <si>
    <t>908-OP</t>
  </si>
  <si>
    <t>Customer Assistance Expenses</t>
  </si>
  <si>
    <t>909-OP</t>
  </si>
  <si>
    <t>Advertising</t>
  </si>
  <si>
    <t>910-OP</t>
  </si>
  <si>
    <t>Misc Customer Service &amp; Info Expense</t>
  </si>
  <si>
    <t>Total Customer Information Expenses</t>
  </si>
  <si>
    <t>Sales Expenses</t>
  </si>
  <si>
    <t>911-OP</t>
  </si>
  <si>
    <t>912-OP</t>
  </si>
  <si>
    <t>Demonstrating &amp; Selling Expenses</t>
  </si>
  <si>
    <t>913-OP</t>
  </si>
  <si>
    <t>Advertising Expenses</t>
  </si>
  <si>
    <t>916-OP</t>
  </si>
  <si>
    <t>Misc Sales Expenses</t>
  </si>
  <si>
    <t>Total Sales Expenses</t>
  </si>
  <si>
    <t>Subtotal Expenses</t>
  </si>
  <si>
    <t>(171+195+219+227+235+242)</t>
  </si>
  <si>
    <t>Subtotal Expenses, excl PG/Uncollect</t>
  </si>
  <si>
    <t>(244-168-169-225)</t>
  </si>
  <si>
    <t>Exp b4 A&amp;G x Gas/Uncoll(S02)</t>
  </si>
  <si>
    <t>Administrative &amp; General Expenses</t>
  </si>
  <si>
    <t>920-OP</t>
  </si>
  <si>
    <t>Admin &amp; General Salaries</t>
  </si>
  <si>
    <t>Admin &amp; Gen Exp Alloc</t>
  </si>
  <si>
    <t>as Exp b4 A&amp;G x PG/U (245)</t>
  </si>
  <si>
    <t>Plant in Service</t>
  </si>
  <si>
    <t>Labor Expense</t>
  </si>
  <si>
    <t>as Labor O&amp;M Exp. (BS334)</t>
  </si>
  <si>
    <t>921-OP</t>
  </si>
  <si>
    <t>Office Supplies &amp; Expenses</t>
  </si>
  <si>
    <t>922-OP</t>
  </si>
  <si>
    <t>Admin Expenses Transferred - CR</t>
  </si>
  <si>
    <t>923-OP</t>
  </si>
  <si>
    <t>Outside Services Employed</t>
  </si>
  <si>
    <t>924-OP</t>
  </si>
  <si>
    <t>Property Insurance Premium</t>
  </si>
  <si>
    <t>925-OP</t>
  </si>
  <si>
    <t>Injuries &amp; Damages</t>
  </si>
  <si>
    <t>926-OP</t>
  </si>
  <si>
    <t>Employee Pension &amp; Benefits</t>
  </si>
  <si>
    <t>927-OP</t>
  </si>
  <si>
    <t>Franchise Requirements</t>
  </si>
  <si>
    <t>928-OP</t>
  </si>
  <si>
    <t>Regulatory Commission Expenses</t>
  </si>
  <si>
    <t>930-OP</t>
  </si>
  <si>
    <t>Miscellaneous &amp; General Expense</t>
  </si>
  <si>
    <t>931-OP</t>
  </si>
  <si>
    <t>935-MT</t>
  </si>
  <si>
    <t>Maintenance of General Plant</t>
  </si>
  <si>
    <t>Total Administrative &amp; General Expenses</t>
  </si>
  <si>
    <t>Total Operating &amp; Maintenance Expenses</t>
  </si>
  <si>
    <t>(244+332)</t>
  </si>
  <si>
    <t>Taxes Other Than Income Taxes</t>
  </si>
  <si>
    <t>Underground Storage</t>
  </si>
  <si>
    <t>Distribution</t>
  </si>
  <si>
    <t>General</t>
  </si>
  <si>
    <t>as Intang/Genl Plant (12+55)</t>
  </si>
  <si>
    <t>Excise</t>
  </si>
  <si>
    <t>Total Taxes Other Than Income Taxes</t>
  </si>
  <si>
    <t>Depreciation Expense</t>
  </si>
  <si>
    <t>Underground Storage Plant Depreciation Expense</t>
  </si>
  <si>
    <t>Land &amp; Land Rights Depr. Exp.</t>
  </si>
  <si>
    <t>as Transm Plant (23)</t>
  </si>
  <si>
    <t>Structures &amp; Improvements Depr. Exp.</t>
  </si>
  <si>
    <t>Wells Depr. Exp.</t>
  </si>
  <si>
    <t>Lines Depr. Exp.</t>
  </si>
  <si>
    <t>Compressor Station Equip. Depr. Exp.</t>
  </si>
  <si>
    <t>Measuring &amp; Regulating Equip. Depr. Exp.</t>
  </si>
  <si>
    <t>Purification Equipment Depr. Exp.</t>
  </si>
  <si>
    <t>Other Equipment Depr. Exp.</t>
  </si>
  <si>
    <t>Total Transmission Plant Depr Expense</t>
  </si>
  <si>
    <t>Distribution Plant Depreciation Expense</t>
  </si>
  <si>
    <t>as 360 Plant (26)</t>
  </si>
  <si>
    <t>as 361 Plant (27)</t>
  </si>
  <si>
    <t>Mains Depr. Exp.</t>
  </si>
  <si>
    <t>as 362 Plant (28)</t>
  </si>
  <si>
    <t>Meas &amp; Reg Station Equip-Gen Depr. Exp.</t>
  </si>
  <si>
    <t>as 364 Plant (31)</t>
  </si>
  <si>
    <t>Meas &amp; Reg Station Equip-City Gate Depr. Exp.</t>
  </si>
  <si>
    <t>as 365 Plant (32)</t>
  </si>
  <si>
    <t>Services Depr. Exp.</t>
  </si>
  <si>
    <t>as 366 Plant (33)</t>
  </si>
  <si>
    <t>Meters Depr. Exp.</t>
  </si>
  <si>
    <t>as 367 Plant (34)</t>
  </si>
  <si>
    <t>Meter Installations Depr. Exp.</t>
  </si>
  <si>
    <t>as 368 Plant (35)</t>
  </si>
  <si>
    <t>House Regulators Depr. Exp.</t>
  </si>
  <si>
    <t>as 369 Plant (36)</t>
  </si>
  <si>
    <t>House Regulator Installations Depr. Exp.</t>
  </si>
  <si>
    <t>as 370 Plant (37)</t>
  </si>
  <si>
    <t>Industrial Meas &amp; Reg Station Equip. Depr. Exp.</t>
  </si>
  <si>
    <t>as 371 Plant (38)</t>
  </si>
  <si>
    <t>as 372 Plant (39)</t>
  </si>
  <si>
    <t>Total Distribution Plant Depr Expense</t>
  </si>
  <si>
    <t>General Plant Depreciation Expense</t>
  </si>
  <si>
    <t>as 303.1 Plant (11)</t>
  </si>
  <si>
    <t>Office Furniture &amp; Equipment Depr. Exp.</t>
  </si>
  <si>
    <t>Transportation Equipment Depr. Exp.</t>
  </si>
  <si>
    <t>Stores Equipment Depr. Exp.</t>
  </si>
  <si>
    <t>Tools, Shop &amp; Garage Equipment Depr. Exp.</t>
  </si>
  <si>
    <t>Laboratory Equipment Depr. Exp.</t>
  </si>
  <si>
    <t>Power Operated Equipment Depr. Exp.</t>
  </si>
  <si>
    <t>Communication Equipment Depr. Exp.</t>
  </si>
  <si>
    <t>Miscellaneous Equipment Depr. Exp.</t>
  </si>
  <si>
    <t>Total General Plant Depr Expense</t>
  </si>
  <si>
    <t>Total Depreciation Expense</t>
  </si>
  <si>
    <t>(354+370+383)</t>
  </si>
  <si>
    <t>Amortization of Misc Intangible Plant</t>
  </si>
  <si>
    <t>Misc Property Gain/Loss Amortization Exp.</t>
  </si>
  <si>
    <t>Intangible Distribution Plant Amortization Exp.</t>
  </si>
  <si>
    <t>Intangible Plant - Software Amortization Exp.</t>
  </si>
  <si>
    <t>JP Deferral</t>
  </si>
  <si>
    <t>Total Amortization Expense</t>
  </si>
  <si>
    <t>Total Depr &amp; Amort Expense</t>
  </si>
  <si>
    <t>(385+393)</t>
  </si>
  <si>
    <t>Operating Exp before Income Tax items</t>
  </si>
  <si>
    <t>(334+342+395</t>
  </si>
  <si>
    <t>Pre-Tax Operating Income</t>
  </si>
  <si>
    <t>(422+149+397)</t>
  </si>
  <si>
    <t>Pre-Tax Op Inc (R03)</t>
  </si>
  <si>
    <t>Income Tax Items</t>
  </si>
  <si>
    <t>Debt Interest</t>
  </si>
  <si>
    <t>as Pre-Tax Op Inc (399)</t>
  </si>
  <si>
    <t>Total Income Tax- Federal</t>
  </si>
  <si>
    <t>Investment Tax Credit Adjustment (Net)</t>
  </si>
  <si>
    <t>Total Deferred Income Tax Expense</t>
  </si>
  <si>
    <t>Total Income Taxes</t>
  </si>
  <si>
    <t>Total Operating Expenses</t>
  </si>
  <si>
    <t>(397+406)</t>
  </si>
  <si>
    <t>Operating Revenues</t>
  </si>
  <si>
    <t>48X</t>
  </si>
  <si>
    <t>Total Revenue From Retail Rates</t>
  </si>
  <si>
    <t>Other Operating Revenues</t>
  </si>
  <si>
    <t>483/484</t>
  </si>
  <si>
    <t>Off System Sales</t>
  </si>
  <si>
    <t>Input - 100% Sales</t>
  </si>
  <si>
    <t>Miscellaneous Service Revenues</t>
  </si>
  <si>
    <t>as Rate Base (123)</t>
  </si>
  <si>
    <t>Other Gas Revenue - JP Releases</t>
  </si>
  <si>
    <t>Other Gas Rev - Misc &amp; Spec Cont Rev</t>
  </si>
  <si>
    <t>Total Other Operating Revenues</t>
  </si>
  <si>
    <t>Total Operating Revenues</t>
  </si>
  <si>
    <t>(411+420)</t>
  </si>
  <si>
    <t>Allocation Factor</t>
  </si>
  <si>
    <t>Abbrev</t>
  </si>
  <si>
    <t>Throughput - All Schedules</t>
  </si>
  <si>
    <t>Sales - Excludes 146</t>
  </si>
  <si>
    <t>Throughput - Excludes 132 &amp; 146</t>
  </si>
  <si>
    <t>Allocation</t>
  </si>
  <si>
    <t>Factor</t>
  </si>
  <si>
    <t>Alloc.</t>
  </si>
  <si>
    <t>Peak &amp; Average - All Mains</t>
  </si>
  <si>
    <t>Peak &amp; Average - Small Mains</t>
  </si>
  <si>
    <t>Peak &amp; Average - Large Mains</t>
  </si>
  <si>
    <t>Small Mains DIR</t>
  </si>
  <si>
    <t>Small Mains Alloc</t>
  </si>
  <si>
    <t>Large Mains DIR</t>
  </si>
  <si>
    <t>Large Mains Alloc</t>
  </si>
  <si>
    <t>Accts. 376-387</t>
  </si>
  <si>
    <t>Storage (13% Throughput/87% Sales)</t>
  </si>
  <si>
    <t>Distribution plus Storage Plant</t>
  </si>
  <si>
    <t>Acct 374</t>
  </si>
  <si>
    <t>Acct 375</t>
  </si>
  <si>
    <t>Acct 376</t>
  </si>
  <si>
    <t>Acct 378</t>
  </si>
  <si>
    <t>Acct 379</t>
  </si>
  <si>
    <t>Acct 380</t>
  </si>
  <si>
    <t>Acct 381</t>
  </si>
  <si>
    <t>Acct 385</t>
  </si>
  <si>
    <t>376-Plant</t>
  </si>
  <si>
    <t>Acct 382</t>
  </si>
  <si>
    <t>Acct 383</t>
  </si>
  <si>
    <t>Acct 384</t>
  </si>
  <si>
    <t>Acct 387</t>
  </si>
  <si>
    <t>Gross Plant in Service</t>
  </si>
  <si>
    <t>DIR</t>
  </si>
  <si>
    <t>Gas Scheduling &amp; Purchasing Exp.</t>
  </si>
  <si>
    <t>Mains plus Services Plant</t>
  </si>
  <si>
    <t>Accts. 870-879</t>
  </si>
  <si>
    <t>Mains Plant</t>
  </si>
  <si>
    <t>Total Dist O&amp;M less 880, 881</t>
  </si>
  <si>
    <t>Gas Research Contributions</t>
  </si>
  <si>
    <t>Other Dist Labor</t>
  </si>
  <si>
    <t>O&amp;M Excl. Purc. Gas &amp; Uncollect. &amp; A&amp;G</t>
  </si>
  <si>
    <t>Labor Excl. Purc. Gas &amp; Uncollect. &amp; A&amp;G</t>
  </si>
  <si>
    <t>Total Labor</t>
  </si>
  <si>
    <t>Interest Expense</t>
  </si>
  <si>
    <t>Net Operating Income</t>
  </si>
  <si>
    <t>Rate of Return - Current Rates</t>
  </si>
  <si>
    <t>Indexed Rate of Return</t>
  </si>
  <si>
    <t>Return Deficiency</t>
  </si>
  <si>
    <t>Revenue Conversion Factor</t>
  </si>
  <si>
    <t>Revenue @ Equal ROR</t>
  </si>
  <si>
    <t>Indexed ROR</t>
  </si>
  <si>
    <t>Public Counsel Proposed Increase</t>
  </si>
  <si>
    <t>Public Counsel Additional Income</t>
  </si>
  <si>
    <t>Public Counsel Proposed Operating Income</t>
  </si>
  <si>
    <t>Public Counsel Proposed ROR</t>
  </si>
  <si>
    <t>Required Return @ 7.71%</t>
  </si>
  <si>
    <t>AVISTA CORPORATION</t>
  </si>
  <si>
    <t>NATURAL GAS CLASS COST OF SERVICE</t>
  </si>
  <si>
    <t>(RATE BASE)</t>
  </si>
  <si>
    <t>(EXPENSES)</t>
  </si>
  <si>
    <t>(LABOR)</t>
  </si>
  <si>
    <t>(REVENUE)</t>
  </si>
  <si>
    <t>(ALLOCATION AMOUNT)</t>
  </si>
  <si>
    <t>(ALLOCATION PERCENT)</t>
  </si>
  <si>
    <t>(SUMMARY)</t>
  </si>
  <si>
    <t>Other Revenue</t>
  </si>
  <si>
    <t xml:space="preserve">    Total Operating Revenue</t>
  </si>
  <si>
    <t>Operating Income</t>
  </si>
  <si>
    <t>Total O&amp;M Expenses</t>
  </si>
  <si>
    <t>Taxes Other Than Income</t>
  </si>
  <si>
    <t>Income Taxes</t>
  </si>
  <si>
    <t xml:space="preserve">     Total Operating Expenses</t>
  </si>
  <si>
    <t>Current Rate Revenue</t>
  </si>
  <si>
    <t>NET OPERATING INCOME</t>
  </si>
  <si>
    <t>Gross Plant</t>
  </si>
  <si>
    <t>Depreciation Reserve &amp; Amort.</t>
  </si>
  <si>
    <t>Net Plant</t>
  </si>
  <si>
    <t>ADIT</t>
  </si>
  <si>
    <t>Customer Advances &amp; Deposits</t>
  </si>
  <si>
    <t>TOTAL RATE BASE</t>
  </si>
  <si>
    <t>Rate of Return (Current Rates)</t>
  </si>
  <si>
    <t>Depreciation &amp; Amort.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</si>
</sst>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164" formatCode="0.0000%"/>
    <numFmt numFmtId="165" formatCode="_(&quot;$&quot;* #,##0_);_(&quot;$&quot;* \(#,##0\);_(&quot;$&quot;* &quot;-&quot;??_);_(@_)"/>
    <numFmt numFmtId="166" formatCode="&quot;$&quot;#,##0"/>
    <numFmt numFmtId="167" formatCode="0.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64" fontId="0" fillId="0" borderId="0" xfId="2" applyNumberFormat="1" applyFont="1"/>
    <xf numFmtId="164" fontId="0" fillId="0" borderId="0" xfId="0" applyNumberFormat="1"/>
    <xf numFmtId="3" fontId="2" fillId="0" borderId="0" xfId="0" applyNumberFormat="1" applyFont="1" applyAlignment="1">
      <alignment horizontal="center"/>
    </xf>
    <xf numFmtId="165" fontId="0" fillId="0" borderId="0" xfId="1" applyNumberFormat="1" applyFont="1"/>
    <xf numFmtId="5" fontId="0" fillId="0" borderId="0" xfId="1" applyNumberFormat="1" applyFont="1"/>
    <xf numFmtId="5" fontId="0" fillId="0" borderId="0" xfId="0" applyNumberFormat="1"/>
    <xf numFmtId="10" fontId="0" fillId="0" borderId="0" xfId="2" applyNumberFormat="1" applyFont="1"/>
    <xf numFmtId="9" fontId="0" fillId="0" borderId="0" xfId="2" applyFont="1"/>
    <xf numFmtId="0" fontId="3" fillId="0" borderId="0" xfId="0" applyFont="1"/>
    <xf numFmtId="166" fontId="0" fillId="0" borderId="0" xfId="0" applyNumberFormat="1"/>
    <xf numFmtId="0" fontId="0" fillId="0" borderId="1" xfId="0" applyBorder="1"/>
    <xf numFmtId="3" fontId="0" fillId="0" borderId="1" xfId="0" applyNumberFormat="1" applyBorder="1"/>
    <xf numFmtId="3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6" fontId="0" fillId="0" borderId="0" xfId="1" applyNumberFormat="1" applyFont="1"/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Alignment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0" xfId="0" applyFont="1"/>
    <xf numFmtId="3" fontId="2" fillId="0" borderId="0" xfId="0" applyNumberFormat="1" applyFont="1"/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5" fillId="0" borderId="0" xfId="0" applyFont="1"/>
    <xf numFmtId="0" fontId="4" fillId="0" borderId="1" xfId="0" applyFont="1" applyBorder="1"/>
    <xf numFmtId="3" fontId="4" fillId="0" borderId="1" xfId="0" applyNumberFormat="1" applyFont="1" applyBorder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6" fillId="0" borderId="0" xfId="0" applyFont="1"/>
    <xf numFmtId="166" fontId="5" fillId="0" borderId="0" xfId="0" applyNumberFormat="1" applyFont="1"/>
    <xf numFmtId="166" fontId="5" fillId="0" borderId="1" xfId="0" applyNumberFormat="1" applyFont="1" applyBorder="1"/>
    <xf numFmtId="166" fontId="5" fillId="0" borderId="3" xfId="0" applyNumberFormat="1" applyFont="1" applyBorder="1"/>
    <xf numFmtId="10" fontId="5" fillId="0" borderId="0" xfId="2" applyNumberFormat="1" applyFont="1"/>
    <xf numFmtId="9" fontId="5" fillId="0" borderId="0" xfId="2" applyNumberFormat="1" applyFont="1"/>
    <xf numFmtId="0" fontId="7" fillId="0" borderId="0" xfId="0" applyFont="1"/>
    <xf numFmtId="9" fontId="5" fillId="0" borderId="0" xfId="2" applyFont="1"/>
    <xf numFmtId="167" fontId="5" fillId="0" borderId="0" xfId="0" applyNumberFormat="1" applyFont="1"/>
    <xf numFmtId="166" fontId="5" fillId="0" borderId="0" xfId="1" applyNumberFormat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9"/>
  <sheetViews>
    <sheetView workbookViewId="0">
      <pane xSplit="7" ySplit="9" topLeftCell="I10" activePane="bottomRight" state="frozen"/>
      <selection activeCell="B2" sqref="B2:N2"/>
      <selection pane="topRight" activeCell="B2" sqref="B2:N2"/>
      <selection pane="bottomLeft" activeCell="B2" sqref="B2:N2"/>
      <selection pane="bottomRight" activeCell="B15" sqref="B15"/>
    </sheetView>
  </sheetViews>
  <sheetFormatPr defaultRowHeight="12.75" x14ac:dyDescent="0.2"/>
  <cols>
    <col min="1" max="2" width="9.140625" style="35"/>
    <col min="3" max="3" width="0" style="35" hidden="1" customWidth="1"/>
    <col min="4" max="4" width="29" style="35" bestFit="1" customWidth="1"/>
    <col min="5" max="6" width="0" style="35" hidden="1" customWidth="1"/>
    <col min="7" max="7" width="14.42578125" style="35" hidden="1" customWidth="1"/>
    <col min="8" max="8" width="0" style="35" hidden="1" customWidth="1"/>
    <col min="9" max="10" width="12.42578125" style="35" bestFit="1" customWidth="1"/>
    <col min="11" max="11" width="11.42578125" style="35" bestFit="1" customWidth="1"/>
    <col min="12" max="12" width="10.42578125" style="35" bestFit="1" customWidth="1"/>
    <col min="13" max="13" width="9.85546875" style="35" bestFit="1" customWidth="1"/>
    <col min="14" max="14" width="12.42578125" style="35" bestFit="1" customWidth="1"/>
    <col min="15" max="16384" width="9.140625" style="35"/>
  </cols>
  <sheetData>
    <row r="2" spans="2:14" x14ac:dyDescent="0.2">
      <c r="B2" s="52" t="s">
        <v>513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2:14" x14ac:dyDescent="0.2">
      <c r="B3" s="52" t="s">
        <v>514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2:14" x14ac:dyDescent="0.2">
      <c r="B4" s="52" t="s">
        <v>521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2:14" x14ac:dyDescent="0.2">
      <c r="B5" s="36"/>
      <c r="C5" s="36"/>
      <c r="D5" s="36"/>
      <c r="E5" s="37"/>
      <c r="F5" s="37"/>
      <c r="G5" s="37"/>
      <c r="H5" s="37"/>
      <c r="I5" s="36"/>
      <c r="J5" s="36"/>
      <c r="K5" s="36"/>
      <c r="L5" s="36"/>
      <c r="M5" s="36"/>
      <c r="N5" s="36"/>
    </row>
    <row r="6" spans="2:14" x14ac:dyDescent="0.2">
      <c r="B6" s="38"/>
      <c r="C6" s="38"/>
      <c r="D6" s="38"/>
      <c r="E6" s="38" t="s">
        <v>0</v>
      </c>
      <c r="F6" s="39"/>
      <c r="G6" s="39"/>
      <c r="H6" s="39"/>
      <c r="I6" s="38"/>
      <c r="J6" s="38"/>
      <c r="K6" s="38"/>
      <c r="L6" s="38"/>
      <c r="M6" s="38"/>
      <c r="N6" s="38"/>
    </row>
    <row r="7" spans="2:14" x14ac:dyDescent="0.2">
      <c r="B7" s="38"/>
      <c r="C7" s="38"/>
      <c r="D7" s="38"/>
      <c r="E7" s="39" t="s">
        <v>1</v>
      </c>
      <c r="F7" s="39"/>
      <c r="G7" s="39"/>
      <c r="H7" s="39" t="s">
        <v>464</v>
      </c>
      <c r="I7" s="38"/>
      <c r="J7" s="38"/>
      <c r="K7" s="38"/>
      <c r="L7" s="38"/>
      <c r="M7" s="38"/>
      <c r="N7" s="38"/>
    </row>
    <row r="8" spans="2:14" x14ac:dyDescent="0.2">
      <c r="B8" s="40" t="s">
        <v>2</v>
      </c>
      <c r="C8" s="40" t="s">
        <v>3</v>
      </c>
      <c r="D8" s="40" t="s">
        <v>4</v>
      </c>
      <c r="E8" s="41" t="s">
        <v>5</v>
      </c>
      <c r="F8" s="41" t="s">
        <v>6</v>
      </c>
      <c r="G8" s="41" t="s">
        <v>7</v>
      </c>
      <c r="H8" s="41" t="s">
        <v>463</v>
      </c>
      <c r="I8" s="40" t="s">
        <v>8</v>
      </c>
      <c r="J8" s="40" t="s">
        <v>9</v>
      </c>
      <c r="K8" s="40" t="s">
        <v>10</v>
      </c>
      <c r="L8" s="40" t="s">
        <v>11</v>
      </c>
      <c r="M8" s="40" t="s">
        <v>12</v>
      </c>
      <c r="N8" s="40" t="s">
        <v>13</v>
      </c>
    </row>
    <row r="10" spans="2:14" x14ac:dyDescent="0.2">
      <c r="B10" s="42" t="s">
        <v>524</v>
      </c>
    </row>
    <row r="11" spans="2:14" x14ac:dyDescent="0.2">
      <c r="D11" s="35" t="s">
        <v>529</v>
      </c>
      <c r="I11" s="43">
        <f>-Revenue!I11</f>
        <v>148485000.00000003</v>
      </c>
      <c r="J11" s="43">
        <f>-Revenue!J11</f>
        <v>107941456.68724887</v>
      </c>
      <c r="K11" s="43">
        <f>-Revenue!K11</f>
        <v>33798192.391850784</v>
      </c>
      <c r="L11" s="43">
        <f>-Revenue!L11</f>
        <v>3762196.8009496857</v>
      </c>
      <c r="M11" s="43">
        <f>-Revenue!M11</f>
        <v>730099.82668873377</v>
      </c>
      <c r="N11" s="43">
        <f>-Revenue!N11</f>
        <v>2253054.293261962</v>
      </c>
    </row>
    <row r="12" spans="2:14" x14ac:dyDescent="0.2">
      <c r="D12" s="35" t="s">
        <v>522</v>
      </c>
      <c r="I12" s="44">
        <f>-Revenue!I20</f>
        <v>1949999.9999999995</v>
      </c>
      <c r="J12" s="44">
        <f>-Revenue!J20</f>
        <v>1442973.2699187505</v>
      </c>
      <c r="K12" s="44">
        <f>-Revenue!K20</f>
        <v>340518.55087729217</v>
      </c>
      <c r="L12" s="44">
        <f>-Revenue!L20</f>
        <v>30703.67510211308</v>
      </c>
      <c r="M12" s="44">
        <f>-Revenue!M20</f>
        <v>7500.8662059538483</v>
      </c>
      <c r="N12" s="44">
        <f>-Revenue!N20</f>
        <v>128303.63789588997</v>
      </c>
    </row>
    <row r="13" spans="2:14" x14ac:dyDescent="0.2">
      <c r="D13" s="35" t="s">
        <v>523</v>
      </c>
      <c r="I13" s="43">
        <f>+I12+I11</f>
        <v>150435000.00000003</v>
      </c>
      <c r="J13" s="43">
        <f t="shared" ref="J13:N13" si="0">+J12+J11</f>
        <v>109384429.95716763</v>
      </c>
      <c r="K13" s="43">
        <f t="shared" si="0"/>
        <v>34138710.94272808</v>
      </c>
      <c r="L13" s="43">
        <f t="shared" si="0"/>
        <v>3792900.476051799</v>
      </c>
      <c r="M13" s="43">
        <f t="shared" si="0"/>
        <v>737600.69289468764</v>
      </c>
      <c r="N13" s="43">
        <f t="shared" si="0"/>
        <v>2381357.9311578521</v>
      </c>
    </row>
    <row r="14" spans="2:14" x14ac:dyDescent="0.2">
      <c r="I14" s="43"/>
      <c r="J14" s="43"/>
      <c r="K14" s="43"/>
      <c r="L14" s="43"/>
      <c r="M14" s="43"/>
      <c r="N14" s="43"/>
    </row>
    <row r="15" spans="2:14" x14ac:dyDescent="0.2">
      <c r="D15" s="35" t="s">
        <v>525</v>
      </c>
      <c r="I15" s="43">
        <f>+Expenses!I178</f>
        <v>111127000.01391649</v>
      </c>
      <c r="J15" s="43">
        <f>+Expenses!J178</f>
        <v>79949254.943862289</v>
      </c>
      <c r="K15" s="43">
        <f>+Expenses!K178</f>
        <v>25819405.581967607</v>
      </c>
      <c r="L15" s="43">
        <f>+Expenses!L178</f>
        <v>2996360.5628083302</v>
      </c>
      <c r="M15" s="43">
        <f>+Expenses!M178</f>
        <v>624530.510743908</v>
      </c>
      <c r="N15" s="43">
        <f>+Expenses!N178</f>
        <v>1737448.4145343485</v>
      </c>
    </row>
    <row r="16" spans="2:14" x14ac:dyDescent="0.2">
      <c r="D16" s="35" t="s">
        <v>526</v>
      </c>
      <c r="I16" s="43">
        <f>+Expenses!I186</f>
        <v>8970000</v>
      </c>
      <c r="J16" s="43">
        <f>+Expenses!J186</f>
        <v>6584247.1403662553</v>
      </c>
      <c r="K16" s="43">
        <f>+Expenses!K186</f>
        <v>1871874.6314438176</v>
      </c>
      <c r="L16" s="43">
        <f>+Expenses!L186</f>
        <v>197564.32491829526</v>
      </c>
      <c r="M16" s="43">
        <f>+Expenses!M186</f>
        <v>40275.769660495913</v>
      </c>
      <c r="N16" s="43">
        <f>+Expenses!N186</f>
        <v>276038.13361113641</v>
      </c>
    </row>
    <row r="17" spans="2:14" x14ac:dyDescent="0.2">
      <c r="D17" s="35" t="s">
        <v>538</v>
      </c>
      <c r="I17" s="43">
        <f>+Expenses!I238</f>
        <v>15678000</v>
      </c>
      <c r="J17" s="43">
        <f>+Expenses!J238</f>
        <v>11876909.373815445</v>
      </c>
      <c r="K17" s="43">
        <f>+Expenses!K238</f>
        <v>2514286.0241068983</v>
      </c>
      <c r="L17" s="43">
        <f>+Expenses!L238</f>
        <v>218003.43500883627</v>
      </c>
      <c r="M17" s="43">
        <f>+Expenses!M238</f>
        <v>53943.068054318683</v>
      </c>
      <c r="N17" s="43">
        <f>+Expenses!N238</f>
        <v>1014858.0990145036</v>
      </c>
    </row>
    <row r="18" spans="2:14" x14ac:dyDescent="0.2">
      <c r="D18" s="35" t="s">
        <v>527</v>
      </c>
      <c r="I18" s="44">
        <f>+Expenses!I251</f>
        <v>3472000.0000000075</v>
      </c>
      <c r="J18" s="44">
        <f>+Expenses!J251</f>
        <v>2624415.8571438463</v>
      </c>
      <c r="K18" s="44">
        <f>+Expenses!K251</f>
        <v>1205049.777496594</v>
      </c>
      <c r="L18" s="44">
        <f>+Expenses!L251</f>
        <v>120122.45547447336</v>
      </c>
      <c r="M18" s="44">
        <f>+Expenses!M251</f>
        <v>-3033.6537597814099</v>
      </c>
      <c r="N18" s="44">
        <f>+Expenses!N251</f>
        <v>-474554.43635511684</v>
      </c>
    </row>
    <row r="19" spans="2:14" x14ac:dyDescent="0.2">
      <c r="D19" s="35" t="s">
        <v>528</v>
      </c>
      <c r="I19" s="43">
        <f>SUM(I15:I18)</f>
        <v>139247000.01391649</v>
      </c>
      <c r="J19" s="43">
        <f t="shared" ref="J19:N19" si="1">SUM(J15:J18)</f>
        <v>101034827.31518784</v>
      </c>
      <c r="K19" s="43">
        <f t="shared" si="1"/>
        <v>31410616.015014917</v>
      </c>
      <c r="L19" s="43">
        <f t="shared" si="1"/>
        <v>3532050.7782099354</v>
      </c>
      <c r="M19" s="43">
        <f t="shared" si="1"/>
        <v>715715.6946989412</v>
      </c>
      <c r="N19" s="43">
        <f t="shared" si="1"/>
        <v>2553790.2108048717</v>
      </c>
    </row>
    <row r="20" spans="2:14" ht="13.5" thickBot="1" x14ac:dyDescent="0.25">
      <c r="I20" s="45"/>
      <c r="J20" s="45"/>
      <c r="K20" s="45"/>
      <c r="L20" s="45"/>
      <c r="M20" s="45"/>
      <c r="N20" s="45"/>
    </row>
    <row r="21" spans="2:14" ht="13.5" thickTop="1" x14ac:dyDescent="0.2">
      <c r="D21" s="35" t="s">
        <v>530</v>
      </c>
      <c r="I21" s="43">
        <f>+I13-I19</f>
        <v>11187999.986083537</v>
      </c>
      <c r="J21" s="43">
        <f t="shared" ref="J21:N21" si="2">+J13-J19</f>
        <v>8349602.6419797838</v>
      </c>
      <c r="K21" s="43">
        <f t="shared" si="2"/>
        <v>2728094.9277131632</v>
      </c>
      <c r="L21" s="43">
        <f t="shared" si="2"/>
        <v>260849.69784186361</v>
      </c>
      <c r="M21" s="43">
        <f t="shared" si="2"/>
        <v>21884.998195746448</v>
      </c>
      <c r="N21" s="43">
        <f t="shared" si="2"/>
        <v>-172432.27964701969</v>
      </c>
    </row>
    <row r="22" spans="2:14" x14ac:dyDescent="0.2">
      <c r="I22" s="43"/>
      <c r="J22" s="43"/>
      <c r="K22" s="43"/>
      <c r="L22" s="43"/>
      <c r="M22" s="43"/>
      <c r="N22" s="43"/>
    </row>
    <row r="23" spans="2:14" x14ac:dyDescent="0.2">
      <c r="B23" s="42" t="s">
        <v>55</v>
      </c>
      <c r="I23" s="43"/>
      <c r="J23" s="43"/>
      <c r="K23" s="43"/>
      <c r="L23" s="43"/>
      <c r="M23" s="43"/>
      <c r="N23" s="43"/>
    </row>
    <row r="24" spans="2:14" x14ac:dyDescent="0.2">
      <c r="D24" s="35" t="s">
        <v>531</v>
      </c>
      <c r="I24" s="43">
        <f>+'Rate Base'!I62</f>
        <v>448574000</v>
      </c>
      <c r="J24" s="43">
        <f>+'Rate Base'!J62</f>
        <v>335264582.95814288</v>
      </c>
      <c r="K24" s="43">
        <f>+'Rate Base'!K62</f>
        <v>74912853.590979904</v>
      </c>
      <c r="L24" s="43">
        <f>+'Rate Base'!L62</f>
        <v>6642286.3815248506</v>
      </c>
      <c r="M24" s="43">
        <f>+'Rate Base'!M62</f>
        <v>1628780.0208143536</v>
      </c>
      <c r="N24" s="43">
        <f>+'Rate Base'!N62</f>
        <v>30125497.048537955</v>
      </c>
    </row>
    <row r="25" spans="2:14" x14ac:dyDescent="0.2">
      <c r="D25" s="35" t="s">
        <v>532</v>
      </c>
      <c r="I25" s="44">
        <f>+'Rate Base'!I112</f>
        <v>-161106000</v>
      </c>
      <c r="J25" s="44">
        <f>+'Rate Base'!J112</f>
        <v>-121288685.38095322</v>
      </c>
      <c r="K25" s="44">
        <f>+'Rate Base'!K112</f>
        <v>-26227764.668268912</v>
      </c>
      <c r="L25" s="44">
        <f>+'Rate Base'!L112</f>
        <v>-2370428.9848583108</v>
      </c>
      <c r="M25" s="44">
        <f>+'Rate Base'!M112</f>
        <v>-573733.13242242543</v>
      </c>
      <c r="N25" s="44">
        <f>+'Rate Base'!N112</f>
        <v>-10645387.833497126</v>
      </c>
    </row>
    <row r="26" spans="2:14" x14ac:dyDescent="0.2">
      <c r="D26" s="35" t="s">
        <v>533</v>
      </c>
      <c r="I26" s="43">
        <f>+I24+I25</f>
        <v>287468000</v>
      </c>
      <c r="J26" s="43">
        <f t="shared" ref="J26:N26" si="3">+J24+J25</f>
        <v>213975897.57718965</v>
      </c>
      <c r="K26" s="43">
        <f t="shared" si="3"/>
        <v>48685088.922710992</v>
      </c>
      <c r="L26" s="43">
        <f t="shared" si="3"/>
        <v>4271857.3966665398</v>
      </c>
      <c r="M26" s="43">
        <f t="shared" si="3"/>
        <v>1055046.8883919283</v>
      </c>
      <c r="N26" s="43">
        <f t="shared" si="3"/>
        <v>19480109.215040829</v>
      </c>
    </row>
    <row r="27" spans="2:14" x14ac:dyDescent="0.2">
      <c r="I27" s="43"/>
      <c r="J27" s="43"/>
      <c r="K27" s="43"/>
      <c r="L27" s="43"/>
      <c r="M27" s="43"/>
      <c r="N27" s="43"/>
    </row>
    <row r="28" spans="2:14" x14ac:dyDescent="0.2">
      <c r="D28" s="35" t="s">
        <v>534</v>
      </c>
      <c r="I28" s="43">
        <f>+'Rate Base'!I116</f>
        <v>-54737000.000000007</v>
      </c>
      <c r="J28" s="43">
        <f>+'Rate Base'!J116</f>
        <v>-40910479.602874599</v>
      </c>
      <c r="K28" s="43">
        <f>+'Rate Base'!K116</f>
        <v>-9141200.4864514396</v>
      </c>
      <c r="L28" s="43">
        <f>+'Rate Base'!L116</f>
        <v>-810521.40709342447</v>
      </c>
      <c r="M28" s="43">
        <f>+'Rate Base'!M116</f>
        <v>-198751.00206279295</v>
      </c>
      <c r="N28" s="43">
        <f>+'Rate Base'!N116</f>
        <v>-3676047.501517748</v>
      </c>
    </row>
    <row r="29" spans="2:14" x14ac:dyDescent="0.2">
      <c r="D29" s="35" t="s">
        <v>535</v>
      </c>
      <c r="I29" s="43">
        <f>+'Rate Base'!I119</f>
        <v>-461000</v>
      </c>
      <c r="J29" s="43">
        <f>+'Rate Base'!J119</f>
        <v>-461000</v>
      </c>
      <c r="K29" s="43">
        <f>+'Rate Base'!K119</f>
        <v>0</v>
      </c>
      <c r="L29" s="43">
        <f>+'Rate Base'!L119</f>
        <v>0</v>
      </c>
      <c r="M29" s="43">
        <f>+'Rate Base'!M119</f>
        <v>0</v>
      </c>
      <c r="N29" s="43">
        <f>+'Rate Base'!N119</f>
        <v>0</v>
      </c>
    </row>
    <row r="30" spans="2:14" x14ac:dyDescent="0.2">
      <c r="D30" s="35" t="s">
        <v>198</v>
      </c>
      <c r="I30" s="43">
        <f>+'Rate Base'!I120</f>
        <v>11341000.000000002</v>
      </c>
      <c r="J30" s="43">
        <f>+'Rate Base'!J120</f>
        <v>7646017.1058617374</v>
      </c>
      <c r="K30" s="43">
        <f>+'Rate Base'!K120</f>
        <v>3018837.2715940834</v>
      </c>
      <c r="L30" s="43">
        <f>+'Rate Base'!L120</f>
        <v>378035.54117961088</v>
      </c>
      <c r="M30" s="43">
        <f>+'Rate Base'!M120</f>
        <v>81508.531715809528</v>
      </c>
      <c r="N30" s="43">
        <f>+'Rate Base'!N120</f>
        <v>216601.54964876123</v>
      </c>
    </row>
    <row r="31" spans="2:14" x14ac:dyDescent="0.2">
      <c r="D31" s="35" t="s">
        <v>200</v>
      </c>
      <c r="I31" s="43">
        <f>+'Rate Base'!I121</f>
        <v>9100000.0000000019</v>
      </c>
      <c r="J31" s="43">
        <f>+'Rate Base'!J121</f>
        <v>6801347.6147059361</v>
      </c>
      <c r="K31" s="43">
        <f>+'Rate Base'!K121</f>
        <v>1519720.197064291</v>
      </c>
      <c r="L31" s="43">
        <f>+'Rate Base'!L121</f>
        <v>134748.79523083405</v>
      </c>
      <c r="M31" s="43">
        <f>+'Rate Base'!M121</f>
        <v>33042.258778731317</v>
      </c>
      <c r="N31" s="43">
        <f>+'Rate Base'!N121</f>
        <v>611141.13422020769</v>
      </c>
    </row>
    <row r="32" spans="2:14" x14ac:dyDescent="0.2">
      <c r="D32" s="35" t="s">
        <v>203</v>
      </c>
      <c r="I32" s="43">
        <f>+'Rate Base'!I123</f>
        <v>-9867000.0000000019</v>
      </c>
      <c r="J32" s="43">
        <f>+'Rate Base'!J123</f>
        <v>-7374604.0565168653</v>
      </c>
      <c r="K32" s="43">
        <f>+'Rate Base'!K123</f>
        <v>-1647810.8993882814</v>
      </c>
      <c r="L32" s="43">
        <f>+'Rate Base'!L123</f>
        <v>-146106.19368600435</v>
      </c>
      <c r="M32" s="43">
        <f>+'Rate Base'!M123</f>
        <v>-35827.249161510095</v>
      </c>
      <c r="N32" s="43">
        <f>+'Rate Base'!N123</f>
        <v>-662651.60124733951</v>
      </c>
    </row>
    <row r="33" spans="2:14" ht="13.5" thickBot="1" x14ac:dyDescent="0.25">
      <c r="I33" s="45"/>
      <c r="J33" s="45"/>
      <c r="K33" s="45"/>
      <c r="L33" s="45"/>
      <c r="M33" s="45"/>
      <c r="N33" s="45"/>
    </row>
    <row r="34" spans="2:14" ht="13.5" thickTop="1" x14ac:dyDescent="0.2">
      <c r="D34" s="35" t="s">
        <v>536</v>
      </c>
      <c r="I34" s="43">
        <f>SUM(I26:I32)</f>
        <v>242844000</v>
      </c>
      <c r="J34" s="43">
        <f t="shared" ref="J34:N34" si="4">SUM(J26:J32)</f>
        <v>179677178.63836586</v>
      </c>
      <c r="K34" s="43">
        <f t="shared" si="4"/>
        <v>42434635.005529642</v>
      </c>
      <c r="L34" s="43">
        <f t="shared" si="4"/>
        <v>3828014.1322975564</v>
      </c>
      <c r="M34" s="43">
        <f t="shared" si="4"/>
        <v>935019.42766216607</v>
      </c>
      <c r="N34" s="43">
        <f t="shared" si="4"/>
        <v>15969152.796144709</v>
      </c>
    </row>
    <row r="36" spans="2:14" x14ac:dyDescent="0.2">
      <c r="B36" s="35" t="s">
        <v>537</v>
      </c>
      <c r="I36" s="46">
        <f>+I21/I34</f>
        <v>4.6070728476237985E-2</v>
      </c>
      <c r="J36" s="46">
        <f t="shared" ref="J36:N36" si="5">+J21/J34</f>
        <v>4.647002310062387E-2</v>
      </c>
      <c r="K36" s="46">
        <f t="shared" si="5"/>
        <v>6.4289345892987321E-2</v>
      </c>
      <c r="L36" s="46">
        <f t="shared" si="5"/>
        <v>6.8142302725853005E-2</v>
      </c>
      <c r="M36" s="46">
        <f t="shared" si="5"/>
        <v>2.3405928848415077E-2</v>
      </c>
      <c r="N36" s="46">
        <f t="shared" si="5"/>
        <v>-1.0797835166850459E-2</v>
      </c>
    </row>
    <row r="37" spans="2:14" x14ac:dyDescent="0.2">
      <c r="B37" s="35" t="s">
        <v>503</v>
      </c>
      <c r="I37" s="47">
        <f>+I36/$I36</f>
        <v>1</v>
      </c>
      <c r="J37" s="47">
        <f t="shared" ref="J37:N37" si="6">+J36/$I36</f>
        <v>1.0086669917666231</v>
      </c>
      <c r="K37" s="47">
        <f t="shared" si="6"/>
        <v>1.3954488678455779</v>
      </c>
      <c r="L37" s="47">
        <f t="shared" si="6"/>
        <v>1.479080209487005</v>
      </c>
      <c r="M37" s="47">
        <f t="shared" si="6"/>
        <v>0.50804338508533053</v>
      </c>
      <c r="N37" s="47">
        <f t="shared" si="6"/>
        <v>-0.23437517755812534</v>
      </c>
    </row>
    <row r="38" spans="2:14" x14ac:dyDescent="0.2">
      <c r="I38" s="47"/>
      <c r="J38" s="47"/>
      <c r="K38" s="47"/>
      <c r="L38" s="47"/>
      <c r="M38" s="47"/>
      <c r="N38" s="47"/>
    </row>
    <row r="40" spans="2:14" x14ac:dyDescent="0.2">
      <c r="B40" s="48" t="s">
        <v>512</v>
      </c>
      <c r="I40" s="43">
        <f>0.0771*'Rate Base'!I127</f>
        <v>18723272.400000002</v>
      </c>
      <c r="J40" s="43">
        <f>0.0771*'Rate Base'!J127</f>
        <v>13853110.473018009</v>
      </c>
      <c r="K40" s="43">
        <f>0.0771*'Rate Base'!K127</f>
        <v>3271710.3589263353</v>
      </c>
      <c r="L40" s="43">
        <f>0.0771*'Rate Base'!L127</f>
        <v>295139.88960014156</v>
      </c>
      <c r="M40" s="43">
        <f>0.0771*'Rate Base'!M127</f>
        <v>72089.997872753011</v>
      </c>
      <c r="N40" s="43">
        <f>0.0771*'Rate Base'!N127</f>
        <v>1231221.6805827573</v>
      </c>
    </row>
    <row r="41" spans="2:14" x14ac:dyDescent="0.2">
      <c r="B41" s="48" t="s">
        <v>504</v>
      </c>
      <c r="I41" s="43">
        <f>+I40-Expenses!I255</f>
        <v>7535272.4139164649</v>
      </c>
      <c r="J41" s="43">
        <f>+J40-Expenses!J255</f>
        <v>5503507.8310382254</v>
      </c>
      <c r="K41" s="43">
        <f>+K40-Expenses!K255</f>
        <v>543615.43121317215</v>
      </c>
      <c r="L41" s="43">
        <f>+L40-Expenses!L255</f>
        <v>34290.191758277942</v>
      </c>
      <c r="M41" s="43">
        <f>+M40-Expenses!M255</f>
        <v>50204.999677006563</v>
      </c>
      <c r="N41" s="43">
        <f>+N40-Expenses!N255</f>
        <v>1403653.960229777</v>
      </c>
    </row>
    <row r="42" spans="2:14" x14ac:dyDescent="0.2">
      <c r="B42" s="48" t="s">
        <v>505</v>
      </c>
      <c r="I42" s="50">
        <f>+I41/I43</f>
        <v>0.62095363938330983</v>
      </c>
      <c r="J42" s="50">
        <f>+I42</f>
        <v>0.62095363938330983</v>
      </c>
      <c r="K42" s="50">
        <f>+J42</f>
        <v>0.62095363938330983</v>
      </c>
      <c r="L42" s="50">
        <f>+K42</f>
        <v>0.62095363938330983</v>
      </c>
      <c r="M42" s="50">
        <f>+L42</f>
        <v>0.62095363938330983</v>
      </c>
      <c r="N42" s="50">
        <f>+M42</f>
        <v>0.62095363938330983</v>
      </c>
    </row>
    <row r="43" spans="2:14" x14ac:dyDescent="0.2">
      <c r="B43" s="48" t="s">
        <v>506</v>
      </c>
      <c r="I43" s="43">
        <v>12135000</v>
      </c>
      <c r="J43" s="51">
        <f>+J41/J42</f>
        <v>8862993.115724301</v>
      </c>
      <c r="K43" s="51">
        <f>+K41/K42</f>
        <v>875452.52452832891</v>
      </c>
      <c r="L43" s="51">
        <f>+L41/L42</f>
        <v>55221.822666717431</v>
      </c>
      <c r="M43" s="51">
        <f>+M41/M42</f>
        <v>80851.446054598942</v>
      </c>
      <c r="N43" s="51">
        <f>+N41/N42</f>
        <v>2260481.0910260445</v>
      </c>
    </row>
    <row r="44" spans="2:14" x14ac:dyDescent="0.2">
      <c r="I44" s="43"/>
      <c r="J44" s="43"/>
      <c r="K44" s="43"/>
      <c r="L44" s="43"/>
      <c r="M44" s="43"/>
      <c r="N44" s="43"/>
    </row>
    <row r="45" spans="2:14" x14ac:dyDescent="0.2">
      <c r="B45" s="48" t="s">
        <v>508</v>
      </c>
      <c r="I45" s="43">
        <f>SUM(J45:N45)</f>
        <v>12135000</v>
      </c>
      <c r="J45" s="43">
        <v>9360861</v>
      </c>
      <c r="K45" s="43">
        <v>1922537</v>
      </c>
      <c r="L45" s="43">
        <v>181169</v>
      </c>
      <c r="M45" s="43">
        <v>49956</v>
      </c>
      <c r="N45" s="43">
        <v>620477</v>
      </c>
    </row>
    <row r="46" spans="2:14" x14ac:dyDescent="0.2">
      <c r="B46" s="48" t="s">
        <v>509</v>
      </c>
      <c r="I46" s="43">
        <f>SUM(J46:N46)</f>
        <v>7535272.4139164649</v>
      </c>
      <c r="J46" s="43">
        <f>+J45*J42</f>
        <v>5812660.7057112893</v>
      </c>
      <c r="K46" s="43">
        <f>+K45*K42</f>
        <v>1193806.3469990704</v>
      </c>
      <c r="L46" s="43">
        <f>+L45*L42</f>
        <v>112497.54989343486</v>
      </c>
      <c r="M46" s="43">
        <f>+M45*M42</f>
        <v>31020.360009032625</v>
      </c>
      <c r="N46" s="43">
        <f>+N45*N42</f>
        <v>385287.45130363794</v>
      </c>
    </row>
    <row r="47" spans="2:14" x14ac:dyDescent="0.2">
      <c r="B47" s="48" t="s">
        <v>510</v>
      </c>
      <c r="I47" s="43">
        <f>SUM(J47:N47)</f>
        <v>18723272.400000006</v>
      </c>
      <c r="J47" s="43">
        <f>+J46+Expenses!J255</f>
        <v>14162263.347691074</v>
      </c>
      <c r="K47" s="43">
        <f>+K46+Expenses!K255</f>
        <v>3921901.2747122338</v>
      </c>
      <c r="L47" s="43">
        <f>+L46+Expenses!L255</f>
        <v>373347.24773529847</v>
      </c>
      <c r="M47" s="43">
        <f>+M46+Expenses!M255</f>
        <v>52905.35820477907</v>
      </c>
      <c r="N47" s="43">
        <f>+N46+Expenses!N255</f>
        <v>212855.17165661824</v>
      </c>
    </row>
    <row r="48" spans="2:14" x14ac:dyDescent="0.2">
      <c r="B48" s="48" t="s">
        <v>511</v>
      </c>
      <c r="I48" s="46">
        <f>+I47/'Rate Base'!I127</f>
        <v>7.710000000000003E-2</v>
      </c>
      <c r="J48" s="46">
        <f>+J47/'Rate Base'!J127</f>
        <v>7.8820601787137887E-2</v>
      </c>
      <c r="K48" s="46">
        <f>+K47/'Rate Base'!K127</f>
        <v>9.2422175286795138E-2</v>
      </c>
      <c r="L48" s="46">
        <f>+L47/'Rate Base'!L127</f>
        <v>9.7530268915495683E-2</v>
      </c>
      <c r="M48" s="46">
        <f>+M47/'Rate Base'!M127</f>
        <v>5.6582095130428049E-2</v>
      </c>
      <c r="N48" s="46">
        <f>+N47/'Rate Base'!N127</f>
        <v>1.3329146159087786E-2</v>
      </c>
    </row>
    <row r="49" spans="2:14" x14ac:dyDescent="0.2">
      <c r="B49" s="48" t="s">
        <v>507</v>
      </c>
      <c r="I49" s="49">
        <v>1</v>
      </c>
      <c r="J49" s="49">
        <f>+J48/I48</f>
        <v>1.0223164952936168</v>
      </c>
      <c r="K49" s="49">
        <f>+K48/J48</f>
        <v>1.1725636850171421</v>
      </c>
      <c r="L49" s="49">
        <f>+L48/K48</f>
        <v>1.0552691344133551</v>
      </c>
      <c r="M49" s="49">
        <f>+M48/L48</f>
        <v>0.58014907330413645</v>
      </c>
      <c r="N49" s="49">
        <f>+N48/M48</f>
        <v>0.23557180285322796</v>
      </c>
    </row>
  </sheetData>
  <mergeCells count="3">
    <mergeCell ref="B2:N2"/>
    <mergeCell ref="B3:N3"/>
    <mergeCell ref="B4:N4"/>
  </mergeCells>
  <printOptions horizontalCentered="1"/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tabSelected="1" zoomScale="75" zoomScaleNormal="75" workbookViewId="0">
      <selection activeCell="L5" sqref="L5"/>
    </sheetView>
  </sheetViews>
  <sheetFormatPr defaultRowHeight="15" x14ac:dyDescent="0.25"/>
  <cols>
    <col min="1" max="1" width="4.140625" bestFit="1" customWidth="1"/>
    <col min="2" max="2" width="8" customWidth="1"/>
    <col min="3" max="3" width="5.140625" hidden="1" customWidth="1"/>
    <col min="4" max="4" width="50" bestFit="1" customWidth="1"/>
    <col min="5" max="5" width="12.7109375" hidden="1" customWidth="1"/>
    <col min="6" max="6" width="23.28515625" hidden="1" customWidth="1"/>
    <col min="7" max="7" width="29.85546875" hidden="1" customWidth="1"/>
    <col min="8" max="8" width="10.85546875" customWidth="1"/>
    <col min="9" max="9" width="14.5703125" bestFit="1" customWidth="1"/>
    <col min="10" max="11" width="16.85546875" bestFit="1" customWidth="1"/>
    <col min="12" max="13" width="12.7109375" customWidth="1"/>
    <col min="14" max="14" width="13.85546875" bestFit="1" customWidth="1"/>
  </cols>
  <sheetData>
    <row r="1" spans="1:14" x14ac:dyDescent="0.25">
      <c r="J1" s="1">
        <v>5</v>
      </c>
      <c r="K1" s="1">
        <v>6</v>
      </c>
      <c r="L1" s="1">
        <v>7</v>
      </c>
      <c r="M1" s="1">
        <v>8</v>
      </c>
      <c r="N1" s="1">
        <v>9</v>
      </c>
    </row>
    <row r="2" spans="1:14" x14ac:dyDescent="0.25">
      <c r="B2" s="53" t="s">
        <v>513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x14ac:dyDescent="0.25">
      <c r="B3" s="53" t="s">
        <v>514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x14ac:dyDescent="0.25">
      <c r="B4" s="53" t="s">
        <v>515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4" x14ac:dyDescent="0.25">
      <c r="A5">
        <v>2</v>
      </c>
      <c r="B5" s="24"/>
      <c r="C5" s="24"/>
      <c r="D5" s="24"/>
      <c r="E5" s="25"/>
      <c r="F5" s="25"/>
      <c r="G5" s="25"/>
      <c r="H5" s="25"/>
      <c r="I5" s="24"/>
      <c r="J5" s="24"/>
      <c r="K5" s="24"/>
      <c r="L5" s="24"/>
      <c r="M5" s="24"/>
      <c r="N5" s="24"/>
    </row>
    <row r="6" spans="1:14" x14ac:dyDescent="0.25">
      <c r="A6">
        <v>3</v>
      </c>
      <c r="B6" s="26"/>
      <c r="C6" s="26"/>
      <c r="D6" s="26"/>
      <c r="E6" s="26" t="s">
        <v>0</v>
      </c>
      <c r="F6" s="5"/>
      <c r="G6" s="5"/>
      <c r="H6" s="5"/>
      <c r="I6" s="26"/>
      <c r="J6" s="26"/>
      <c r="K6" s="26"/>
      <c r="L6" s="26"/>
      <c r="M6" s="26"/>
      <c r="N6" s="26"/>
    </row>
    <row r="7" spans="1:14" x14ac:dyDescent="0.25">
      <c r="A7">
        <v>4</v>
      </c>
      <c r="B7" s="26"/>
      <c r="C7" s="26"/>
      <c r="D7" s="26"/>
      <c r="E7" s="5" t="s">
        <v>1</v>
      </c>
      <c r="F7" s="5"/>
      <c r="G7" s="5"/>
      <c r="H7" s="5" t="s">
        <v>464</v>
      </c>
      <c r="I7" s="26"/>
      <c r="J7" s="26"/>
      <c r="K7" s="26"/>
      <c r="L7" s="26"/>
      <c r="M7" s="26"/>
      <c r="N7" s="26"/>
    </row>
    <row r="8" spans="1:14" x14ac:dyDescent="0.25">
      <c r="A8">
        <v>5</v>
      </c>
      <c r="B8" s="27" t="s">
        <v>2</v>
      </c>
      <c r="C8" s="27" t="s">
        <v>3</v>
      </c>
      <c r="D8" s="27" t="s">
        <v>4</v>
      </c>
      <c r="E8" s="28" t="s">
        <v>5</v>
      </c>
      <c r="F8" s="28" t="s">
        <v>6</v>
      </c>
      <c r="G8" s="28" t="s">
        <v>7</v>
      </c>
      <c r="H8" s="28" t="s">
        <v>463</v>
      </c>
      <c r="I8" s="27" t="s">
        <v>8</v>
      </c>
      <c r="J8" s="27" t="s">
        <v>9</v>
      </c>
      <c r="K8" s="27" t="s">
        <v>10</v>
      </c>
      <c r="L8" s="27" t="s">
        <v>11</v>
      </c>
      <c r="M8" s="27" t="s">
        <v>12</v>
      </c>
      <c r="N8" s="27" t="s">
        <v>13</v>
      </c>
    </row>
    <row r="9" spans="1:14" x14ac:dyDescent="0.25">
      <c r="A9">
        <v>6</v>
      </c>
      <c r="B9" s="1"/>
      <c r="C9" s="1"/>
      <c r="D9" s="1"/>
      <c r="E9" s="15"/>
      <c r="F9" s="15"/>
      <c r="G9" s="15"/>
      <c r="H9" s="15"/>
      <c r="I9" s="1"/>
      <c r="J9" s="1"/>
      <c r="K9" s="1"/>
      <c r="L9" s="1"/>
      <c r="M9" s="1"/>
      <c r="N9" s="1"/>
    </row>
    <row r="10" spans="1:14" x14ac:dyDescent="0.25">
      <c r="A10">
        <v>7</v>
      </c>
      <c r="D10" t="s">
        <v>55</v>
      </c>
      <c r="E10" s="2"/>
      <c r="F10" s="2"/>
      <c r="G10" s="2"/>
      <c r="H10" s="2"/>
      <c r="I10" s="7"/>
      <c r="J10" s="7"/>
      <c r="K10" s="7"/>
      <c r="L10" s="7"/>
      <c r="M10" s="7"/>
      <c r="N10" s="7"/>
    </row>
    <row r="11" spans="1:14" x14ac:dyDescent="0.25">
      <c r="A11">
        <v>8</v>
      </c>
      <c r="D11" t="s">
        <v>56</v>
      </c>
      <c r="E11" s="2"/>
      <c r="F11" s="2"/>
      <c r="G11" s="2"/>
      <c r="H11" s="2"/>
      <c r="I11" s="7"/>
      <c r="J11" s="7"/>
      <c r="K11" s="7"/>
      <c r="L11" s="7"/>
      <c r="M11" s="7"/>
      <c r="N11" s="7"/>
    </row>
    <row r="12" spans="1:14" x14ac:dyDescent="0.25">
      <c r="A12">
        <v>9</v>
      </c>
      <c r="D12" t="s">
        <v>57</v>
      </c>
      <c r="E12" s="2"/>
      <c r="F12" s="2"/>
      <c r="G12" s="2"/>
      <c r="H12" s="2"/>
      <c r="I12" s="7"/>
      <c r="J12" s="7"/>
      <c r="K12" s="7"/>
      <c r="L12" s="7"/>
      <c r="M12" s="7"/>
      <c r="N12" s="7"/>
    </row>
    <row r="13" spans="1:14" x14ac:dyDescent="0.25">
      <c r="A13">
        <v>10</v>
      </c>
      <c r="B13">
        <v>303</v>
      </c>
      <c r="C13" t="s">
        <v>49</v>
      </c>
      <c r="D13" t="s">
        <v>58</v>
      </c>
      <c r="E13" s="2">
        <v>1582000</v>
      </c>
      <c r="F13" t="s">
        <v>59</v>
      </c>
      <c r="G13" s="2"/>
      <c r="H13" s="2">
        <v>22</v>
      </c>
      <c r="I13" s="7">
        <v>1582000.0000000002</v>
      </c>
      <c r="J13" s="7">
        <f t="shared" ref="J13:N14" si="0">+INDEX(Alloc,$H13,J$1)*$I13</f>
        <v>1190871.2507204462</v>
      </c>
      <c r="K13" s="7">
        <f t="shared" si="0"/>
        <v>252704.2176510118</v>
      </c>
      <c r="L13" s="7">
        <f t="shared" si="0"/>
        <v>21278.835261543467</v>
      </c>
      <c r="M13" s="7">
        <f t="shared" si="0"/>
        <v>5332.2069423776566</v>
      </c>
      <c r="N13" s="7">
        <f t="shared" si="0"/>
        <v>111813.48942462109</v>
      </c>
    </row>
    <row r="14" spans="1:14" x14ac:dyDescent="0.25">
      <c r="A14">
        <v>11</v>
      </c>
      <c r="B14">
        <v>303.10000000000002</v>
      </c>
      <c r="C14" t="s">
        <v>51</v>
      </c>
      <c r="D14" t="s">
        <v>60</v>
      </c>
      <c r="E14" s="2">
        <v>7449000</v>
      </c>
      <c r="F14" t="s">
        <v>61</v>
      </c>
      <c r="G14" s="2"/>
      <c r="H14" s="2">
        <v>24</v>
      </c>
      <c r="I14" s="7">
        <v>7448999.9999999991</v>
      </c>
      <c r="J14" s="7">
        <f t="shared" si="0"/>
        <v>5567247.4641796499</v>
      </c>
      <c r="K14" s="7">
        <f t="shared" si="0"/>
        <v>1244191.0653477623</v>
      </c>
      <c r="L14" s="7">
        <f t="shared" si="0"/>
        <v>110337.28839020693</v>
      </c>
      <c r="M14" s="7">
        <f t="shared" si="0"/>
        <v>27054.315883801835</v>
      </c>
      <c r="N14" s="7">
        <f t="shared" si="0"/>
        <v>500169.86619857897</v>
      </c>
    </row>
    <row r="15" spans="1:14" x14ac:dyDescent="0.25">
      <c r="A15">
        <v>12</v>
      </c>
      <c r="D15" t="s">
        <v>62</v>
      </c>
      <c r="E15" s="2">
        <f>+E14+E13</f>
        <v>9031000</v>
      </c>
      <c r="F15" s="2"/>
      <c r="G15" s="2"/>
      <c r="H15" s="2"/>
      <c r="I15" s="7">
        <f t="shared" ref="I15:N15" si="1">+I14+I13</f>
        <v>9031000</v>
      </c>
      <c r="J15" s="7">
        <f t="shared" si="1"/>
        <v>6758118.7149000959</v>
      </c>
      <c r="K15" s="7">
        <f t="shared" si="1"/>
        <v>1496895.2829987742</v>
      </c>
      <c r="L15" s="7">
        <f t="shared" si="1"/>
        <v>131616.12365175039</v>
      </c>
      <c r="M15" s="7">
        <f t="shared" si="1"/>
        <v>32386.522826179491</v>
      </c>
      <c r="N15" s="7">
        <f t="shared" si="1"/>
        <v>611983.35562320007</v>
      </c>
    </row>
    <row r="16" spans="1:14" x14ac:dyDescent="0.25">
      <c r="A16">
        <v>13</v>
      </c>
      <c r="B16" t="s">
        <v>63</v>
      </c>
      <c r="D16" t="s">
        <v>526</v>
      </c>
      <c r="E16" s="2"/>
      <c r="F16" s="2"/>
      <c r="G16" s="2"/>
      <c r="H16" s="2"/>
      <c r="I16" s="7"/>
      <c r="J16" s="7"/>
      <c r="K16" s="7"/>
      <c r="L16" s="7"/>
      <c r="M16" s="7"/>
      <c r="N16" s="7"/>
    </row>
    <row r="17" spans="1:14" x14ac:dyDescent="0.25">
      <c r="A17">
        <v>14</v>
      </c>
      <c r="D17" t="s">
        <v>64</v>
      </c>
      <c r="E17" s="2"/>
      <c r="F17" s="2"/>
      <c r="G17" s="2"/>
      <c r="H17" s="2"/>
      <c r="I17" s="7"/>
      <c r="J17" s="7"/>
      <c r="K17" s="7"/>
      <c r="L17" s="7"/>
      <c r="M17" s="7"/>
      <c r="N17" s="7"/>
    </row>
    <row r="18" spans="1:14" x14ac:dyDescent="0.25">
      <c r="A18">
        <v>15</v>
      </c>
      <c r="B18">
        <v>350</v>
      </c>
      <c r="C18" t="s">
        <v>54</v>
      </c>
      <c r="D18" t="s">
        <v>65</v>
      </c>
      <c r="E18" s="2">
        <v>327000</v>
      </c>
      <c r="F18" s="2" t="s">
        <v>66</v>
      </c>
      <c r="G18" s="2"/>
      <c r="H18" s="2">
        <v>23</v>
      </c>
      <c r="I18" s="7">
        <v>327000</v>
      </c>
      <c r="J18" s="7">
        <f t="shared" ref="J18:N25" si="2">+INDEX(Alloc,$H18,J$1)*$I18</f>
        <v>220460.94644359295</v>
      </c>
      <c r="K18" s="7">
        <f t="shared" si="2"/>
        <v>87043.451883543356</v>
      </c>
      <c r="L18" s="7">
        <f t="shared" si="2"/>
        <v>10900.063659794792</v>
      </c>
      <c r="M18" s="7">
        <f t="shared" si="2"/>
        <v>2350.1710493845085</v>
      </c>
      <c r="N18" s="7">
        <f t="shared" si="2"/>
        <v>6245.3669636844115</v>
      </c>
    </row>
    <row r="19" spans="1:14" x14ac:dyDescent="0.25">
      <c r="A19">
        <v>16</v>
      </c>
      <c r="B19">
        <v>351</v>
      </c>
      <c r="C19" t="s">
        <v>54</v>
      </c>
      <c r="D19" t="s">
        <v>67</v>
      </c>
      <c r="E19" s="2">
        <v>1009000</v>
      </c>
      <c r="F19" s="2" t="s">
        <v>66</v>
      </c>
      <c r="G19" s="2"/>
      <c r="H19" s="2">
        <v>23</v>
      </c>
      <c r="I19" s="7">
        <v>1009000.0000000001</v>
      </c>
      <c r="J19" s="7">
        <f t="shared" si="2"/>
        <v>680260.22924032202</v>
      </c>
      <c r="K19" s="7">
        <f t="shared" si="2"/>
        <v>268583.6175856124</v>
      </c>
      <c r="L19" s="7">
        <f t="shared" si="2"/>
        <v>33633.529763709317</v>
      </c>
      <c r="M19" s="7">
        <f t="shared" si="2"/>
        <v>7251.7510361742188</v>
      </c>
      <c r="N19" s="7">
        <f t="shared" si="2"/>
        <v>19270.872374182178</v>
      </c>
    </row>
    <row r="20" spans="1:14" x14ac:dyDescent="0.25">
      <c r="A20">
        <v>17</v>
      </c>
      <c r="B20">
        <v>352</v>
      </c>
      <c r="C20" t="s">
        <v>54</v>
      </c>
      <c r="D20" t="s">
        <v>68</v>
      </c>
      <c r="E20" s="2">
        <v>13589000</v>
      </c>
      <c r="F20" s="2" t="s">
        <v>66</v>
      </c>
      <c r="G20" s="2"/>
      <c r="H20" s="2">
        <v>23</v>
      </c>
      <c r="I20" s="7">
        <v>13588999.999999998</v>
      </c>
      <c r="J20" s="7">
        <f t="shared" si="2"/>
        <v>9161601.838599341</v>
      </c>
      <c r="K20" s="7">
        <f t="shared" si="2"/>
        <v>3617227.729802662</v>
      </c>
      <c r="L20" s="7">
        <f t="shared" si="2"/>
        <v>452969.31214969856</v>
      </c>
      <c r="M20" s="7">
        <f t="shared" si="2"/>
        <v>97665.059296899344</v>
      </c>
      <c r="N20" s="7">
        <f t="shared" si="2"/>
        <v>259536.06015139894</v>
      </c>
    </row>
    <row r="21" spans="1:14" x14ac:dyDescent="0.25">
      <c r="A21">
        <v>18</v>
      </c>
      <c r="B21">
        <v>353</v>
      </c>
      <c r="C21" t="s">
        <v>54</v>
      </c>
      <c r="D21" t="s">
        <v>69</v>
      </c>
      <c r="E21" s="2">
        <v>731000</v>
      </c>
      <c r="F21" s="2" t="s">
        <v>66</v>
      </c>
      <c r="G21" s="2"/>
      <c r="H21" s="2">
        <v>23</v>
      </c>
      <c r="I21" s="7">
        <v>731000.00000000012</v>
      </c>
      <c r="J21" s="7">
        <f t="shared" si="2"/>
        <v>492834.7151384296</v>
      </c>
      <c r="K21" s="7">
        <f t="shared" si="2"/>
        <v>194583.37408828808</v>
      </c>
      <c r="L21" s="7">
        <f t="shared" si="2"/>
        <v>24366.808976483164</v>
      </c>
      <c r="M21" s="7">
        <f t="shared" si="2"/>
        <v>5253.7462908259213</v>
      </c>
      <c r="N21" s="7">
        <f t="shared" si="2"/>
        <v>13961.355505973412</v>
      </c>
    </row>
    <row r="22" spans="1:14" x14ac:dyDescent="0.25">
      <c r="A22">
        <v>19</v>
      </c>
      <c r="B22">
        <v>354</v>
      </c>
      <c r="C22" t="s">
        <v>54</v>
      </c>
      <c r="D22" t="s">
        <v>70</v>
      </c>
      <c r="E22" s="2">
        <v>8096000</v>
      </c>
      <c r="F22" s="2" t="s">
        <v>66</v>
      </c>
      <c r="G22" s="2"/>
      <c r="H22" s="2">
        <v>23</v>
      </c>
      <c r="I22" s="7">
        <v>8096000</v>
      </c>
      <c r="J22" s="7">
        <f t="shared" si="2"/>
        <v>5458262.4538450418</v>
      </c>
      <c r="K22" s="7">
        <f t="shared" si="2"/>
        <v>2155057.4509148835</v>
      </c>
      <c r="L22" s="7">
        <f t="shared" si="2"/>
        <v>269868.24278195301</v>
      </c>
      <c r="M22" s="7">
        <f t="shared" si="2"/>
        <v>58186.497907697194</v>
      </c>
      <c r="N22" s="7">
        <f t="shared" si="2"/>
        <v>154625.35455042505</v>
      </c>
    </row>
    <row r="23" spans="1:14" x14ac:dyDescent="0.25">
      <c r="A23">
        <v>20</v>
      </c>
      <c r="B23">
        <v>355</v>
      </c>
      <c r="C23" t="s">
        <v>54</v>
      </c>
      <c r="D23" t="s">
        <v>71</v>
      </c>
      <c r="E23" s="2">
        <v>193000</v>
      </c>
      <c r="F23" s="2" t="s">
        <v>66</v>
      </c>
      <c r="G23" s="2"/>
      <c r="H23" s="2">
        <v>23</v>
      </c>
      <c r="I23" s="7">
        <v>193000.00000000003</v>
      </c>
      <c r="J23" s="7">
        <f t="shared" si="2"/>
        <v>130119.15187649372</v>
      </c>
      <c r="K23" s="7">
        <f t="shared" si="2"/>
        <v>51374.26976612804</v>
      </c>
      <c r="L23" s="7">
        <f t="shared" si="2"/>
        <v>6433.3709062397411</v>
      </c>
      <c r="M23" s="7">
        <f t="shared" si="2"/>
        <v>1387.1040138569122</v>
      </c>
      <c r="N23" s="7">
        <f t="shared" si="2"/>
        <v>3686.1034372816257</v>
      </c>
    </row>
    <row r="24" spans="1:14" x14ac:dyDescent="0.25">
      <c r="A24">
        <v>21</v>
      </c>
      <c r="B24">
        <v>356</v>
      </c>
      <c r="C24" t="s">
        <v>54</v>
      </c>
      <c r="D24" t="s">
        <v>72</v>
      </c>
      <c r="E24" s="2">
        <v>283000</v>
      </c>
      <c r="F24" s="2" t="s">
        <v>66</v>
      </c>
      <c r="G24" s="2"/>
      <c r="H24" s="2">
        <v>23</v>
      </c>
      <c r="I24" s="7">
        <v>283000.00000000006</v>
      </c>
      <c r="J24" s="7">
        <f t="shared" si="2"/>
        <v>190796.4765857395</v>
      </c>
      <c r="K24" s="7">
        <f t="shared" si="2"/>
        <v>75331.183128571167</v>
      </c>
      <c r="L24" s="7">
        <f t="shared" si="2"/>
        <v>9433.3884272841806</v>
      </c>
      <c r="M24" s="7">
        <f t="shared" si="2"/>
        <v>2033.9400824948505</v>
      </c>
      <c r="N24" s="7">
        <f t="shared" si="2"/>
        <v>5405.0117759103632</v>
      </c>
    </row>
    <row r="25" spans="1:14" x14ac:dyDescent="0.25">
      <c r="A25">
        <v>22</v>
      </c>
      <c r="B25">
        <v>357</v>
      </c>
      <c r="C25" t="s">
        <v>54</v>
      </c>
      <c r="D25" t="s">
        <v>73</v>
      </c>
      <c r="E25" s="2">
        <v>1097000</v>
      </c>
      <c r="F25" s="2" t="s">
        <v>66</v>
      </c>
      <c r="G25" s="2"/>
      <c r="H25" s="2">
        <v>23</v>
      </c>
      <c r="I25" s="7">
        <v>1097000</v>
      </c>
      <c r="J25" s="7">
        <f t="shared" si="2"/>
        <v>739589.168956029</v>
      </c>
      <c r="K25" s="7">
        <f t="shared" si="2"/>
        <v>292008.15509555675</v>
      </c>
      <c r="L25" s="7">
        <f t="shared" si="2"/>
        <v>36566.880228730544</v>
      </c>
      <c r="M25" s="7">
        <f t="shared" si="2"/>
        <v>7884.2129699535353</v>
      </c>
      <c r="N25" s="7">
        <f t="shared" si="2"/>
        <v>20951.582749730274</v>
      </c>
    </row>
    <row r="26" spans="1:14" x14ac:dyDescent="0.25">
      <c r="A26">
        <v>23</v>
      </c>
      <c r="D26" t="s">
        <v>74</v>
      </c>
      <c r="E26" s="2">
        <f>SUM(E18:E25)</f>
        <v>25325000</v>
      </c>
      <c r="F26" s="2"/>
      <c r="G26" s="2" t="s">
        <v>75</v>
      </c>
      <c r="H26" s="2"/>
      <c r="I26" s="7">
        <f t="shared" ref="I26:N26" si="3">SUM(I18:I25)</f>
        <v>25325000</v>
      </c>
      <c r="J26" s="7">
        <f t="shared" si="3"/>
        <v>17073924.980684992</v>
      </c>
      <c r="K26" s="7">
        <f t="shared" si="3"/>
        <v>6741209.2322652452</v>
      </c>
      <c r="L26" s="7">
        <f t="shared" si="3"/>
        <v>844171.59689389321</v>
      </c>
      <c r="M26" s="7">
        <f t="shared" si="3"/>
        <v>182012.48264728647</v>
      </c>
      <c r="N26" s="7">
        <f t="shared" si="3"/>
        <v>483681.70750858623</v>
      </c>
    </row>
    <row r="27" spans="1:14" x14ac:dyDescent="0.25">
      <c r="A27">
        <v>24</v>
      </c>
      <c r="E27" s="2"/>
      <c r="F27" s="2"/>
      <c r="G27" s="2"/>
      <c r="H27" s="2"/>
      <c r="I27" s="7"/>
      <c r="J27" s="7"/>
      <c r="K27" s="7"/>
      <c r="L27" s="7"/>
      <c r="M27" s="7"/>
      <c r="N27" s="7"/>
    </row>
    <row r="28" spans="1:14" x14ac:dyDescent="0.25">
      <c r="A28">
        <v>25</v>
      </c>
      <c r="D28" t="s">
        <v>76</v>
      </c>
      <c r="E28" s="2"/>
      <c r="F28" s="2"/>
      <c r="G28" s="2"/>
      <c r="H28" s="2"/>
      <c r="I28" s="7"/>
      <c r="J28" s="7"/>
      <c r="K28" s="7"/>
      <c r="L28" s="7"/>
      <c r="M28" s="7"/>
      <c r="N28" s="7"/>
    </row>
    <row r="29" spans="1:14" x14ac:dyDescent="0.25">
      <c r="A29">
        <v>26</v>
      </c>
      <c r="B29">
        <v>374</v>
      </c>
      <c r="C29" t="s">
        <v>49</v>
      </c>
      <c r="D29" t="s">
        <v>65</v>
      </c>
      <c r="E29" s="2">
        <v>65000</v>
      </c>
      <c r="F29" s="2" t="s">
        <v>77</v>
      </c>
      <c r="G29" s="2"/>
      <c r="H29" s="2">
        <v>29</v>
      </c>
      <c r="I29" s="7">
        <v>65000</v>
      </c>
      <c r="J29" s="7">
        <f t="shared" ref="J29:N30" si="4">+INDEX(Alloc,$H29,J$1)*$I29</f>
        <v>40140.182540899797</v>
      </c>
      <c r="K29" s="7">
        <f t="shared" si="4"/>
        <v>15412.050004160485</v>
      </c>
      <c r="L29" s="7">
        <f t="shared" si="4"/>
        <v>1451.3472091549327</v>
      </c>
      <c r="M29" s="7">
        <f t="shared" si="4"/>
        <v>344.69643581226228</v>
      </c>
      <c r="N29" s="7">
        <f t="shared" si="4"/>
        <v>7651.72380997252</v>
      </c>
    </row>
    <row r="30" spans="1:14" x14ac:dyDescent="0.25">
      <c r="A30">
        <v>27</v>
      </c>
      <c r="B30">
        <v>375</v>
      </c>
      <c r="C30" t="s">
        <v>49</v>
      </c>
      <c r="D30" t="s">
        <v>67</v>
      </c>
      <c r="E30" s="2">
        <v>36165000</v>
      </c>
      <c r="F30" s="2" t="s">
        <v>77</v>
      </c>
      <c r="G30" s="2"/>
      <c r="H30" s="2">
        <v>29</v>
      </c>
      <c r="I30" s="7">
        <v>36165000</v>
      </c>
      <c r="J30" s="7">
        <f t="shared" si="4"/>
        <v>22333380.024486788</v>
      </c>
      <c r="K30" s="7">
        <f t="shared" si="4"/>
        <v>8575027.513853291</v>
      </c>
      <c r="L30" s="7">
        <f t="shared" si="4"/>
        <v>807507.25875520217</v>
      </c>
      <c r="M30" s="7">
        <f t="shared" si="4"/>
        <v>191783.79386385332</v>
      </c>
      <c r="N30" s="7">
        <f t="shared" si="4"/>
        <v>4257301.4090408646</v>
      </c>
    </row>
    <row r="31" spans="1:14" x14ac:dyDescent="0.25">
      <c r="D31" t="s">
        <v>468</v>
      </c>
      <c r="E31" s="2"/>
      <c r="F31" s="2"/>
      <c r="G31" s="2"/>
      <c r="H31" s="2"/>
      <c r="I31" s="7">
        <v>0</v>
      </c>
      <c r="J31" s="7"/>
      <c r="K31" s="7"/>
      <c r="L31" s="7"/>
      <c r="M31" s="7"/>
      <c r="N31" s="7">
        <v>0</v>
      </c>
    </row>
    <row r="32" spans="1:14" x14ac:dyDescent="0.25">
      <c r="A32">
        <v>28</v>
      </c>
      <c r="B32" t="s">
        <v>78</v>
      </c>
      <c r="C32" t="s">
        <v>49</v>
      </c>
      <c r="D32" t="s">
        <v>469</v>
      </c>
      <c r="E32" s="2">
        <v>112122000</v>
      </c>
      <c r="F32" s="2" t="s">
        <v>80</v>
      </c>
      <c r="G32" s="2" t="s">
        <v>81</v>
      </c>
      <c r="H32" s="2">
        <v>18</v>
      </c>
      <c r="I32" s="7">
        <f>112122000</f>
        <v>112122000</v>
      </c>
      <c r="J32" s="7">
        <f>+INDEX(Alloc,$H32,J$1)*$I32</f>
        <v>69239962.259242579</v>
      </c>
      <c r="K32" s="7">
        <f>+INDEX(Alloc,$H32,K$1)*$I32</f>
        <v>26585074.931792032</v>
      </c>
      <c r="L32" s="7">
        <f>+INDEX(Alloc,$H32,L$1)*$I32</f>
        <v>2503506.9505364522</v>
      </c>
      <c r="M32" s="7">
        <f>+INDEX(Alloc,$H32,M$1)*$I32</f>
        <v>594585.44270988426</v>
      </c>
      <c r="N32" s="7">
        <f>+INDEX(Alloc,$H32,N$1)*$I32</f>
        <v>13198870.415719062</v>
      </c>
    </row>
    <row r="33" spans="1:14" x14ac:dyDescent="0.25">
      <c r="D33" t="s">
        <v>470</v>
      </c>
      <c r="E33" s="2"/>
      <c r="F33" s="2"/>
      <c r="G33" s="2"/>
      <c r="H33" s="2"/>
      <c r="I33" s="7">
        <v>0</v>
      </c>
      <c r="J33" s="7"/>
      <c r="K33" s="7"/>
      <c r="L33" s="7"/>
      <c r="M33" s="7">
        <v>0</v>
      </c>
      <c r="N33" s="7">
        <v>0</v>
      </c>
    </row>
    <row r="34" spans="1:14" x14ac:dyDescent="0.25">
      <c r="A34">
        <v>29</v>
      </c>
      <c r="B34" t="s">
        <v>82</v>
      </c>
      <c r="C34" t="s">
        <v>49</v>
      </c>
      <c r="D34" t="s">
        <v>471</v>
      </c>
      <c r="E34" s="2">
        <v>41838000</v>
      </c>
      <c r="F34" s="2" t="s">
        <v>83</v>
      </c>
      <c r="G34" s="2" t="s">
        <v>81</v>
      </c>
      <c r="H34" s="2">
        <v>19</v>
      </c>
      <c r="I34" s="7">
        <f>41838000</f>
        <v>41838000</v>
      </c>
      <c r="J34" s="7">
        <f>+INDEX(Alloc,$H34,J$1)*$I34</f>
        <v>25836691.648402549</v>
      </c>
      <c r="K34" s="7">
        <f>+INDEX(Alloc,$H34,K$1)*$I34</f>
        <v>9920143.8165240977</v>
      </c>
      <c r="L34" s="7">
        <f>+INDEX(Alloc,$H34,L$1)*$I34</f>
        <v>934176.3774865244</v>
      </c>
      <c r="M34" s="7">
        <f>+INDEX(Alloc,$H34,M$1)*$I34</f>
        <v>221867.83817712971</v>
      </c>
      <c r="N34" s="7">
        <f>+INDEX(Alloc,$H34,N$1)*$I34</f>
        <v>4925120.3194096973</v>
      </c>
    </row>
    <row r="35" spans="1:14" x14ac:dyDescent="0.25">
      <c r="A35">
        <v>30</v>
      </c>
      <c r="B35">
        <v>376</v>
      </c>
      <c r="C35" t="s">
        <v>49</v>
      </c>
      <c r="D35" t="s">
        <v>79</v>
      </c>
      <c r="E35" s="2"/>
      <c r="F35" s="2" t="s">
        <v>83</v>
      </c>
      <c r="G35" s="2" t="s">
        <v>81</v>
      </c>
      <c r="H35" s="2"/>
      <c r="I35" s="7">
        <v>0</v>
      </c>
      <c r="J35" s="7"/>
      <c r="K35" s="7"/>
      <c r="L35" s="7"/>
      <c r="M35" s="7"/>
      <c r="N35" s="7"/>
    </row>
    <row r="36" spans="1:14" x14ac:dyDescent="0.25">
      <c r="A36">
        <v>31</v>
      </c>
      <c r="B36">
        <v>378</v>
      </c>
      <c r="C36" t="s">
        <v>49</v>
      </c>
      <c r="D36" t="s">
        <v>84</v>
      </c>
      <c r="E36" s="2">
        <v>3242000</v>
      </c>
      <c r="F36" s="2" t="s">
        <v>80</v>
      </c>
      <c r="G36" s="2" t="s">
        <v>85</v>
      </c>
      <c r="H36" s="2">
        <v>19</v>
      </c>
      <c r="I36" s="7">
        <v>3242000</v>
      </c>
      <c r="J36" s="7">
        <f t="shared" ref="J36:N39" si="5">+INDEX(Alloc,$H36,J$1)*$I36</f>
        <v>2002068.79688611</v>
      </c>
      <c r="K36" s="7">
        <f t="shared" si="5"/>
        <v>768705.63251520449</v>
      </c>
      <c r="L36" s="7">
        <f t="shared" si="5"/>
        <v>72388.733108927583</v>
      </c>
      <c r="M36" s="7">
        <f t="shared" si="5"/>
        <v>17192.397613897763</v>
      </c>
      <c r="N36" s="7">
        <f t="shared" si="5"/>
        <v>381644.43987586023</v>
      </c>
    </row>
    <row r="37" spans="1:14" x14ac:dyDescent="0.25">
      <c r="A37">
        <v>32</v>
      </c>
      <c r="B37">
        <v>379</v>
      </c>
      <c r="C37" t="s">
        <v>49</v>
      </c>
      <c r="D37" t="s">
        <v>86</v>
      </c>
      <c r="E37" s="2">
        <v>1849000</v>
      </c>
      <c r="F37" s="2" t="s">
        <v>80</v>
      </c>
      <c r="G37" s="2" t="s">
        <v>87</v>
      </c>
      <c r="H37" s="2">
        <v>19</v>
      </c>
      <c r="I37" s="7">
        <v>1849000.0000000002</v>
      </c>
      <c r="J37" s="7">
        <f t="shared" si="5"/>
        <v>1141833.8079711343</v>
      </c>
      <c r="K37" s="7">
        <f t="shared" si="5"/>
        <v>438413.54550296528</v>
      </c>
      <c r="L37" s="7">
        <f t="shared" si="5"/>
        <v>41285.24599580725</v>
      </c>
      <c r="M37" s="7">
        <f t="shared" si="5"/>
        <v>9805.2878433365095</v>
      </c>
      <c r="N37" s="7">
        <f t="shared" si="5"/>
        <v>217662.11268675682</v>
      </c>
    </row>
    <row r="38" spans="1:14" x14ac:dyDescent="0.25">
      <c r="A38">
        <v>33</v>
      </c>
      <c r="B38">
        <v>380</v>
      </c>
      <c r="C38" t="s">
        <v>49</v>
      </c>
      <c r="D38" t="s">
        <v>88</v>
      </c>
      <c r="E38" s="2">
        <v>103003000</v>
      </c>
      <c r="F38" s="2" t="s">
        <v>89</v>
      </c>
      <c r="G38" s="2" t="s">
        <v>90</v>
      </c>
      <c r="H38" s="2">
        <v>12</v>
      </c>
      <c r="I38" s="7">
        <v>103002999.99999999</v>
      </c>
      <c r="J38" s="7">
        <f t="shared" si="5"/>
        <v>101065613.49029185</v>
      </c>
      <c r="K38" s="7">
        <f t="shared" si="5"/>
        <v>1703052.8111253711</v>
      </c>
      <c r="L38" s="7">
        <f t="shared" si="5"/>
        <v>51839.578050303688</v>
      </c>
      <c r="M38" s="7">
        <f t="shared" si="5"/>
        <v>3702.82700359312</v>
      </c>
      <c r="N38" s="7">
        <f t="shared" si="5"/>
        <v>178791.29352886125</v>
      </c>
    </row>
    <row r="39" spans="1:14" x14ac:dyDescent="0.25">
      <c r="A39">
        <v>34</v>
      </c>
      <c r="B39">
        <v>381</v>
      </c>
      <c r="C39" t="s">
        <v>49</v>
      </c>
      <c r="D39" t="s">
        <v>91</v>
      </c>
      <c r="E39" s="2">
        <v>43768000</v>
      </c>
      <c r="F39" s="2" t="s">
        <v>92</v>
      </c>
      <c r="G39" s="2" t="s">
        <v>93</v>
      </c>
      <c r="H39" s="2">
        <v>13</v>
      </c>
      <c r="I39" s="7">
        <v>43768000</v>
      </c>
      <c r="J39" s="7">
        <f t="shared" si="5"/>
        <v>37622037.728326268</v>
      </c>
      <c r="K39" s="7">
        <f t="shared" si="5"/>
        <v>5157083.0798876602</v>
      </c>
      <c r="L39" s="7">
        <f t="shared" si="5"/>
        <v>143898.22396098243</v>
      </c>
      <c r="M39" s="7">
        <f t="shared" si="5"/>
        <v>79099.882390237311</v>
      </c>
      <c r="N39" s="7">
        <f t="shared" si="5"/>
        <v>765881.08543485252</v>
      </c>
    </row>
    <row r="40" spans="1:14" x14ac:dyDescent="0.25">
      <c r="A40">
        <v>35</v>
      </c>
      <c r="B40">
        <v>382</v>
      </c>
      <c r="C40" t="s">
        <v>49</v>
      </c>
      <c r="D40" t="s">
        <v>94</v>
      </c>
      <c r="E40" s="2">
        <v>0</v>
      </c>
      <c r="F40" s="2" t="s">
        <v>95</v>
      </c>
      <c r="G40" s="2" t="s">
        <v>93</v>
      </c>
      <c r="H40" s="2"/>
      <c r="I40" s="7">
        <v>0</v>
      </c>
      <c r="J40" s="7"/>
      <c r="K40" s="7"/>
      <c r="L40" s="7"/>
      <c r="M40" s="7"/>
      <c r="N40" s="7"/>
    </row>
    <row r="41" spans="1:14" x14ac:dyDescent="0.25">
      <c r="A41">
        <v>36</v>
      </c>
      <c r="B41">
        <v>383</v>
      </c>
      <c r="C41" t="s">
        <v>49</v>
      </c>
      <c r="D41" t="s">
        <v>96</v>
      </c>
      <c r="E41" s="2">
        <v>0</v>
      </c>
      <c r="F41" s="2" t="s">
        <v>97</v>
      </c>
      <c r="G41" s="2" t="s">
        <v>93</v>
      </c>
      <c r="H41" s="2"/>
      <c r="I41" s="7">
        <v>0</v>
      </c>
      <c r="J41" s="7"/>
      <c r="K41" s="7"/>
      <c r="L41" s="7"/>
      <c r="M41" s="7"/>
      <c r="N41" s="7"/>
    </row>
    <row r="42" spans="1:14" x14ac:dyDescent="0.25">
      <c r="A42">
        <v>37</v>
      </c>
      <c r="B42">
        <v>384</v>
      </c>
      <c r="C42" t="s">
        <v>49</v>
      </c>
      <c r="D42" t="s">
        <v>98</v>
      </c>
      <c r="E42" s="2">
        <v>0</v>
      </c>
      <c r="F42" s="2" t="s">
        <v>95</v>
      </c>
      <c r="G42" s="2" t="s">
        <v>93</v>
      </c>
      <c r="H42" s="2"/>
      <c r="I42" s="7">
        <v>0</v>
      </c>
      <c r="J42" s="7"/>
      <c r="K42" s="7"/>
      <c r="L42" s="7"/>
      <c r="M42" s="7"/>
      <c r="N42" s="7"/>
    </row>
    <row r="43" spans="1:14" x14ac:dyDescent="0.25">
      <c r="A43">
        <v>38</v>
      </c>
      <c r="B43">
        <v>385</v>
      </c>
      <c r="C43" t="s">
        <v>49</v>
      </c>
      <c r="D43" t="s">
        <v>99</v>
      </c>
      <c r="E43" s="2">
        <v>2388000</v>
      </c>
      <c r="F43" s="2" t="s">
        <v>100</v>
      </c>
      <c r="G43" s="2" t="s">
        <v>101</v>
      </c>
      <c r="H43" s="2">
        <v>15</v>
      </c>
      <c r="I43" s="7">
        <v>2388000</v>
      </c>
      <c r="J43" s="7">
        <f>+INDEX(Alloc,$H43,J$1)*$I43</f>
        <v>0</v>
      </c>
      <c r="K43" s="7">
        <f>+INDEX(Alloc,$H43,K$1)*$I43</f>
        <v>1856960.656541419</v>
      </c>
      <c r="L43" s="7">
        <f>+INDEX(Alloc,$H43,L$1)*$I43</f>
        <v>76867.914154566897</v>
      </c>
      <c r="M43" s="7">
        <f>+INDEX(Alloc,$H43,M$1)*$I43</f>
        <v>42569.388470826896</v>
      </c>
      <c r="N43" s="7">
        <f>+INDEX(Alloc,$H43,N$1)*$I43</f>
        <v>411602.04083318752</v>
      </c>
    </row>
    <row r="44" spans="1:14" x14ac:dyDescent="0.25">
      <c r="A44">
        <v>39</v>
      </c>
      <c r="B44">
        <v>387</v>
      </c>
      <c r="C44" t="s">
        <v>49</v>
      </c>
      <c r="D44" t="s">
        <v>73</v>
      </c>
      <c r="E44" s="2">
        <v>0</v>
      </c>
      <c r="F44" s="2" t="s">
        <v>77</v>
      </c>
      <c r="G44" s="2"/>
      <c r="H44" s="2"/>
      <c r="I44" s="7">
        <v>0</v>
      </c>
      <c r="J44" s="7"/>
      <c r="K44" s="7"/>
      <c r="L44" s="7"/>
      <c r="M44" s="7"/>
      <c r="N44" s="7"/>
    </row>
    <row r="45" spans="1:14" x14ac:dyDescent="0.25">
      <c r="A45">
        <v>40</v>
      </c>
      <c r="D45" t="s">
        <v>102</v>
      </c>
      <c r="E45" s="2">
        <f>SUM(E29:E44)</f>
        <v>344440000</v>
      </c>
      <c r="F45" s="2"/>
      <c r="G45" s="2" t="s">
        <v>103</v>
      </c>
      <c r="H45" s="2"/>
      <c r="I45" s="7">
        <f t="shared" ref="I45:N45" si="6">SUM(I29:I44)</f>
        <v>344440000</v>
      </c>
      <c r="J45" s="7">
        <f t="shared" si="6"/>
        <v>259281727.93814817</v>
      </c>
      <c r="K45" s="7">
        <f t="shared" si="6"/>
        <v>55019874.037746206</v>
      </c>
      <c r="L45" s="7">
        <f t="shared" si="6"/>
        <v>4632921.6292579211</v>
      </c>
      <c r="M45" s="7">
        <f t="shared" si="6"/>
        <v>1160951.5545085713</v>
      </c>
      <c r="N45" s="7">
        <f t="shared" si="6"/>
        <v>24344524.840339117</v>
      </c>
    </row>
    <row r="46" spans="1:14" x14ac:dyDescent="0.25">
      <c r="A46">
        <v>41</v>
      </c>
      <c r="E46" s="2"/>
      <c r="F46" s="2"/>
      <c r="G46" s="2"/>
      <c r="H46" s="2"/>
      <c r="I46" s="7"/>
      <c r="J46" s="7"/>
      <c r="K46" s="7"/>
      <c r="L46" s="7"/>
      <c r="M46" s="7"/>
      <c r="N46" s="7"/>
    </row>
    <row r="47" spans="1:14" x14ac:dyDescent="0.25">
      <c r="A47">
        <v>42</v>
      </c>
      <c r="D47" t="s">
        <v>104</v>
      </c>
      <c r="E47" s="2">
        <f>+E45+E26</f>
        <v>369765000</v>
      </c>
      <c r="F47" s="2" t="s">
        <v>105</v>
      </c>
      <c r="G47" s="2" t="s">
        <v>106</v>
      </c>
      <c r="H47" s="2"/>
      <c r="I47" s="7">
        <f t="shared" ref="I47:N47" si="7">+I45+I26</f>
        <v>369765000</v>
      </c>
      <c r="J47" s="7">
        <f t="shared" si="7"/>
        <v>276355652.91883314</v>
      </c>
      <c r="K47" s="7">
        <f t="shared" si="7"/>
        <v>61761083.270011455</v>
      </c>
      <c r="L47" s="7">
        <f t="shared" si="7"/>
        <v>5477093.2261518147</v>
      </c>
      <c r="M47" s="7">
        <f t="shared" si="7"/>
        <v>1342964.0371558578</v>
      </c>
      <c r="N47" s="7">
        <f t="shared" si="7"/>
        <v>24828206.547847703</v>
      </c>
    </row>
    <row r="48" spans="1:14" x14ac:dyDescent="0.25">
      <c r="A48">
        <v>43</v>
      </c>
      <c r="E48" s="2"/>
      <c r="F48" s="2"/>
      <c r="G48" s="2"/>
      <c r="H48" s="2"/>
      <c r="I48" s="7"/>
      <c r="J48" s="7"/>
      <c r="K48" s="7"/>
      <c r="L48" s="7"/>
      <c r="M48" s="7"/>
      <c r="N48" s="7"/>
    </row>
    <row r="49" spans="1:14" x14ac:dyDescent="0.25">
      <c r="A49">
        <v>44</v>
      </c>
      <c r="D49" t="s">
        <v>107</v>
      </c>
      <c r="E49" s="2"/>
      <c r="F49" s="2"/>
      <c r="G49" s="2"/>
      <c r="H49" s="2"/>
      <c r="I49" s="7"/>
      <c r="J49" s="7"/>
      <c r="K49" s="7"/>
      <c r="L49" s="7"/>
      <c r="M49" s="7"/>
      <c r="N49" s="7"/>
    </row>
    <row r="50" spans="1:14" x14ac:dyDescent="0.25">
      <c r="A50">
        <v>45</v>
      </c>
      <c r="B50">
        <v>389</v>
      </c>
      <c r="C50" t="s">
        <v>51</v>
      </c>
      <c r="D50" t="s">
        <v>65</v>
      </c>
      <c r="E50" s="2">
        <v>1158000</v>
      </c>
      <c r="F50" s="2" t="s">
        <v>61</v>
      </c>
      <c r="G50" s="2"/>
      <c r="H50" s="2">
        <v>24</v>
      </c>
      <c r="I50" s="7">
        <v>1157999.9999999998</v>
      </c>
      <c r="J50" s="7">
        <f t="shared" ref="J50:N59" si="8">+INDEX(Alloc,$H50,J$1)*$I50</f>
        <v>865468.19217613549</v>
      </c>
      <c r="K50" s="7">
        <f t="shared" si="8"/>
        <v>193418.34523730818</v>
      </c>
      <c r="L50" s="7">
        <f t="shared" si="8"/>
        <v>17152.715794852949</v>
      </c>
      <c r="M50" s="7">
        <f t="shared" si="8"/>
        <v>4205.7857153232007</v>
      </c>
      <c r="N50" s="7">
        <f t="shared" si="8"/>
        <v>77754.961076379972</v>
      </c>
    </row>
    <row r="51" spans="1:14" x14ac:dyDescent="0.25">
      <c r="A51">
        <v>46</v>
      </c>
      <c r="B51">
        <v>390</v>
      </c>
      <c r="C51" t="s">
        <v>51</v>
      </c>
      <c r="D51" t="s">
        <v>67</v>
      </c>
      <c r="E51" s="2">
        <v>41465000</v>
      </c>
      <c r="F51" s="2" t="s">
        <v>61</v>
      </c>
      <c r="G51" s="2"/>
      <c r="H51" s="2">
        <v>24</v>
      </c>
      <c r="I51" s="7">
        <v>41464999.999999993</v>
      </c>
      <c r="J51" s="7">
        <f t="shared" si="8"/>
        <v>30990188.763889</v>
      </c>
      <c r="K51" s="7">
        <f t="shared" si="8"/>
        <v>6925813.1997106941</v>
      </c>
      <c r="L51" s="7">
        <f t="shared" si="8"/>
        <v>614194.61177338311</v>
      </c>
      <c r="M51" s="7">
        <f t="shared" si="8"/>
        <v>150598.36328659457</v>
      </c>
      <c r="N51" s="7">
        <f t="shared" si="8"/>
        <v>2784205.0613403246</v>
      </c>
    </row>
    <row r="52" spans="1:14" x14ac:dyDescent="0.25">
      <c r="A52">
        <v>47</v>
      </c>
      <c r="B52">
        <v>391</v>
      </c>
      <c r="C52" t="s">
        <v>51</v>
      </c>
      <c r="D52" t="s">
        <v>108</v>
      </c>
      <c r="E52" s="2">
        <v>6562000</v>
      </c>
      <c r="F52" s="2" t="s">
        <v>61</v>
      </c>
      <c r="G52" s="2"/>
      <c r="H52" s="2">
        <v>24</v>
      </c>
      <c r="I52" s="7">
        <v>6561999.9999999991</v>
      </c>
      <c r="J52" s="7">
        <f t="shared" si="8"/>
        <v>4904319.7556647686</v>
      </c>
      <c r="K52" s="7">
        <f t="shared" si="8"/>
        <v>1096037.2896780798</v>
      </c>
      <c r="L52" s="7">
        <f t="shared" si="8"/>
        <v>97198.722837500056</v>
      </c>
      <c r="M52" s="7">
        <f t="shared" si="8"/>
        <v>23832.785720164804</v>
      </c>
      <c r="N52" s="7">
        <f t="shared" si="8"/>
        <v>440611.44609948655</v>
      </c>
    </row>
    <row r="53" spans="1:14" x14ac:dyDescent="0.25">
      <c r="A53">
        <v>48</v>
      </c>
      <c r="B53">
        <v>392</v>
      </c>
      <c r="C53" t="s">
        <v>51</v>
      </c>
      <c r="D53" t="s">
        <v>109</v>
      </c>
      <c r="E53" s="2">
        <v>6712000</v>
      </c>
      <c r="F53" s="2" t="s">
        <v>61</v>
      </c>
      <c r="G53" s="2"/>
      <c r="H53" s="2">
        <v>24</v>
      </c>
      <c r="I53" s="7">
        <v>6712000</v>
      </c>
      <c r="J53" s="7">
        <f t="shared" si="8"/>
        <v>5016427.0344440611</v>
      </c>
      <c r="K53" s="7">
        <f t="shared" si="8"/>
        <v>1121091.4794756586</v>
      </c>
      <c r="L53" s="7">
        <f t="shared" si="8"/>
        <v>99420.577215071695</v>
      </c>
      <c r="M53" s="7">
        <f t="shared" si="8"/>
        <v>24377.576615932063</v>
      </c>
      <c r="N53" s="7">
        <f t="shared" si="8"/>
        <v>450683.33224927675</v>
      </c>
    </row>
    <row r="54" spans="1:14" x14ac:dyDescent="0.25">
      <c r="A54">
        <v>49</v>
      </c>
      <c r="B54">
        <v>393</v>
      </c>
      <c r="C54" t="s">
        <v>51</v>
      </c>
      <c r="D54" t="s">
        <v>110</v>
      </c>
      <c r="E54" s="2">
        <v>399000</v>
      </c>
      <c r="F54" s="2" t="s">
        <v>61</v>
      </c>
      <c r="G54" s="2"/>
      <c r="H54" s="2">
        <v>24</v>
      </c>
      <c r="I54" s="7">
        <v>399000</v>
      </c>
      <c r="J54" s="7">
        <f t="shared" si="8"/>
        <v>298205.36155291722</v>
      </c>
      <c r="K54" s="7">
        <f t="shared" si="8"/>
        <v>66644.144861559573</v>
      </c>
      <c r="L54" s="7">
        <f t="shared" si="8"/>
        <v>5910.1326443405251</v>
      </c>
      <c r="M54" s="7">
        <f t="shared" si="8"/>
        <v>1449.1437827408959</v>
      </c>
      <c r="N54" s="7">
        <f t="shared" si="8"/>
        <v>26791.21715844181</v>
      </c>
    </row>
    <row r="55" spans="1:14" x14ac:dyDescent="0.25">
      <c r="A55">
        <v>50</v>
      </c>
      <c r="B55">
        <v>394</v>
      </c>
      <c r="C55" t="s">
        <v>51</v>
      </c>
      <c r="D55" t="s">
        <v>111</v>
      </c>
      <c r="E55" s="2">
        <v>4379000</v>
      </c>
      <c r="F55" s="2" t="s">
        <v>61</v>
      </c>
      <c r="G55" s="2"/>
      <c r="H55" s="2">
        <v>24</v>
      </c>
      <c r="I55" s="7">
        <v>4379000</v>
      </c>
      <c r="J55" s="7">
        <f t="shared" si="8"/>
        <v>3272785.1584968031</v>
      </c>
      <c r="K55" s="7">
        <f t="shared" si="8"/>
        <v>731415.31415731669</v>
      </c>
      <c r="L55" s="7">
        <f t="shared" si="8"/>
        <v>64863.335462574338</v>
      </c>
      <c r="M55" s="7">
        <f t="shared" si="8"/>
        <v>15904.262217098705</v>
      </c>
      <c r="N55" s="7">
        <f t="shared" si="8"/>
        <v>294031.92966620723</v>
      </c>
    </row>
    <row r="56" spans="1:14" x14ac:dyDescent="0.25">
      <c r="A56">
        <v>51</v>
      </c>
      <c r="B56">
        <v>395</v>
      </c>
      <c r="C56" t="s">
        <v>51</v>
      </c>
      <c r="D56" t="s">
        <v>112</v>
      </c>
      <c r="E56" s="2">
        <v>239000</v>
      </c>
      <c r="F56" s="2" t="s">
        <v>61</v>
      </c>
      <c r="G56" s="2"/>
      <c r="H56" s="2">
        <v>24</v>
      </c>
      <c r="I56" s="7">
        <v>238999.99999999997</v>
      </c>
      <c r="J56" s="7">
        <f t="shared" si="8"/>
        <v>178624.26418833886</v>
      </c>
      <c r="K56" s="7">
        <f t="shared" si="8"/>
        <v>39919.675744142194</v>
      </c>
      <c r="L56" s="7">
        <f t="shared" si="8"/>
        <v>3540.1546415974572</v>
      </c>
      <c r="M56" s="7">
        <f t="shared" si="8"/>
        <v>868.0334939224914</v>
      </c>
      <c r="N56" s="7">
        <f t="shared" si="8"/>
        <v>16047.871931998976</v>
      </c>
    </row>
    <row r="57" spans="1:14" x14ac:dyDescent="0.25">
      <c r="A57">
        <v>52</v>
      </c>
      <c r="B57">
        <v>396</v>
      </c>
      <c r="C57" t="s">
        <v>51</v>
      </c>
      <c r="D57" t="s">
        <v>113</v>
      </c>
      <c r="E57" s="2">
        <v>3623000</v>
      </c>
      <c r="F57" s="2" t="s">
        <v>61</v>
      </c>
      <c r="G57" s="2"/>
      <c r="H57" s="2">
        <v>24</v>
      </c>
      <c r="I57" s="7">
        <v>3622999.9999999991</v>
      </c>
      <c r="J57" s="7">
        <f t="shared" si="8"/>
        <v>2707764.4734491701</v>
      </c>
      <c r="K57" s="7">
        <f t="shared" si="8"/>
        <v>605142.19757751946</v>
      </c>
      <c r="L57" s="7">
        <f t="shared" si="8"/>
        <v>53665.189399613329</v>
      </c>
      <c r="M57" s="7">
        <f t="shared" si="8"/>
        <v>13158.51610243174</v>
      </c>
      <c r="N57" s="7">
        <f t="shared" si="8"/>
        <v>243269.62347126479</v>
      </c>
    </row>
    <row r="58" spans="1:14" x14ac:dyDescent="0.25">
      <c r="A58">
        <v>53</v>
      </c>
      <c r="B58">
        <v>397</v>
      </c>
      <c r="C58" t="s">
        <v>51</v>
      </c>
      <c r="D58" t="s">
        <v>114</v>
      </c>
      <c r="E58" s="2">
        <v>5179000</v>
      </c>
      <c r="F58" s="2" t="s">
        <v>61</v>
      </c>
      <c r="G58" s="2"/>
      <c r="H58" s="2">
        <v>24</v>
      </c>
      <c r="I58" s="7">
        <v>5178999.9999999991</v>
      </c>
      <c r="J58" s="7">
        <f t="shared" si="8"/>
        <v>3870690.6453196942</v>
      </c>
      <c r="K58" s="7">
        <f t="shared" si="8"/>
        <v>865037.65974440333</v>
      </c>
      <c r="L58" s="7">
        <f t="shared" si="8"/>
        <v>76713.225476289663</v>
      </c>
      <c r="M58" s="7">
        <f t="shared" si="8"/>
        <v>18809.813661190721</v>
      </c>
      <c r="N58" s="7">
        <f t="shared" si="8"/>
        <v>347748.6557984213</v>
      </c>
    </row>
    <row r="59" spans="1:14" x14ac:dyDescent="0.25">
      <c r="A59">
        <v>54</v>
      </c>
      <c r="B59">
        <v>398</v>
      </c>
      <c r="C59" t="s">
        <v>51</v>
      </c>
      <c r="D59" t="s">
        <v>115</v>
      </c>
      <c r="E59" s="2">
        <v>62000</v>
      </c>
      <c r="F59" s="2" t="s">
        <v>61</v>
      </c>
      <c r="G59" s="2"/>
      <c r="H59" s="2">
        <v>24</v>
      </c>
      <c r="I59" s="7">
        <v>61999.999999999993</v>
      </c>
      <c r="J59" s="7">
        <f t="shared" si="8"/>
        <v>46337.675228774104</v>
      </c>
      <c r="K59" s="7">
        <f t="shared" si="8"/>
        <v>10355.73178299923</v>
      </c>
      <c r="L59" s="7">
        <f t="shared" si="8"/>
        <v>918.36647606293866</v>
      </c>
      <c r="M59" s="7">
        <f t="shared" si="8"/>
        <v>225.18023691713165</v>
      </c>
      <c r="N59" s="7">
        <f t="shared" si="8"/>
        <v>4163.0462752465965</v>
      </c>
    </row>
    <row r="60" spans="1:14" x14ac:dyDescent="0.25">
      <c r="A60">
        <v>55</v>
      </c>
      <c r="D60" t="s">
        <v>116</v>
      </c>
      <c r="E60" s="2">
        <f>SUM(E50:E59)</f>
        <v>69778000</v>
      </c>
      <c r="F60" s="2"/>
      <c r="G60" s="2" t="s">
        <v>117</v>
      </c>
      <c r="H60" s="2"/>
      <c r="I60" s="7">
        <f t="shared" ref="I60:N60" si="9">SUM(I50:I59)</f>
        <v>69777999.999999985</v>
      </c>
      <c r="J60" s="7">
        <f t="shared" si="9"/>
        <v>52150811.324409671</v>
      </c>
      <c r="K60" s="7">
        <f t="shared" si="9"/>
        <v>11654875.037969682</v>
      </c>
      <c r="L60" s="7">
        <f t="shared" si="9"/>
        <v>1033577.0317212859</v>
      </c>
      <c r="M60" s="7">
        <f t="shared" si="9"/>
        <v>253429.46083231631</v>
      </c>
      <c r="N60" s="7">
        <f t="shared" si="9"/>
        <v>4685307.1450670492</v>
      </c>
    </row>
    <row r="61" spans="1:14" x14ac:dyDescent="0.25">
      <c r="A61">
        <v>56</v>
      </c>
      <c r="E61" s="2"/>
      <c r="F61" s="2"/>
      <c r="G61" s="2"/>
      <c r="H61" s="2"/>
      <c r="I61" s="7"/>
      <c r="J61" s="7"/>
      <c r="K61" s="7"/>
      <c r="L61" s="7"/>
      <c r="M61" s="7"/>
      <c r="N61" s="7"/>
    </row>
    <row r="62" spans="1:14" x14ac:dyDescent="0.25">
      <c r="A62">
        <v>57</v>
      </c>
      <c r="D62" t="s">
        <v>118</v>
      </c>
      <c r="E62" s="2">
        <f>+E47+E60+E15</f>
        <v>448574000</v>
      </c>
      <c r="F62" s="2" t="s">
        <v>119</v>
      </c>
      <c r="G62" s="2" t="s">
        <v>120</v>
      </c>
      <c r="H62" s="2"/>
      <c r="I62" s="7">
        <f t="shared" ref="I62:N62" si="10">+I47+I60+I15</f>
        <v>448574000</v>
      </c>
      <c r="J62" s="7">
        <f t="shared" si="10"/>
        <v>335264582.95814288</v>
      </c>
      <c r="K62" s="7">
        <f t="shared" si="10"/>
        <v>74912853.590979904</v>
      </c>
      <c r="L62" s="7">
        <f t="shared" si="10"/>
        <v>6642286.3815248506</v>
      </c>
      <c r="M62" s="7">
        <f t="shared" si="10"/>
        <v>1628780.0208143536</v>
      </c>
      <c r="N62" s="7">
        <f t="shared" si="10"/>
        <v>30125497.048537955</v>
      </c>
    </row>
    <row r="63" spans="1:14" x14ac:dyDescent="0.25">
      <c r="A63">
        <v>58</v>
      </c>
      <c r="E63">
        <v>0</v>
      </c>
      <c r="F63" s="2"/>
      <c r="G63" s="2"/>
      <c r="H63" s="2"/>
      <c r="I63" s="7"/>
      <c r="J63" s="7"/>
      <c r="K63" s="7"/>
      <c r="L63" s="7"/>
      <c r="M63" s="7"/>
      <c r="N63" s="7"/>
    </row>
    <row r="64" spans="1:14" x14ac:dyDescent="0.25">
      <c r="A64">
        <v>59</v>
      </c>
      <c r="E64" s="2"/>
      <c r="F64" s="2"/>
      <c r="G64" s="2"/>
      <c r="H64" s="2"/>
      <c r="I64" s="7"/>
      <c r="J64" s="7"/>
      <c r="K64" s="7"/>
      <c r="L64" s="7"/>
      <c r="M64" s="7"/>
      <c r="N64" s="7"/>
    </row>
    <row r="65" spans="1:14" x14ac:dyDescent="0.25">
      <c r="A65">
        <v>60</v>
      </c>
      <c r="D65" t="s">
        <v>121</v>
      </c>
      <c r="E65" s="2"/>
      <c r="F65" s="2"/>
      <c r="G65" s="2"/>
      <c r="H65" s="2"/>
      <c r="I65" s="7"/>
      <c r="J65" s="7"/>
      <c r="K65" s="7"/>
      <c r="L65" s="7"/>
      <c r="M65" s="7"/>
      <c r="N65" s="7"/>
    </row>
    <row r="66" spans="1:14" x14ac:dyDescent="0.25">
      <c r="A66">
        <v>61</v>
      </c>
      <c r="D66" t="s">
        <v>122</v>
      </c>
      <c r="E66" s="2"/>
      <c r="F66" s="2"/>
      <c r="G66" s="2"/>
      <c r="H66" s="2"/>
      <c r="I66" s="7"/>
      <c r="J66" s="7"/>
      <c r="K66" s="7"/>
      <c r="L66" s="7"/>
      <c r="M66" s="7"/>
      <c r="N66" s="7"/>
    </row>
    <row r="67" spans="1:14" x14ac:dyDescent="0.25">
      <c r="A67">
        <v>62</v>
      </c>
      <c r="B67">
        <v>350</v>
      </c>
      <c r="C67" t="s">
        <v>54</v>
      </c>
      <c r="D67" t="s">
        <v>123</v>
      </c>
      <c r="E67" s="2">
        <v>-15000</v>
      </c>
      <c r="F67" s="2" t="s">
        <v>124</v>
      </c>
      <c r="G67" s="2"/>
      <c r="H67" s="2">
        <v>23</v>
      </c>
      <c r="I67" s="7">
        <v>-15000</v>
      </c>
      <c r="J67" s="7">
        <f t="shared" ref="J67:N74" si="11">+INDEX(Alloc,$H67,J$1)*$I67</f>
        <v>-10112.887451540961</v>
      </c>
      <c r="K67" s="7">
        <f t="shared" si="11"/>
        <v>-3992.8188937405207</v>
      </c>
      <c r="L67" s="7">
        <f t="shared" si="11"/>
        <v>-500.00292017407304</v>
      </c>
      <c r="M67" s="7">
        <f t="shared" si="11"/>
        <v>-107.80601143965636</v>
      </c>
      <c r="N67" s="7">
        <f t="shared" si="11"/>
        <v>-286.48472310478951</v>
      </c>
    </row>
    <row r="68" spans="1:14" x14ac:dyDescent="0.25">
      <c r="A68">
        <v>63</v>
      </c>
      <c r="B68">
        <v>351</v>
      </c>
      <c r="C68" t="s">
        <v>54</v>
      </c>
      <c r="D68" t="s">
        <v>125</v>
      </c>
      <c r="E68" s="2">
        <v>-541000</v>
      </c>
      <c r="F68" s="2" t="s">
        <v>126</v>
      </c>
      <c r="G68" s="2"/>
      <c r="H68" s="2">
        <v>23</v>
      </c>
      <c r="I68" s="7">
        <v>-541000.00000000012</v>
      </c>
      <c r="J68" s="7">
        <f t="shared" si="11"/>
        <v>-364738.1407522441</v>
      </c>
      <c r="K68" s="7">
        <f t="shared" si="11"/>
        <v>-144007.66810090814</v>
      </c>
      <c r="L68" s="7">
        <f t="shared" si="11"/>
        <v>-18033.438654278238</v>
      </c>
      <c r="M68" s="7">
        <f t="shared" si="11"/>
        <v>-3888.2034792569402</v>
      </c>
      <c r="N68" s="7">
        <f t="shared" si="11"/>
        <v>-10332.549013312744</v>
      </c>
    </row>
    <row r="69" spans="1:14" x14ac:dyDescent="0.25">
      <c r="A69">
        <v>64</v>
      </c>
      <c r="B69">
        <v>352</v>
      </c>
      <c r="C69" t="s">
        <v>54</v>
      </c>
      <c r="D69" t="s">
        <v>127</v>
      </c>
      <c r="E69" s="2">
        <v>-6926000</v>
      </c>
      <c r="F69" s="2" t="s">
        <v>128</v>
      </c>
      <c r="G69" s="2"/>
      <c r="H69" s="2">
        <v>23</v>
      </c>
      <c r="I69" s="7">
        <v>-6926000</v>
      </c>
      <c r="J69" s="7">
        <f t="shared" si="11"/>
        <v>-4669457.2326248465</v>
      </c>
      <c r="K69" s="7">
        <f t="shared" si="11"/>
        <v>-1843617.5772031231</v>
      </c>
      <c r="L69" s="7">
        <f t="shared" si="11"/>
        <v>-230868.01500837534</v>
      </c>
      <c r="M69" s="7">
        <f t="shared" si="11"/>
        <v>-49777.629015403996</v>
      </c>
      <c r="N69" s="7">
        <f t="shared" si="11"/>
        <v>-132279.54614825148</v>
      </c>
    </row>
    <row r="70" spans="1:14" x14ac:dyDescent="0.25">
      <c r="A70">
        <v>65</v>
      </c>
      <c r="B70">
        <v>353</v>
      </c>
      <c r="C70" t="s">
        <v>54</v>
      </c>
      <c r="D70" t="s">
        <v>129</v>
      </c>
      <c r="E70" s="2">
        <v>-348000</v>
      </c>
      <c r="F70" s="2" t="s">
        <v>130</v>
      </c>
      <c r="G70" s="2"/>
      <c r="H70" s="2">
        <v>23</v>
      </c>
      <c r="I70" s="7">
        <v>-348000.00000000006</v>
      </c>
      <c r="J70" s="7">
        <f t="shared" si="11"/>
        <v>-234618.98887575034</v>
      </c>
      <c r="K70" s="7">
        <f t="shared" si="11"/>
        <v>-92633.398334780097</v>
      </c>
      <c r="L70" s="7">
        <f t="shared" si="11"/>
        <v>-11600.067748038497</v>
      </c>
      <c r="M70" s="7">
        <f t="shared" si="11"/>
        <v>-2501.0994654000278</v>
      </c>
      <c r="N70" s="7">
        <f t="shared" si="11"/>
        <v>-6646.4455760311175</v>
      </c>
    </row>
    <row r="71" spans="1:14" x14ac:dyDescent="0.25">
      <c r="A71">
        <v>66</v>
      </c>
      <c r="B71">
        <v>354</v>
      </c>
      <c r="C71" t="s">
        <v>54</v>
      </c>
      <c r="D71" t="s">
        <v>131</v>
      </c>
      <c r="E71" s="2">
        <v>-1459000</v>
      </c>
      <c r="F71" s="2" t="s">
        <v>132</v>
      </c>
      <c r="G71" s="2"/>
      <c r="H71" s="2">
        <v>23</v>
      </c>
      <c r="I71" s="7">
        <v>-1458999.9999999998</v>
      </c>
      <c r="J71" s="7">
        <f t="shared" si="11"/>
        <v>-983646.85278655065</v>
      </c>
      <c r="K71" s="7">
        <f t="shared" si="11"/>
        <v>-388368.18439782789</v>
      </c>
      <c r="L71" s="7">
        <f t="shared" si="11"/>
        <v>-48633.617368931496</v>
      </c>
      <c r="M71" s="7">
        <f t="shared" si="11"/>
        <v>-10485.931379363907</v>
      </c>
      <c r="N71" s="7">
        <f t="shared" si="11"/>
        <v>-27865.414067325855</v>
      </c>
    </row>
    <row r="72" spans="1:14" x14ac:dyDescent="0.25">
      <c r="A72">
        <v>67</v>
      </c>
      <c r="B72">
        <v>355</v>
      </c>
      <c r="C72" t="s">
        <v>54</v>
      </c>
      <c r="D72" t="s">
        <v>133</v>
      </c>
      <c r="E72" s="2">
        <v>252000</v>
      </c>
      <c r="F72" s="2" t="s">
        <v>134</v>
      </c>
      <c r="G72" s="2"/>
      <c r="H72" s="2">
        <v>23</v>
      </c>
      <c r="I72" s="7">
        <v>252000</v>
      </c>
      <c r="J72" s="7">
        <f t="shared" si="11"/>
        <v>169896.50918588814</v>
      </c>
      <c r="K72" s="7">
        <f t="shared" si="11"/>
        <v>67079.35741484075</v>
      </c>
      <c r="L72" s="7">
        <f t="shared" si="11"/>
        <v>8400.0490589244273</v>
      </c>
      <c r="M72" s="7">
        <f t="shared" si="11"/>
        <v>1811.1409921862269</v>
      </c>
      <c r="N72" s="7">
        <f t="shared" si="11"/>
        <v>4812.9433481604638</v>
      </c>
    </row>
    <row r="73" spans="1:14" x14ac:dyDescent="0.25">
      <c r="A73">
        <v>68</v>
      </c>
      <c r="B73">
        <v>356</v>
      </c>
      <c r="C73" t="s">
        <v>54</v>
      </c>
      <c r="D73" t="s">
        <v>135</v>
      </c>
      <c r="E73" s="2">
        <v>-255000</v>
      </c>
      <c r="F73" s="2" t="s">
        <v>136</v>
      </c>
      <c r="G73" s="2"/>
      <c r="H73" s="2">
        <v>23</v>
      </c>
      <c r="I73" s="7">
        <v>-255000</v>
      </c>
      <c r="J73" s="7">
        <f t="shared" si="11"/>
        <v>-171919.08667619634</v>
      </c>
      <c r="K73" s="7">
        <f t="shared" si="11"/>
        <v>-67877.921193588845</v>
      </c>
      <c r="L73" s="7">
        <f t="shared" si="11"/>
        <v>-8500.0496429592422</v>
      </c>
      <c r="M73" s="7">
        <f t="shared" si="11"/>
        <v>-1832.7021944741582</v>
      </c>
      <c r="N73" s="7">
        <f t="shared" si="11"/>
        <v>-4870.2402927814219</v>
      </c>
    </row>
    <row r="74" spans="1:14" x14ac:dyDescent="0.25">
      <c r="A74">
        <v>69</v>
      </c>
      <c r="B74">
        <v>357</v>
      </c>
      <c r="C74" t="s">
        <v>54</v>
      </c>
      <c r="D74" t="s">
        <v>137</v>
      </c>
      <c r="E74" s="2">
        <v>-530000</v>
      </c>
      <c r="F74" s="2" t="s">
        <v>138</v>
      </c>
      <c r="G74" s="2"/>
      <c r="H74" s="2">
        <v>23</v>
      </c>
      <c r="I74" s="7">
        <v>-530000</v>
      </c>
      <c r="J74" s="7">
        <f t="shared" si="11"/>
        <v>-357322.02328778064</v>
      </c>
      <c r="K74" s="7">
        <f t="shared" si="11"/>
        <v>-141079.60091216507</v>
      </c>
      <c r="L74" s="7">
        <f t="shared" si="11"/>
        <v>-17666.769846150582</v>
      </c>
      <c r="M74" s="7">
        <f t="shared" si="11"/>
        <v>-3809.1457375345249</v>
      </c>
      <c r="N74" s="7">
        <f t="shared" si="11"/>
        <v>-10122.460216369229</v>
      </c>
    </row>
    <row r="75" spans="1:14" x14ac:dyDescent="0.25">
      <c r="A75">
        <v>70</v>
      </c>
      <c r="D75" t="s">
        <v>139</v>
      </c>
      <c r="E75" s="2">
        <f>SUM(E67:E74)</f>
        <v>-9822000</v>
      </c>
      <c r="F75" s="2"/>
      <c r="G75" s="2"/>
      <c r="H75" s="2"/>
      <c r="I75" s="7">
        <f t="shared" ref="I75:N75" si="12">SUM(I67:I74)</f>
        <v>-9822000</v>
      </c>
      <c r="J75" s="7">
        <f t="shared" si="12"/>
        <v>-6621918.7032690216</v>
      </c>
      <c r="K75" s="7">
        <f t="shared" si="12"/>
        <v>-2614497.811621293</v>
      </c>
      <c r="L75" s="7">
        <f t="shared" si="12"/>
        <v>-327401.91212998307</v>
      </c>
      <c r="M75" s="7">
        <f t="shared" si="12"/>
        <v>-70591.376290686982</v>
      </c>
      <c r="N75" s="7">
        <f t="shared" si="12"/>
        <v>-187590.19668901616</v>
      </c>
    </row>
    <row r="76" spans="1:14" x14ac:dyDescent="0.25">
      <c r="A76">
        <v>71</v>
      </c>
      <c r="E76" s="2"/>
      <c r="F76" s="2"/>
      <c r="G76" s="2"/>
      <c r="H76" s="2"/>
      <c r="I76" s="7"/>
      <c r="J76" s="7"/>
      <c r="K76" s="7"/>
      <c r="L76" s="7"/>
      <c r="M76" s="7"/>
      <c r="N76" s="7"/>
    </row>
    <row r="77" spans="1:14" x14ac:dyDescent="0.25">
      <c r="A77">
        <v>72</v>
      </c>
      <c r="D77" t="s">
        <v>140</v>
      </c>
      <c r="E77" s="2"/>
      <c r="F77" s="2"/>
      <c r="G77" s="2"/>
      <c r="H77" s="2"/>
      <c r="I77" s="7"/>
      <c r="J77" s="7"/>
      <c r="K77" s="7"/>
      <c r="L77" s="7"/>
      <c r="M77" s="7"/>
      <c r="N77" s="7"/>
    </row>
    <row r="78" spans="1:14" x14ac:dyDescent="0.25">
      <c r="A78">
        <v>73</v>
      </c>
      <c r="B78">
        <v>374</v>
      </c>
      <c r="C78" t="s">
        <v>49</v>
      </c>
      <c r="D78" t="s">
        <v>123</v>
      </c>
      <c r="E78" s="2">
        <v>0</v>
      </c>
      <c r="F78" s="2" t="s">
        <v>141</v>
      </c>
      <c r="G78" s="2"/>
      <c r="H78" s="2" t="s">
        <v>475</v>
      </c>
      <c r="I78" s="7">
        <v>0</v>
      </c>
      <c r="J78" s="7"/>
      <c r="K78" s="7"/>
      <c r="L78" s="7"/>
      <c r="M78" s="7"/>
      <c r="N78" s="7"/>
    </row>
    <row r="79" spans="1:14" x14ac:dyDescent="0.25">
      <c r="A79">
        <v>74</v>
      </c>
      <c r="B79">
        <v>375</v>
      </c>
      <c r="C79" t="s">
        <v>49</v>
      </c>
      <c r="D79" t="s">
        <v>125</v>
      </c>
      <c r="E79" s="2">
        <v>-16666000</v>
      </c>
      <c r="F79" s="2" t="s">
        <v>142</v>
      </c>
      <c r="G79" s="2"/>
      <c r="H79" s="2" t="s">
        <v>476</v>
      </c>
      <c r="I79" s="7">
        <v>-16666000</v>
      </c>
      <c r="J79" s="7">
        <f>+J30/$I30*$I79</f>
        <v>-10291942.803486709</v>
      </c>
      <c r="K79" s="7">
        <f t="shared" ref="K79:N79" si="13">+K30/$I30*$I79</f>
        <v>-3951649.6210667482</v>
      </c>
      <c r="L79" s="7">
        <f t="shared" si="13"/>
        <v>-372125.42442732473</v>
      </c>
      <c r="M79" s="7">
        <f t="shared" si="13"/>
        <v>-88380.166142264046</v>
      </c>
      <c r="N79" s="7">
        <f t="shared" si="13"/>
        <v>-1961901.9848769542</v>
      </c>
    </row>
    <row r="80" spans="1:14" x14ac:dyDescent="0.25">
      <c r="A80">
        <v>76</v>
      </c>
      <c r="B80">
        <v>376</v>
      </c>
      <c r="C80" t="s">
        <v>49</v>
      </c>
      <c r="D80" t="s">
        <v>143</v>
      </c>
      <c r="E80" s="2">
        <v>-14450000</v>
      </c>
      <c r="F80" s="2" t="s">
        <v>483</v>
      </c>
      <c r="G80" s="2"/>
      <c r="H80" s="2" t="s">
        <v>477</v>
      </c>
      <c r="I80" s="7">
        <f>+-14450000-38724000</f>
        <v>-53174000</v>
      </c>
      <c r="J80" s="7">
        <f>SUM(J31:J34)/SUM($I31:$I34)*$I80</f>
        <v>-32837139.483535483</v>
      </c>
      <c r="K80" s="7">
        <f>SUM(K31:K34)/SUM($I31:$I34)*$I80</f>
        <v>-12608005.337249689</v>
      </c>
      <c r="L80" s="7">
        <f>SUM(L31:L34)/SUM($I31:$I34)*$I80</f>
        <v>-1187291.3307631447</v>
      </c>
      <c r="M80" s="7">
        <f>SUM(M31:M34)/SUM($I31:$I34)*$I80</f>
        <v>-281982.89658278826</v>
      </c>
      <c r="N80" s="7">
        <f>SUM(N31:N34)/SUM($I31:$I34)*$I80</f>
        <v>-6259580.9518689048</v>
      </c>
    </row>
    <row r="81" spans="1:14" x14ac:dyDescent="0.25">
      <c r="A81">
        <v>77</v>
      </c>
      <c r="B81">
        <v>378</v>
      </c>
      <c r="C81" t="s">
        <v>49</v>
      </c>
      <c r="D81" t="s">
        <v>144</v>
      </c>
      <c r="E81" s="2">
        <v>-633000</v>
      </c>
      <c r="F81" s="2" t="s">
        <v>145</v>
      </c>
      <c r="G81" s="2"/>
      <c r="H81" s="2" t="s">
        <v>478</v>
      </c>
      <c r="I81" s="7">
        <v>-633000</v>
      </c>
      <c r="J81" s="7">
        <f>+J36/$I36*$I81</f>
        <v>-390903.62382137805</v>
      </c>
      <c r="K81" s="7">
        <f t="shared" ref="K81:N81" si="14">+K36/$I36*$I81</f>
        <v>-150089.65619436288</v>
      </c>
      <c r="L81" s="7">
        <f t="shared" si="14"/>
        <v>-14133.88897530881</v>
      </c>
      <c r="M81" s="7">
        <f t="shared" si="14"/>
        <v>-3356.8129826024933</v>
      </c>
      <c r="N81" s="7">
        <f t="shared" si="14"/>
        <v>-74516.018026347796</v>
      </c>
    </row>
    <row r="82" spans="1:14" x14ac:dyDescent="0.25">
      <c r="A82">
        <v>78</v>
      </c>
      <c r="B82">
        <v>379</v>
      </c>
      <c r="C82" t="s">
        <v>49</v>
      </c>
      <c r="D82" t="s">
        <v>146</v>
      </c>
      <c r="E82" s="2">
        <v>-383000</v>
      </c>
      <c r="F82" s="2" t="s">
        <v>147</v>
      </c>
      <c r="G82" s="2"/>
      <c r="H82" s="2" t="s">
        <v>479</v>
      </c>
      <c r="I82" s="7">
        <v>-383000</v>
      </c>
      <c r="J82" s="7">
        <f>+J37/$I37*$I82</f>
        <v>-236518.30635637877</v>
      </c>
      <c r="K82" s="7">
        <f t="shared" ref="K82:N82" si="15">+K37/$I37*$I82</f>
        <v>-90812.540793745633</v>
      </c>
      <c r="L82" s="7">
        <f t="shared" si="15"/>
        <v>-8551.7843247129131</v>
      </c>
      <c r="M82" s="7">
        <f t="shared" si="15"/>
        <v>-2031.0574602476381</v>
      </c>
      <c r="N82" s="7">
        <f t="shared" si="15"/>
        <v>-45086.311064915011</v>
      </c>
    </row>
    <row r="83" spans="1:14" x14ac:dyDescent="0.25">
      <c r="A83">
        <v>79</v>
      </c>
      <c r="B83">
        <v>380</v>
      </c>
      <c r="C83" t="s">
        <v>49</v>
      </c>
      <c r="D83" t="s">
        <v>148</v>
      </c>
      <c r="E83" s="2">
        <v>-44476000</v>
      </c>
      <c r="F83" s="2" t="s">
        <v>149</v>
      </c>
      <c r="G83" s="2"/>
      <c r="H83" s="2" t="s">
        <v>480</v>
      </c>
      <c r="I83" s="7">
        <v>-44476000</v>
      </c>
      <c r="J83" s="7">
        <f>+J38/$I38*$I83</f>
        <v>-43639449.584907435</v>
      </c>
      <c r="K83" s="7">
        <f t="shared" ref="K83:N83" si="16">+K38/$I38*$I83</f>
        <v>-735366.70609217219</v>
      </c>
      <c r="L83" s="7">
        <f t="shared" si="16"/>
        <v>-22383.979819668428</v>
      </c>
      <c r="M83" s="7">
        <f t="shared" si="16"/>
        <v>-1598.8557014048874</v>
      </c>
      <c r="N83" s="7">
        <f t="shared" si="16"/>
        <v>-77200.873479312591</v>
      </c>
    </row>
    <row r="84" spans="1:14" x14ac:dyDescent="0.25">
      <c r="A84">
        <v>80</v>
      </c>
      <c r="B84">
        <v>381</v>
      </c>
      <c r="C84" t="s">
        <v>49</v>
      </c>
      <c r="D84" t="s">
        <v>150</v>
      </c>
      <c r="E84" s="2">
        <v>-9444000</v>
      </c>
      <c r="F84" s="2" t="s">
        <v>151</v>
      </c>
      <c r="G84" s="2"/>
      <c r="H84" s="2" t="s">
        <v>481</v>
      </c>
      <c r="I84" s="7">
        <v>-9444000</v>
      </c>
      <c r="J84" s="7">
        <f>+J39/$I39*$I84</f>
        <v>-8117860.6357684452</v>
      </c>
      <c r="K84" s="7">
        <f t="shared" ref="K84:N84" si="17">+K39/$I39*$I84</f>
        <v>-1112764.8648889386</v>
      </c>
      <c r="L84" s="7">
        <f t="shared" si="17"/>
        <v>-31049.507107647554</v>
      </c>
      <c r="M84" s="7">
        <f t="shared" si="17"/>
        <v>-17067.704471152469</v>
      </c>
      <c r="N84" s="7">
        <f t="shared" si="17"/>
        <v>-165257.28776381709</v>
      </c>
    </row>
    <row r="85" spans="1:14" x14ac:dyDescent="0.25">
      <c r="A85">
        <v>81</v>
      </c>
      <c r="B85">
        <v>382</v>
      </c>
      <c r="C85" t="s">
        <v>49</v>
      </c>
      <c r="D85" t="s">
        <v>152</v>
      </c>
      <c r="E85" s="2">
        <v>0</v>
      </c>
      <c r="F85" s="2" t="s">
        <v>153</v>
      </c>
      <c r="G85" s="2"/>
      <c r="H85" s="2" t="s">
        <v>484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</row>
    <row r="86" spans="1:14" x14ac:dyDescent="0.25">
      <c r="A86">
        <v>82</v>
      </c>
      <c r="B86">
        <v>383</v>
      </c>
      <c r="C86" t="s">
        <v>49</v>
      </c>
      <c r="D86" t="s">
        <v>154</v>
      </c>
      <c r="E86" s="2">
        <v>0</v>
      </c>
      <c r="F86" s="2" t="s">
        <v>155</v>
      </c>
      <c r="G86" s="2"/>
      <c r="H86" s="2" t="s">
        <v>485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</row>
    <row r="87" spans="1:14" x14ac:dyDescent="0.25">
      <c r="A87">
        <v>83</v>
      </c>
      <c r="B87">
        <v>384</v>
      </c>
      <c r="C87" t="s">
        <v>49</v>
      </c>
      <c r="D87" t="s">
        <v>156</v>
      </c>
      <c r="E87" s="2">
        <v>0</v>
      </c>
      <c r="F87" s="2" t="s">
        <v>157</v>
      </c>
      <c r="G87" s="2"/>
      <c r="H87" s="2" t="s">
        <v>486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</row>
    <row r="88" spans="1:14" x14ac:dyDescent="0.25">
      <c r="A88">
        <v>84</v>
      </c>
      <c r="B88">
        <v>385</v>
      </c>
      <c r="C88" t="s">
        <v>49</v>
      </c>
      <c r="D88" t="s">
        <v>158</v>
      </c>
      <c r="E88" s="2">
        <v>-884000</v>
      </c>
      <c r="F88" s="2" t="s">
        <v>159</v>
      </c>
      <c r="G88" s="2"/>
      <c r="H88" s="2" t="s">
        <v>482</v>
      </c>
      <c r="I88" s="7">
        <v>-884000.00000000012</v>
      </c>
      <c r="J88" s="7">
        <f>+J43/$I43*$I88</f>
        <v>0</v>
      </c>
      <c r="K88" s="7">
        <f t="shared" ref="K88:N88" si="18">+K43/$I43*$I88</f>
        <v>-687417.59647513169</v>
      </c>
      <c r="L88" s="7">
        <f t="shared" si="18"/>
        <v>-28455.291504454417</v>
      </c>
      <c r="M88" s="7">
        <f t="shared" si="18"/>
        <v>-15758.517340121851</v>
      </c>
      <c r="N88" s="7">
        <f t="shared" si="18"/>
        <v>-152368.59468029221</v>
      </c>
    </row>
    <row r="89" spans="1:14" x14ac:dyDescent="0.25">
      <c r="A89">
        <v>85</v>
      </c>
      <c r="B89">
        <v>387</v>
      </c>
      <c r="C89" t="s">
        <v>49</v>
      </c>
      <c r="D89" t="s">
        <v>137</v>
      </c>
      <c r="E89" s="2">
        <v>0</v>
      </c>
      <c r="F89" s="2" t="s">
        <v>160</v>
      </c>
      <c r="G89" s="2"/>
      <c r="H89" s="2" t="s">
        <v>487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</row>
    <row r="90" spans="1:14" x14ac:dyDescent="0.25">
      <c r="A90">
        <v>86</v>
      </c>
      <c r="D90" t="s">
        <v>161</v>
      </c>
      <c r="E90" s="2">
        <f>SUM(E78:E89)</f>
        <v>-86936000</v>
      </c>
      <c r="F90" s="2"/>
      <c r="G90" s="2"/>
      <c r="H90" s="2"/>
      <c r="I90" s="7">
        <f t="shared" ref="I90:N90" si="19">SUM(I78:I89)</f>
        <v>-125660000</v>
      </c>
      <c r="J90" s="7">
        <f t="shared" si="19"/>
        <v>-95513814.437875822</v>
      </c>
      <c r="K90" s="7">
        <f t="shared" si="19"/>
        <v>-19336106.322760791</v>
      </c>
      <c r="L90" s="7">
        <f t="shared" si="19"/>
        <v>-1663991.2069222613</v>
      </c>
      <c r="M90" s="7">
        <f t="shared" si="19"/>
        <v>-410176.01068058168</v>
      </c>
      <c r="N90" s="7">
        <f t="shared" si="19"/>
        <v>-8735912.0217605438</v>
      </c>
    </row>
    <row r="91" spans="1:14" x14ac:dyDescent="0.25">
      <c r="A91">
        <v>87</v>
      </c>
      <c r="E91" s="2"/>
      <c r="F91" s="2"/>
      <c r="G91" s="2"/>
      <c r="H91" s="2"/>
      <c r="I91" s="7"/>
      <c r="J91" s="7"/>
      <c r="K91" s="7"/>
      <c r="L91" s="7"/>
      <c r="M91" s="7"/>
      <c r="N91" s="7"/>
    </row>
    <row r="92" spans="1:14" x14ac:dyDescent="0.25">
      <c r="A92">
        <v>88</v>
      </c>
      <c r="D92" t="s">
        <v>162</v>
      </c>
      <c r="E92" s="2"/>
      <c r="F92" s="2"/>
      <c r="G92" s="2"/>
      <c r="H92" s="2"/>
      <c r="I92" s="7"/>
      <c r="J92" s="7"/>
      <c r="K92" s="7"/>
      <c r="L92" s="7"/>
      <c r="M92" s="7"/>
      <c r="N92" s="7"/>
    </row>
    <row r="93" spans="1:14" x14ac:dyDescent="0.25">
      <c r="A93">
        <v>89</v>
      </c>
      <c r="B93">
        <v>389</v>
      </c>
      <c r="C93" t="s">
        <v>51</v>
      </c>
      <c r="D93" t="s">
        <v>123</v>
      </c>
      <c r="E93" s="2">
        <v>2000</v>
      </c>
      <c r="F93" s="2" t="s">
        <v>163</v>
      </c>
      <c r="G93" s="2"/>
      <c r="H93" s="2">
        <v>24</v>
      </c>
      <c r="I93" s="7">
        <v>1999.9999999999995</v>
      </c>
      <c r="J93" s="7">
        <f t="shared" ref="J93:N102" si="20">+INDEX(Alloc,$H93,J$1)*$I93</f>
        <v>1494.7637170572289</v>
      </c>
      <c r="K93" s="7">
        <f t="shared" si="20"/>
        <v>334.05586396771707</v>
      </c>
      <c r="L93" s="7">
        <f t="shared" si="20"/>
        <v>29.624725034288339</v>
      </c>
      <c r="M93" s="7">
        <f t="shared" si="20"/>
        <v>7.2638786102300532</v>
      </c>
      <c r="N93" s="7">
        <f t="shared" si="20"/>
        <v>134.29181533053534</v>
      </c>
    </row>
    <row r="94" spans="1:14" x14ac:dyDescent="0.25">
      <c r="A94">
        <v>90</v>
      </c>
      <c r="B94">
        <v>390</v>
      </c>
      <c r="C94" t="s">
        <v>51</v>
      </c>
      <c r="D94" t="s">
        <v>125</v>
      </c>
      <c r="E94" s="2">
        <v>-12198000</v>
      </c>
      <c r="F94" s="2" t="s">
        <v>164</v>
      </c>
      <c r="G94" s="2"/>
      <c r="H94" s="2">
        <v>24</v>
      </c>
      <c r="I94" s="7">
        <v>-12198000</v>
      </c>
      <c r="J94" s="7">
        <f t="shared" si="20"/>
        <v>-9116563.9103320409</v>
      </c>
      <c r="K94" s="7">
        <f t="shared" si="20"/>
        <v>-2037406.7143391068</v>
      </c>
      <c r="L94" s="7">
        <f t="shared" si="20"/>
        <v>-180681.19798412462</v>
      </c>
      <c r="M94" s="7">
        <f t="shared" si="20"/>
        <v>-44302.395643793105</v>
      </c>
      <c r="N94" s="7">
        <f t="shared" si="20"/>
        <v>-819045.78170093533</v>
      </c>
    </row>
    <row r="95" spans="1:14" x14ac:dyDescent="0.25">
      <c r="A95">
        <v>91</v>
      </c>
      <c r="B95">
        <v>391</v>
      </c>
      <c r="C95" t="s">
        <v>51</v>
      </c>
      <c r="D95" t="s">
        <v>165</v>
      </c>
      <c r="E95" s="2">
        <v>-2783000</v>
      </c>
      <c r="F95" s="2" t="s">
        <v>166</v>
      </c>
      <c r="G95" s="2"/>
      <c r="H95" s="2">
        <v>24</v>
      </c>
      <c r="I95" s="7">
        <v>-2782999.9999999995</v>
      </c>
      <c r="J95" s="7">
        <f t="shared" si="20"/>
        <v>-2079963.712285134</v>
      </c>
      <c r="K95" s="7">
        <f t="shared" si="20"/>
        <v>-464838.73471107834</v>
      </c>
      <c r="L95" s="7">
        <f t="shared" si="20"/>
        <v>-41222.80488521223</v>
      </c>
      <c r="M95" s="7">
        <f t="shared" si="20"/>
        <v>-10107.68708613512</v>
      </c>
      <c r="N95" s="7">
        <f t="shared" si="20"/>
        <v>-186867.06103243996</v>
      </c>
    </row>
    <row r="96" spans="1:14" x14ac:dyDescent="0.25">
      <c r="A96">
        <v>92</v>
      </c>
      <c r="B96">
        <v>392</v>
      </c>
      <c r="C96" t="s">
        <v>51</v>
      </c>
      <c r="D96" t="s">
        <v>167</v>
      </c>
      <c r="E96" s="2">
        <v>-1264000</v>
      </c>
      <c r="F96" s="2" t="s">
        <v>168</v>
      </c>
      <c r="G96" s="2"/>
      <c r="H96" s="2">
        <v>24</v>
      </c>
      <c r="I96" s="7">
        <v>-1264000</v>
      </c>
      <c r="J96" s="7">
        <f t="shared" si="20"/>
        <v>-944690.66918016889</v>
      </c>
      <c r="K96" s="7">
        <f t="shared" si="20"/>
        <v>-211123.30602759722</v>
      </c>
      <c r="L96" s="7">
        <f t="shared" si="20"/>
        <v>-18722.826221670235</v>
      </c>
      <c r="M96" s="7">
        <f t="shared" si="20"/>
        <v>-4590.7712816653948</v>
      </c>
      <c r="N96" s="7">
        <f t="shared" si="20"/>
        <v>-84872.427288898369</v>
      </c>
    </row>
    <row r="97" spans="1:14" x14ac:dyDescent="0.25">
      <c r="A97">
        <v>93</v>
      </c>
      <c r="B97">
        <v>393</v>
      </c>
      <c r="C97" t="s">
        <v>51</v>
      </c>
      <c r="D97" t="s">
        <v>169</v>
      </c>
      <c r="E97" s="2">
        <v>-104000</v>
      </c>
      <c r="F97" s="2" t="s">
        <v>170</v>
      </c>
      <c r="G97" s="2"/>
      <c r="H97" s="2">
        <v>24</v>
      </c>
      <c r="I97" s="7">
        <v>-103999.99999999999</v>
      </c>
      <c r="J97" s="7">
        <f t="shared" si="20"/>
        <v>-77727.713286975908</v>
      </c>
      <c r="K97" s="7">
        <f t="shared" si="20"/>
        <v>-17370.904926321287</v>
      </c>
      <c r="L97" s="7">
        <f t="shared" si="20"/>
        <v>-1540.4857017829938</v>
      </c>
      <c r="M97" s="7">
        <f t="shared" si="20"/>
        <v>-377.72168773196279</v>
      </c>
      <c r="N97" s="7">
        <f t="shared" si="20"/>
        <v>-6983.1743971878395</v>
      </c>
    </row>
    <row r="98" spans="1:14" x14ac:dyDescent="0.25">
      <c r="A98">
        <v>94</v>
      </c>
      <c r="B98">
        <v>394</v>
      </c>
      <c r="C98" t="s">
        <v>51</v>
      </c>
      <c r="D98" t="s">
        <v>171</v>
      </c>
      <c r="E98" s="2">
        <v>-1377000</v>
      </c>
      <c r="F98" s="2" t="s">
        <v>172</v>
      </c>
      <c r="G98" s="2"/>
      <c r="H98" s="2">
        <v>24</v>
      </c>
      <c r="I98" s="7">
        <v>-1377000</v>
      </c>
      <c r="J98" s="7">
        <f t="shared" si="20"/>
        <v>-1029144.8191939023</v>
      </c>
      <c r="K98" s="7">
        <f t="shared" si="20"/>
        <v>-229997.46234177324</v>
      </c>
      <c r="L98" s="7">
        <f t="shared" si="20"/>
        <v>-20396.623186107528</v>
      </c>
      <c r="M98" s="7">
        <f t="shared" si="20"/>
        <v>-5001.1804231433925</v>
      </c>
      <c r="N98" s="7">
        <f t="shared" si="20"/>
        <v>-92459.914855073614</v>
      </c>
    </row>
    <row r="99" spans="1:14" x14ac:dyDescent="0.25">
      <c r="A99">
        <v>95</v>
      </c>
      <c r="B99">
        <v>395</v>
      </c>
      <c r="C99" t="s">
        <v>51</v>
      </c>
      <c r="D99" t="s">
        <v>173</v>
      </c>
      <c r="E99" s="2">
        <v>-87000</v>
      </c>
      <c r="F99" s="2" t="s">
        <v>174</v>
      </c>
      <c r="G99" s="2"/>
      <c r="H99" s="2">
        <v>24</v>
      </c>
      <c r="I99" s="7">
        <v>-86999.999999999985</v>
      </c>
      <c r="J99" s="7">
        <f t="shared" si="20"/>
        <v>-65022.221691989456</v>
      </c>
      <c r="K99" s="7">
        <f t="shared" si="20"/>
        <v>-14531.430082595693</v>
      </c>
      <c r="L99" s="7">
        <f t="shared" si="20"/>
        <v>-1288.6755389915429</v>
      </c>
      <c r="M99" s="7">
        <f t="shared" si="20"/>
        <v>-315.97871954500732</v>
      </c>
      <c r="N99" s="7">
        <f t="shared" si="20"/>
        <v>-5841.6939668782879</v>
      </c>
    </row>
    <row r="100" spans="1:14" x14ac:dyDescent="0.25">
      <c r="A100">
        <v>96</v>
      </c>
      <c r="B100">
        <v>396</v>
      </c>
      <c r="C100" t="s">
        <v>51</v>
      </c>
      <c r="D100" t="s">
        <v>175</v>
      </c>
      <c r="E100" s="2">
        <v>-981000</v>
      </c>
      <c r="F100" s="2" t="s">
        <v>176</v>
      </c>
      <c r="G100" s="2"/>
      <c r="H100" s="2">
        <v>24</v>
      </c>
      <c r="I100" s="7">
        <v>-981000</v>
      </c>
      <c r="J100" s="7">
        <f t="shared" si="20"/>
        <v>-733181.60321657092</v>
      </c>
      <c r="K100" s="7">
        <f t="shared" si="20"/>
        <v>-163854.40127616527</v>
      </c>
      <c r="L100" s="7">
        <f t="shared" si="20"/>
        <v>-14530.927629318434</v>
      </c>
      <c r="M100" s="7">
        <f t="shared" si="20"/>
        <v>-3562.9324583178418</v>
      </c>
      <c r="N100" s="7">
        <f t="shared" si="20"/>
        <v>-65870.135419627608</v>
      </c>
    </row>
    <row r="101" spans="1:14" x14ac:dyDescent="0.25">
      <c r="A101">
        <v>97</v>
      </c>
      <c r="B101">
        <v>397</v>
      </c>
      <c r="C101" t="s">
        <v>51</v>
      </c>
      <c r="D101" t="s">
        <v>177</v>
      </c>
      <c r="E101" s="2">
        <v>-2886000</v>
      </c>
      <c r="F101" s="2" t="s">
        <v>178</v>
      </c>
      <c r="G101" s="2"/>
      <c r="H101" s="2">
        <v>24</v>
      </c>
      <c r="I101" s="7">
        <v>-2886000</v>
      </c>
      <c r="J101" s="7">
        <f t="shared" si="20"/>
        <v>-2156944.0437135817</v>
      </c>
      <c r="K101" s="7">
        <f t="shared" si="20"/>
        <v>-482042.61170541582</v>
      </c>
      <c r="L101" s="7">
        <f t="shared" si="20"/>
        <v>-42748.478224478087</v>
      </c>
      <c r="M101" s="7">
        <f t="shared" si="20"/>
        <v>-10481.776834561968</v>
      </c>
      <c r="N101" s="7">
        <f t="shared" si="20"/>
        <v>-193783.08952196257</v>
      </c>
    </row>
    <row r="102" spans="1:14" x14ac:dyDescent="0.25">
      <c r="A102">
        <v>98</v>
      </c>
      <c r="B102">
        <v>398</v>
      </c>
      <c r="C102" t="s">
        <v>51</v>
      </c>
      <c r="D102" t="s">
        <v>179</v>
      </c>
      <c r="E102" s="2">
        <v>6000</v>
      </c>
      <c r="F102" s="2" t="s">
        <v>180</v>
      </c>
      <c r="G102" s="2"/>
      <c r="H102" s="2">
        <v>24</v>
      </c>
      <c r="I102" s="7">
        <v>5999.9999999999991</v>
      </c>
      <c r="J102" s="7">
        <f t="shared" si="20"/>
        <v>4484.2911511716866</v>
      </c>
      <c r="K102" s="7">
        <f t="shared" si="20"/>
        <v>1002.1675919031512</v>
      </c>
      <c r="L102" s="7">
        <f t="shared" si="20"/>
        <v>88.874175102865024</v>
      </c>
      <c r="M102" s="7">
        <f t="shared" si="20"/>
        <v>21.791635830690161</v>
      </c>
      <c r="N102" s="7">
        <f t="shared" si="20"/>
        <v>402.87544599160611</v>
      </c>
    </row>
    <row r="103" spans="1:14" x14ac:dyDescent="0.25">
      <c r="A103">
        <v>99</v>
      </c>
      <c r="D103" t="s">
        <v>181</v>
      </c>
      <c r="E103" s="2">
        <f>SUM(E93:E102)</f>
        <v>-21672000</v>
      </c>
      <c r="F103" s="2"/>
      <c r="G103" s="2"/>
      <c r="H103" s="2"/>
      <c r="I103" s="7">
        <f t="shared" ref="I103:N103" si="21">SUM(I93:I102)</f>
        <v>-21672000</v>
      </c>
      <c r="J103" s="7">
        <f t="shared" si="21"/>
        <v>-16197259.638032136</v>
      </c>
      <c r="K103" s="7">
        <f t="shared" si="21"/>
        <v>-3619829.3419541833</v>
      </c>
      <c r="L103" s="7">
        <f t="shared" si="21"/>
        <v>-321013.52047154855</v>
      </c>
      <c r="M103" s="7">
        <f t="shared" si="21"/>
        <v>-78711.388620452883</v>
      </c>
      <c r="N103" s="7">
        <f t="shared" si="21"/>
        <v>-1455186.1109216816</v>
      </c>
    </row>
    <row r="104" spans="1:14" x14ac:dyDescent="0.25">
      <c r="A104">
        <v>100</v>
      </c>
      <c r="E104" s="2"/>
      <c r="F104" s="2"/>
      <c r="G104" s="2"/>
      <c r="H104" s="2"/>
      <c r="I104" s="7"/>
      <c r="J104" s="7"/>
      <c r="K104" s="7"/>
      <c r="L104" s="7"/>
      <c r="M104" s="7"/>
      <c r="N104" s="7"/>
    </row>
    <row r="105" spans="1:14" x14ac:dyDescent="0.25">
      <c r="A105">
        <v>101</v>
      </c>
      <c r="D105" t="s">
        <v>182</v>
      </c>
      <c r="E105" s="2">
        <f>+E90+E103+E75</f>
        <v>-118430000</v>
      </c>
      <c r="F105" s="2" t="s">
        <v>183</v>
      </c>
      <c r="G105" s="2"/>
      <c r="H105" s="2"/>
      <c r="I105" s="7">
        <f t="shared" ref="I105:N105" si="22">+I90+I103+I75</f>
        <v>-157154000</v>
      </c>
      <c r="J105" s="7">
        <f t="shared" si="22"/>
        <v>-118332992.77917698</v>
      </c>
      <c r="K105" s="7">
        <f t="shared" si="22"/>
        <v>-25570433.476336267</v>
      </c>
      <c r="L105" s="7">
        <f t="shared" si="22"/>
        <v>-2312406.639523793</v>
      </c>
      <c r="M105" s="7">
        <f t="shared" si="22"/>
        <v>-559478.77559172153</v>
      </c>
      <c r="N105" s="7">
        <f t="shared" si="22"/>
        <v>-10378688.32937124</v>
      </c>
    </row>
    <row r="106" spans="1:14" x14ac:dyDescent="0.25">
      <c r="A106">
        <v>102</v>
      </c>
      <c r="E106" s="2"/>
      <c r="F106" s="2"/>
      <c r="G106" s="2"/>
      <c r="H106" s="2"/>
      <c r="I106" s="7"/>
      <c r="J106" s="7"/>
      <c r="K106" s="7"/>
      <c r="L106" s="7"/>
      <c r="M106" s="7"/>
      <c r="N106" s="7"/>
    </row>
    <row r="107" spans="1:14" x14ac:dyDescent="0.25">
      <c r="A107">
        <v>103</v>
      </c>
      <c r="D107" t="s">
        <v>184</v>
      </c>
      <c r="E107" s="2"/>
      <c r="F107" s="2"/>
      <c r="G107" s="2"/>
      <c r="H107" s="2"/>
      <c r="I107" s="7"/>
      <c r="J107" s="7"/>
      <c r="K107" s="7"/>
      <c r="L107" s="7"/>
      <c r="M107" s="7"/>
      <c r="N107" s="7"/>
    </row>
    <row r="108" spans="1:14" x14ac:dyDescent="0.25">
      <c r="A108">
        <v>104</v>
      </c>
      <c r="B108">
        <v>303.10000000000002</v>
      </c>
      <c r="C108" t="s">
        <v>51</v>
      </c>
      <c r="D108" t="s">
        <v>185</v>
      </c>
      <c r="E108" s="2">
        <v>-3573000</v>
      </c>
      <c r="F108" s="2" t="s">
        <v>61</v>
      </c>
      <c r="G108" s="2"/>
      <c r="H108" s="2">
        <v>24</v>
      </c>
      <c r="I108" s="7">
        <v>-3572999.9999999995</v>
      </c>
      <c r="J108" s="7">
        <f t="shared" ref="J108:N109" si="23">+INDEX(Alloc,$H108,J$1)*$I108</f>
        <v>-2670395.3805227396</v>
      </c>
      <c r="K108" s="7">
        <f t="shared" si="23"/>
        <v>-596790.80097832659</v>
      </c>
      <c r="L108" s="7">
        <f t="shared" si="23"/>
        <v>-52924.571273756126</v>
      </c>
      <c r="M108" s="7">
        <f t="shared" si="23"/>
        <v>-12976.91913717599</v>
      </c>
      <c r="N108" s="7">
        <f t="shared" si="23"/>
        <v>-239912.32808800144</v>
      </c>
    </row>
    <row r="109" spans="1:14" x14ac:dyDescent="0.25">
      <c r="A109">
        <v>105</v>
      </c>
      <c r="B109">
        <v>303</v>
      </c>
      <c r="C109" t="s">
        <v>49</v>
      </c>
      <c r="D109" t="s">
        <v>186</v>
      </c>
      <c r="E109" s="2">
        <v>-379000</v>
      </c>
      <c r="F109" s="2" t="s">
        <v>59</v>
      </c>
      <c r="G109" s="2"/>
      <c r="H109" s="2">
        <v>22</v>
      </c>
      <c r="I109" s="7">
        <v>-379000</v>
      </c>
      <c r="J109" s="7">
        <f t="shared" si="23"/>
        <v>-285297.2212535076</v>
      </c>
      <c r="K109" s="7">
        <f t="shared" si="23"/>
        <v>-60540.390954319504</v>
      </c>
      <c r="L109" s="7">
        <f t="shared" si="23"/>
        <v>-5097.774060761677</v>
      </c>
      <c r="M109" s="7">
        <f t="shared" si="23"/>
        <v>-1277.437693527896</v>
      </c>
      <c r="N109" s="7">
        <f t="shared" si="23"/>
        <v>-26787.176037883302</v>
      </c>
    </row>
    <row r="110" spans="1:14" x14ac:dyDescent="0.25">
      <c r="A110">
        <v>106</v>
      </c>
      <c r="D110" t="s">
        <v>187</v>
      </c>
      <c r="E110" s="2">
        <f>SUM(E108:E109)</f>
        <v>-3952000</v>
      </c>
      <c r="F110" s="2"/>
      <c r="G110" s="2"/>
      <c r="H110" s="2"/>
      <c r="I110" s="7">
        <f t="shared" ref="I110:N110" si="24">SUM(I108:I109)</f>
        <v>-3951999.9999999995</v>
      </c>
      <c r="J110" s="7">
        <f t="shared" si="24"/>
        <v>-2955692.6017762474</v>
      </c>
      <c r="K110" s="7">
        <f t="shared" si="24"/>
        <v>-657331.19193264609</v>
      </c>
      <c r="L110" s="7">
        <f t="shared" si="24"/>
        <v>-58022.345334517806</v>
      </c>
      <c r="M110" s="7">
        <f t="shared" si="24"/>
        <v>-14254.356830703886</v>
      </c>
      <c r="N110" s="7">
        <f t="shared" si="24"/>
        <v>-266699.50412588473</v>
      </c>
    </row>
    <row r="111" spans="1:14" x14ac:dyDescent="0.25">
      <c r="A111">
        <v>107</v>
      </c>
      <c r="E111" s="2"/>
      <c r="F111" s="2"/>
      <c r="G111" s="2"/>
      <c r="H111" s="2"/>
      <c r="I111" s="7"/>
      <c r="J111" s="7"/>
      <c r="K111" s="7"/>
      <c r="L111" s="7"/>
      <c r="M111" s="7"/>
      <c r="N111" s="7"/>
    </row>
    <row r="112" spans="1:14" x14ac:dyDescent="0.25">
      <c r="A112">
        <v>108</v>
      </c>
      <c r="D112" t="s">
        <v>188</v>
      </c>
      <c r="E112" s="2">
        <f>+E105+E110</f>
        <v>-122382000</v>
      </c>
      <c r="F112" s="2" t="s">
        <v>189</v>
      </c>
      <c r="G112" s="2"/>
      <c r="H112" s="2"/>
      <c r="I112" s="7">
        <f t="shared" ref="I112:N112" si="25">+I105+I110</f>
        <v>-161106000</v>
      </c>
      <c r="J112" s="7">
        <f t="shared" si="25"/>
        <v>-121288685.38095322</v>
      </c>
      <c r="K112" s="7">
        <f t="shared" si="25"/>
        <v>-26227764.668268912</v>
      </c>
      <c r="L112" s="7">
        <f t="shared" si="25"/>
        <v>-2370428.9848583108</v>
      </c>
      <c r="M112" s="7">
        <f t="shared" si="25"/>
        <v>-573733.13242242543</v>
      </c>
      <c r="N112" s="7">
        <f t="shared" si="25"/>
        <v>-10645387.833497126</v>
      </c>
    </row>
    <row r="113" spans="1:14" x14ac:dyDescent="0.25">
      <c r="A113">
        <v>109</v>
      </c>
      <c r="E113" s="2"/>
      <c r="F113" s="2"/>
      <c r="G113" s="2"/>
      <c r="H113" s="2"/>
      <c r="I113" s="7"/>
      <c r="J113" s="7"/>
      <c r="K113" s="7"/>
      <c r="L113" s="7"/>
      <c r="M113" s="7"/>
      <c r="N113" s="7"/>
    </row>
    <row r="114" spans="1:14" x14ac:dyDescent="0.25">
      <c r="A114">
        <v>110</v>
      </c>
      <c r="D114" t="s">
        <v>190</v>
      </c>
      <c r="E114" s="2">
        <f>+E62+E112</f>
        <v>326192000</v>
      </c>
      <c r="F114" s="2" t="s">
        <v>191</v>
      </c>
      <c r="G114" s="2" t="s">
        <v>192</v>
      </c>
      <c r="H114" s="2"/>
      <c r="I114" s="7">
        <f t="shared" ref="I114:N114" si="26">+I62+I112</f>
        <v>287468000</v>
      </c>
      <c r="J114" s="7">
        <f t="shared" si="26"/>
        <v>213975897.57718965</v>
      </c>
      <c r="K114" s="7">
        <f t="shared" si="26"/>
        <v>48685088.922710992</v>
      </c>
      <c r="L114" s="7">
        <f t="shared" si="26"/>
        <v>4271857.3966665398</v>
      </c>
      <c r="M114" s="7">
        <f t="shared" si="26"/>
        <v>1055046.8883919283</v>
      </c>
      <c r="N114" s="7">
        <f t="shared" si="26"/>
        <v>19480109.215040829</v>
      </c>
    </row>
    <row r="115" spans="1:14" x14ac:dyDescent="0.25">
      <c r="A115">
        <v>111</v>
      </c>
      <c r="E115" s="2">
        <v>0</v>
      </c>
      <c r="F115" s="2"/>
      <c r="G115" s="2"/>
      <c r="H115" s="2"/>
      <c r="I115" s="7"/>
      <c r="J115" s="7"/>
      <c r="K115" s="7"/>
      <c r="L115" s="7"/>
      <c r="M115" s="7"/>
      <c r="N115" s="7"/>
    </row>
    <row r="116" spans="1:14" x14ac:dyDescent="0.25">
      <c r="A116">
        <v>112</v>
      </c>
      <c r="C116" t="s">
        <v>47</v>
      </c>
      <c r="D116" t="s">
        <v>193</v>
      </c>
      <c r="E116" s="2">
        <v>-54737000</v>
      </c>
      <c r="F116" s="2" t="s">
        <v>194</v>
      </c>
      <c r="G116" s="2"/>
      <c r="H116" s="2">
        <v>25</v>
      </c>
      <c r="I116" s="7">
        <v>-54737000.000000007</v>
      </c>
      <c r="J116" s="7">
        <f>+INDEX(Alloc,$H116,J$1)*$I116</f>
        <v>-40910479.602874599</v>
      </c>
      <c r="K116" s="7">
        <f>+INDEX(Alloc,$H116,K$1)*$I116</f>
        <v>-9141200.4864514396</v>
      </c>
      <c r="L116" s="7">
        <f>+INDEX(Alloc,$H116,L$1)*$I116</f>
        <v>-810521.40709342447</v>
      </c>
      <c r="M116" s="7">
        <f>+INDEX(Alloc,$H116,M$1)*$I116</f>
        <v>-198751.00206279295</v>
      </c>
      <c r="N116" s="7">
        <f>+INDEX(Alloc,$H116,N$1)*$I116</f>
        <v>-3676047.501517748</v>
      </c>
    </row>
    <row r="117" spans="1:14" x14ac:dyDescent="0.25">
      <c r="A117">
        <v>113</v>
      </c>
      <c r="E117" s="2"/>
      <c r="F117" s="2"/>
      <c r="G117" s="2"/>
      <c r="H117" s="2"/>
      <c r="I117" s="7"/>
      <c r="J117" s="7"/>
      <c r="K117" s="7"/>
      <c r="L117" s="7"/>
      <c r="M117" s="7"/>
      <c r="N117" s="7"/>
    </row>
    <row r="118" spans="1:14" x14ac:dyDescent="0.25">
      <c r="A118">
        <v>114</v>
      </c>
      <c r="D118" t="s">
        <v>195</v>
      </c>
      <c r="E118" s="2"/>
      <c r="F118" s="2"/>
      <c r="G118" s="2"/>
      <c r="H118" s="2"/>
      <c r="I118" s="7"/>
      <c r="J118" s="7"/>
      <c r="K118" s="7"/>
      <c r="L118" s="7"/>
      <c r="M118" s="7"/>
      <c r="N118" s="7"/>
    </row>
    <row r="119" spans="1:14" x14ac:dyDescent="0.25">
      <c r="A119">
        <v>115</v>
      </c>
      <c r="C119" t="s">
        <v>49</v>
      </c>
      <c r="D119" t="s">
        <v>196</v>
      </c>
      <c r="E119" s="2">
        <v>-461000</v>
      </c>
      <c r="F119" s="2" t="s">
        <v>197</v>
      </c>
      <c r="G119" s="2"/>
      <c r="H119" s="2">
        <v>16</v>
      </c>
      <c r="I119" s="7">
        <v>-461000</v>
      </c>
      <c r="J119" s="7">
        <f t="shared" ref="J119:N121" si="27">+INDEX(Alloc,$H119,J$1)*$I119</f>
        <v>-461000</v>
      </c>
      <c r="K119" s="7">
        <f t="shared" si="27"/>
        <v>0</v>
      </c>
      <c r="L119" s="7">
        <f t="shared" si="27"/>
        <v>0</v>
      </c>
      <c r="M119" s="7">
        <f t="shared" si="27"/>
        <v>0</v>
      </c>
      <c r="N119" s="7">
        <f t="shared" si="27"/>
        <v>0</v>
      </c>
    </row>
    <row r="120" spans="1:14" x14ac:dyDescent="0.25">
      <c r="A120">
        <v>116</v>
      </c>
      <c r="C120" t="s">
        <v>54</v>
      </c>
      <c r="D120" t="s">
        <v>198</v>
      </c>
      <c r="E120" s="2">
        <v>11341000</v>
      </c>
      <c r="F120" s="2" t="s">
        <v>199</v>
      </c>
      <c r="G120" s="2"/>
      <c r="H120" s="2">
        <v>23</v>
      </c>
      <c r="I120" s="7">
        <v>11341000.000000002</v>
      </c>
      <c r="J120" s="7">
        <f t="shared" si="27"/>
        <v>7646017.1058617374</v>
      </c>
      <c r="K120" s="7">
        <f t="shared" si="27"/>
        <v>3018837.2715940834</v>
      </c>
      <c r="L120" s="7">
        <f t="shared" si="27"/>
        <v>378035.54117961088</v>
      </c>
      <c r="M120" s="7">
        <f t="shared" si="27"/>
        <v>81508.531715809528</v>
      </c>
      <c r="N120" s="7">
        <f t="shared" si="27"/>
        <v>216601.54964876123</v>
      </c>
    </row>
    <row r="121" spans="1:14" x14ac:dyDescent="0.25">
      <c r="A121">
        <v>117</v>
      </c>
      <c r="C121" t="s">
        <v>51</v>
      </c>
      <c r="D121" t="s">
        <v>200</v>
      </c>
      <c r="E121" s="2">
        <v>9100000</v>
      </c>
      <c r="F121" s="2" t="s">
        <v>201</v>
      </c>
      <c r="G121" s="2"/>
      <c r="H121" s="2">
        <v>25</v>
      </c>
      <c r="I121" s="7">
        <v>9100000.0000000019</v>
      </c>
      <c r="J121" s="7">
        <f t="shared" si="27"/>
        <v>6801347.6147059361</v>
      </c>
      <c r="K121" s="7">
        <f t="shared" si="27"/>
        <v>1519720.197064291</v>
      </c>
      <c r="L121" s="7">
        <f t="shared" si="27"/>
        <v>134748.79523083405</v>
      </c>
      <c r="M121" s="7">
        <f t="shared" si="27"/>
        <v>33042.258778731317</v>
      </c>
      <c r="N121" s="7">
        <f t="shared" si="27"/>
        <v>611141.13422020769</v>
      </c>
    </row>
    <row r="122" spans="1:14" x14ac:dyDescent="0.25">
      <c r="A122">
        <v>118</v>
      </c>
      <c r="C122" t="s">
        <v>50</v>
      </c>
      <c r="D122" t="s">
        <v>202</v>
      </c>
      <c r="E122" s="2">
        <v>0</v>
      </c>
      <c r="F122" s="2" t="s">
        <v>80</v>
      </c>
      <c r="G122" s="2"/>
      <c r="H122" s="2"/>
      <c r="I122" s="7">
        <v>0</v>
      </c>
      <c r="J122" s="7"/>
      <c r="K122" s="7"/>
      <c r="L122" s="7"/>
      <c r="M122" s="7"/>
      <c r="N122" s="7"/>
    </row>
    <row r="123" spans="1:14" x14ac:dyDescent="0.25">
      <c r="A123">
        <v>119</v>
      </c>
      <c r="C123" t="s">
        <v>51</v>
      </c>
      <c r="D123" t="s">
        <v>203</v>
      </c>
      <c r="E123" s="2">
        <v>-9867000</v>
      </c>
      <c r="F123" s="2" t="s">
        <v>204</v>
      </c>
      <c r="G123" s="2" t="s">
        <v>120</v>
      </c>
      <c r="H123" s="2">
        <v>25</v>
      </c>
      <c r="I123" s="7">
        <v>-9867000.0000000019</v>
      </c>
      <c r="J123" s="7">
        <f>+INDEX(Alloc,$H123,J$1)*$I123</f>
        <v>-7374604.0565168653</v>
      </c>
      <c r="K123" s="7">
        <f>+INDEX(Alloc,$H123,K$1)*$I123</f>
        <v>-1647810.8993882814</v>
      </c>
      <c r="L123" s="7">
        <f>+INDEX(Alloc,$H123,L$1)*$I123</f>
        <v>-146106.19368600435</v>
      </c>
      <c r="M123" s="7">
        <f>+INDEX(Alloc,$H123,M$1)*$I123</f>
        <v>-35827.249161510095</v>
      </c>
      <c r="N123" s="7">
        <f>+INDEX(Alloc,$H123,N$1)*$I123</f>
        <v>-662651.60124733951</v>
      </c>
    </row>
    <row r="124" spans="1:14" x14ac:dyDescent="0.25">
      <c r="A124">
        <v>120</v>
      </c>
      <c r="E124" s="2"/>
      <c r="F124" s="2"/>
      <c r="G124" s="2"/>
      <c r="H124" s="2"/>
      <c r="I124" s="7"/>
      <c r="J124" s="7"/>
      <c r="K124" s="7"/>
      <c r="L124" s="7"/>
      <c r="M124" s="7"/>
      <c r="N124" s="7"/>
    </row>
    <row r="125" spans="1:14" x14ac:dyDescent="0.25">
      <c r="A125">
        <v>121</v>
      </c>
      <c r="D125" t="s">
        <v>205</v>
      </c>
      <c r="E125" s="2">
        <f>SUM(E116:E123)</f>
        <v>-44624000</v>
      </c>
      <c r="F125" s="2"/>
      <c r="G125" s="2"/>
      <c r="H125" s="2"/>
      <c r="I125" s="7">
        <f t="shared" ref="I125:N125" si="28">SUM(I116:I123)</f>
        <v>-44624000.000000007</v>
      </c>
      <c r="J125" s="7">
        <f t="shared" si="28"/>
        <v>-34298718.938823789</v>
      </c>
      <c r="K125" s="7">
        <f t="shared" si="28"/>
        <v>-6250453.9171813475</v>
      </c>
      <c r="L125" s="7">
        <f t="shared" si="28"/>
        <v>-443843.26436898392</v>
      </c>
      <c r="M125" s="7">
        <f t="shared" si="28"/>
        <v>-120027.46072976218</v>
      </c>
      <c r="N125" s="7">
        <f t="shared" si="28"/>
        <v>-3510956.4188961186</v>
      </c>
    </row>
    <row r="126" spans="1:14" x14ac:dyDescent="0.25">
      <c r="A126">
        <v>122</v>
      </c>
      <c r="E126" s="2"/>
      <c r="F126" s="2"/>
      <c r="G126" s="2"/>
      <c r="H126" s="2"/>
      <c r="I126" s="7"/>
      <c r="J126" s="7"/>
      <c r="K126" s="7"/>
      <c r="L126" s="7"/>
      <c r="M126" s="7"/>
      <c r="N126" s="7"/>
    </row>
    <row r="127" spans="1:14" x14ac:dyDescent="0.25">
      <c r="A127">
        <v>123</v>
      </c>
      <c r="D127" t="s">
        <v>206</v>
      </c>
      <c r="E127" s="2">
        <f>+E114+E125</f>
        <v>281568000</v>
      </c>
      <c r="F127" s="2" t="s">
        <v>207</v>
      </c>
      <c r="G127" s="2" t="s">
        <v>208</v>
      </c>
      <c r="H127" s="2"/>
      <c r="I127" s="7">
        <f t="shared" ref="I127:N127" si="29">+I114+I125</f>
        <v>242844000</v>
      </c>
      <c r="J127" s="7">
        <f t="shared" si="29"/>
        <v>179677178.63836586</v>
      </c>
      <c r="K127" s="7">
        <f t="shared" si="29"/>
        <v>42434635.005529642</v>
      </c>
      <c r="L127" s="7">
        <f t="shared" si="29"/>
        <v>3828014.1322975559</v>
      </c>
      <c r="M127" s="7">
        <f t="shared" si="29"/>
        <v>935019.42766216607</v>
      </c>
      <c r="N127" s="7">
        <f t="shared" si="29"/>
        <v>15969152.796144711</v>
      </c>
    </row>
    <row r="128" spans="1:14" x14ac:dyDescent="0.25">
      <c r="I128" s="7"/>
      <c r="J128" s="7"/>
      <c r="K128" s="7"/>
      <c r="L128" s="7"/>
      <c r="M128" s="7"/>
      <c r="N128" s="7"/>
    </row>
    <row r="129" spans="9:14" x14ac:dyDescent="0.25">
      <c r="I129" s="7"/>
      <c r="J129" s="7"/>
      <c r="K129" s="7"/>
      <c r="L129" s="7"/>
      <c r="M129" s="7"/>
      <c r="N129" s="7"/>
    </row>
    <row r="130" spans="9:14" x14ac:dyDescent="0.25">
      <c r="I130" s="7"/>
      <c r="J130" s="7"/>
      <c r="K130" s="7"/>
      <c r="L130" s="7"/>
      <c r="M130" s="7"/>
      <c r="N130" s="7"/>
    </row>
    <row r="131" spans="9:14" x14ac:dyDescent="0.25">
      <c r="I131" s="7"/>
      <c r="J131" s="7"/>
      <c r="K131" s="7"/>
      <c r="L131" s="7"/>
      <c r="M131" s="7"/>
      <c r="N131" s="7"/>
    </row>
    <row r="132" spans="9:14" x14ac:dyDescent="0.25">
      <c r="I132" s="7"/>
      <c r="J132" s="7"/>
      <c r="K132" s="7"/>
      <c r="L132" s="7"/>
      <c r="M132" s="7"/>
      <c r="N132" s="7"/>
    </row>
    <row r="133" spans="9:14" x14ac:dyDescent="0.25">
      <c r="I133" s="7"/>
      <c r="J133" s="7"/>
      <c r="K133" s="7"/>
      <c r="L133" s="7"/>
      <c r="M133" s="7"/>
      <c r="N133" s="7"/>
    </row>
    <row r="134" spans="9:14" x14ac:dyDescent="0.25">
      <c r="I134" s="7"/>
      <c r="J134" s="7"/>
      <c r="K134" s="7"/>
      <c r="L134" s="7"/>
      <c r="M134" s="7"/>
      <c r="N134" s="7"/>
    </row>
    <row r="135" spans="9:14" x14ac:dyDescent="0.25">
      <c r="I135" s="7"/>
      <c r="J135" s="7"/>
      <c r="K135" s="7"/>
      <c r="L135" s="7"/>
      <c r="M135" s="7"/>
      <c r="N135" s="7"/>
    </row>
    <row r="136" spans="9:14" x14ac:dyDescent="0.25">
      <c r="I136" s="7"/>
      <c r="J136" s="7"/>
      <c r="K136" s="7"/>
      <c r="L136" s="7"/>
      <c r="M136" s="7"/>
      <c r="N136" s="7"/>
    </row>
    <row r="137" spans="9:14" x14ac:dyDescent="0.25">
      <c r="I137" s="7"/>
      <c r="J137" s="7"/>
      <c r="K137" s="7"/>
      <c r="L137" s="7"/>
      <c r="M137" s="7"/>
      <c r="N137" s="7"/>
    </row>
    <row r="138" spans="9:14" x14ac:dyDescent="0.25">
      <c r="I138" s="7"/>
      <c r="J138" s="7"/>
      <c r="K138" s="7"/>
      <c r="L138" s="7"/>
      <c r="M138" s="7"/>
      <c r="N138" s="7"/>
    </row>
    <row r="139" spans="9:14" x14ac:dyDescent="0.25">
      <c r="I139" s="7"/>
      <c r="J139" s="7"/>
      <c r="K139" s="7"/>
      <c r="L139" s="7"/>
      <c r="M139" s="7"/>
      <c r="N139" s="7"/>
    </row>
    <row r="140" spans="9:14" x14ac:dyDescent="0.25">
      <c r="I140" s="7"/>
      <c r="J140" s="7"/>
      <c r="K140" s="7"/>
      <c r="L140" s="7"/>
      <c r="M140" s="7"/>
      <c r="N140" s="7"/>
    </row>
    <row r="141" spans="9:14" x14ac:dyDescent="0.25">
      <c r="I141" s="7"/>
      <c r="J141" s="7"/>
      <c r="K141" s="7"/>
      <c r="L141" s="7"/>
      <c r="M141" s="7"/>
      <c r="N141" s="7"/>
    </row>
    <row r="142" spans="9:14" x14ac:dyDescent="0.25">
      <c r="I142" s="7"/>
      <c r="J142" s="7"/>
      <c r="K142" s="7"/>
      <c r="L142" s="7"/>
      <c r="M142" s="7"/>
      <c r="N142" s="7"/>
    </row>
    <row r="143" spans="9:14" x14ac:dyDescent="0.25">
      <c r="I143" s="7"/>
      <c r="J143" s="7"/>
      <c r="K143" s="7"/>
      <c r="L143" s="7"/>
      <c r="M143" s="7"/>
      <c r="N143" s="7"/>
    </row>
    <row r="144" spans="9:14" x14ac:dyDescent="0.25">
      <c r="I144" s="7"/>
      <c r="J144" s="7"/>
      <c r="K144" s="7"/>
      <c r="L144" s="7"/>
      <c r="M144" s="7"/>
      <c r="N144" s="7"/>
    </row>
    <row r="145" spans="9:14" x14ac:dyDescent="0.25">
      <c r="I145" s="7"/>
      <c r="J145" s="7"/>
      <c r="K145" s="7"/>
      <c r="L145" s="7"/>
      <c r="M145" s="7"/>
      <c r="N145" s="7"/>
    </row>
    <row r="146" spans="9:14" x14ac:dyDescent="0.25">
      <c r="I146" s="7"/>
      <c r="J146" s="7"/>
      <c r="K146" s="7"/>
      <c r="L146" s="7"/>
      <c r="M146" s="7"/>
      <c r="N146" s="7"/>
    </row>
    <row r="147" spans="9:14" x14ac:dyDescent="0.25">
      <c r="I147" s="7"/>
      <c r="J147" s="7"/>
      <c r="K147" s="7"/>
      <c r="L147" s="7"/>
      <c r="M147" s="7"/>
      <c r="N147" s="7"/>
    </row>
    <row r="148" spans="9:14" x14ac:dyDescent="0.25">
      <c r="I148" s="7"/>
      <c r="J148" s="7"/>
      <c r="K148" s="7"/>
      <c r="L148" s="7"/>
      <c r="M148" s="7"/>
      <c r="N148" s="7"/>
    </row>
    <row r="149" spans="9:14" x14ac:dyDescent="0.25">
      <c r="I149" s="7"/>
      <c r="J149" s="7"/>
      <c r="K149" s="7"/>
      <c r="L149" s="7"/>
      <c r="M149" s="7"/>
      <c r="N149" s="7"/>
    </row>
    <row r="150" spans="9:14" x14ac:dyDescent="0.25">
      <c r="I150" s="7"/>
      <c r="J150" s="7"/>
      <c r="K150" s="7"/>
      <c r="L150" s="7"/>
      <c r="M150" s="7"/>
      <c r="N150" s="7"/>
    </row>
    <row r="151" spans="9:14" x14ac:dyDescent="0.25">
      <c r="I151" s="7"/>
      <c r="J151" s="7"/>
      <c r="K151" s="7"/>
      <c r="L151" s="7"/>
      <c r="M151" s="7"/>
      <c r="N151" s="7"/>
    </row>
    <row r="152" spans="9:14" x14ac:dyDescent="0.25">
      <c r="I152" s="7"/>
      <c r="J152" s="7"/>
      <c r="K152" s="7"/>
      <c r="L152" s="7"/>
      <c r="M152" s="7"/>
      <c r="N152" s="7"/>
    </row>
    <row r="153" spans="9:14" x14ac:dyDescent="0.25">
      <c r="I153" s="7"/>
      <c r="J153" s="7"/>
      <c r="K153" s="7"/>
      <c r="L153" s="7"/>
      <c r="M153" s="7"/>
      <c r="N153" s="7"/>
    </row>
    <row r="154" spans="9:14" x14ac:dyDescent="0.25">
      <c r="I154" s="7"/>
      <c r="J154" s="7"/>
      <c r="K154" s="7"/>
      <c r="L154" s="7"/>
      <c r="M154" s="7"/>
      <c r="N154" s="7"/>
    </row>
    <row r="155" spans="9:14" x14ac:dyDescent="0.25">
      <c r="I155" s="7"/>
      <c r="J155" s="7"/>
      <c r="K155" s="7"/>
      <c r="L155" s="7"/>
      <c r="M155" s="7"/>
      <c r="N155" s="7"/>
    </row>
    <row r="156" spans="9:14" x14ac:dyDescent="0.25">
      <c r="I156" s="7"/>
      <c r="J156" s="7"/>
      <c r="K156" s="7"/>
      <c r="L156" s="7"/>
      <c r="M156" s="7"/>
      <c r="N156" s="7"/>
    </row>
    <row r="157" spans="9:14" x14ac:dyDescent="0.25">
      <c r="I157" s="7"/>
      <c r="J157" s="7"/>
      <c r="K157" s="7"/>
      <c r="L157" s="7"/>
      <c r="M157" s="7"/>
      <c r="N157" s="7"/>
    </row>
    <row r="158" spans="9:14" x14ac:dyDescent="0.25">
      <c r="I158" s="7"/>
      <c r="J158" s="7"/>
      <c r="K158" s="7"/>
      <c r="L158" s="7"/>
      <c r="M158" s="7"/>
      <c r="N158" s="7"/>
    </row>
    <row r="159" spans="9:14" x14ac:dyDescent="0.25">
      <c r="I159" s="7"/>
      <c r="J159" s="7"/>
      <c r="K159" s="7"/>
      <c r="L159" s="7"/>
      <c r="M159" s="7"/>
      <c r="N159" s="7"/>
    </row>
    <row r="160" spans="9:14" x14ac:dyDescent="0.25">
      <c r="I160" s="7"/>
      <c r="J160" s="7"/>
      <c r="K160" s="7"/>
      <c r="L160" s="7"/>
      <c r="M160" s="7"/>
      <c r="N160" s="7"/>
    </row>
    <row r="161" spans="9:14" x14ac:dyDescent="0.25">
      <c r="I161" s="7"/>
      <c r="J161" s="7"/>
      <c r="K161" s="7"/>
      <c r="L161" s="7"/>
      <c r="M161" s="7"/>
      <c r="N161" s="7"/>
    </row>
    <row r="162" spans="9:14" x14ac:dyDescent="0.25">
      <c r="I162" s="7"/>
      <c r="J162" s="7"/>
      <c r="K162" s="7"/>
      <c r="L162" s="7"/>
      <c r="M162" s="7"/>
      <c r="N162" s="7"/>
    </row>
    <row r="163" spans="9:14" x14ac:dyDescent="0.25">
      <c r="I163" s="7"/>
      <c r="J163" s="7"/>
      <c r="K163" s="7"/>
      <c r="L163" s="7"/>
      <c r="M163" s="7"/>
      <c r="N163" s="7"/>
    </row>
    <row r="164" spans="9:14" x14ac:dyDescent="0.25">
      <c r="I164" s="7"/>
      <c r="J164" s="7"/>
      <c r="K164" s="7"/>
      <c r="L164" s="7"/>
      <c r="M164" s="7"/>
      <c r="N164" s="7"/>
    </row>
  </sheetData>
  <mergeCells count="3">
    <mergeCell ref="B2:N2"/>
    <mergeCell ref="B3:N3"/>
    <mergeCell ref="B4:N4"/>
  </mergeCells>
  <printOptions horizontalCentered="1"/>
  <pageMargins left="0.7" right="0.7" top="0.75" bottom="0.75" header="0.3" footer="0.3"/>
  <pageSetup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1"/>
  <sheetViews>
    <sheetView topLeftCell="A244" zoomScale="75" zoomScaleNormal="75" workbookViewId="0">
      <selection activeCell="B2" sqref="B2:N2"/>
    </sheetView>
  </sheetViews>
  <sheetFormatPr defaultRowHeight="15" x14ac:dyDescent="0.25"/>
  <cols>
    <col min="1" max="1" width="4.140625" bestFit="1" customWidth="1"/>
    <col min="2" max="2" width="8" customWidth="1"/>
    <col min="3" max="3" width="5.140625" hidden="1" customWidth="1"/>
    <col min="4" max="4" width="50" bestFit="1" customWidth="1"/>
    <col min="5" max="5" width="12.7109375" hidden="1" customWidth="1"/>
    <col min="6" max="6" width="23.28515625" hidden="1" customWidth="1"/>
    <col min="7" max="7" width="19.28515625" hidden="1" customWidth="1"/>
    <col min="8" max="8" width="14.140625" customWidth="1"/>
    <col min="9" max="9" width="13.85546875" bestFit="1" customWidth="1"/>
    <col min="10" max="10" width="14.28515625" bestFit="1" customWidth="1"/>
    <col min="11" max="11" width="13.85546875" bestFit="1" customWidth="1"/>
    <col min="12" max="20" width="12.7109375" customWidth="1"/>
  </cols>
  <sheetData>
    <row r="1" spans="1:14" x14ac:dyDescent="0.25">
      <c r="J1">
        <v>5</v>
      </c>
      <c r="K1">
        <v>6</v>
      </c>
      <c r="L1">
        <v>7</v>
      </c>
      <c r="M1">
        <v>8</v>
      </c>
      <c r="N1">
        <v>9</v>
      </c>
    </row>
    <row r="2" spans="1:14" x14ac:dyDescent="0.25">
      <c r="B2" s="53" t="s">
        <v>513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x14ac:dyDescent="0.25">
      <c r="B3" s="53" t="s">
        <v>514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x14ac:dyDescent="0.25">
      <c r="B4" s="53" t="s">
        <v>516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4" x14ac:dyDescent="0.25">
      <c r="A5">
        <v>2</v>
      </c>
      <c r="B5" s="24"/>
      <c r="C5" s="24"/>
      <c r="D5" s="24"/>
      <c r="E5" s="25"/>
      <c r="F5" s="25"/>
      <c r="G5" s="25"/>
      <c r="H5" s="25"/>
      <c r="I5" s="24"/>
      <c r="J5" s="24"/>
      <c r="K5" s="24"/>
      <c r="L5" s="24"/>
      <c r="M5" s="24"/>
      <c r="N5" s="24"/>
    </row>
    <row r="6" spans="1:14" x14ac:dyDescent="0.25">
      <c r="A6">
        <v>3</v>
      </c>
      <c r="B6" s="29"/>
      <c r="C6" s="29"/>
      <c r="D6" s="29"/>
      <c r="E6" s="29" t="s">
        <v>0</v>
      </c>
      <c r="F6" s="30"/>
      <c r="G6" s="30"/>
      <c r="H6" s="30"/>
      <c r="I6" s="29"/>
      <c r="J6" s="29"/>
      <c r="K6" s="29"/>
      <c r="L6" s="29"/>
      <c r="M6" s="29"/>
      <c r="N6" s="29"/>
    </row>
    <row r="7" spans="1:14" x14ac:dyDescent="0.25">
      <c r="A7">
        <v>4</v>
      </c>
      <c r="B7" s="26"/>
      <c r="C7" s="26"/>
      <c r="D7" s="26"/>
      <c r="E7" s="5" t="s">
        <v>1</v>
      </c>
      <c r="F7" s="5"/>
      <c r="G7" s="5"/>
      <c r="H7" s="5" t="s">
        <v>464</v>
      </c>
      <c r="I7" s="26"/>
      <c r="J7" s="26"/>
      <c r="K7" s="26"/>
      <c r="L7" s="26"/>
      <c r="M7" s="26"/>
      <c r="N7" s="26"/>
    </row>
    <row r="8" spans="1:14" x14ac:dyDescent="0.25">
      <c r="A8">
        <v>5</v>
      </c>
      <c r="B8" s="27" t="s">
        <v>2</v>
      </c>
      <c r="C8" s="27" t="s">
        <v>3</v>
      </c>
      <c r="D8" s="27" t="s">
        <v>4</v>
      </c>
      <c r="E8" s="28" t="s">
        <v>5</v>
      </c>
      <c r="F8" s="28" t="s">
        <v>6</v>
      </c>
      <c r="G8" s="28" t="s">
        <v>7</v>
      </c>
      <c r="H8" s="28" t="s">
        <v>463</v>
      </c>
      <c r="I8" s="27" t="s">
        <v>8</v>
      </c>
      <c r="J8" s="27" t="s">
        <v>9</v>
      </c>
      <c r="K8" s="27" t="s">
        <v>10</v>
      </c>
      <c r="L8" s="27" t="s">
        <v>11</v>
      </c>
      <c r="M8" s="27" t="s">
        <v>12</v>
      </c>
      <c r="N8" s="27" t="s">
        <v>13</v>
      </c>
    </row>
    <row r="9" spans="1:14" x14ac:dyDescent="0.25">
      <c r="A9">
        <v>6</v>
      </c>
      <c r="E9" s="2"/>
      <c r="F9" s="2"/>
      <c r="G9" s="2"/>
      <c r="H9" s="2"/>
    </row>
    <row r="10" spans="1:14" x14ac:dyDescent="0.25">
      <c r="A10">
        <v>166</v>
      </c>
      <c r="D10" t="s">
        <v>209</v>
      </c>
    </row>
    <row r="11" spans="1:14" x14ac:dyDescent="0.25">
      <c r="A11">
        <v>167</v>
      </c>
      <c r="D11" t="s">
        <v>210</v>
      </c>
    </row>
    <row r="12" spans="1:14" x14ac:dyDescent="0.25">
      <c r="A12">
        <v>168</v>
      </c>
      <c r="B12">
        <v>804</v>
      </c>
      <c r="C12" t="s">
        <v>52</v>
      </c>
      <c r="D12" t="s">
        <v>211</v>
      </c>
      <c r="E12" s="2">
        <v>79159000</v>
      </c>
      <c r="F12" s="2" t="s">
        <v>212</v>
      </c>
      <c r="G12" s="2"/>
      <c r="H12" s="2" t="s">
        <v>489</v>
      </c>
      <c r="I12" s="12">
        <v>79159000</v>
      </c>
      <c r="J12" s="17">
        <v>54603551</v>
      </c>
      <c r="K12" s="17">
        <v>21442391</v>
      </c>
      <c r="L12" s="17">
        <v>2572110</v>
      </c>
      <c r="M12" s="17">
        <v>525421</v>
      </c>
      <c r="N12" s="17">
        <v>15527</v>
      </c>
    </row>
    <row r="13" spans="1:14" x14ac:dyDescent="0.25">
      <c r="A13">
        <v>169</v>
      </c>
      <c r="B13" t="s">
        <v>213</v>
      </c>
      <c r="C13" t="s">
        <v>52</v>
      </c>
      <c r="D13" t="s">
        <v>214</v>
      </c>
      <c r="E13" s="2">
        <v>73000</v>
      </c>
      <c r="F13" s="2" t="s">
        <v>215</v>
      </c>
      <c r="G13" s="2"/>
      <c r="H13" s="2">
        <v>5</v>
      </c>
      <c r="I13" s="12">
        <v>73000</v>
      </c>
      <c r="J13" s="17">
        <f t="shared" ref="J13:N14" si="0">+INDEX(Alloc,$H13,J$1)*$I13</f>
        <v>53748.333856149868</v>
      </c>
      <c r="K13" s="17">
        <f t="shared" si="0"/>
        <v>17157.546429316521</v>
      </c>
      <c r="L13" s="17">
        <f t="shared" si="0"/>
        <v>1752.7751559510671</v>
      </c>
      <c r="M13" s="17">
        <f t="shared" si="0"/>
        <v>341.34455858255126</v>
      </c>
      <c r="N13" s="17">
        <f t="shared" si="0"/>
        <v>0</v>
      </c>
    </row>
    <row r="14" spans="1:14" x14ac:dyDescent="0.25">
      <c r="A14">
        <v>170</v>
      </c>
      <c r="B14">
        <v>813</v>
      </c>
      <c r="C14" t="s">
        <v>52</v>
      </c>
      <c r="D14" t="s">
        <v>216</v>
      </c>
      <c r="E14" s="2">
        <v>802000</v>
      </c>
      <c r="F14" s="2" t="s">
        <v>217</v>
      </c>
      <c r="G14" s="2"/>
      <c r="H14" s="2">
        <v>26</v>
      </c>
      <c r="I14" s="12">
        <v>802000.00000000023</v>
      </c>
      <c r="J14" s="17">
        <f t="shared" si="0"/>
        <v>538564.40121289203</v>
      </c>
      <c r="K14" s="17">
        <f t="shared" si="0"/>
        <v>212638.58882669735</v>
      </c>
      <c r="L14" s="17">
        <f t="shared" si="0"/>
        <v>26627.783073687307</v>
      </c>
      <c r="M14" s="17">
        <f t="shared" si="0"/>
        <v>5741.2366424884613</v>
      </c>
      <c r="N14" s="17">
        <f t="shared" si="0"/>
        <v>18427.990244235105</v>
      </c>
    </row>
    <row r="15" spans="1:14" x14ac:dyDescent="0.25">
      <c r="A15">
        <v>171</v>
      </c>
      <c r="D15" t="s">
        <v>218</v>
      </c>
      <c r="E15" s="2">
        <f>SUM(E12:E14)</f>
        <v>80034000</v>
      </c>
      <c r="F15" s="2"/>
      <c r="G15" s="2"/>
      <c r="H15" s="2"/>
      <c r="I15" s="12">
        <f t="shared" ref="I15:N15" si="1">SUM(I12:I14)</f>
        <v>80034000</v>
      </c>
      <c r="J15" s="12">
        <f t="shared" si="1"/>
        <v>55195863.735069044</v>
      </c>
      <c r="K15" s="12">
        <f t="shared" si="1"/>
        <v>21672187.135256015</v>
      </c>
      <c r="L15" s="12">
        <f t="shared" si="1"/>
        <v>2600490.5582296387</v>
      </c>
      <c r="M15" s="12">
        <f t="shared" si="1"/>
        <v>531503.58120107104</v>
      </c>
      <c r="N15" s="12">
        <f t="shared" si="1"/>
        <v>33954.990244235101</v>
      </c>
    </row>
    <row r="16" spans="1:14" x14ac:dyDescent="0.25">
      <c r="A16">
        <v>172</v>
      </c>
      <c r="D16" t="s">
        <v>526</v>
      </c>
      <c r="E16" s="2"/>
      <c r="F16" s="2"/>
      <c r="G16" s="2"/>
      <c r="H16" s="2"/>
      <c r="I16" s="12"/>
      <c r="J16" s="12"/>
      <c r="K16" s="12"/>
      <c r="L16" s="12"/>
      <c r="M16" s="12"/>
      <c r="N16" s="12"/>
    </row>
    <row r="17" spans="1:14" x14ac:dyDescent="0.25">
      <c r="A17">
        <v>173</v>
      </c>
      <c r="D17" t="s">
        <v>219</v>
      </c>
      <c r="E17" s="2"/>
      <c r="F17" s="2"/>
      <c r="G17" s="2"/>
      <c r="H17" s="2"/>
      <c r="I17" s="12"/>
      <c r="J17" s="12"/>
      <c r="K17" s="12"/>
      <c r="L17" s="12"/>
      <c r="M17" s="12"/>
      <c r="N17" s="12"/>
    </row>
    <row r="18" spans="1:14" x14ac:dyDescent="0.25">
      <c r="A18">
        <v>174</v>
      </c>
      <c r="B18" t="s">
        <v>220</v>
      </c>
      <c r="C18" t="s">
        <v>54</v>
      </c>
      <c r="D18" t="s">
        <v>221</v>
      </c>
      <c r="E18" s="2">
        <v>18000</v>
      </c>
      <c r="F18" s="2" t="s">
        <v>199</v>
      </c>
      <c r="G18" s="2"/>
      <c r="H18" s="2">
        <v>23</v>
      </c>
      <c r="I18" s="12">
        <v>18000</v>
      </c>
      <c r="J18" s="17">
        <f t="shared" ref="J18:N28" si="2">+INDEX(Alloc,$H18,J$1)*$I18</f>
        <v>12135.464941849154</v>
      </c>
      <c r="K18" s="17">
        <f t="shared" si="2"/>
        <v>4791.3826724886248</v>
      </c>
      <c r="L18" s="17">
        <f t="shared" si="2"/>
        <v>600.00350420888765</v>
      </c>
      <c r="M18" s="17">
        <f t="shared" si="2"/>
        <v>129.36721372758763</v>
      </c>
      <c r="N18" s="17">
        <f t="shared" si="2"/>
        <v>343.78166772574741</v>
      </c>
    </row>
    <row r="19" spans="1:14" x14ac:dyDescent="0.25">
      <c r="A19">
        <v>175</v>
      </c>
      <c r="B19" t="s">
        <v>222</v>
      </c>
      <c r="C19" t="s">
        <v>54</v>
      </c>
      <c r="D19" t="s">
        <v>223</v>
      </c>
      <c r="E19" s="2">
        <v>0</v>
      </c>
      <c r="F19" s="2" t="s">
        <v>199</v>
      </c>
      <c r="G19" s="2"/>
      <c r="H19" s="2">
        <v>23</v>
      </c>
      <c r="I19" s="12">
        <v>0</v>
      </c>
      <c r="J19" s="17">
        <f t="shared" si="2"/>
        <v>0</v>
      </c>
      <c r="K19" s="17">
        <f t="shared" si="2"/>
        <v>0</v>
      </c>
      <c r="L19" s="17">
        <f t="shared" si="2"/>
        <v>0</v>
      </c>
      <c r="M19" s="17">
        <f t="shared" si="2"/>
        <v>0</v>
      </c>
      <c r="N19" s="17">
        <f t="shared" si="2"/>
        <v>0</v>
      </c>
    </row>
    <row r="20" spans="1:14" x14ac:dyDescent="0.25">
      <c r="A20">
        <v>176</v>
      </c>
      <c r="B20" t="s">
        <v>224</v>
      </c>
      <c r="C20" t="s">
        <v>54</v>
      </c>
      <c r="D20" t="s">
        <v>225</v>
      </c>
      <c r="E20" s="2">
        <v>0</v>
      </c>
      <c r="F20" s="2" t="s">
        <v>199</v>
      </c>
      <c r="G20" s="2"/>
      <c r="H20" s="2">
        <v>23</v>
      </c>
      <c r="I20" s="12">
        <v>0</v>
      </c>
      <c r="J20" s="17">
        <f t="shared" si="2"/>
        <v>0</v>
      </c>
      <c r="K20" s="17">
        <f t="shared" si="2"/>
        <v>0</v>
      </c>
      <c r="L20" s="17">
        <f t="shared" si="2"/>
        <v>0</v>
      </c>
      <c r="M20" s="17">
        <f t="shared" si="2"/>
        <v>0</v>
      </c>
      <c r="N20" s="17">
        <f t="shared" si="2"/>
        <v>0</v>
      </c>
    </row>
    <row r="21" spans="1:14" x14ac:dyDescent="0.25">
      <c r="A21">
        <v>177</v>
      </c>
      <c r="B21" t="s">
        <v>226</v>
      </c>
      <c r="C21" t="s">
        <v>54</v>
      </c>
      <c r="D21" t="s">
        <v>227</v>
      </c>
      <c r="E21" s="2">
        <v>0</v>
      </c>
      <c r="F21" s="2" t="s">
        <v>199</v>
      </c>
      <c r="G21" s="2"/>
      <c r="H21" s="2">
        <v>23</v>
      </c>
      <c r="I21" s="12">
        <v>0</v>
      </c>
      <c r="J21" s="17">
        <f t="shared" si="2"/>
        <v>0</v>
      </c>
      <c r="K21" s="17">
        <f t="shared" si="2"/>
        <v>0</v>
      </c>
      <c r="L21" s="17">
        <f t="shared" si="2"/>
        <v>0</v>
      </c>
      <c r="M21" s="17">
        <f t="shared" si="2"/>
        <v>0</v>
      </c>
      <c r="N21" s="17">
        <f t="shared" si="2"/>
        <v>0</v>
      </c>
    </row>
    <row r="22" spans="1:14" x14ac:dyDescent="0.25">
      <c r="A22">
        <v>178</v>
      </c>
      <c r="B22" t="s">
        <v>228</v>
      </c>
      <c r="C22" t="s">
        <v>54</v>
      </c>
      <c r="D22" t="s">
        <v>229</v>
      </c>
      <c r="E22" s="2">
        <v>0</v>
      </c>
      <c r="F22" s="2" t="s">
        <v>199</v>
      </c>
      <c r="G22" s="2"/>
      <c r="H22" s="2">
        <v>23</v>
      </c>
      <c r="I22" s="12">
        <v>0</v>
      </c>
      <c r="J22" s="17">
        <f t="shared" si="2"/>
        <v>0</v>
      </c>
      <c r="K22" s="17">
        <f t="shared" si="2"/>
        <v>0</v>
      </c>
      <c r="L22" s="17">
        <f t="shared" si="2"/>
        <v>0</v>
      </c>
      <c r="M22" s="17">
        <f t="shared" si="2"/>
        <v>0</v>
      </c>
      <c r="N22" s="17">
        <f t="shared" si="2"/>
        <v>0</v>
      </c>
    </row>
    <row r="23" spans="1:14" x14ac:dyDescent="0.25">
      <c r="A23">
        <v>179</v>
      </c>
      <c r="B23" t="s">
        <v>230</v>
      </c>
      <c r="C23" t="s">
        <v>54</v>
      </c>
      <c r="D23" t="s">
        <v>231</v>
      </c>
      <c r="E23" s="2">
        <v>0</v>
      </c>
      <c r="F23" s="2" t="s">
        <v>199</v>
      </c>
      <c r="G23" s="2"/>
      <c r="H23" s="2">
        <v>23</v>
      </c>
      <c r="I23" s="12">
        <v>0</v>
      </c>
      <c r="J23" s="17">
        <f t="shared" si="2"/>
        <v>0</v>
      </c>
      <c r="K23" s="17">
        <f t="shared" si="2"/>
        <v>0</v>
      </c>
      <c r="L23" s="17">
        <f t="shared" si="2"/>
        <v>0</v>
      </c>
      <c r="M23" s="17">
        <f t="shared" si="2"/>
        <v>0</v>
      </c>
      <c r="N23" s="17">
        <f t="shared" si="2"/>
        <v>0</v>
      </c>
    </row>
    <row r="24" spans="1:14" x14ac:dyDescent="0.25">
      <c r="A24">
        <v>180</v>
      </c>
      <c r="B24" t="s">
        <v>232</v>
      </c>
      <c r="C24" t="s">
        <v>54</v>
      </c>
      <c r="D24" t="s">
        <v>233</v>
      </c>
      <c r="E24" s="2">
        <v>0</v>
      </c>
      <c r="F24" s="2" t="s">
        <v>199</v>
      </c>
      <c r="G24" s="2"/>
      <c r="H24" s="2">
        <v>23</v>
      </c>
      <c r="I24" s="12">
        <v>0</v>
      </c>
      <c r="J24" s="17">
        <f t="shared" si="2"/>
        <v>0</v>
      </c>
      <c r="K24" s="17">
        <f t="shared" si="2"/>
        <v>0</v>
      </c>
      <c r="L24" s="17">
        <f t="shared" si="2"/>
        <v>0</v>
      </c>
      <c r="M24" s="17">
        <f t="shared" si="2"/>
        <v>0</v>
      </c>
      <c r="N24" s="17">
        <f t="shared" si="2"/>
        <v>0</v>
      </c>
    </row>
    <row r="25" spans="1:14" x14ac:dyDescent="0.25">
      <c r="A25">
        <v>181</v>
      </c>
      <c r="B25" t="s">
        <v>234</v>
      </c>
      <c r="C25" t="s">
        <v>54</v>
      </c>
      <c r="D25" t="s">
        <v>235</v>
      </c>
      <c r="E25" s="2">
        <v>0</v>
      </c>
      <c r="F25" s="2" t="s">
        <v>199</v>
      </c>
      <c r="G25" s="2"/>
      <c r="H25" s="2">
        <v>23</v>
      </c>
      <c r="I25" s="12">
        <v>0</v>
      </c>
      <c r="J25" s="17">
        <f t="shared" si="2"/>
        <v>0</v>
      </c>
      <c r="K25" s="17">
        <f t="shared" si="2"/>
        <v>0</v>
      </c>
      <c r="L25" s="17">
        <f t="shared" si="2"/>
        <v>0</v>
      </c>
      <c r="M25" s="17">
        <f t="shared" si="2"/>
        <v>0</v>
      </c>
      <c r="N25" s="17">
        <f t="shared" si="2"/>
        <v>0</v>
      </c>
    </row>
    <row r="26" spans="1:14" x14ac:dyDescent="0.25">
      <c r="A26">
        <v>182</v>
      </c>
      <c r="B26" t="s">
        <v>236</v>
      </c>
      <c r="C26" t="s">
        <v>54</v>
      </c>
      <c r="D26" t="s">
        <v>237</v>
      </c>
      <c r="E26" s="2">
        <v>452000</v>
      </c>
      <c r="F26" s="2" t="s">
        <v>199</v>
      </c>
      <c r="G26" s="2"/>
      <c r="H26" s="2">
        <v>23</v>
      </c>
      <c r="I26" s="12">
        <v>452000</v>
      </c>
      <c r="J26" s="17">
        <f t="shared" si="2"/>
        <v>304735.00853976764</v>
      </c>
      <c r="K26" s="17">
        <f t="shared" si="2"/>
        <v>120316.94266471436</v>
      </c>
      <c r="L26" s="17">
        <f t="shared" si="2"/>
        <v>15066.754661245403</v>
      </c>
      <c r="M26" s="17">
        <f t="shared" si="2"/>
        <v>3248.5544780483119</v>
      </c>
      <c r="N26" s="17">
        <f t="shared" si="2"/>
        <v>8632.7396562243248</v>
      </c>
    </row>
    <row r="27" spans="1:14" x14ac:dyDescent="0.25">
      <c r="A27">
        <v>183</v>
      </c>
      <c r="B27" t="s">
        <v>238</v>
      </c>
      <c r="C27" t="s">
        <v>54</v>
      </c>
      <c r="D27" t="s">
        <v>239</v>
      </c>
      <c r="E27" s="2">
        <v>0</v>
      </c>
      <c r="F27" s="2" t="s">
        <v>199</v>
      </c>
      <c r="G27" s="2"/>
      <c r="H27" s="2">
        <v>23</v>
      </c>
      <c r="I27" s="12">
        <v>0</v>
      </c>
      <c r="J27" s="17">
        <f t="shared" si="2"/>
        <v>0</v>
      </c>
      <c r="K27" s="17">
        <f t="shared" si="2"/>
        <v>0</v>
      </c>
      <c r="L27" s="17">
        <f t="shared" si="2"/>
        <v>0</v>
      </c>
      <c r="M27" s="17">
        <f t="shared" si="2"/>
        <v>0</v>
      </c>
      <c r="N27" s="17">
        <f t="shared" si="2"/>
        <v>0</v>
      </c>
    </row>
    <row r="28" spans="1:14" x14ac:dyDescent="0.25">
      <c r="A28">
        <v>184</v>
      </c>
      <c r="B28" t="s">
        <v>240</v>
      </c>
      <c r="C28" t="s">
        <v>54</v>
      </c>
      <c r="D28" t="s">
        <v>241</v>
      </c>
      <c r="E28" s="2">
        <v>0</v>
      </c>
      <c r="F28" s="2" t="s">
        <v>199</v>
      </c>
      <c r="G28" s="2"/>
      <c r="H28" s="2">
        <v>23</v>
      </c>
      <c r="I28" s="12">
        <v>0</v>
      </c>
      <c r="J28" s="17">
        <f t="shared" si="2"/>
        <v>0</v>
      </c>
      <c r="K28" s="17">
        <f t="shared" si="2"/>
        <v>0</v>
      </c>
      <c r="L28" s="17">
        <f t="shared" si="2"/>
        <v>0</v>
      </c>
      <c r="M28" s="17">
        <f t="shared" si="2"/>
        <v>0</v>
      </c>
      <c r="N28" s="17">
        <f t="shared" si="2"/>
        <v>0</v>
      </c>
    </row>
    <row r="29" spans="1:14" x14ac:dyDescent="0.25">
      <c r="A29">
        <v>185</v>
      </c>
      <c r="D29" t="s">
        <v>242</v>
      </c>
      <c r="E29" s="2">
        <f>SUM(E18:E28)</f>
        <v>470000</v>
      </c>
      <c r="F29" s="2"/>
      <c r="G29" s="2"/>
      <c r="H29" s="2"/>
      <c r="I29" s="12">
        <f t="shared" ref="I29:N29" si="3">SUM(I18:I28)</f>
        <v>470000</v>
      </c>
      <c r="J29" s="12">
        <f t="shared" si="3"/>
        <v>316870.47348161682</v>
      </c>
      <c r="K29" s="12">
        <f t="shared" si="3"/>
        <v>125108.32533720299</v>
      </c>
      <c r="L29" s="12">
        <f t="shared" si="3"/>
        <v>15666.75816545429</v>
      </c>
      <c r="M29" s="12">
        <f t="shared" si="3"/>
        <v>3377.9216917758995</v>
      </c>
      <c r="N29" s="12">
        <f t="shared" si="3"/>
        <v>8976.5213239500717</v>
      </c>
    </row>
    <row r="30" spans="1:14" x14ac:dyDescent="0.25">
      <c r="A30">
        <v>186</v>
      </c>
      <c r="B30" t="s">
        <v>243</v>
      </c>
      <c r="C30" t="s">
        <v>54</v>
      </c>
      <c r="D30" t="s">
        <v>221</v>
      </c>
      <c r="E30" s="2">
        <v>0</v>
      </c>
      <c r="F30" s="2" t="s">
        <v>199</v>
      </c>
      <c r="G30" s="2"/>
      <c r="H30" s="2"/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</row>
    <row r="31" spans="1:14" x14ac:dyDescent="0.25">
      <c r="A31">
        <v>187</v>
      </c>
      <c r="B31" t="s">
        <v>244</v>
      </c>
      <c r="C31" t="s">
        <v>54</v>
      </c>
      <c r="D31" t="s">
        <v>223</v>
      </c>
      <c r="E31" s="2">
        <v>0</v>
      </c>
      <c r="F31" s="2" t="s">
        <v>199</v>
      </c>
      <c r="G31" s="2"/>
      <c r="H31" s="2"/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</row>
    <row r="32" spans="1:14" x14ac:dyDescent="0.25">
      <c r="A32">
        <v>188</v>
      </c>
      <c r="B32" t="s">
        <v>245</v>
      </c>
      <c r="C32" t="s">
        <v>54</v>
      </c>
      <c r="D32" t="s">
        <v>225</v>
      </c>
      <c r="E32" s="2">
        <v>0</v>
      </c>
      <c r="F32" s="2" t="s">
        <v>199</v>
      </c>
      <c r="G32" s="2"/>
      <c r="H32" s="2"/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</row>
    <row r="33" spans="1:14" x14ac:dyDescent="0.25">
      <c r="A33">
        <v>189</v>
      </c>
      <c r="B33" t="s">
        <v>246</v>
      </c>
      <c r="C33" t="s">
        <v>54</v>
      </c>
      <c r="D33" t="s">
        <v>227</v>
      </c>
      <c r="E33" s="2">
        <v>0</v>
      </c>
      <c r="F33" s="2" t="s">
        <v>199</v>
      </c>
      <c r="G33" s="2"/>
      <c r="H33" s="2"/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</row>
    <row r="34" spans="1:14" x14ac:dyDescent="0.25">
      <c r="A34">
        <v>190</v>
      </c>
      <c r="B34" t="s">
        <v>247</v>
      </c>
      <c r="C34" t="s">
        <v>54</v>
      </c>
      <c r="D34" t="s">
        <v>229</v>
      </c>
      <c r="E34" s="2">
        <v>0</v>
      </c>
      <c r="F34" s="2" t="s">
        <v>199</v>
      </c>
      <c r="G34" s="2"/>
      <c r="H34" s="2"/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</row>
    <row r="35" spans="1:14" x14ac:dyDescent="0.25">
      <c r="A35">
        <v>191</v>
      </c>
      <c r="B35" t="s">
        <v>248</v>
      </c>
      <c r="C35" t="s">
        <v>54</v>
      </c>
      <c r="D35" t="s">
        <v>231</v>
      </c>
      <c r="E35" s="2">
        <v>0</v>
      </c>
      <c r="F35" s="2" t="s">
        <v>199</v>
      </c>
      <c r="G35" s="2"/>
      <c r="H35" s="2"/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</row>
    <row r="36" spans="1:14" x14ac:dyDescent="0.25">
      <c r="A36">
        <v>192</v>
      </c>
      <c r="B36" t="s">
        <v>249</v>
      </c>
      <c r="C36" t="s">
        <v>54</v>
      </c>
      <c r="D36" t="s">
        <v>250</v>
      </c>
      <c r="E36" s="2">
        <v>0</v>
      </c>
      <c r="F36" s="2" t="s">
        <v>199</v>
      </c>
      <c r="G36" s="2"/>
      <c r="H36" s="2"/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</row>
    <row r="37" spans="1:14" x14ac:dyDescent="0.25">
      <c r="A37">
        <v>193</v>
      </c>
      <c r="B37" t="s">
        <v>251</v>
      </c>
      <c r="C37" t="s">
        <v>54</v>
      </c>
      <c r="D37" t="s">
        <v>73</v>
      </c>
      <c r="E37" s="2">
        <v>351000</v>
      </c>
      <c r="F37" s="2" t="s">
        <v>199</v>
      </c>
      <c r="G37" s="2"/>
      <c r="H37" s="2">
        <v>23</v>
      </c>
      <c r="I37" s="12">
        <v>351000</v>
      </c>
      <c r="J37" s="17">
        <f>+INDEX(Alloc,$H37,J$1)*$I37</f>
        <v>236641.56636605848</v>
      </c>
      <c r="K37" s="17">
        <f>+INDEX(Alloc,$H37,K$1)*$I37</f>
        <v>93431.962113528178</v>
      </c>
      <c r="L37" s="17">
        <f>+INDEX(Alloc,$H37,L$1)*$I37</f>
        <v>11700.06833207331</v>
      </c>
      <c r="M37" s="17">
        <f>+INDEX(Alloc,$H37,M$1)*$I37</f>
        <v>2522.6606676879587</v>
      </c>
      <c r="N37" s="17">
        <f>+INDEX(Alloc,$H37,N$1)*$I37</f>
        <v>6703.7425206520747</v>
      </c>
    </row>
    <row r="38" spans="1:14" x14ac:dyDescent="0.25">
      <c r="A38">
        <v>194</v>
      </c>
      <c r="D38" t="s">
        <v>252</v>
      </c>
      <c r="E38" s="2">
        <f>SUM(E30:E37)</f>
        <v>351000</v>
      </c>
      <c r="F38" s="2"/>
      <c r="G38" s="2"/>
      <c r="H38" s="2"/>
      <c r="I38" s="12">
        <f t="shared" ref="I38:N38" si="4">SUM(I30:I37)</f>
        <v>351000</v>
      </c>
      <c r="J38" s="12">
        <f t="shared" si="4"/>
        <v>236641.56636605848</v>
      </c>
      <c r="K38" s="12">
        <f t="shared" si="4"/>
        <v>93431.962113528178</v>
      </c>
      <c r="L38" s="12">
        <f t="shared" si="4"/>
        <v>11700.06833207331</v>
      </c>
      <c r="M38" s="12">
        <f t="shared" si="4"/>
        <v>2522.6606676879587</v>
      </c>
      <c r="N38" s="12">
        <f t="shared" si="4"/>
        <v>6703.7425206520747</v>
      </c>
    </row>
    <row r="39" spans="1:14" x14ac:dyDescent="0.25">
      <c r="A39">
        <v>195</v>
      </c>
      <c r="D39" t="s">
        <v>253</v>
      </c>
      <c r="E39" s="2">
        <f>+E29+E38</f>
        <v>821000</v>
      </c>
      <c r="F39" s="2"/>
      <c r="G39" s="2"/>
      <c r="H39" s="2"/>
      <c r="I39" s="12">
        <f t="shared" ref="I39:N39" si="5">+I29+I38</f>
        <v>821000</v>
      </c>
      <c r="J39" s="12">
        <f t="shared" si="5"/>
        <v>553512.03984767525</v>
      </c>
      <c r="K39" s="12">
        <f t="shared" si="5"/>
        <v>218540.28745073115</v>
      </c>
      <c r="L39" s="12">
        <f t="shared" si="5"/>
        <v>27366.8264975276</v>
      </c>
      <c r="M39" s="12">
        <f t="shared" si="5"/>
        <v>5900.5823594638587</v>
      </c>
      <c r="N39" s="12">
        <f t="shared" si="5"/>
        <v>15680.263844602146</v>
      </c>
    </row>
    <row r="40" spans="1:14" x14ac:dyDescent="0.25">
      <c r="A40">
        <v>196</v>
      </c>
      <c r="E40" s="2"/>
      <c r="F40" s="2"/>
      <c r="G40" s="2"/>
      <c r="H40" s="2"/>
      <c r="I40" s="12"/>
      <c r="J40" s="12"/>
      <c r="K40" s="12"/>
      <c r="L40" s="12"/>
      <c r="M40" s="12"/>
      <c r="N40" s="12"/>
    </row>
    <row r="41" spans="1:14" x14ac:dyDescent="0.25">
      <c r="A41">
        <v>197</v>
      </c>
      <c r="D41" t="s">
        <v>254</v>
      </c>
      <c r="E41" s="2"/>
      <c r="F41" s="2"/>
      <c r="G41" s="2"/>
      <c r="H41" s="2"/>
      <c r="I41" s="12"/>
      <c r="J41" s="12"/>
      <c r="K41" s="12"/>
      <c r="L41" s="12"/>
      <c r="M41" s="12"/>
      <c r="N41" s="12"/>
    </row>
    <row r="42" spans="1:14" x14ac:dyDescent="0.25">
      <c r="A42">
        <v>198</v>
      </c>
      <c r="B42" t="s">
        <v>255</v>
      </c>
      <c r="C42" t="s">
        <v>49</v>
      </c>
      <c r="D42" t="s">
        <v>221</v>
      </c>
      <c r="E42" s="2">
        <v>966000</v>
      </c>
      <c r="F42" s="2" t="s">
        <v>59</v>
      </c>
      <c r="G42" s="2" t="s">
        <v>256</v>
      </c>
      <c r="H42" s="2">
        <v>22</v>
      </c>
      <c r="I42" s="12">
        <v>966000</v>
      </c>
      <c r="J42" s="17">
        <f>+INDEX(Alloc,$H42,J$1)*$I42</f>
        <v>727169.17079390062</v>
      </c>
      <c r="K42" s="17">
        <f>+INDEX(Alloc,$H42,K$1)*$I42</f>
        <v>154306.1152028302</v>
      </c>
      <c r="L42" s="17">
        <f>+INDEX(Alloc,$H42,L$1)*$I42</f>
        <v>12993.271088907071</v>
      </c>
      <c r="M42" s="17">
        <f>+INDEX(Alloc,$H42,M$1)*$I42</f>
        <v>3255.9493718943208</v>
      </c>
      <c r="N42" s="17">
        <f>+INDEX(Alloc,$H42,N$1)*$I42</f>
        <v>68275.493542467739</v>
      </c>
    </row>
    <row r="43" spans="1:14" x14ac:dyDescent="0.25">
      <c r="A43">
        <v>199</v>
      </c>
      <c r="B43" t="s">
        <v>257</v>
      </c>
      <c r="C43" t="s">
        <v>49</v>
      </c>
      <c r="D43" t="s">
        <v>258</v>
      </c>
      <c r="E43" s="2">
        <v>0</v>
      </c>
      <c r="F43" s="2" t="s">
        <v>259</v>
      </c>
      <c r="G43" s="2" t="s">
        <v>260</v>
      </c>
      <c r="H43" s="2"/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</row>
    <row r="44" spans="1:14" x14ac:dyDescent="0.25">
      <c r="A44">
        <v>200</v>
      </c>
      <c r="B44" t="s">
        <v>261</v>
      </c>
      <c r="C44" t="s">
        <v>49</v>
      </c>
      <c r="D44" t="s">
        <v>262</v>
      </c>
      <c r="E44" s="2">
        <v>2595000</v>
      </c>
      <c r="F44" s="2" t="s">
        <v>263</v>
      </c>
      <c r="G44" s="2" t="s">
        <v>260</v>
      </c>
      <c r="H44" s="2">
        <v>27</v>
      </c>
      <c r="I44" s="12">
        <v>2595000.0000000009</v>
      </c>
      <c r="J44" s="17">
        <f t="shared" ref="J44:N51" si="6">+INDEX(Alloc,$H44,J$1)*$I44</f>
        <v>1980787.8328695053</v>
      </c>
      <c r="K44" s="17">
        <f t="shared" si="6"/>
        <v>385855.02464070986</v>
      </c>
      <c r="L44" s="17">
        <f t="shared" si="6"/>
        <v>35239.750241319431</v>
      </c>
      <c r="M44" s="17">
        <f t="shared" si="6"/>
        <v>8282.5352287143523</v>
      </c>
      <c r="N44" s="17">
        <f t="shared" si="6"/>
        <v>184834.85701975206</v>
      </c>
    </row>
    <row r="45" spans="1:14" x14ac:dyDescent="0.25">
      <c r="A45">
        <v>201</v>
      </c>
      <c r="B45" t="s">
        <v>264</v>
      </c>
      <c r="C45" t="s">
        <v>49</v>
      </c>
      <c r="D45" t="s">
        <v>265</v>
      </c>
      <c r="E45" s="2">
        <v>75000</v>
      </c>
      <c r="F45" s="2" t="s">
        <v>266</v>
      </c>
      <c r="G45" s="2" t="s">
        <v>260</v>
      </c>
      <c r="H45" s="2">
        <v>19</v>
      </c>
      <c r="I45" s="12">
        <v>75000</v>
      </c>
      <c r="J45" s="17">
        <f t="shared" si="6"/>
        <v>46315.595239499766</v>
      </c>
      <c r="K45" s="17">
        <f t="shared" si="6"/>
        <v>17783.134620185177</v>
      </c>
      <c r="L45" s="17">
        <f t="shared" si="6"/>
        <v>1674.6313951787688</v>
      </c>
      <c r="M45" s="17">
        <f t="shared" si="6"/>
        <v>397.72665670645654</v>
      </c>
      <c r="N45" s="17">
        <f t="shared" si="6"/>
        <v>8828.9120884298318</v>
      </c>
    </row>
    <row r="46" spans="1:14" x14ac:dyDescent="0.25">
      <c r="A46">
        <v>202</v>
      </c>
      <c r="B46" t="s">
        <v>267</v>
      </c>
      <c r="C46" t="s">
        <v>49</v>
      </c>
      <c r="D46" t="s">
        <v>268</v>
      </c>
      <c r="E46" s="2">
        <v>2000</v>
      </c>
      <c r="F46" s="2" t="s">
        <v>269</v>
      </c>
      <c r="G46" s="2" t="s">
        <v>260</v>
      </c>
      <c r="H46" s="2">
        <v>15</v>
      </c>
      <c r="I46" s="12">
        <v>2000</v>
      </c>
      <c r="J46" s="17">
        <f t="shared" si="6"/>
        <v>0</v>
      </c>
      <c r="K46" s="17">
        <f t="shared" si="6"/>
        <v>1555.2434309392117</v>
      </c>
      <c r="L46" s="17">
        <f t="shared" si="6"/>
        <v>64.378487566638938</v>
      </c>
      <c r="M46" s="17">
        <f t="shared" si="6"/>
        <v>35.652754163171601</v>
      </c>
      <c r="N46" s="17">
        <f t="shared" si="6"/>
        <v>344.72532733097785</v>
      </c>
    </row>
    <row r="47" spans="1:14" x14ac:dyDescent="0.25">
      <c r="A47">
        <v>203</v>
      </c>
      <c r="B47" t="s">
        <v>270</v>
      </c>
      <c r="C47" t="s">
        <v>49</v>
      </c>
      <c r="D47" t="s">
        <v>271</v>
      </c>
      <c r="E47" s="2">
        <v>79000</v>
      </c>
      <c r="F47" s="2" t="s">
        <v>272</v>
      </c>
      <c r="G47" s="2" t="s">
        <v>260</v>
      </c>
      <c r="H47" s="2">
        <v>19</v>
      </c>
      <c r="I47" s="12">
        <v>79000</v>
      </c>
      <c r="J47" s="17">
        <f t="shared" si="6"/>
        <v>48785.760318939756</v>
      </c>
      <c r="K47" s="17">
        <f t="shared" si="6"/>
        <v>18731.56846659505</v>
      </c>
      <c r="L47" s="17">
        <f t="shared" si="6"/>
        <v>1763.9450695883031</v>
      </c>
      <c r="M47" s="17">
        <f t="shared" si="6"/>
        <v>418.93874506413425</v>
      </c>
      <c r="N47" s="17">
        <f t="shared" si="6"/>
        <v>9299.7873998127561</v>
      </c>
    </row>
    <row r="48" spans="1:14" x14ac:dyDescent="0.25">
      <c r="A48">
        <v>204</v>
      </c>
      <c r="B48" t="s">
        <v>273</v>
      </c>
      <c r="C48" t="s">
        <v>49</v>
      </c>
      <c r="D48" t="s">
        <v>274</v>
      </c>
      <c r="E48" s="2">
        <v>375000</v>
      </c>
      <c r="F48" s="2" t="s">
        <v>275</v>
      </c>
      <c r="G48" s="2" t="s">
        <v>260</v>
      </c>
      <c r="H48" s="2">
        <v>13</v>
      </c>
      <c r="I48" s="12">
        <v>375000</v>
      </c>
      <c r="J48" s="17">
        <f t="shared" si="6"/>
        <v>322341.9883961422</v>
      </c>
      <c r="K48" s="17">
        <f t="shared" si="6"/>
        <v>44185.390124243109</v>
      </c>
      <c r="L48" s="17">
        <f t="shared" si="6"/>
        <v>1232.9060954434383</v>
      </c>
      <c r="M48" s="17">
        <f t="shared" si="6"/>
        <v>677.72015847968817</v>
      </c>
      <c r="N48" s="17">
        <f t="shared" si="6"/>
        <v>6561.995225691594</v>
      </c>
    </row>
    <row r="49" spans="1:14" x14ac:dyDescent="0.25">
      <c r="A49">
        <v>205</v>
      </c>
      <c r="B49" t="s">
        <v>276</v>
      </c>
      <c r="C49" t="s">
        <v>49</v>
      </c>
      <c r="D49" t="s">
        <v>277</v>
      </c>
      <c r="E49" s="2">
        <v>986000</v>
      </c>
      <c r="F49" s="2" t="s">
        <v>95</v>
      </c>
      <c r="G49" s="2" t="s">
        <v>260</v>
      </c>
      <c r="H49" s="2">
        <v>11</v>
      </c>
      <c r="I49" s="12">
        <v>986000.00000000012</v>
      </c>
      <c r="J49" s="17">
        <f t="shared" si="6"/>
        <v>969220.43827270321</v>
      </c>
      <c r="K49" s="17">
        <f t="shared" si="6"/>
        <v>16332.296762429958</v>
      </c>
      <c r="L49" s="17">
        <f t="shared" si="6"/>
        <v>184.16792670995287</v>
      </c>
      <c r="M49" s="17">
        <f t="shared" si="6"/>
        <v>13.154851907853779</v>
      </c>
      <c r="N49" s="17">
        <f t="shared" si="6"/>
        <v>249.94218624922175</v>
      </c>
    </row>
    <row r="50" spans="1:14" x14ac:dyDescent="0.25">
      <c r="A50">
        <v>206</v>
      </c>
      <c r="B50" t="s">
        <v>278</v>
      </c>
      <c r="C50" t="s">
        <v>49</v>
      </c>
      <c r="D50" t="s">
        <v>279</v>
      </c>
      <c r="E50" s="2">
        <v>1294000</v>
      </c>
      <c r="F50" s="2" t="s">
        <v>280</v>
      </c>
      <c r="H50" s="2">
        <v>30</v>
      </c>
      <c r="I50" s="12">
        <v>1294000</v>
      </c>
      <c r="J50" s="17">
        <f t="shared" si="6"/>
        <v>1021507.0267114536</v>
      </c>
      <c r="K50" s="17">
        <f t="shared" si="6"/>
        <v>181945.35294880756</v>
      </c>
      <c r="L50" s="17">
        <f t="shared" si="6"/>
        <v>13896.342780909657</v>
      </c>
      <c r="M50" s="17">
        <f t="shared" si="6"/>
        <v>3721.4492260471202</v>
      </c>
      <c r="N50" s="17">
        <f t="shared" si="6"/>
        <v>72929.828332782185</v>
      </c>
    </row>
    <row r="51" spans="1:14" x14ac:dyDescent="0.25">
      <c r="A51">
        <v>207</v>
      </c>
      <c r="B51" t="s">
        <v>281</v>
      </c>
      <c r="C51" t="s">
        <v>49</v>
      </c>
      <c r="D51" t="s">
        <v>241</v>
      </c>
      <c r="E51" s="2">
        <v>22000</v>
      </c>
      <c r="F51" s="2" t="s">
        <v>280</v>
      </c>
      <c r="G51" s="2"/>
      <c r="H51" s="2">
        <v>30</v>
      </c>
      <c r="I51" s="12">
        <v>22000</v>
      </c>
      <c r="J51" s="17">
        <f t="shared" si="6"/>
        <v>17367.19829030292</v>
      </c>
      <c r="K51" s="17">
        <f t="shared" si="6"/>
        <v>3093.3522139673619</v>
      </c>
      <c r="L51" s="17">
        <f t="shared" si="6"/>
        <v>236.25930539413636</v>
      </c>
      <c r="M51" s="17">
        <f t="shared" si="6"/>
        <v>63.270388696318889</v>
      </c>
      <c r="N51" s="17">
        <f t="shared" si="6"/>
        <v>1239.9198016392643</v>
      </c>
    </row>
    <row r="52" spans="1:14" x14ac:dyDescent="0.25">
      <c r="A52">
        <v>208</v>
      </c>
      <c r="D52" t="s">
        <v>282</v>
      </c>
      <c r="E52" s="2">
        <f>SUM(E42:E51)</f>
        <v>6394000</v>
      </c>
      <c r="F52" s="2"/>
      <c r="G52" s="2"/>
      <c r="H52" s="2"/>
      <c r="I52" s="12">
        <f t="shared" ref="I52:N52" si="7">SUM(I42:I51)</f>
        <v>6394000.0000000009</v>
      </c>
      <c r="J52" s="12">
        <f t="shared" si="7"/>
        <v>5133495.0108924471</v>
      </c>
      <c r="K52" s="12">
        <f t="shared" si="7"/>
        <v>823787.47841070732</v>
      </c>
      <c r="L52" s="12">
        <f t="shared" si="7"/>
        <v>67285.6523910174</v>
      </c>
      <c r="M52" s="12">
        <f t="shared" si="7"/>
        <v>16866.397381673414</v>
      </c>
      <c r="N52" s="12">
        <f t="shared" si="7"/>
        <v>352565.46092415572</v>
      </c>
    </row>
    <row r="53" spans="1:14" x14ac:dyDescent="0.25">
      <c r="A53">
        <v>209</v>
      </c>
      <c r="B53" t="s">
        <v>283</v>
      </c>
      <c r="C53" t="s">
        <v>49</v>
      </c>
      <c r="D53" t="s">
        <v>221</v>
      </c>
      <c r="E53" s="2">
        <v>65000</v>
      </c>
      <c r="F53" s="2" t="s">
        <v>59</v>
      </c>
      <c r="G53" s="2" t="s">
        <v>256</v>
      </c>
      <c r="H53" s="2">
        <v>22</v>
      </c>
      <c r="I53" s="12">
        <v>65000</v>
      </c>
      <c r="J53" s="17">
        <f>+INDEX(Alloc,$H53,J$1)*$I53</f>
        <v>48929.602589651702</v>
      </c>
      <c r="K53" s="17">
        <f>+INDEX(Alloc,$H53,K$1)*$I53</f>
        <v>10382.916654434744</v>
      </c>
      <c r="L53" s="17">
        <f>+INDEX(Alloc,$H53,L$1)*$I53</f>
        <v>874.28842730741167</v>
      </c>
      <c r="M53" s="17">
        <f>+INDEX(Alloc,$H53,M$1)*$I53</f>
        <v>219.08562026204024</v>
      </c>
      <c r="N53" s="17">
        <f>+INDEX(Alloc,$H53,N$1)*$I53</f>
        <v>4594.1067083441021</v>
      </c>
    </row>
    <row r="54" spans="1:14" x14ac:dyDescent="0.25">
      <c r="A54">
        <v>210</v>
      </c>
      <c r="B54" t="s">
        <v>284</v>
      </c>
      <c r="C54" t="s">
        <v>49</v>
      </c>
      <c r="D54" t="s">
        <v>67</v>
      </c>
      <c r="E54" s="2">
        <v>0</v>
      </c>
      <c r="F54" s="2" t="s">
        <v>77</v>
      </c>
      <c r="G54" s="2" t="s">
        <v>260</v>
      </c>
      <c r="H54" s="2"/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</row>
    <row r="55" spans="1:14" x14ac:dyDescent="0.25">
      <c r="A55">
        <v>211</v>
      </c>
      <c r="B55" t="s">
        <v>285</v>
      </c>
      <c r="C55" t="s">
        <v>49</v>
      </c>
      <c r="D55" t="s">
        <v>79</v>
      </c>
      <c r="E55" s="2">
        <v>1239000</v>
      </c>
      <c r="F55" s="2" t="s">
        <v>286</v>
      </c>
      <c r="G55" s="2" t="s">
        <v>260</v>
      </c>
      <c r="H55" s="2">
        <v>29</v>
      </c>
      <c r="I55" s="12">
        <v>1238999.9999999998</v>
      </c>
      <c r="J55" s="17">
        <f t="shared" ref="J55:N61" si="8">+INDEX(Alloc,$H55,J$1)*$I55</f>
        <v>765133.63335653604</v>
      </c>
      <c r="K55" s="17">
        <f t="shared" si="8"/>
        <v>293777.383925459</v>
      </c>
      <c r="L55" s="17">
        <f t="shared" si="8"/>
        <v>27664.910648353249</v>
      </c>
      <c r="M55" s="17">
        <f t="shared" si="8"/>
        <v>6570.4443687906596</v>
      </c>
      <c r="N55" s="17">
        <f t="shared" si="8"/>
        <v>145853.62770086079</v>
      </c>
    </row>
    <row r="56" spans="1:14" x14ac:dyDescent="0.25">
      <c r="A56">
        <v>212</v>
      </c>
      <c r="B56" t="s">
        <v>287</v>
      </c>
      <c r="C56" t="s">
        <v>49</v>
      </c>
      <c r="D56" t="s">
        <v>265</v>
      </c>
      <c r="E56" s="2">
        <v>138000</v>
      </c>
      <c r="F56" s="2" t="s">
        <v>266</v>
      </c>
      <c r="G56" s="2" t="s">
        <v>260</v>
      </c>
      <c r="H56" s="2">
        <v>19</v>
      </c>
      <c r="I56" s="12">
        <v>138000</v>
      </c>
      <c r="J56" s="17">
        <f t="shared" si="8"/>
        <v>85220.695240679575</v>
      </c>
      <c r="K56" s="17">
        <f t="shared" si="8"/>
        <v>32720.967701140722</v>
      </c>
      <c r="L56" s="17">
        <f t="shared" si="8"/>
        <v>3081.3217671289344</v>
      </c>
      <c r="M56" s="17">
        <f t="shared" si="8"/>
        <v>731.8170483398801</v>
      </c>
      <c r="N56" s="17">
        <f t="shared" si="8"/>
        <v>16245.198242710891</v>
      </c>
    </row>
    <row r="57" spans="1:14" x14ac:dyDescent="0.25">
      <c r="A57">
        <v>213</v>
      </c>
      <c r="B57" t="s">
        <v>288</v>
      </c>
      <c r="C57" t="s">
        <v>49</v>
      </c>
      <c r="D57" t="s">
        <v>268</v>
      </c>
      <c r="E57" s="2">
        <v>141000</v>
      </c>
      <c r="F57" s="2" t="s">
        <v>269</v>
      </c>
      <c r="G57" s="2" t="s">
        <v>260</v>
      </c>
      <c r="H57" s="2">
        <v>15</v>
      </c>
      <c r="I57" s="12">
        <v>141000</v>
      </c>
      <c r="J57" s="17">
        <f t="shared" si="8"/>
        <v>0</v>
      </c>
      <c r="K57" s="17">
        <f t="shared" si="8"/>
        <v>109644.66188121443</v>
      </c>
      <c r="L57" s="17">
        <f t="shared" si="8"/>
        <v>4538.6833734480451</v>
      </c>
      <c r="M57" s="17">
        <f t="shared" si="8"/>
        <v>2513.5191685035979</v>
      </c>
      <c r="N57" s="17">
        <f t="shared" si="8"/>
        <v>24303.135576833938</v>
      </c>
    </row>
    <row r="58" spans="1:14" x14ac:dyDescent="0.25">
      <c r="A58">
        <v>214</v>
      </c>
      <c r="B58" t="s">
        <v>289</v>
      </c>
      <c r="C58" t="s">
        <v>49</v>
      </c>
      <c r="D58" t="s">
        <v>271</v>
      </c>
      <c r="E58" s="2">
        <v>55000</v>
      </c>
      <c r="F58" s="2" t="s">
        <v>272</v>
      </c>
      <c r="G58" s="2" t="s">
        <v>260</v>
      </c>
      <c r="H58" s="2">
        <v>19</v>
      </c>
      <c r="I58" s="12">
        <v>55000</v>
      </c>
      <c r="J58" s="17">
        <f t="shared" si="8"/>
        <v>33964.769842299829</v>
      </c>
      <c r="K58" s="17">
        <f t="shared" si="8"/>
        <v>13040.965388135795</v>
      </c>
      <c r="L58" s="17">
        <f t="shared" si="8"/>
        <v>1228.063023131097</v>
      </c>
      <c r="M58" s="17">
        <f t="shared" si="8"/>
        <v>291.66621491806814</v>
      </c>
      <c r="N58" s="17">
        <f t="shared" si="8"/>
        <v>6474.5355315152101</v>
      </c>
    </row>
    <row r="59" spans="1:14" x14ac:dyDescent="0.25">
      <c r="A59">
        <v>215</v>
      </c>
      <c r="B59" t="s">
        <v>290</v>
      </c>
      <c r="C59" t="s">
        <v>49</v>
      </c>
      <c r="D59" t="s">
        <v>88</v>
      </c>
      <c r="E59" s="2">
        <v>1069000</v>
      </c>
      <c r="F59" s="2" t="s">
        <v>291</v>
      </c>
      <c r="G59" s="2" t="s">
        <v>260</v>
      </c>
      <c r="H59" s="2">
        <v>12</v>
      </c>
      <c r="I59" s="12">
        <v>1069000.0000000002</v>
      </c>
      <c r="J59" s="17">
        <f t="shared" si="8"/>
        <v>1048893.1470066118</v>
      </c>
      <c r="K59" s="17">
        <f t="shared" si="8"/>
        <v>17674.858548712389</v>
      </c>
      <c r="L59" s="17">
        <f t="shared" si="8"/>
        <v>538.00868844377987</v>
      </c>
      <c r="M59" s="17">
        <f t="shared" si="8"/>
        <v>38.429192031698562</v>
      </c>
      <c r="N59" s="17">
        <f t="shared" si="8"/>
        <v>1855.556564200584</v>
      </c>
    </row>
    <row r="60" spans="1:14" x14ac:dyDescent="0.25">
      <c r="A60">
        <v>216</v>
      </c>
      <c r="B60" t="s">
        <v>292</v>
      </c>
      <c r="C60" t="s">
        <v>49</v>
      </c>
      <c r="D60" t="s">
        <v>293</v>
      </c>
      <c r="E60" s="2">
        <v>1053000</v>
      </c>
      <c r="F60" s="2" t="s">
        <v>275</v>
      </c>
      <c r="G60" s="2" t="s">
        <v>260</v>
      </c>
      <c r="H60" s="2">
        <v>13</v>
      </c>
      <c r="I60" s="12">
        <v>1053000</v>
      </c>
      <c r="J60" s="17">
        <f t="shared" si="8"/>
        <v>905136.30341636727</v>
      </c>
      <c r="K60" s="17">
        <f t="shared" si="8"/>
        <v>124072.57546887465</v>
      </c>
      <c r="L60" s="17">
        <f t="shared" si="8"/>
        <v>3462.0003160051751</v>
      </c>
      <c r="M60" s="17">
        <f t="shared" si="8"/>
        <v>1903.0382050109645</v>
      </c>
      <c r="N60" s="17">
        <f t="shared" si="8"/>
        <v>18426.082593741998</v>
      </c>
    </row>
    <row r="61" spans="1:14" x14ac:dyDescent="0.25">
      <c r="A61">
        <v>217</v>
      </c>
      <c r="B61" t="s">
        <v>294</v>
      </c>
      <c r="C61" t="s">
        <v>49</v>
      </c>
      <c r="D61" t="s">
        <v>73</v>
      </c>
      <c r="E61" s="2">
        <v>137000</v>
      </c>
      <c r="F61" s="2" t="s">
        <v>59</v>
      </c>
      <c r="G61" s="2" t="s">
        <v>260</v>
      </c>
      <c r="H61" s="2">
        <v>22</v>
      </c>
      <c r="I61" s="12">
        <v>137000</v>
      </c>
      <c r="J61" s="17">
        <f t="shared" si="8"/>
        <v>103128.5469966505</v>
      </c>
      <c r="K61" s="17">
        <f t="shared" si="8"/>
        <v>21883.99356396246</v>
      </c>
      <c r="L61" s="17">
        <f t="shared" si="8"/>
        <v>1842.7309929402368</v>
      </c>
      <c r="M61" s="17">
        <f t="shared" si="8"/>
        <v>461.76507655230017</v>
      </c>
      <c r="N61" s="17">
        <f t="shared" si="8"/>
        <v>9682.9633698944926</v>
      </c>
    </row>
    <row r="62" spans="1:14" x14ac:dyDescent="0.25">
      <c r="A62">
        <v>218</v>
      </c>
      <c r="D62" t="s">
        <v>295</v>
      </c>
      <c r="E62" s="2">
        <f>SUM(E53:E61)</f>
        <v>3897000</v>
      </c>
      <c r="F62" s="2"/>
      <c r="G62" s="2"/>
      <c r="H62" s="2"/>
      <c r="I62" s="12">
        <f t="shared" ref="I62:N62" si="9">SUM(I53:I61)</f>
        <v>3897000</v>
      </c>
      <c r="J62" s="12">
        <f t="shared" si="9"/>
        <v>2990406.6984487963</v>
      </c>
      <c r="K62" s="12">
        <f t="shared" si="9"/>
        <v>623198.32313193427</v>
      </c>
      <c r="L62" s="12">
        <f t="shared" si="9"/>
        <v>43230.007236757934</v>
      </c>
      <c r="M62" s="12">
        <f t="shared" si="9"/>
        <v>12729.764894409209</v>
      </c>
      <c r="N62" s="12">
        <f t="shared" si="9"/>
        <v>227435.206288102</v>
      </c>
    </row>
    <row r="63" spans="1:14" x14ac:dyDescent="0.25">
      <c r="A63">
        <v>219</v>
      </c>
      <c r="D63" t="s">
        <v>296</v>
      </c>
      <c r="E63" s="2">
        <f>+E62+E52</f>
        <v>10291000</v>
      </c>
      <c r="F63" s="2"/>
      <c r="G63" s="2"/>
      <c r="H63" s="2"/>
      <c r="I63" s="12">
        <f t="shared" ref="I63:N63" si="10">+I62+I52</f>
        <v>10291000</v>
      </c>
      <c r="J63" s="12">
        <f t="shared" si="10"/>
        <v>8123901.7093412429</v>
      </c>
      <c r="K63" s="12">
        <f t="shared" si="10"/>
        <v>1446985.8015426416</v>
      </c>
      <c r="L63" s="12">
        <f t="shared" si="10"/>
        <v>110515.65962777534</v>
      </c>
      <c r="M63" s="12">
        <f t="shared" si="10"/>
        <v>29596.162276082621</v>
      </c>
      <c r="N63" s="12">
        <f t="shared" si="10"/>
        <v>580000.66721225774</v>
      </c>
    </row>
    <row r="64" spans="1:14" x14ac:dyDescent="0.25">
      <c r="A64">
        <v>220</v>
      </c>
      <c r="E64" s="2"/>
      <c r="F64" s="2"/>
      <c r="G64" s="2"/>
      <c r="H64" s="2"/>
      <c r="I64" s="12"/>
      <c r="J64" s="12"/>
      <c r="K64" s="12"/>
      <c r="L64" s="12"/>
      <c r="M64" s="12"/>
      <c r="N64" s="12"/>
    </row>
    <row r="65" spans="1:14" x14ac:dyDescent="0.25">
      <c r="A65">
        <v>221</v>
      </c>
      <c r="D65" t="s">
        <v>297</v>
      </c>
      <c r="E65" s="2"/>
      <c r="F65" s="2"/>
      <c r="G65" s="2"/>
      <c r="H65" s="2"/>
      <c r="I65" s="12"/>
      <c r="J65" s="12"/>
      <c r="K65" s="12"/>
      <c r="L65" s="12"/>
      <c r="M65" s="12"/>
      <c r="N65" s="12"/>
    </row>
    <row r="66" spans="1:14" x14ac:dyDescent="0.25">
      <c r="A66">
        <v>222</v>
      </c>
      <c r="B66" t="s">
        <v>298</v>
      </c>
      <c r="C66" t="s">
        <v>48</v>
      </c>
      <c r="D66" t="s">
        <v>299</v>
      </c>
      <c r="E66" s="2">
        <v>178000</v>
      </c>
      <c r="F66" s="2" t="s">
        <v>300</v>
      </c>
      <c r="G66" s="2"/>
      <c r="H66" s="2">
        <v>11</v>
      </c>
      <c r="I66" s="12">
        <v>178000</v>
      </c>
      <c r="J66" s="17">
        <f t="shared" ref="J66:N70" si="11">+INDEX(Alloc,$H66,J$1)*$I66</f>
        <v>174970.82962732366</v>
      </c>
      <c r="K66" s="17">
        <f t="shared" si="11"/>
        <v>2948.4267988970914</v>
      </c>
      <c r="L66" s="17">
        <f t="shared" si="11"/>
        <v>33.247353909098997</v>
      </c>
      <c r="M66" s="17">
        <f t="shared" si="11"/>
        <v>2.3748109935070714</v>
      </c>
      <c r="N66" s="17">
        <f t="shared" si="11"/>
        <v>45.121408876634348</v>
      </c>
    </row>
    <row r="67" spans="1:14" x14ac:dyDescent="0.25">
      <c r="A67">
        <v>223</v>
      </c>
      <c r="B67" t="s">
        <v>301</v>
      </c>
      <c r="C67" t="s">
        <v>48</v>
      </c>
      <c r="D67" t="s">
        <v>302</v>
      </c>
      <c r="E67" s="2">
        <v>1578000</v>
      </c>
      <c r="F67" s="2" t="s">
        <v>300</v>
      </c>
      <c r="G67" s="2"/>
      <c r="H67" s="2">
        <v>11</v>
      </c>
      <c r="I67" s="12">
        <v>1578000.0000000002</v>
      </c>
      <c r="J67" s="17">
        <f t="shared" si="11"/>
        <v>1551145.8941118922</v>
      </c>
      <c r="K67" s="17">
        <f t="shared" si="11"/>
        <v>26138.300498087701</v>
      </c>
      <c r="L67" s="17">
        <f t="shared" si="11"/>
        <v>294.74339589077653</v>
      </c>
      <c r="M67" s="17">
        <f t="shared" si="11"/>
        <v>21.053099706484037</v>
      </c>
      <c r="N67" s="17">
        <f t="shared" si="11"/>
        <v>400.00889442319669</v>
      </c>
    </row>
    <row r="68" spans="1:14" x14ac:dyDescent="0.25">
      <c r="A68">
        <v>224</v>
      </c>
      <c r="B68" t="s">
        <v>303</v>
      </c>
      <c r="C68" t="s">
        <v>48</v>
      </c>
      <c r="D68" t="s">
        <v>304</v>
      </c>
      <c r="E68" s="2">
        <v>3380000</v>
      </c>
      <c r="F68" s="2" t="s">
        <v>300</v>
      </c>
      <c r="G68" s="2"/>
      <c r="H68" s="2">
        <v>11</v>
      </c>
      <c r="I68" s="12">
        <v>3380000</v>
      </c>
      <c r="J68" s="17">
        <f t="shared" si="11"/>
        <v>3322479.7985413149</v>
      </c>
      <c r="K68" s="17">
        <f t="shared" si="11"/>
        <v>55986.98078804589</v>
      </c>
      <c r="L68" s="17">
        <f t="shared" si="11"/>
        <v>631.32615849862134</v>
      </c>
      <c r="M68" s="17">
        <f t="shared" si="11"/>
        <v>45.094725607044388</v>
      </c>
      <c r="N68" s="17">
        <f t="shared" si="11"/>
        <v>856.79978653384319</v>
      </c>
    </row>
    <row r="69" spans="1:14" x14ac:dyDescent="0.25">
      <c r="A69">
        <v>225</v>
      </c>
      <c r="B69" t="s">
        <v>305</v>
      </c>
      <c r="C69" t="s">
        <v>53</v>
      </c>
      <c r="D69" t="s">
        <v>306</v>
      </c>
      <c r="E69" s="2">
        <v>690000</v>
      </c>
      <c r="F69" s="2" t="s">
        <v>307</v>
      </c>
      <c r="G69" s="2"/>
      <c r="H69" s="2">
        <v>17</v>
      </c>
      <c r="I69" s="12">
        <v>689999.99999999988</v>
      </c>
      <c r="J69" s="17">
        <f t="shared" si="11"/>
        <v>501596.82873153308</v>
      </c>
      <c r="K69" s="17">
        <f t="shared" si="11"/>
        <v>157057.97050461013</v>
      </c>
      <c r="L69" s="17">
        <f t="shared" si="11"/>
        <v>17482.680355963781</v>
      </c>
      <c r="M69" s="17">
        <f t="shared" si="11"/>
        <v>3392.725732668122</v>
      </c>
      <c r="N69" s="17">
        <f t="shared" si="11"/>
        <v>10469.794675224792</v>
      </c>
    </row>
    <row r="70" spans="1:14" x14ac:dyDescent="0.25">
      <c r="A70">
        <v>226</v>
      </c>
      <c r="B70" t="s">
        <v>308</v>
      </c>
      <c r="C70" t="s">
        <v>48</v>
      </c>
      <c r="D70" t="s">
        <v>309</v>
      </c>
      <c r="E70" s="2">
        <v>83000</v>
      </c>
      <c r="F70" s="2" t="s">
        <v>300</v>
      </c>
      <c r="G70" s="2"/>
      <c r="H70" s="2">
        <v>11</v>
      </c>
      <c r="I70" s="12">
        <v>83000</v>
      </c>
      <c r="J70" s="17">
        <f t="shared" si="11"/>
        <v>81587.52168015654</v>
      </c>
      <c r="K70" s="17">
        <f t="shared" si="11"/>
        <v>1374.8282264520146</v>
      </c>
      <c r="L70" s="17">
        <f t="shared" si="11"/>
        <v>15.502979631770879</v>
      </c>
      <c r="M70" s="17">
        <f t="shared" si="11"/>
        <v>1.1073556879836344</v>
      </c>
      <c r="N70" s="17">
        <f t="shared" si="11"/>
        <v>21.03975807168905</v>
      </c>
    </row>
    <row r="71" spans="1:14" x14ac:dyDescent="0.25">
      <c r="A71">
        <v>227</v>
      </c>
      <c r="D71" t="s">
        <v>310</v>
      </c>
      <c r="E71" s="2">
        <f>SUM(E66:E70)</f>
        <v>5909000</v>
      </c>
      <c r="F71" s="2"/>
      <c r="G71" s="2"/>
      <c r="H71" s="2"/>
      <c r="I71" s="12">
        <f t="shared" ref="I71:N71" si="12">SUM(I66:I70)</f>
        <v>5909000</v>
      </c>
      <c r="J71" s="12">
        <f t="shared" si="12"/>
        <v>5631780.8726922208</v>
      </c>
      <c r="K71" s="12">
        <f t="shared" si="12"/>
        <v>243506.50681609285</v>
      </c>
      <c r="L71" s="12">
        <f t="shared" si="12"/>
        <v>18457.50024389405</v>
      </c>
      <c r="M71" s="12">
        <f t="shared" si="12"/>
        <v>3462.3557246631412</v>
      </c>
      <c r="N71" s="12">
        <f t="shared" si="12"/>
        <v>11792.764523130154</v>
      </c>
    </row>
    <row r="72" spans="1:14" x14ac:dyDescent="0.25">
      <c r="A72">
        <v>228</v>
      </c>
      <c r="E72" s="2"/>
      <c r="F72" s="2"/>
      <c r="G72" s="2"/>
      <c r="H72" s="2"/>
      <c r="I72" s="12"/>
      <c r="J72" s="12"/>
      <c r="K72" s="12"/>
      <c r="L72" s="12"/>
      <c r="M72" s="12"/>
      <c r="N72" s="12"/>
    </row>
    <row r="73" spans="1:14" x14ac:dyDescent="0.25">
      <c r="A73">
        <v>229</v>
      </c>
      <c r="D73" t="s">
        <v>311</v>
      </c>
      <c r="E73" s="2"/>
      <c r="F73" s="2"/>
      <c r="G73" s="2"/>
      <c r="H73" s="2"/>
      <c r="I73" s="12"/>
      <c r="J73" s="12"/>
      <c r="K73" s="12"/>
      <c r="L73" s="12"/>
      <c r="M73" s="12"/>
      <c r="N73" s="12"/>
    </row>
    <row r="74" spans="1:14" x14ac:dyDescent="0.25">
      <c r="A74">
        <v>230</v>
      </c>
      <c r="B74" t="s">
        <v>312</v>
      </c>
      <c r="C74" t="s">
        <v>48</v>
      </c>
      <c r="D74" t="s">
        <v>299</v>
      </c>
      <c r="E74" s="2">
        <v>0</v>
      </c>
      <c r="F74" s="2" t="s">
        <v>300</v>
      </c>
      <c r="G74" s="2"/>
      <c r="H74" s="2">
        <v>11</v>
      </c>
      <c r="I74" s="12">
        <v>0</v>
      </c>
      <c r="J74" s="17">
        <f t="shared" ref="J74:N78" si="13">+INDEX(Alloc,$H74,J$1)*$I74</f>
        <v>0</v>
      </c>
      <c r="K74" s="17">
        <f t="shared" si="13"/>
        <v>0</v>
      </c>
      <c r="L74" s="17">
        <f t="shared" si="13"/>
        <v>0</v>
      </c>
      <c r="M74" s="17">
        <f t="shared" si="13"/>
        <v>0</v>
      </c>
      <c r="N74" s="17">
        <f t="shared" si="13"/>
        <v>0</v>
      </c>
    </row>
    <row r="75" spans="1:14" x14ac:dyDescent="0.25">
      <c r="A75">
        <v>231</v>
      </c>
      <c r="B75" t="s">
        <v>313</v>
      </c>
      <c r="C75" t="s">
        <v>48</v>
      </c>
      <c r="D75" t="s">
        <v>314</v>
      </c>
      <c r="E75" s="2">
        <v>480000</v>
      </c>
      <c r="F75" s="2" t="s">
        <v>300</v>
      </c>
      <c r="G75" s="2"/>
      <c r="H75" s="2">
        <v>11</v>
      </c>
      <c r="I75" s="12">
        <v>480000.00000000006</v>
      </c>
      <c r="J75" s="17">
        <f t="shared" si="13"/>
        <v>471831.45068042347</v>
      </c>
      <c r="K75" s="17">
        <f t="shared" si="13"/>
        <v>7950.8138397224948</v>
      </c>
      <c r="L75" s="17">
        <f t="shared" si="13"/>
        <v>89.655785822289431</v>
      </c>
      <c r="M75" s="17">
        <f t="shared" si="13"/>
        <v>6.403984701592103</v>
      </c>
      <c r="N75" s="17">
        <f t="shared" si="13"/>
        <v>121.67570933024994</v>
      </c>
    </row>
    <row r="76" spans="1:14" x14ac:dyDescent="0.25">
      <c r="A76">
        <v>232</v>
      </c>
      <c r="C76" t="s">
        <v>50</v>
      </c>
      <c r="D76" t="s">
        <v>314</v>
      </c>
      <c r="E76" s="2">
        <v>0</v>
      </c>
      <c r="F76" s="2" t="s">
        <v>80</v>
      </c>
      <c r="G76" s="2"/>
      <c r="H76" s="2">
        <v>11</v>
      </c>
      <c r="I76" s="12">
        <v>0</v>
      </c>
      <c r="J76" s="17">
        <f t="shared" si="13"/>
        <v>0</v>
      </c>
      <c r="K76" s="17">
        <f t="shared" si="13"/>
        <v>0</v>
      </c>
      <c r="L76" s="17">
        <f t="shared" si="13"/>
        <v>0</v>
      </c>
      <c r="M76" s="17">
        <f t="shared" si="13"/>
        <v>0</v>
      </c>
      <c r="N76" s="17">
        <f t="shared" si="13"/>
        <v>0</v>
      </c>
    </row>
    <row r="77" spans="1:14" x14ac:dyDescent="0.25">
      <c r="A77">
        <v>233</v>
      </c>
      <c r="B77" t="s">
        <v>315</v>
      </c>
      <c r="C77" t="s">
        <v>48</v>
      </c>
      <c r="D77" t="s">
        <v>316</v>
      </c>
      <c r="E77" s="2">
        <v>474000</v>
      </c>
      <c r="F77" s="2" t="s">
        <v>300</v>
      </c>
      <c r="G77" s="2"/>
      <c r="H77" s="2">
        <v>11</v>
      </c>
      <c r="I77" s="12">
        <v>474000.00000000006</v>
      </c>
      <c r="J77" s="17">
        <f t="shared" si="13"/>
        <v>465933.55754691816</v>
      </c>
      <c r="K77" s="17">
        <f t="shared" si="13"/>
        <v>7851.428666725963</v>
      </c>
      <c r="L77" s="17">
        <f t="shared" si="13"/>
        <v>88.53508849951082</v>
      </c>
      <c r="M77" s="17">
        <f t="shared" si="13"/>
        <v>6.3239348928222014</v>
      </c>
      <c r="N77" s="17">
        <f t="shared" si="13"/>
        <v>120.15476296362182</v>
      </c>
    </row>
    <row r="78" spans="1:14" x14ac:dyDescent="0.25">
      <c r="A78">
        <v>234</v>
      </c>
      <c r="B78" t="s">
        <v>317</v>
      </c>
      <c r="C78" t="s">
        <v>48</v>
      </c>
      <c r="D78" t="s">
        <v>318</v>
      </c>
      <c r="E78" s="2">
        <v>73000</v>
      </c>
      <c r="F78" s="2" t="s">
        <v>300</v>
      </c>
      <c r="G78" s="2"/>
      <c r="H78" s="2">
        <v>11</v>
      </c>
      <c r="I78" s="12">
        <v>73000.000000000015</v>
      </c>
      <c r="J78" s="17">
        <f t="shared" si="13"/>
        <v>71757.699790981074</v>
      </c>
      <c r="K78" s="17">
        <f t="shared" si="13"/>
        <v>1209.1862714577962</v>
      </c>
      <c r="L78" s="17">
        <f t="shared" si="13"/>
        <v>13.635150760473186</v>
      </c>
      <c r="M78" s="17">
        <f t="shared" si="13"/>
        <v>0.97393934003379901</v>
      </c>
      <c r="N78" s="17">
        <f t="shared" si="13"/>
        <v>18.504847460642178</v>
      </c>
    </row>
    <row r="79" spans="1:14" x14ac:dyDescent="0.25">
      <c r="A79">
        <v>235</v>
      </c>
      <c r="D79" t="s">
        <v>319</v>
      </c>
      <c r="E79" s="2">
        <f>SUM(E74:E78)</f>
        <v>1027000</v>
      </c>
      <c r="F79" s="2"/>
      <c r="G79" s="2"/>
      <c r="H79" s="2"/>
      <c r="I79" s="12">
        <f t="shared" ref="I79:N79" si="14">SUM(I74:I78)</f>
        <v>1027000.0000000001</v>
      </c>
      <c r="J79" s="12">
        <f t="shared" si="14"/>
        <v>1009522.7080183227</v>
      </c>
      <c r="K79" s="12">
        <f t="shared" si="14"/>
        <v>17011.428777906254</v>
      </c>
      <c r="L79" s="12">
        <f t="shared" si="14"/>
        <v>191.82602508227345</v>
      </c>
      <c r="M79" s="12">
        <f t="shared" si="14"/>
        <v>13.701858934448104</v>
      </c>
      <c r="N79" s="12">
        <f t="shared" si="14"/>
        <v>260.33531975451393</v>
      </c>
    </row>
    <row r="80" spans="1:14" x14ac:dyDescent="0.25">
      <c r="A80">
        <v>236</v>
      </c>
      <c r="E80" s="2"/>
      <c r="F80" s="2"/>
      <c r="G80" s="2"/>
      <c r="H80" s="2"/>
      <c r="I80" s="12"/>
      <c r="J80" s="12"/>
      <c r="K80" s="12"/>
      <c r="L80" s="12"/>
      <c r="M80" s="12"/>
      <c r="N80" s="12"/>
    </row>
    <row r="81" spans="1:14" x14ac:dyDescent="0.25">
      <c r="A81">
        <v>237</v>
      </c>
      <c r="D81" t="s">
        <v>320</v>
      </c>
      <c r="E81" s="2"/>
      <c r="F81" s="2"/>
      <c r="G81" s="2"/>
      <c r="H81" s="2"/>
      <c r="I81" s="12"/>
      <c r="J81" s="12"/>
      <c r="K81" s="12"/>
      <c r="L81" s="12"/>
      <c r="M81" s="12"/>
      <c r="N81" s="12"/>
    </row>
    <row r="82" spans="1:14" x14ac:dyDescent="0.25">
      <c r="A82">
        <v>238</v>
      </c>
      <c r="B82" t="s">
        <v>321</v>
      </c>
      <c r="C82" t="s">
        <v>48</v>
      </c>
      <c r="D82" t="s">
        <v>299</v>
      </c>
      <c r="E82" s="2">
        <v>0</v>
      </c>
      <c r="F82" s="2" t="s">
        <v>300</v>
      </c>
      <c r="G82" s="2"/>
      <c r="H82" s="2">
        <v>11</v>
      </c>
      <c r="I82" s="12">
        <v>0</v>
      </c>
      <c r="J82" s="17">
        <f t="shared" ref="J82:N85" si="15">+INDEX(Alloc,$H82,J$1)*$I82</f>
        <v>0</v>
      </c>
      <c r="K82" s="17">
        <f t="shared" si="15"/>
        <v>0</v>
      </c>
      <c r="L82" s="17">
        <f t="shared" si="15"/>
        <v>0</v>
      </c>
      <c r="M82" s="17">
        <f t="shared" si="15"/>
        <v>0</v>
      </c>
      <c r="N82" s="17">
        <f t="shared" si="15"/>
        <v>0</v>
      </c>
    </row>
    <row r="83" spans="1:14" x14ac:dyDescent="0.25">
      <c r="A83">
        <v>239</v>
      </c>
      <c r="B83" t="s">
        <v>322</v>
      </c>
      <c r="C83" t="s">
        <v>48</v>
      </c>
      <c r="D83" t="s">
        <v>323</v>
      </c>
      <c r="E83" s="2">
        <v>5000</v>
      </c>
      <c r="F83" s="2" t="s">
        <v>300</v>
      </c>
      <c r="G83" s="2"/>
      <c r="H83" s="2">
        <v>11</v>
      </c>
      <c r="I83" s="12">
        <v>5000</v>
      </c>
      <c r="J83" s="17">
        <f t="shared" si="15"/>
        <v>4914.9109445877439</v>
      </c>
      <c r="K83" s="17">
        <f t="shared" si="15"/>
        <v>82.820977497109311</v>
      </c>
      <c r="L83" s="17">
        <f t="shared" si="15"/>
        <v>0.93391443564884813</v>
      </c>
      <c r="M83" s="17">
        <f t="shared" si="15"/>
        <v>6.6708173974917725E-2</v>
      </c>
      <c r="N83" s="17">
        <f t="shared" si="15"/>
        <v>1.2674553055234368</v>
      </c>
    </row>
    <row r="84" spans="1:14" x14ac:dyDescent="0.25">
      <c r="A84">
        <v>240</v>
      </c>
      <c r="B84" t="s">
        <v>324</v>
      </c>
      <c r="C84" t="s">
        <v>48</v>
      </c>
      <c r="D84" t="s">
        <v>325</v>
      </c>
      <c r="E84" s="2">
        <v>0</v>
      </c>
      <c r="F84" s="2" t="s">
        <v>300</v>
      </c>
      <c r="G84" s="2"/>
      <c r="H84" s="2">
        <v>11</v>
      </c>
      <c r="I84" s="12">
        <v>0</v>
      </c>
      <c r="J84" s="17">
        <f t="shared" si="15"/>
        <v>0</v>
      </c>
      <c r="K84" s="17">
        <f t="shared" si="15"/>
        <v>0</v>
      </c>
      <c r="L84" s="17">
        <f t="shared" si="15"/>
        <v>0</v>
      </c>
      <c r="M84" s="17">
        <f t="shared" si="15"/>
        <v>0</v>
      </c>
      <c r="N84" s="17">
        <f t="shared" si="15"/>
        <v>0</v>
      </c>
    </row>
    <row r="85" spans="1:14" x14ac:dyDescent="0.25">
      <c r="A85">
        <v>241</v>
      </c>
      <c r="B85" t="s">
        <v>326</v>
      </c>
      <c r="C85" t="s">
        <v>48</v>
      </c>
      <c r="D85" t="s">
        <v>327</v>
      </c>
      <c r="E85" s="2">
        <v>0</v>
      </c>
      <c r="F85" s="2" t="s">
        <v>300</v>
      </c>
      <c r="G85" s="2"/>
      <c r="H85" s="2">
        <v>11</v>
      </c>
      <c r="I85" s="12">
        <v>0</v>
      </c>
      <c r="J85" s="17">
        <f t="shared" si="15"/>
        <v>0</v>
      </c>
      <c r="K85" s="17">
        <f t="shared" si="15"/>
        <v>0</v>
      </c>
      <c r="L85" s="17">
        <f t="shared" si="15"/>
        <v>0</v>
      </c>
      <c r="M85" s="17">
        <f t="shared" si="15"/>
        <v>0</v>
      </c>
      <c r="N85" s="17">
        <f t="shared" si="15"/>
        <v>0</v>
      </c>
    </row>
    <row r="86" spans="1:14" x14ac:dyDescent="0.25">
      <c r="A86">
        <v>242</v>
      </c>
      <c r="D86" t="s">
        <v>328</v>
      </c>
      <c r="E86" s="2">
        <f>SUM(E82:E85)</f>
        <v>5000</v>
      </c>
      <c r="F86" s="2"/>
      <c r="G86" s="2"/>
      <c r="H86" s="2">
        <v>11</v>
      </c>
      <c r="I86" s="12">
        <f t="shared" ref="I86:N86" si="16">SUM(I82:I85)</f>
        <v>5000</v>
      </c>
      <c r="J86" s="12">
        <f t="shared" si="16"/>
        <v>4914.9109445877439</v>
      </c>
      <c r="K86" s="12">
        <f t="shared" si="16"/>
        <v>82.820977497109311</v>
      </c>
      <c r="L86" s="12">
        <f t="shared" si="16"/>
        <v>0.93391443564884813</v>
      </c>
      <c r="M86" s="12">
        <f t="shared" si="16"/>
        <v>6.6708173974917725E-2</v>
      </c>
      <c r="N86" s="12">
        <f t="shared" si="16"/>
        <v>1.2674553055234368</v>
      </c>
    </row>
    <row r="87" spans="1:14" x14ac:dyDescent="0.25">
      <c r="A87">
        <v>243</v>
      </c>
      <c r="E87" s="2"/>
      <c r="F87" s="2"/>
      <c r="G87" s="2"/>
      <c r="H87" s="2"/>
      <c r="I87" s="12"/>
      <c r="J87" s="12"/>
      <c r="K87" s="12"/>
      <c r="L87" s="12"/>
      <c r="M87" s="12"/>
      <c r="N87" s="12"/>
    </row>
    <row r="88" spans="1:14" x14ac:dyDescent="0.25">
      <c r="A88">
        <v>244</v>
      </c>
      <c r="D88" t="s">
        <v>329</v>
      </c>
      <c r="E88" s="2">
        <f>+E15+E39+E63+E71+E79+E86</f>
        <v>98087000</v>
      </c>
      <c r="F88" s="2" t="s">
        <v>330</v>
      </c>
      <c r="G88" s="2"/>
      <c r="H88" s="2"/>
      <c r="I88" s="12">
        <f t="shared" ref="I88:N88" si="17">+I15+I39+I63+I71+I79+I86</f>
        <v>98087000</v>
      </c>
      <c r="J88" s="12">
        <f t="shared" si="17"/>
        <v>70519495.975913078</v>
      </c>
      <c r="K88" s="12">
        <f t="shared" si="17"/>
        <v>23598313.980820883</v>
      </c>
      <c r="L88" s="12">
        <f t="shared" si="17"/>
        <v>2757023.3045383533</v>
      </c>
      <c r="M88" s="12">
        <f t="shared" si="17"/>
        <v>570476.45012838917</v>
      </c>
      <c r="N88" s="12">
        <f t="shared" si="17"/>
        <v>641690.2885992853</v>
      </c>
    </row>
    <row r="89" spans="1:14" x14ac:dyDescent="0.25">
      <c r="A89">
        <v>245</v>
      </c>
      <c r="D89" t="s">
        <v>331</v>
      </c>
      <c r="E89" s="2">
        <f>+E88-E15-E69+E14</f>
        <v>18165000</v>
      </c>
      <c r="F89" s="2" t="s">
        <v>332</v>
      </c>
      <c r="G89" s="2" t="s">
        <v>333</v>
      </c>
      <c r="H89" s="2"/>
      <c r="I89" s="12">
        <f t="shared" ref="I89:N89" si="18">+I88-I15-I69+I14</f>
        <v>18165000</v>
      </c>
      <c r="J89" s="12">
        <f t="shared" si="18"/>
        <v>15360599.813325392</v>
      </c>
      <c r="K89" s="12">
        <f t="shared" si="18"/>
        <v>1981707.4638869555</v>
      </c>
      <c r="L89" s="12">
        <f t="shared" si="18"/>
        <v>165677.84902643814</v>
      </c>
      <c r="M89" s="12">
        <f t="shared" si="18"/>
        <v>41321.379837138476</v>
      </c>
      <c r="N89" s="12">
        <f t="shared" si="18"/>
        <v>615693.49392406049</v>
      </c>
    </row>
    <row r="90" spans="1:14" x14ac:dyDescent="0.25">
      <c r="A90">
        <v>246</v>
      </c>
      <c r="E90" s="2"/>
      <c r="F90" s="2"/>
      <c r="G90" s="2"/>
      <c r="H90" s="2"/>
      <c r="I90" s="12"/>
      <c r="J90" s="12"/>
      <c r="K90" s="12"/>
      <c r="L90" s="12"/>
      <c r="M90" s="12"/>
      <c r="N90" s="12"/>
    </row>
    <row r="91" spans="1:14" x14ac:dyDescent="0.25">
      <c r="A91">
        <v>247</v>
      </c>
      <c r="D91" t="s">
        <v>334</v>
      </c>
      <c r="E91" s="2"/>
      <c r="F91" s="2"/>
      <c r="G91" s="2"/>
      <c r="H91" s="2"/>
      <c r="I91" s="12"/>
      <c r="J91" s="12"/>
      <c r="K91" s="12"/>
      <c r="L91" s="12"/>
      <c r="M91" s="12"/>
      <c r="N91" s="12"/>
    </row>
    <row r="92" spans="1:14" x14ac:dyDescent="0.25">
      <c r="A92">
        <v>248</v>
      </c>
      <c r="B92" t="s">
        <v>335</v>
      </c>
      <c r="D92" t="s">
        <v>336</v>
      </c>
      <c r="E92" s="2"/>
      <c r="F92" s="2"/>
      <c r="G92" s="2"/>
      <c r="H92" s="2"/>
      <c r="I92" s="12"/>
      <c r="J92" s="12"/>
      <c r="K92" s="12"/>
      <c r="L92" s="12"/>
      <c r="M92" s="12"/>
      <c r="N92" s="12"/>
    </row>
    <row r="93" spans="1:14" x14ac:dyDescent="0.25">
      <c r="A93">
        <v>249</v>
      </c>
      <c r="C93" t="s">
        <v>51</v>
      </c>
      <c r="D93" t="s">
        <v>337</v>
      </c>
      <c r="E93" s="2">
        <v>2455500</v>
      </c>
      <c r="F93" s="2" t="s">
        <v>338</v>
      </c>
      <c r="G93" s="2"/>
      <c r="H93" s="2">
        <v>31</v>
      </c>
      <c r="I93" s="12">
        <v>2455500</v>
      </c>
      <c r="J93" s="17">
        <f t="shared" ref="J93:N94" si="19">+INDEX(Alloc,$H93,J$1)*$I93</f>
        <v>2076408.0837666139</v>
      </c>
      <c r="K93" s="17">
        <f t="shared" si="19"/>
        <v>267882.33842964075</v>
      </c>
      <c r="L93" s="17">
        <f t="shared" si="19"/>
        <v>22395.923935283194</v>
      </c>
      <c r="M93" s="17">
        <f t="shared" si="19"/>
        <v>5585.7224437155865</v>
      </c>
      <c r="N93" s="17">
        <f t="shared" si="19"/>
        <v>83227.931424747148</v>
      </c>
    </row>
    <row r="94" spans="1:14" x14ac:dyDescent="0.25">
      <c r="A94">
        <v>250</v>
      </c>
      <c r="C94" t="s">
        <v>51</v>
      </c>
      <c r="D94" t="s">
        <v>15</v>
      </c>
      <c r="E94" s="2">
        <v>2455500</v>
      </c>
      <c r="F94" s="2" t="s">
        <v>259</v>
      </c>
      <c r="G94" s="2"/>
      <c r="H94" s="2">
        <v>1</v>
      </c>
      <c r="I94" s="12">
        <v>2455500</v>
      </c>
      <c r="J94" s="17">
        <f t="shared" si="19"/>
        <v>1439762.4745189406</v>
      </c>
      <c r="K94" s="17">
        <f t="shared" si="19"/>
        <v>568453.94931018096</v>
      </c>
      <c r="L94" s="17">
        <f t="shared" si="19"/>
        <v>71184.955341990542</v>
      </c>
      <c r="M94" s="17">
        <f t="shared" si="19"/>
        <v>15348.242580780014</v>
      </c>
      <c r="N94" s="17">
        <f t="shared" si="19"/>
        <v>360750.37824810803</v>
      </c>
    </row>
    <row r="95" spans="1:14" x14ac:dyDescent="0.25">
      <c r="A95">
        <v>251</v>
      </c>
      <c r="C95" t="s">
        <v>51</v>
      </c>
      <c r="D95" t="s">
        <v>339</v>
      </c>
      <c r="E95" s="2">
        <v>0</v>
      </c>
      <c r="F95" s="2" t="s">
        <v>194</v>
      </c>
      <c r="G95" s="2"/>
      <c r="H95" s="2"/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</row>
    <row r="96" spans="1:14" x14ac:dyDescent="0.25">
      <c r="A96">
        <v>252</v>
      </c>
      <c r="C96" t="s">
        <v>48</v>
      </c>
      <c r="D96" t="s">
        <v>23</v>
      </c>
      <c r="E96" s="2">
        <v>0</v>
      </c>
      <c r="F96" s="2" t="s">
        <v>300</v>
      </c>
      <c r="G96" s="2"/>
      <c r="H96" s="2"/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</row>
    <row r="97" spans="1:14" x14ac:dyDescent="0.25">
      <c r="A97">
        <v>253</v>
      </c>
      <c r="C97" t="s">
        <v>53</v>
      </c>
      <c r="D97" t="s">
        <v>29</v>
      </c>
      <c r="E97" s="2">
        <v>0</v>
      </c>
      <c r="F97" s="2" t="s">
        <v>307</v>
      </c>
      <c r="G97" s="2"/>
      <c r="H97" s="2"/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</row>
    <row r="98" spans="1:14" x14ac:dyDescent="0.25">
      <c r="A98">
        <v>254</v>
      </c>
      <c r="C98" t="s">
        <v>51</v>
      </c>
      <c r="D98" t="s">
        <v>340</v>
      </c>
      <c r="E98" s="2">
        <v>0</v>
      </c>
      <c r="F98" s="2" t="s">
        <v>341</v>
      </c>
      <c r="G98" s="2"/>
      <c r="H98" s="2"/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</row>
    <row r="99" spans="1:14" x14ac:dyDescent="0.25">
      <c r="A99">
        <v>255</v>
      </c>
      <c r="B99" t="s">
        <v>342</v>
      </c>
      <c r="D99" t="s">
        <v>343</v>
      </c>
      <c r="E99" s="2"/>
      <c r="F99" s="2"/>
      <c r="G99" s="2"/>
      <c r="H99" s="2"/>
      <c r="I99" s="12"/>
      <c r="J99" s="12"/>
      <c r="K99" s="12"/>
      <c r="L99" s="12"/>
      <c r="M99" s="12"/>
      <c r="N99" s="12"/>
    </row>
    <row r="100" spans="1:14" x14ac:dyDescent="0.25">
      <c r="A100">
        <v>256</v>
      </c>
      <c r="C100" t="s">
        <v>51</v>
      </c>
      <c r="D100" t="s">
        <v>337</v>
      </c>
      <c r="E100" s="2">
        <v>402500</v>
      </c>
      <c r="F100" s="2" t="s">
        <v>338</v>
      </c>
      <c r="G100" s="2"/>
      <c r="H100" s="2">
        <v>31</v>
      </c>
      <c r="I100" s="12">
        <v>402500</v>
      </c>
      <c r="J100" s="17">
        <f t="shared" ref="J100:N101" si="20">+INDEX(Alloc,$H100,J$1)*$I100</f>
        <v>340360.11147060152</v>
      </c>
      <c r="K100" s="17">
        <f t="shared" si="20"/>
        <v>43910.66634816958</v>
      </c>
      <c r="L100" s="17">
        <f t="shared" si="20"/>
        <v>3671.0891402775346</v>
      </c>
      <c r="M100" s="17">
        <f t="shared" si="20"/>
        <v>915.59897519671085</v>
      </c>
      <c r="N100" s="17">
        <f t="shared" si="20"/>
        <v>13642.534065754726</v>
      </c>
    </row>
    <row r="101" spans="1:14" x14ac:dyDescent="0.25">
      <c r="A101">
        <v>257</v>
      </c>
      <c r="C101" t="s">
        <v>51</v>
      </c>
      <c r="D101" t="s">
        <v>15</v>
      </c>
      <c r="E101" s="2">
        <v>402500</v>
      </c>
      <c r="F101" s="2" t="s">
        <v>259</v>
      </c>
      <c r="G101" s="2"/>
      <c r="H101" s="2">
        <v>1</v>
      </c>
      <c r="I101" s="12">
        <v>402500</v>
      </c>
      <c r="J101" s="17">
        <f t="shared" si="20"/>
        <v>236002.60476231872</v>
      </c>
      <c r="K101" s="17">
        <f t="shared" si="20"/>
        <v>93179.684218019887</v>
      </c>
      <c r="L101" s="17">
        <f t="shared" si="20"/>
        <v>11668.476695235671</v>
      </c>
      <c r="M101" s="17">
        <f t="shared" si="20"/>
        <v>2515.8491707448402</v>
      </c>
      <c r="N101" s="17">
        <f t="shared" si="20"/>
        <v>59133.385153680916</v>
      </c>
    </row>
    <row r="102" spans="1:14" x14ac:dyDescent="0.25">
      <c r="A102">
        <v>258</v>
      </c>
      <c r="C102" t="s">
        <v>51</v>
      </c>
      <c r="D102" t="s">
        <v>339</v>
      </c>
      <c r="E102" s="2">
        <v>0</v>
      </c>
      <c r="F102" s="2" t="s">
        <v>194</v>
      </c>
      <c r="G102" s="2"/>
      <c r="H102" s="2"/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</row>
    <row r="103" spans="1:14" x14ac:dyDescent="0.25">
      <c r="A103">
        <v>259</v>
      </c>
      <c r="C103" t="s">
        <v>48</v>
      </c>
      <c r="D103" t="s">
        <v>23</v>
      </c>
      <c r="E103" s="2">
        <v>0</v>
      </c>
      <c r="F103" s="2" t="s">
        <v>300</v>
      </c>
      <c r="G103" s="2"/>
      <c r="H103" s="2"/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</row>
    <row r="104" spans="1:14" x14ac:dyDescent="0.25">
      <c r="A104">
        <v>260</v>
      </c>
      <c r="C104" t="s">
        <v>53</v>
      </c>
      <c r="D104" t="s">
        <v>29</v>
      </c>
      <c r="E104" s="2">
        <v>0</v>
      </c>
      <c r="F104" s="2" t="s">
        <v>307</v>
      </c>
      <c r="G104" s="2"/>
      <c r="H104" s="2"/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</row>
    <row r="105" spans="1:14" x14ac:dyDescent="0.25">
      <c r="A105">
        <v>261</v>
      </c>
      <c r="C105" t="s">
        <v>51</v>
      </c>
      <c r="D105" t="s">
        <v>340</v>
      </c>
      <c r="E105" s="2">
        <v>0</v>
      </c>
      <c r="F105" s="2" t="s">
        <v>341</v>
      </c>
      <c r="G105" s="2"/>
      <c r="H105" s="2"/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</row>
    <row r="106" spans="1:14" x14ac:dyDescent="0.25">
      <c r="A106">
        <v>262</v>
      </c>
      <c r="B106" t="s">
        <v>344</v>
      </c>
      <c r="D106" t="s">
        <v>345</v>
      </c>
      <c r="I106" s="12"/>
      <c r="J106" s="12"/>
      <c r="K106" s="12"/>
      <c r="L106" s="12"/>
      <c r="M106" s="12"/>
      <c r="N106" s="12"/>
    </row>
    <row r="107" spans="1:14" x14ac:dyDescent="0.25">
      <c r="A107">
        <v>263</v>
      </c>
      <c r="C107" t="s">
        <v>51</v>
      </c>
      <c r="D107" t="s">
        <v>337</v>
      </c>
      <c r="E107" s="2">
        <v>-10500</v>
      </c>
      <c r="F107" s="2" t="s">
        <v>338</v>
      </c>
      <c r="G107" s="2"/>
      <c r="H107" s="2">
        <v>31</v>
      </c>
      <c r="I107" s="12">
        <v>-10500</v>
      </c>
      <c r="J107" s="17">
        <f t="shared" ref="J107:N108" si="21">+INDEX(Alloc,$H107,J$1)*$I107</f>
        <v>-8878.9594296678661</v>
      </c>
      <c r="K107" s="17">
        <f t="shared" si="21"/>
        <v>-1145.4956438652935</v>
      </c>
      <c r="L107" s="17">
        <f t="shared" si="21"/>
        <v>-95.767542789848719</v>
      </c>
      <c r="M107" s="17">
        <f t="shared" si="21"/>
        <v>-23.8851906573055</v>
      </c>
      <c r="N107" s="17">
        <f t="shared" si="21"/>
        <v>-355.89219301968848</v>
      </c>
    </row>
    <row r="108" spans="1:14" x14ac:dyDescent="0.25">
      <c r="A108">
        <v>264</v>
      </c>
      <c r="C108" t="s">
        <v>51</v>
      </c>
      <c r="D108" t="s">
        <v>15</v>
      </c>
      <c r="E108" s="2">
        <v>-10500</v>
      </c>
      <c r="F108" s="2" t="s">
        <v>259</v>
      </c>
      <c r="G108" s="2"/>
      <c r="H108" s="2">
        <v>1</v>
      </c>
      <c r="I108" s="12">
        <v>-10500.000000000004</v>
      </c>
      <c r="J108" s="17">
        <f t="shared" si="21"/>
        <v>-6156.5896894517946</v>
      </c>
      <c r="K108" s="17">
        <f t="shared" si="21"/>
        <v>-2430.7743709048673</v>
      </c>
      <c r="L108" s="17">
        <f t="shared" si="21"/>
        <v>-304.39504422353934</v>
      </c>
      <c r="M108" s="17">
        <f t="shared" si="21"/>
        <v>-65.630847932474111</v>
      </c>
      <c r="N108" s="17">
        <f t="shared" si="21"/>
        <v>-1542.6100474873288</v>
      </c>
    </row>
    <row r="109" spans="1:14" x14ac:dyDescent="0.25">
      <c r="A109">
        <v>265</v>
      </c>
      <c r="C109" t="s">
        <v>51</v>
      </c>
      <c r="D109" t="s">
        <v>339</v>
      </c>
      <c r="E109" s="2">
        <v>0</v>
      </c>
      <c r="F109" s="2" t="s">
        <v>194</v>
      </c>
      <c r="G109" s="2"/>
      <c r="H109" s="2"/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</row>
    <row r="110" spans="1:14" x14ac:dyDescent="0.25">
      <c r="A110">
        <v>266</v>
      </c>
      <c r="C110" t="s">
        <v>48</v>
      </c>
      <c r="D110" t="s">
        <v>23</v>
      </c>
      <c r="E110" s="2">
        <v>0</v>
      </c>
      <c r="F110" s="2" t="s">
        <v>300</v>
      </c>
      <c r="G110" s="2"/>
      <c r="H110" s="2"/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</row>
    <row r="111" spans="1:14" x14ac:dyDescent="0.25">
      <c r="A111">
        <v>267</v>
      </c>
      <c r="C111" t="s">
        <v>53</v>
      </c>
      <c r="D111" t="s">
        <v>29</v>
      </c>
      <c r="E111" s="2">
        <v>0</v>
      </c>
      <c r="F111" s="2" t="s">
        <v>307</v>
      </c>
      <c r="G111" s="2"/>
      <c r="H111" s="2"/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</row>
    <row r="112" spans="1:14" x14ac:dyDescent="0.25">
      <c r="A112">
        <v>268</v>
      </c>
      <c r="C112" t="s">
        <v>51</v>
      </c>
      <c r="D112" t="s">
        <v>340</v>
      </c>
      <c r="E112" s="2">
        <v>0</v>
      </c>
      <c r="F112" s="2" t="s">
        <v>341</v>
      </c>
      <c r="G112" s="2"/>
      <c r="H112" s="2"/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</row>
    <row r="113" spans="1:14" x14ac:dyDescent="0.25">
      <c r="A113">
        <v>269</v>
      </c>
      <c r="B113" t="s">
        <v>346</v>
      </c>
      <c r="D113" t="s">
        <v>347</v>
      </c>
      <c r="E113" s="2"/>
      <c r="F113" s="2"/>
      <c r="G113" s="2"/>
      <c r="H113" s="2"/>
      <c r="I113" s="12"/>
      <c r="J113" s="12"/>
      <c r="K113" s="12"/>
      <c r="L113" s="12"/>
      <c r="M113" s="12"/>
      <c r="N113" s="12"/>
    </row>
    <row r="114" spans="1:14" x14ac:dyDescent="0.25">
      <c r="A114">
        <v>270</v>
      </c>
      <c r="C114" t="s">
        <v>51</v>
      </c>
      <c r="D114" t="s">
        <v>337</v>
      </c>
      <c r="E114" s="2">
        <v>937500</v>
      </c>
      <c r="F114" s="2" t="s">
        <v>338</v>
      </c>
      <c r="G114" s="2"/>
      <c r="H114" s="2">
        <v>31</v>
      </c>
      <c r="I114" s="12">
        <v>937500</v>
      </c>
      <c r="J114" s="17">
        <f t="shared" ref="J114:N115" si="22">+INDEX(Alloc,$H114,J$1)*$I114</f>
        <v>792764.23479177372</v>
      </c>
      <c r="K114" s="17">
        <f t="shared" si="22"/>
        <v>102276.39677368691</v>
      </c>
      <c r="L114" s="17">
        <f t="shared" si="22"/>
        <v>8550.6734633793512</v>
      </c>
      <c r="M114" s="17">
        <f t="shared" si="22"/>
        <v>2132.6063086879913</v>
      </c>
      <c r="N114" s="17">
        <f t="shared" si="22"/>
        <v>31776.088662472186</v>
      </c>
    </row>
    <row r="115" spans="1:14" x14ac:dyDescent="0.25">
      <c r="A115">
        <v>271</v>
      </c>
      <c r="C115" t="s">
        <v>51</v>
      </c>
      <c r="D115" t="s">
        <v>15</v>
      </c>
      <c r="E115" s="2">
        <v>937500</v>
      </c>
      <c r="F115" s="2" t="s">
        <v>259</v>
      </c>
      <c r="G115" s="2"/>
      <c r="H115" s="2">
        <v>1</v>
      </c>
      <c r="I115" s="12">
        <v>937500.00000000012</v>
      </c>
      <c r="J115" s="17">
        <f t="shared" si="22"/>
        <v>549695.50798676722</v>
      </c>
      <c r="K115" s="17">
        <f t="shared" si="22"/>
        <v>217033.42597364882</v>
      </c>
      <c r="L115" s="17">
        <f t="shared" si="22"/>
        <v>27178.128948530295</v>
      </c>
      <c r="M115" s="17">
        <f t="shared" si="22"/>
        <v>5859.8971368280454</v>
      </c>
      <c r="N115" s="17">
        <f t="shared" si="22"/>
        <v>137733.03995422574</v>
      </c>
    </row>
    <row r="116" spans="1:14" x14ac:dyDescent="0.25">
      <c r="A116">
        <v>272</v>
      </c>
      <c r="C116" t="s">
        <v>51</v>
      </c>
      <c r="D116" t="s">
        <v>339</v>
      </c>
      <c r="E116" s="2">
        <v>0</v>
      </c>
      <c r="F116" s="2" t="s">
        <v>194</v>
      </c>
      <c r="G116" s="2"/>
      <c r="H116" s="2"/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</row>
    <row r="117" spans="1:14" x14ac:dyDescent="0.25">
      <c r="A117">
        <v>273</v>
      </c>
      <c r="C117" t="s">
        <v>48</v>
      </c>
      <c r="D117" t="s">
        <v>23</v>
      </c>
      <c r="E117" s="2">
        <v>0</v>
      </c>
      <c r="F117" s="2" t="s">
        <v>300</v>
      </c>
      <c r="G117" s="2"/>
      <c r="H117" s="2"/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</row>
    <row r="118" spans="1:14" x14ac:dyDescent="0.25">
      <c r="A118">
        <v>274</v>
      </c>
      <c r="C118" t="s">
        <v>53</v>
      </c>
      <c r="D118" t="s">
        <v>29</v>
      </c>
      <c r="E118" s="2">
        <v>0</v>
      </c>
      <c r="F118" s="2" t="s">
        <v>307</v>
      </c>
      <c r="G118" s="2"/>
      <c r="H118" s="2"/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</row>
    <row r="119" spans="1:14" x14ac:dyDescent="0.25">
      <c r="A119">
        <v>275</v>
      </c>
      <c r="C119" t="s">
        <v>51</v>
      </c>
      <c r="D119" t="s">
        <v>340</v>
      </c>
      <c r="E119" s="2">
        <v>0</v>
      </c>
      <c r="F119" s="2" t="s">
        <v>341</v>
      </c>
      <c r="G119" s="2"/>
      <c r="H119" s="2"/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</row>
    <row r="120" spans="1:14" x14ac:dyDescent="0.25">
      <c r="A120">
        <v>276</v>
      </c>
      <c r="B120" t="s">
        <v>348</v>
      </c>
      <c r="D120" t="s">
        <v>349</v>
      </c>
      <c r="E120" s="2"/>
      <c r="F120" s="2"/>
      <c r="G120" s="2"/>
      <c r="H120" s="2"/>
      <c r="I120" s="12"/>
      <c r="J120" s="12"/>
      <c r="K120" s="12"/>
      <c r="L120" s="12"/>
      <c r="M120" s="12"/>
      <c r="N120" s="12"/>
    </row>
    <row r="121" spans="1:14" x14ac:dyDescent="0.25">
      <c r="A121">
        <v>277</v>
      </c>
      <c r="C121" t="s">
        <v>51</v>
      </c>
      <c r="D121" t="s">
        <v>337</v>
      </c>
      <c r="E121" s="2">
        <v>0</v>
      </c>
      <c r="F121" s="2" t="s">
        <v>338</v>
      </c>
      <c r="G121" s="2"/>
      <c r="H121" s="2"/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</row>
    <row r="122" spans="1:14" x14ac:dyDescent="0.25">
      <c r="A122">
        <v>278</v>
      </c>
      <c r="C122" t="s">
        <v>51</v>
      </c>
      <c r="D122" t="s">
        <v>15</v>
      </c>
      <c r="E122" s="2">
        <v>0</v>
      </c>
      <c r="F122" s="2" t="s">
        <v>259</v>
      </c>
      <c r="G122" s="2"/>
      <c r="H122" s="2"/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</row>
    <row r="123" spans="1:14" x14ac:dyDescent="0.25">
      <c r="A123">
        <v>279</v>
      </c>
      <c r="C123" t="s">
        <v>51</v>
      </c>
      <c r="D123" t="s">
        <v>339</v>
      </c>
      <c r="E123" s="2">
        <v>278000</v>
      </c>
      <c r="F123" s="2" t="s">
        <v>194</v>
      </c>
      <c r="G123" s="2"/>
      <c r="H123" s="2">
        <v>25</v>
      </c>
      <c r="I123" s="12">
        <v>278000.00000000006</v>
      </c>
      <c r="J123" s="17">
        <f>+INDEX(Alloc,$H123,J$1)*$I123</f>
        <v>207777.43262508247</v>
      </c>
      <c r="K123" s="17">
        <f>+INDEX(Alloc,$H123,K$1)*$I123</f>
        <v>46426.617009216803</v>
      </c>
      <c r="L123" s="17">
        <f>+INDEX(Alloc,$H123,L$1)*$I123</f>
        <v>4116.5016565024025</v>
      </c>
      <c r="M123" s="17">
        <f>+INDEX(Alloc,$H123,M$1)*$I123</f>
        <v>1009.4228506030006</v>
      </c>
      <c r="N123" s="17">
        <f>+INDEX(Alloc,$H123,N$1)*$I123</f>
        <v>18670.025858595356</v>
      </c>
    </row>
    <row r="124" spans="1:14" x14ac:dyDescent="0.25">
      <c r="A124">
        <v>280</v>
      </c>
      <c r="C124" t="s">
        <v>48</v>
      </c>
      <c r="D124" t="s">
        <v>23</v>
      </c>
      <c r="E124" s="2">
        <v>0</v>
      </c>
      <c r="F124" s="2" t="s">
        <v>300</v>
      </c>
      <c r="G124" s="2"/>
      <c r="H124" s="2"/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</row>
    <row r="125" spans="1:14" x14ac:dyDescent="0.25">
      <c r="A125">
        <v>281</v>
      </c>
      <c r="C125" t="s">
        <v>53</v>
      </c>
      <c r="D125" t="s">
        <v>29</v>
      </c>
      <c r="E125" s="2">
        <v>0</v>
      </c>
      <c r="F125" s="2" t="s">
        <v>307</v>
      </c>
      <c r="G125" s="2"/>
      <c r="H125" s="2"/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</row>
    <row r="126" spans="1:14" x14ac:dyDescent="0.25">
      <c r="A126">
        <v>282</v>
      </c>
      <c r="C126" t="s">
        <v>51</v>
      </c>
      <c r="D126" t="s">
        <v>340</v>
      </c>
      <c r="E126" s="2">
        <v>0</v>
      </c>
      <c r="F126" s="2" t="s">
        <v>341</v>
      </c>
      <c r="G126" s="2"/>
      <c r="H126" s="2"/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</row>
    <row r="127" spans="1:14" x14ac:dyDescent="0.25">
      <c r="A127">
        <v>283</v>
      </c>
      <c r="B127" t="s">
        <v>350</v>
      </c>
      <c r="D127" t="s">
        <v>351</v>
      </c>
      <c r="E127" s="2"/>
      <c r="F127" s="2"/>
      <c r="G127" s="2"/>
      <c r="H127" s="2"/>
      <c r="I127" s="12"/>
      <c r="J127" s="12"/>
      <c r="K127" s="12"/>
      <c r="L127" s="12"/>
      <c r="M127" s="12"/>
      <c r="N127" s="12"/>
    </row>
    <row r="128" spans="1:14" x14ac:dyDescent="0.25">
      <c r="A128">
        <v>284</v>
      </c>
      <c r="C128" t="s">
        <v>51</v>
      </c>
      <c r="D128" t="s">
        <v>337</v>
      </c>
      <c r="E128" s="2">
        <v>418000</v>
      </c>
      <c r="F128" s="2" t="s">
        <v>338</v>
      </c>
      <c r="G128" s="2"/>
      <c r="H128" s="2">
        <v>31</v>
      </c>
      <c r="I128" s="12">
        <v>418000.00000000006</v>
      </c>
      <c r="J128" s="17">
        <f t="shared" ref="J128:N129" si="23">+INDEX(Alloc,$H128,J$1)*$I128</f>
        <v>353467.14681915892</v>
      </c>
      <c r="K128" s="17">
        <f t="shared" si="23"/>
        <v>45601.636108161212</v>
      </c>
      <c r="L128" s="17">
        <f t="shared" si="23"/>
        <v>3812.4602748720736</v>
      </c>
      <c r="M128" s="17">
        <f t="shared" si="23"/>
        <v>950.85806616701905</v>
      </c>
      <c r="N128" s="17">
        <f t="shared" si="23"/>
        <v>14167.898731640935</v>
      </c>
    </row>
    <row r="129" spans="1:14" x14ac:dyDescent="0.25">
      <c r="A129">
        <v>285</v>
      </c>
      <c r="C129" t="s">
        <v>51</v>
      </c>
      <c r="D129" t="s">
        <v>15</v>
      </c>
      <c r="E129" s="2">
        <v>418000</v>
      </c>
      <c r="F129" s="2" t="s">
        <v>259</v>
      </c>
      <c r="G129" s="2"/>
      <c r="H129" s="2">
        <v>1</v>
      </c>
      <c r="I129" s="12">
        <v>418000</v>
      </c>
      <c r="J129" s="17">
        <f t="shared" si="23"/>
        <v>245090.90382769992</v>
      </c>
      <c r="K129" s="17">
        <f t="shared" si="23"/>
        <v>96767.970194117544</v>
      </c>
      <c r="L129" s="17">
        <f t="shared" si="23"/>
        <v>12117.821760518038</v>
      </c>
      <c r="M129" s="17">
        <f t="shared" si="23"/>
        <v>2612.7328034070638</v>
      </c>
      <c r="N129" s="17">
        <f t="shared" si="23"/>
        <v>61410.571414257443</v>
      </c>
    </row>
    <row r="130" spans="1:14" x14ac:dyDescent="0.25">
      <c r="A130">
        <v>286</v>
      </c>
      <c r="C130" t="s">
        <v>51</v>
      </c>
      <c r="D130" t="s">
        <v>339</v>
      </c>
      <c r="E130" s="2">
        <v>0</v>
      </c>
      <c r="F130" s="2" t="s">
        <v>194</v>
      </c>
      <c r="G130" s="2"/>
      <c r="H130" s="2"/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</row>
    <row r="131" spans="1:14" x14ac:dyDescent="0.25">
      <c r="A131">
        <v>287</v>
      </c>
      <c r="C131" t="s">
        <v>48</v>
      </c>
      <c r="D131" t="s">
        <v>23</v>
      </c>
      <c r="E131" s="2">
        <v>0</v>
      </c>
      <c r="F131" s="2" t="s">
        <v>300</v>
      </c>
      <c r="G131" s="2"/>
      <c r="H131" s="2"/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</row>
    <row r="132" spans="1:14" x14ac:dyDescent="0.25">
      <c r="A132">
        <v>288</v>
      </c>
      <c r="C132" t="s">
        <v>53</v>
      </c>
      <c r="D132" t="s">
        <v>29</v>
      </c>
      <c r="E132" s="2">
        <v>0</v>
      </c>
      <c r="F132" s="2" t="s">
        <v>307</v>
      </c>
      <c r="G132" s="2"/>
      <c r="H132" s="2"/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</row>
    <row r="133" spans="1:14" x14ac:dyDescent="0.25">
      <c r="A133">
        <v>289</v>
      </c>
      <c r="C133" t="s">
        <v>51</v>
      </c>
      <c r="D133" t="s">
        <v>340</v>
      </c>
      <c r="E133" s="2">
        <v>0</v>
      </c>
      <c r="F133" s="2" t="s">
        <v>341</v>
      </c>
      <c r="G133" s="2"/>
      <c r="H133" s="2"/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</row>
    <row r="134" spans="1:14" x14ac:dyDescent="0.25">
      <c r="A134">
        <v>290</v>
      </c>
      <c r="B134" t="s">
        <v>352</v>
      </c>
      <c r="D134" t="s">
        <v>353</v>
      </c>
      <c r="E134" s="2"/>
      <c r="F134" s="2"/>
      <c r="G134" s="2"/>
      <c r="H134" s="2"/>
      <c r="I134" s="12"/>
      <c r="J134" s="12"/>
      <c r="K134" s="12"/>
      <c r="L134" s="12"/>
      <c r="M134" s="12"/>
      <c r="N134" s="12"/>
    </row>
    <row r="135" spans="1:14" x14ac:dyDescent="0.25">
      <c r="A135">
        <v>291</v>
      </c>
      <c r="C135" t="s">
        <v>51</v>
      </c>
      <c r="D135" t="s">
        <v>337</v>
      </c>
      <c r="E135" s="2">
        <v>0</v>
      </c>
      <c r="F135" s="2" t="s">
        <v>338</v>
      </c>
      <c r="G135" s="2"/>
      <c r="H135" s="2"/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</row>
    <row r="136" spans="1:14" x14ac:dyDescent="0.25">
      <c r="A136">
        <v>292</v>
      </c>
      <c r="C136" t="s">
        <v>51</v>
      </c>
      <c r="D136" t="s">
        <v>15</v>
      </c>
      <c r="E136" s="2">
        <v>0</v>
      </c>
      <c r="F136" s="2" t="s">
        <v>259</v>
      </c>
      <c r="G136" s="2"/>
      <c r="H136" s="2"/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</row>
    <row r="137" spans="1:14" x14ac:dyDescent="0.25">
      <c r="A137">
        <v>293</v>
      </c>
      <c r="C137" t="s">
        <v>51</v>
      </c>
      <c r="D137" t="s">
        <v>339</v>
      </c>
      <c r="E137" s="2">
        <v>0</v>
      </c>
      <c r="F137" s="2" t="s">
        <v>194</v>
      </c>
      <c r="G137" s="2"/>
      <c r="H137" s="2"/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</row>
    <row r="138" spans="1:14" x14ac:dyDescent="0.25">
      <c r="A138">
        <v>294</v>
      </c>
      <c r="C138" t="s">
        <v>48</v>
      </c>
      <c r="D138" t="s">
        <v>23</v>
      </c>
      <c r="E138" s="2">
        <v>0</v>
      </c>
      <c r="F138" s="2" t="s">
        <v>300</v>
      </c>
      <c r="G138" s="2"/>
      <c r="H138" s="2"/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</row>
    <row r="139" spans="1:14" x14ac:dyDescent="0.25">
      <c r="A139">
        <v>295</v>
      </c>
      <c r="C139" t="s">
        <v>53</v>
      </c>
      <c r="D139" t="s">
        <v>29</v>
      </c>
      <c r="E139" s="2">
        <v>0</v>
      </c>
      <c r="F139" s="2" t="s">
        <v>307</v>
      </c>
      <c r="G139" s="2"/>
      <c r="H139" s="2"/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</row>
    <row r="140" spans="1:14" x14ac:dyDescent="0.25">
      <c r="A140">
        <v>296</v>
      </c>
      <c r="C140" t="s">
        <v>51</v>
      </c>
      <c r="D140" t="s">
        <v>340</v>
      </c>
      <c r="E140" s="2">
        <v>183000</v>
      </c>
      <c r="F140" s="2" t="s">
        <v>341</v>
      </c>
      <c r="G140" s="2"/>
      <c r="H140" s="2">
        <v>33</v>
      </c>
      <c r="I140" s="12">
        <v>183000.0139164945</v>
      </c>
      <c r="J140" s="17">
        <f>+INDEX(Alloc,$H140,J$1)*$I140</f>
        <v>150562.97309442968</v>
      </c>
      <c r="K140" s="17">
        <f>+INDEX(Alloc,$H140,K$1)*$I140</f>
        <v>21301.502402500952</v>
      </c>
      <c r="L140" s="17">
        <f>+INDEX(Alloc,$H140,L$1)*$I140</f>
        <v>1935.4848470058937</v>
      </c>
      <c r="M140" s="17">
        <f>+INDEX(Alloc,$H140,M$1)*$I140</f>
        <v>464.19277895636856</v>
      </c>
      <c r="N140" s="17">
        <f>+INDEX(Alloc,$H140,N$1)*$I140</f>
        <v>8735.8607936016488</v>
      </c>
    </row>
    <row r="141" spans="1:14" x14ac:dyDescent="0.25">
      <c r="A141">
        <v>297</v>
      </c>
      <c r="B141" t="s">
        <v>354</v>
      </c>
      <c r="D141" t="s">
        <v>355</v>
      </c>
      <c r="E141" s="2"/>
      <c r="F141" s="2"/>
      <c r="G141" s="2"/>
      <c r="H141" s="2"/>
      <c r="I141" s="12"/>
      <c r="J141" s="12"/>
      <c r="K141" s="12"/>
      <c r="L141" s="12"/>
      <c r="M141" s="12"/>
      <c r="N141" s="12"/>
    </row>
    <row r="142" spans="1:14" x14ac:dyDescent="0.25">
      <c r="A142">
        <v>298</v>
      </c>
      <c r="C142" t="s">
        <v>51</v>
      </c>
      <c r="D142" t="s">
        <v>337</v>
      </c>
      <c r="E142" s="2">
        <v>0</v>
      </c>
      <c r="F142" s="2" t="s">
        <v>338</v>
      </c>
      <c r="G142" s="2"/>
      <c r="H142" s="2"/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</row>
    <row r="143" spans="1:14" x14ac:dyDescent="0.25">
      <c r="A143">
        <v>299</v>
      </c>
      <c r="C143" t="s">
        <v>51</v>
      </c>
      <c r="D143" t="s">
        <v>15</v>
      </c>
      <c r="E143" s="2">
        <v>0</v>
      </c>
      <c r="F143" s="2" t="s">
        <v>259</v>
      </c>
      <c r="G143" s="2"/>
      <c r="H143" s="2"/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</row>
    <row r="144" spans="1:14" x14ac:dyDescent="0.25">
      <c r="A144">
        <v>300</v>
      </c>
      <c r="C144" t="s">
        <v>51</v>
      </c>
      <c r="D144" t="s">
        <v>339</v>
      </c>
      <c r="E144" s="2">
        <v>0</v>
      </c>
      <c r="F144" s="2" t="s">
        <v>194</v>
      </c>
      <c r="G144" s="2"/>
      <c r="H144" s="2"/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</row>
    <row r="145" spans="1:14" x14ac:dyDescent="0.25">
      <c r="A145">
        <v>301</v>
      </c>
      <c r="C145" t="s">
        <v>48</v>
      </c>
      <c r="D145" t="s">
        <v>23</v>
      </c>
      <c r="E145" s="2">
        <v>0</v>
      </c>
      <c r="F145" s="2" t="s">
        <v>300</v>
      </c>
      <c r="G145" s="2"/>
      <c r="H145" s="2"/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</row>
    <row r="146" spans="1:14" x14ac:dyDescent="0.25">
      <c r="A146">
        <v>302</v>
      </c>
      <c r="C146" t="s">
        <v>53</v>
      </c>
      <c r="D146" t="s">
        <v>29</v>
      </c>
      <c r="E146" s="2">
        <v>0</v>
      </c>
      <c r="F146" s="2" t="s">
        <v>307</v>
      </c>
      <c r="G146" s="2"/>
      <c r="H146" s="2"/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</row>
    <row r="147" spans="1:14" x14ac:dyDescent="0.25">
      <c r="A147">
        <v>303</v>
      </c>
      <c r="C147" t="s">
        <v>51</v>
      </c>
      <c r="D147" t="s">
        <v>340</v>
      </c>
      <c r="E147" s="2">
        <v>0</v>
      </c>
      <c r="F147" s="2" t="s">
        <v>341</v>
      </c>
      <c r="G147" s="2"/>
      <c r="H147" s="2"/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</row>
    <row r="148" spans="1:14" x14ac:dyDescent="0.25">
      <c r="A148">
        <v>304</v>
      </c>
      <c r="B148" t="s">
        <v>356</v>
      </c>
      <c r="D148" t="s">
        <v>357</v>
      </c>
      <c r="E148" s="2"/>
      <c r="F148" s="2"/>
      <c r="G148" s="2"/>
      <c r="H148" s="2"/>
      <c r="I148" s="12"/>
      <c r="J148" s="12"/>
      <c r="K148" s="12"/>
      <c r="L148" s="12"/>
      <c r="M148" s="12"/>
      <c r="N148" s="12"/>
    </row>
    <row r="149" spans="1:14" x14ac:dyDescent="0.25">
      <c r="A149">
        <v>305</v>
      </c>
      <c r="C149" t="s">
        <v>51</v>
      </c>
      <c r="D149" t="s">
        <v>337</v>
      </c>
      <c r="E149" s="2">
        <v>230500</v>
      </c>
      <c r="F149" s="2" t="s">
        <v>338</v>
      </c>
      <c r="G149" s="2"/>
      <c r="H149" s="2">
        <v>31</v>
      </c>
      <c r="I149" s="12">
        <v>230500</v>
      </c>
      <c r="J149" s="17">
        <f t="shared" ref="J149:N150" si="24">+INDEX(Alloc,$H149,J$1)*$I149</f>
        <v>194914.29986080411</v>
      </c>
      <c r="K149" s="17">
        <f t="shared" si="24"/>
        <v>25146.356753423821</v>
      </c>
      <c r="L149" s="17">
        <f t="shared" si="24"/>
        <v>2102.325582196203</v>
      </c>
      <c r="M149" s="17">
        <f t="shared" si="24"/>
        <v>524.33680442942079</v>
      </c>
      <c r="N149" s="17">
        <f t="shared" si="24"/>
        <v>7812.6809991464952</v>
      </c>
    </row>
    <row r="150" spans="1:14" x14ac:dyDescent="0.25">
      <c r="A150">
        <v>306</v>
      </c>
      <c r="C150" t="s">
        <v>51</v>
      </c>
      <c r="D150" t="s">
        <v>15</v>
      </c>
      <c r="E150" s="2">
        <v>230500</v>
      </c>
      <c r="F150" s="2" t="s">
        <v>259</v>
      </c>
      <c r="G150" s="2"/>
      <c r="H150" s="2">
        <v>1</v>
      </c>
      <c r="I150" s="12">
        <v>230499.99999999997</v>
      </c>
      <c r="J150" s="17">
        <f t="shared" si="24"/>
        <v>135151.80223034648</v>
      </c>
      <c r="K150" s="17">
        <f t="shared" si="24"/>
        <v>53361.284999387775</v>
      </c>
      <c r="L150" s="17">
        <f t="shared" si="24"/>
        <v>6682.1959708119803</v>
      </c>
      <c r="M150" s="17">
        <f t="shared" si="24"/>
        <v>1440.7533760414549</v>
      </c>
      <c r="N150" s="17">
        <f t="shared" si="24"/>
        <v>33863.963423412293</v>
      </c>
    </row>
    <row r="151" spans="1:14" x14ac:dyDescent="0.25">
      <c r="A151">
        <v>307</v>
      </c>
      <c r="C151" t="s">
        <v>51</v>
      </c>
      <c r="D151" t="s">
        <v>339</v>
      </c>
      <c r="E151" s="2">
        <v>0</v>
      </c>
      <c r="F151" s="2" t="s">
        <v>194</v>
      </c>
      <c r="G151" s="2"/>
      <c r="H151" s="2"/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</row>
    <row r="152" spans="1:14" x14ac:dyDescent="0.25">
      <c r="A152">
        <v>308</v>
      </c>
      <c r="C152" t="s">
        <v>48</v>
      </c>
      <c r="D152" t="s">
        <v>23</v>
      </c>
      <c r="E152" s="2">
        <v>0</v>
      </c>
      <c r="F152" s="2" t="s">
        <v>300</v>
      </c>
      <c r="G152" s="2"/>
      <c r="H152" s="2"/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</row>
    <row r="153" spans="1:14" x14ac:dyDescent="0.25">
      <c r="A153">
        <v>309</v>
      </c>
      <c r="C153" t="s">
        <v>53</v>
      </c>
      <c r="D153" t="s">
        <v>29</v>
      </c>
      <c r="E153" s="2">
        <v>308000</v>
      </c>
      <c r="F153" s="2" t="s">
        <v>307</v>
      </c>
      <c r="G153" s="2"/>
      <c r="H153" s="2">
        <v>17</v>
      </c>
      <c r="I153" s="12">
        <v>308000.00000000006</v>
      </c>
      <c r="J153" s="17">
        <f>+INDEX(Alloc,$H153,J$1)*$I153</f>
        <v>223901.19311494529</v>
      </c>
      <c r="K153" s="17">
        <f>+INDEX(Alloc,$H153,K$1)*$I153</f>
        <v>70107.036109304245</v>
      </c>
      <c r="L153" s="17">
        <f>+INDEX(Alloc,$H153,L$1)*$I153</f>
        <v>7803.8631154157201</v>
      </c>
      <c r="M153" s="17">
        <f>+INDEX(Alloc,$H153,M$1)*$I153</f>
        <v>1514.4340951620029</v>
      </c>
      <c r="N153" s="17">
        <f>+INDEX(Alloc,$H153,N$1)*$I153</f>
        <v>4673.473565172807</v>
      </c>
    </row>
    <row r="154" spans="1:14" x14ac:dyDescent="0.25">
      <c r="A154">
        <v>310</v>
      </c>
      <c r="C154" t="s">
        <v>51</v>
      </c>
      <c r="D154" t="s">
        <v>340</v>
      </c>
      <c r="E154" s="2">
        <v>0</v>
      </c>
      <c r="F154" s="2" t="s">
        <v>341</v>
      </c>
      <c r="G154" s="2"/>
      <c r="H154" s="2"/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</row>
    <row r="155" spans="1:14" x14ac:dyDescent="0.25">
      <c r="A155">
        <v>311</v>
      </c>
      <c r="B155" t="s">
        <v>358</v>
      </c>
      <c r="D155" t="s">
        <v>359</v>
      </c>
      <c r="E155" s="2"/>
      <c r="F155" s="2"/>
      <c r="G155" s="2"/>
      <c r="H155" s="2"/>
      <c r="I155" s="12"/>
      <c r="J155" s="12"/>
      <c r="K155" s="12"/>
      <c r="L155" s="12"/>
      <c r="M155" s="12"/>
      <c r="N155" s="12"/>
    </row>
    <row r="156" spans="1:14" x14ac:dyDescent="0.25">
      <c r="A156">
        <v>312</v>
      </c>
      <c r="C156" t="s">
        <v>51</v>
      </c>
      <c r="D156" t="s">
        <v>337</v>
      </c>
      <c r="E156" s="2">
        <v>641000</v>
      </c>
      <c r="F156" s="2" t="s">
        <v>338</v>
      </c>
      <c r="G156" s="2"/>
      <c r="H156" s="2">
        <v>31</v>
      </c>
      <c r="I156" s="12">
        <v>641000.00000000012</v>
      </c>
      <c r="J156" s="17">
        <f t="shared" ref="J156:N157" si="25">+INDEX(Alloc,$H156,J$1)*$I156</f>
        <v>542039.33280162886</v>
      </c>
      <c r="K156" s="17">
        <f t="shared" si="25"/>
        <v>69929.781687395545</v>
      </c>
      <c r="L156" s="17">
        <f t="shared" si="25"/>
        <v>5846.3804693612419</v>
      </c>
      <c r="M156" s="17">
        <f t="shared" si="25"/>
        <v>1458.1340201269361</v>
      </c>
      <c r="N156" s="17">
        <f t="shared" si="25"/>
        <v>21726.371021487652</v>
      </c>
    </row>
    <row r="157" spans="1:14" x14ac:dyDescent="0.25">
      <c r="A157">
        <v>313</v>
      </c>
      <c r="C157" t="s">
        <v>51</v>
      </c>
      <c r="D157" t="s">
        <v>15</v>
      </c>
      <c r="E157" s="2">
        <v>641000</v>
      </c>
      <c r="F157" s="2" t="s">
        <v>259</v>
      </c>
      <c r="G157" s="2"/>
      <c r="H157" s="2">
        <v>1</v>
      </c>
      <c r="I157" s="12">
        <v>641000</v>
      </c>
      <c r="J157" s="17">
        <f t="shared" si="25"/>
        <v>375845.14199415228</v>
      </c>
      <c r="K157" s="17">
        <f t="shared" si="25"/>
        <v>148392.98778571613</v>
      </c>
      <c r="L157" s="17">
        <f t="shared" si="25"/>
        <v>18582.592699741777</v>
      </c>
      <c r="M157" s="17">
        <f t="shared" si="25"/>
        <v>4006.6070023538946</v>
      </c>
      <c r="N157" s="17">
        <f t="shared" si="25"/>
        <v>94172.670518035942</v>
      </c>
    </row>
    <row r="158" spans="1:14" x14ac:dyDescent="0.25">
      <c r="A158">
        <v>314</v>
      </c>
      <c r="C158" t="s">
        <v>51</v>
      </c>
      <c r="D158" t="s">
        <v>339</v>
      </c>
      <c r="E158" s="2">
        <v>0</v>
      </c>
      <c r="F158" s="2" t="s">
        <v>194</v>
      </c>
      <c r="G158" s="2"/>
      <c r="H158" s="2"/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</row>
    <row r="159" spans="1:14" x14ac:dyDescent="0.25">
      <c r="A159">
        <v>315</v>
      </c>
      <c r="C159" t="s">
        <v>48</v>
      </c>
      <c r="D159" t="s">
        <v>23</v>
      </c>
      <c r="E159" s="2">
        <v>0</v>
      </c>
      <c r="F159" s="2" t="s">
        <v>300</v>
      </c>
      <c r="G159" s="2"/>
      <c r="H159" s="2"/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</row>
    <row r="160" spans="1:14" x14ac:dyDescent="0.25">
      <c r="A160">
        <v>316</v>
      </c>
      <c r="C160" t="s">
        <v>53</v>
      </c>
      <c r="D160" t="s">
        <v>29</v>
      </c>
      <c r="E160" s="2">
        <v>0</v>
      </c>
      <c r="F160" s="2" t="s">
        <v>307</v>
      </c>
      <c r="G160" s="2"/>
      <c r="H160" s="2"/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</row>
    <row r="161" spans="1:14" x14ac:dyDescent="0.25">
      <c r="A161">
        <v>317</v>
      </c>
      <c r="C161" t="s">
        <v>51</v>
      </c>
      <c r="D161" t="s">
        <v>340</v>
      </c>
      <c r="E161" s="2">
        <v>0</v>
      </c>
      <c r="F161" s="2" t="s">
        <v>341</v>
      </c>
      <c r="G161" s="2"/>
      <c r="H161" s="2"/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</row>
    <row r="162" spans="1:14" x14ac:dyDescent="0.25">
      <c r="A162">
        <v>318</v>
      </c>
      <c r="B162" t="s">
        <v>360</v>
      </c>
      <c r="D162" t="s">
        <v>241</v>
      </c>
      <c r="E162" s="2"/>
      <c r="F162" s="2"/>
      <c r="G162" s="2"/>
      <c r="H162" s="2"/>
      <c r="I162" s="12"/>
      <c r="J162" s="12"/>
      <c r="K162" s="12"/>
      <c r="L162" s="12"/>
      <c r="M162" s="12"/>
      <c r="N162" s="12"/>
    </row>
    <row r="163" spans="1:14" x14ac:dyDescent="0.25">
      <c r="A163">
        <v>319</v>
      </c>
      <c r="C163" t="s">
        <v>51</v>
      </c>
      <c r="D163" t="s">
        <v>337</v>
      </c>
      <c r="E163" s="2">
        <v>78500</v>
      </c>
      <c r="F163" s="2" t="s">
        <v>338</v>
      </c>
      <c r="G163" s="2"/>
      <c r="H163" s="2">
        <v>31</v>
      </c>
      <c r="I163" s="12">
        <v>78500</v>
      </c>
      <c r="J163" s="17">
        <f t="shared" ref="J163:N164" si="26">+INDEX(Alloc,$H163,J$1)*$I163</f>
        <v>66380.791926564518</v>
      </c>
      <c r="K163" s="17">
        <f t="shared" si="26"/>
        <v>8563.9436231833843</v>
      </c>
      <c r="L163" s="17">
        <f t="shared" si="26"/>
        <v>715.976391333631</v>
      </c>
      <c r="M163" s="17">
        <f t="shared" si="26"/>
        <v>178.57023491414111</v>
      </c>
      <c r="N163" s="17">
        <f t="shared" si="26"/>
        <v>2660.7178240043377</v>
      </c>
    </row>
    <row r="164" spans="1:14" x14ac:dyDescent="0.25">
      <c r="A164">
        <v>320</v>
      </c>
      <c r="C164" t="s">
        <v>51</v>
      </c>
      <c r="D164" t="s">
        <v>15</v>
      </c>
      <c r="E164" s="2">
        <v>78500</v>
      </c>
      <c r="F164" s="2" t="s">
        <v>259</v>
      </c>
      <c r="G164" s="2"/>
      <c r="H164" s="2">
        <v>1</v>
      </c>
      <c r="I164" s="12">
        <v>78500</v>
      </c>
      <c r="J164" s="17">
        <f t="shared" si="26"/>
        <v>46027.837202091971</v>
      </c>
      <c r="K164" s="17">
        <f t="shared" si="26"/>
        <v>18172.932201526859</v>
      </c>
      <c r="L164" s="17">
        <f t="shared" si="26"/>
        <v>2275.7153306236028</v>
      </c>
      <c r="M164" s="17">
        <f t="shared" si="26"/>
        <v>490.66872025706823</v>
      </c>
      <c r="N164" s="17">
        <f t="shared" si="26"/>
        <v>11532.846545500501</v>
      </c>
    </row>
    <row r="165" spans="1:14" x14ac:dyDescent="0.25">
      <c r="A165">
        <v>321</v>
      </c>
      <c r="C165" t="s">
        <v>51</v>
      </c>
      <c r="D165" t="s">
        <v>339</v>
      </c>
      <c r="E165" s="2">
        <v>0</v>
      </c>
      <c r="F165" s="2" t="s">
        <v>194</v>
      </c>
      <c r="G165" s="2"/>
      <c r="H165" s="2"/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</row>
    <row r="166" spans="1:14" x14ac:dyDescent="0.25">
      <c r="A166">
        <v>322</v>
      </c>
      <c r="C166" t="s">
        <v>48</v>
      </c>
      <c r="D166" t="s">
        <v>23</v>
      </c>
      <c r="E166" s="2">
        <v>0</v>
      </c>
      <c r="F166" s="2" t="s">
        <v>300</v>
      </c>
      <c r="G166" s="2"/>
      <c r="H166" s="2"/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</row>
    <row r="167" spans="1:14" x14ac:dyDescent="0.25">
      <c r="A167">
        <v>323</v>
      </c>
      <c r="C167" t="s">
        <v>53</v>
      </c>
      <c r="D167" t="s">
        <v>29</v>
      </c>
      <c r="E167" s="2">
        <v>0</v>
      </c>
      <c r="F167" s="2" t="s">
        <v>307</v>
      </c>
      <c r="G167" s="2"/>
      <c r="H167" s="2"/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</row>
    <row r="168" spans="1:14" x14ac:dyDescent="0.25">
      <c r="A168">
        <v>324</v>
      </c>
      <c r="C168" t="s">
        <v>51</v>
      </c>
      <c r="D168" t="s">
        <v>340</v>
      </c>
      <c r="E168" s="2">
        <v>0</v>
      </c>
      <c r="F168" s="2" t="s">
        <v>341</v>
      </c>
      <c r="G168" s="2"/>
      <c r="H168" s="2"/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</row>
    <row r="169" spans="1:14" x14ac:dyDescent="0.25">
      <c r="A169">
        <v>325</v>
      </c>
      <c r="B169" t="s">
        <v>361</v>
      </c>
      <c r="D169" t="s">
        <v>362</v>
      </c>
      <c r="E169" s="2"/>
      <c r="F169" s="2"/>
      <c r="G169" s="2"/>
      <c r="H169" s="2"/>
      <c r="I169" s="12"/>
      <c r="J169" s="12"/>
      <c r="K169" s="12"/>
      <c r="L169" s="12"/>
      <c r="M169" s="12"/>
      <c r="N169" s="12"/>
    </row>
    <row r="170" spans="1:14" x14ac:dyDescent="0.25">
      <c r="A170">
        <v>326</v>
      </c>
      <c r="C170" t="s">
        <v>51</v>
      </c>
      <c r="D170" t="s">
        <v>337</v>
      </c>
      <c r="E170" s="2">
        <v>0</v>
      </c>
      <c r="F170" s="2" t="s">
        <v>338</v>
      </c>
      <c r="G170" s="2"/>
      <c r="H170" s="2"/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</row>
    <row r="171" spans="1:14" x14ac:dyDescent="0.25">
      <c r="A171">
        <v>327</v>
      </c>
      <c r="C171" t="s">
        <v>51</v>
      </c>
      <c r="D171" t="s">
        <v>15</v>
      </c>
      <c r="E171" s="2">
        <v>0</v>
      </c>
      <c r="F171" s="2" t="s">
        <v>259</v>
      </c>
      <c r="G171" s="2"/>
      <c r="H171" s="2"/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</row>
    <row r="172" spans="1:14" x14ac:dyDescent="0.25">
      <c r="A172">
        <v>328</v>
      </c>
      <c r="C172" t="s">
        <v>51</v>
      </c>
      <c r="D172" t="s">
        <v>339</v>
      </c>
      <c r="E172" s="2">
        <v>1965000</v>
      </c>
      <c r="F172" s="2" t="s">
        <v>194</v>
      </c>
      <c r="G172" s="2"/>
      <c r="H172" s="2">
        <v>25</v>
      </c>
      <c r="I172" s="12">
        <v>1965000.0000000002</v>
      </c>
      <c r="J172" s="17">
        <f>+INDEX(Alloc,$H172,J$1)*$I172</f>
        <v>1468642.6442744136</v>
      </c>
      <c r="K172" s="17">
        <f>+INDEX(Alloc,$H172,K$1)*$I172</f>
        <v>328159.36123421229</v>
      </c>
      <c r="L172" s="17">
        <f>+INDEX(Alloc,$H172,L$1)*$I172</f>
        <v>29096.855233910865</v>
      </c>
      <c r="M172" s="17">
        <f>+INDEX(Alloc,$H172,M$1)*$I172</f>
        <v>7134.949285737036</v>
      </c>
      <c r="N172" s="17">
        <f>+INDEX(Alloc,$H172,N$1)*$I172</f>
        <v>131966.18997172615</v>
      </c>
    </row>
    <row r="173" spans="1:14" x14ac:dyDescent="0.25">
      <c r="A173">
        <v>329</v>
      </c>
      <c r="C173" t="s">
        <v>48</v>
      </c>
      <c r="D173" t="s">
        <v>23</v>
      </c>
      <c r="E173" s="2">
        <v>0</v>
      </c>
      <c r="F173" s="2" t="s">
        <v>300</v>
      </c>
      <c r="G173" s="2"/>
      <c r="H173" s="2"/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</row>
    <row r="174" spans="1:14" x14ac:dyDescent="0.25">
      <c r="A174">
        <v>330</v>
      </c>
      <c r="C174" t="s">
        <v>53</v>
      </c>
      <c r="D174" t="s">
        <v>29</v>
      </c>
      <c r="E174" s="2">
        <v>0</v>
      </c>
      <c r="F174" s="2" t="s">
        <v>307</v>
      </c>
      <c r="G174" s="2"/>
      <c r="H174" s="2"/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</row>
    <row r="175" spans="1:14" x14ac:dyDescent="0.25">
      <c r="A175">
        <v>331</v>
      </c>
      <c r="C175" t="s">
        <v>51</v>
      </c>
      <c r="D175" t="s">
        <v>340</v>
      </c>
      <c r="E175" s="2">
        <v>0</v>
      </c>
      <c r="F175" s="2" t="s">
        <v>341</v>
      </c>
      <c r="G175" s="2"/>
      <c r="H175" s="2"/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</row>
    <row r="176" spans="1:14" x14ac:dyDescent="0.25">
      <c r="A176">
        <v>332</v>
      </c>
      <c r="D176" t="s">
        <v>363</v>
      </c>
      <c r="E176" s="2">
        <f>SUM(E93:E175)</f>
        <v>13040000</v>
      </c>
      <c r="F176" s="2"/>
      <c r="G176" s="2"/>
      <c r="H176" s="2"/>
      <c r="I176" s="12">
        <f t="shared" ref="I176:N176" si="27">SUM(I93:I175)</f>
        <v>13040000.013916494</v>
      </c>
      <c r="J176" s="12">
        <f t="shared" si="27"/>
        <v>9429758.9679492153</v>
      </c>
      <c r="K176" s="12">
        <f t="shared" si="27"/>
        <v>2221091.6011467236</v>
      </c>
      <c r="L176" s="12">
        <f t="shared" si="27"/>
        <v>239337.25826997662</v>
      </c>
      <c r="M176" s="12">
        <f t="shared" si="27"/>
        <v>54054.060615518807</v>
      </c>
      <c r="N176" s="12">
        <f t="shared" si="27"/>
        <v>1095758.1259350632</v>
      </c>
    </row>
    <row r="177" spans="1:14" x14ac:dyDescent="0.25">
      <c r="A177">
        <v>333</v>
      </c>
      <c r="E177" s="2"/>
      <c r="F177" s="2"/>
      <c r="G177" s="2"/>
      <c r="H177" s="2"/>
      <c r="I177" s="12"/>
      <c r="J177" s="12"/>
      <c r="K177" s="12"/>
      <c r="L177" s="12"/>
      <c r="M177" s="12"/>
      <c r="N177" s="12"/>
    </row>
    <row r="178" spans="1:14" x14ac:dyDescent="0.25">
      <c r="A178">
        <v>334</v>
      </c>
      <c r="D178" t="s">
        <v>364</v>
      </c>
      <c r="E178" s="2">
        <f>+E88+E176</f>
        <v>111127000</v>
      </c>
      <c r="F178" s="2" t="s">
        <v>365</v>
      </c>
      <c r="G178" s="2"/>
      <c r="H178" s="2"/>
      <c r="I178" s="12">
        <f t="shared" ref="I178:N178" si="28">+I88+I176</f>
        <v>111127000.01391649</v>
      </c>
      <c r="J178" s="12">
        <f t="shared" si="28"/>
        <v>79949254.943862289</v>
      </c>
      <c r="K178" s="12">
        <f t="shared" si="28"/>
        <v>25819405.581967607</v>
      </c>
      <c r="L178" s="12">
        <f t="shared" si="28"/>
        <v>2996360.5628083302</v>
      </c>
      <c r="M178" s="12">
        <f t="shared" si="28"/>
        <v>624530.510743908</v>
      </c>
      <c r="N178" s="12">
        <f t="shared" si="28"/>
        <v>1737448.4145343485</v>
      </c>
    </row>
    <row r="179" spans="1:14" x14ac:dyDescent="0.25">
      <c r="A179">
        <v>335</v>
      </c>
      <c r="E179" s="2">
        <v>0</v>
      </c>
      <c r="F179" s="2"/>
      <c r="G179" s="2"/>
      <c r="H179" s="2"/>
      <c r="I179" s="12"/>
      <c r="J179" s="12"/>
      <c r="K179" s="12"/>
      <c r="L179" s="12"/>
      <c r="M179" s="12"/>
      <c r="N179" s="12"/>
    </row>
    <row r="180" spans="1:14" x14ac:dyDescent="0.25">
      <c r="A180">
        <v>336</v>
      </c>
      <c r="D180" t="s">
        <v>366</v>
      </c>
      <c r="E180" s="2"/>
      <c r="F180" s="2"/>
      <c r="G180" s="2"/>
      <c r="H180" s="2"/>
      <c r="I180" s="12"/>
      <c r="J180" s="12"/>
      <c r="K180" s="12"/>
      <c r="L180" s="12"/>
      <c r="M180" s="12"/>
      <c r="N180" s="12"/>
    </row>
    <row r="181" spans="1:14" x14ac:dyDescent="0.25">
      <c r="A181">
        <v>337</v>
      </c>
      <c r="C181" t="s">
        <v>54</v>
      </c>
      <c r="D181" t="s">
        <v>367</v>
      </c>
      <c r="E181" s="2">
        <v>29000</v>
      </c>
      <c r="F181" s="2" t="s">
        <v>199</v>
      </c>
      <c r="G181" s="2"/>
      <c r="H181" s="2">
        <v>23</v>
      </c>
      <c r="I181" s="12">
        <v>29000.000000000004</v>
      </c>
      <c r="J181" s="17">
        <f t="shared" ref="J181:N182" si="29">+INDEX(Alloc,$H181,J$1)*$I181</f>
        <v>19551.582406312526</v>
      </c>
      <c r="K181" s="17">
        <f t="shared" si="29"/>
        <v>7719.4498612316747</v>
      </c>
      <c r="L181" s="17">
        <f t="shared" si="29"/>
        <v>966.67231233654138</v>
      </c>
      <c r="M181" s="17">
        <f t="shared" si="29"/>
        <v>208.42495545000233</v>
      </c>
      <c r="N181" s="17">
        <f t="shared" si="29"/>
        <v>553.87046466925983</v>
      </c>
    </row>
    <row r="182" spans="1:14" x14ac:dyDescent="0.25">
      <c r="A182">
        <v>338</v>
      </c>
      <c r="C182" t="s">
        <v>49</v>
      </c>
      <c r="D182" t="s">
        <v>368</v>
      </c>
      <c r="E182" s="2">
        <v>2519000</v>
      </c>
      <c r="F182" s="2" t="s">
        <v>59</v>
      </c>
      <c r="G182" s="2"/>
      <c r="H182" s="2">
        <v>22</v>
      </c>
      <c r="I182" s="12">
        <v>2519000</v>
      </c>
      <c r="J182" s="17">
        <f t="shared" si="29"/>
        <v>1896210.2911281944</v>
      </c>
      <c r="K182" s="17">
        <f t="shared" si="29"/>
        <v>402377.95465417107</v>
      </c>
      <c r="L182" s="17">
        <f t="shared" si="29"/>
        <v>33882.03920595954</v>
      </c>
      <c r="M182" s="17">
        <f t="shared" si="29"/>
        <v>8490.410422155066</v>
      </c>
      <c r="N182" s="17">
        <f t="shared" si="29"/>
        <v>178039.30458951989</v>
      </c>
    </row>
    <row r="183" spans="1:14" x14ac:dyDescent="0.25">
      <c r="A183">
        <v>339</v>
      </c>
      <c r="C183" t="s">
        <v>51</v>
      </c>
      <c r="D183" t="s">
        <v>369</v>
      </c>
      <c r="E183" s="2">
        <v>0</v>
      </c>
      <c r="F183" s="2" t="s">
        <v>370</v>
      </c>
      <c r="G183" s="2"/>
      <c r="H183" s="2"/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</row>
    <row r="184" spans="1:14" x14ac:dyDescent="0.25">
      <c r="A184">
        <v>340</v>
      </c>
      <c r="E184" s="2"/>
      <c r="F184" s="2"/>
      <c r="G184" s="2"/>
      <c r="H184" s="2"/>
      <c r="I184" s="12"/>
      <c r="J184" s="12"/>
      <c r="K184" s="12"/>
      <c r="L184" s="12"/>
      <c r="M184" s="12"/>
      <c r="N184" s="12"/>
    </row>
    <row r="185" spans="1:14" x14ac:dyDescent="0.25">
      <c r="A185">
        <v>341</v>
      </c>
      <c r="B185" t="s">
        <v>371</v>
      </c>
      <c r="C185" t="s">
        <v>53</v>
      </c>
      <c r="D185" t="s">
        <v>368</v>
      </c>
      <c r="E185" s="2">
        <v>6422000</v>
      </c>
      <c r="F185" s="2" t="s">
        <v>307</v>
      </c>
      <c r="G185" s="2"/>
      <c r="H185" s="2">
        <v>17</v>
      </c>
      <c r="I185" s="12">
        <v>6422000</v>
      </c>
      <c r="J185" s="17">
        <f>+INDEX(Alloc,$H185,J$1)*$I185</f>
        <v>4668485.2668317482</v>
      </c>
      <c r="K185" s="17">
        <f>+INDEX(Alloc,$H185,K$1)*$I185</f>
        <v>1461777.226928415</v>
      </c>
      <c r="L185" s="17">
        <f>+INDEX(Alloc,$H185,L$1)*$I185</f>
        <v>162715.61339999916</v>
      </c>
      <c r="M185" s="17">
        <f>+INDEX(Alloc,$H185,M$1)*$I185</f>
        <v>31576.934282890845</v>
      </c>
      <c r="N185" s="17">
        <f>+INDEX(Alloc,$H185,N$1)*$I185</f>
        <v>97444.958556947284</v>
      </c>
    </row>
    <row r="186" spans="1:14" x14ac:dyDescent="0.25">
      <c r="A186">
        <v>342</v>
      </c>
      <c r="D186" t="s">
        <v>372</v>
      </c>
      <c r="E186" s="2">
        <f>SUM(E181:E185)</f>
        <v>8970000</v>
      </c>
      <c r="I186" s="12">
        <f t="shared" ref="I186:N186" si="30">SUM(I181:I185)</f>
        <v>8970000</v>
      </c>
      <c r="J186" s="12">
        <f t="shared" si="30"/>
        <v>6584247.1403662553</v>
      </c>
      <c r="K186" s="12">
        <f t="shared" si="30"/>
        <v>1871874.6314438176</v>
      </c>
      <c r="L186" s="12">
        <f t="shared" si="30"/>
        <v>197564.32491829526</v>
      </c>
      <c r="M186" s="12">
        <f t="shared" si="30"/>
        <v>40275.769660495913</v>
      </c>
      <c r="N186" s="12">
        <f t="shared" si="30"/>
        <v>276038.13361113641</v>
      </c>
    </row>
    <row r="187" spans="1:14" x14ac:dyDescent="0.25">
      <c r="A187">
        <v>343</v>
      </c>
      <c r="E187" s="2">
        <v>0</v>
      </c>
      <c r="F187" s="2"/>
      <c r="G187" s="2"/>
      <c r="H187" s="2"/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</row>
    <row r="188" spans="1:14" x14ac:dyDescent="0.25">
      <c r="A188">
        <v>344</v>
      </c>
      <c r="D188" t="s">
        <v>373</v>
      </c>
      <c r="E188" s="2"/>
      <c r="F188" s="2"/>
      <c r="G188" s="2"/>
      <c r="H188" s="2"/>
      <c r="I188" s="12"/>
      <c r="J188" s="12"/>
      <c r="K188" s="12"/>
      <c r="L188" s="12"/>
      <c r="M188" s="12"/>
      <c r="N188" s="12"/>
    </row>
    <row r="189" spans="1:14" x14ac:dyDescent="0.25">
      <c r="A189">
        <v>345</v>
      </c>
      <c r="D189" t="s">
        <v>374</v>
      </c>
      <c r="E189" s="2"/>
      <c r="F189" s="2"/>
      <c r="G189" s="2"/>
      <c r="H189" s="2"/>
      <c r="I189" s="12"/>
      <c r="J189" s="12"/>
      <c r="K189" s="12"/>
      <c r="L189" s="12"/>
      <c r="M189" s="12"/>
      <c r="N189" s="12"/>
    </row>
    <row r="190" spans="1:14" x14ac:dyDescent="0.25">
      <c r="A190">
        <v>346</v>
      </c>
      <c r="B190">
        <v>350</v>
      </c>
      <c r="C190" t="s">
        <v>54</v>
      </c>
      <c r="D190" t="s">
        <v>375</v>
      </c>
      <c r="E190" s="2">
        <v>1000</v>
      </c>
      <c r="F190" s="2" t="s">
        <v>376</v>
      </c>
      <c r="G190" s="2"/>
      <c r="H190" s="2">
        <v>23</v>
      </c>
      <c r="I190" s="12">
        <v>1000</v>
      </c>
      <c r="J190" s="17">
        <f t="shared" ref="J190:N197" si="31">+INDEX(Alloc,$H190,J$1)*$I190</f>
        <v>674.19249676939739</v>
      </c>
      <c r="K190" s="17">
        <f t="shared" si="31"/>
        <v>266.18792624936805</v>
      </c>
      <c r="L190" s="17">
        <f t="shared" si="31"/>
        <v>33.333528011604869</v>
      </c>
      <c r="M190" s="17">
        <f t="shared" si="31"/>
        <v>7.1870674293104244</v>
      </c>
      <c r="N190" s="17">
        <f t="shared" si="31"/>
        <v>19.098981540319301</v>
      </c>
    </row>
    <row r="191" spans="1:14" x14ac:dyDescent="0.25">
      <c r="A191">
        <v>347</v>
      </c>
      <c r="B191">
        <v>351</v>
      </c>
      <c r="C191" t="s">
        <v>54</v>
      </c>
      <c r="D191" t="s">
        <v>377</v>
      </c>
      <c r="E191" s="2">
        <v>26000</v>
      </c>
      <c r="F191" s="2" t="s">
        <v>376</v>
      </c>
      <c r="G191" s="2"/>
      <c r="H191" s="2">
        <v>23</v>
      </c>
      <c r="I191" s="12">
        <v>26000</v>
      </c>
      <c r="J191" s="17">
        <f t="shared" si="31"/>
        <v>17529.004916004331</v>
      </c>
      <c r="K191" s="17">
        <f t="shared" si="31"/>
        <v>6920.8860824835692</v>
      </c>
      <c r="L191" s="17">
        <f t="shared" si="31"/>
        <v>866.6717283017266</v>
      </c>
      <c r="M191" s="17">
        <f t="shared" si="31"/>
        <v>186.86375316207102</v>
      </c>
      <c r="N191" s="17">
        <f t="shared" si="31"/>
        <v>496.57352004830182</v>
      </c>
    </row>
    <row r="192" spans="1:14" x14ac:dyDescent="0.25">
      <c r="A192">
        <v>348</v>
      </c>
      <c r="B192">
        <v>352</v>
      </c>
      <c r="C192" t="s">
        <v>54</v>
      </c>
      <c r="D192" t="s">
        <v>378</v>
      </c>
      <c r="E192" s="2">
        <v>144000</v>
      </c>
      <c r="F192" s="2" t="s">
        <v>376</v>
      </c>
      <c r="G192" s="2"/>
      <c r="H192" s="2">
        <v>23</v>
      </c>
      <c r="I192" s="12">
        <v>144000</v>
      </c>
      <c r="J192" s="17">
        <f t="shared" si="31"/>
        <v>97083.719534793228</v>
      </c>
      <c r="K192" s="17">
        <f t="shared" si="31"/>
        <v>38331.061379908999</v>
      </c>
      <c r="L192" s="17">
        <f t="shared" si="31"/>
        <v>4800.0280336711012</v>
      </c>
      <c r="M192" s="17">
        <f t="shared" si="31"/>
        <v>1034.937709820701</v>
      </c>
      <c r="N192" s="17">
        <f t="shared" si="31"/>
        <v>2750.2533418059793</v>
      </c>
    </row>
    <row r="193" spans="1:14" x14ac:dyDescent="0.25">
      <c r="A193">
        <v>349</v>
      </c>
      <c r="B193">
        <v>353</v>
      </c>
      <c r="C193" t="s">
        <v>54</v>
      </c>
      <c r="D193" t="s">
        <v>379</v>
      </c>
      <c r="E193" s="2">
        <v>14000</v>
      </c>
      <c r="F193" s="2" t="s">
        <v>376</v>
      </c>
      <c r="G193" s="2"/>
      <c r="H193" s="2">
        <v>23</v>
      </c>
      <c r="I193" s="12">
        <v>14000.000000000002</v>
      </c>
      <c r="J193" s="17">
        <f t="shared" si="31"/>
        <v>9438.6949547715649</v>
      </c>
      <c r="K193" s="17">
        <f t="shared" si="31"/>
        <v>3726.6309674911531</v>
      </c>
      <c r="L193" s="17">
        <f t="shared" si="31"/>
        <v>466.66939216246823</v>
      </c>
      <c r="M193" s="17">
        <f t="shared" si="31"/>
        <v>100.61894401034596</v>
      </c>
      <c r="N193" s="17">
        <f t="shared" si="31"/>
        <v>267.38574156447027</v>
      </c>
    </row>
    <row r="194" spans="1:14" x14ac:dyDescent="0.25">
      <c r="A194">
        <v>350</v>
      </c>
      <c r="B194">
        <v>354</v>
      </c>
      <c r="C194" t="s">
        <v>54</v>
      </c>
      <c r="D194" t="s">
        <v>380</v>
      </c>
      <c r="E194" s="2">
        <v>149000</v>
      </c>
      <c r="F194" s="2" t="s">
        <v>376</v>
      </c>
      <c r="G194" s="2"/>
      <c r="H194" s="2">
        <v>23</v>
      </c>
      <c r="I194" s="12">
        <v>149000</v>
      </c>
      <c r="J194" s="17">
        <f t="shared" si="31"/>
        <v>100454.68201864022</v>
      </c>
      <c r="K194" s="17">
        <f t="shared" si="31"/>
        <v>39662.001011155837</v>
      </c>
      <c r="L194" s="17">
        <f t="shared" si="31"/>
        <v>4966.6956737291257</v>
      </c>
      <c r="M194" s="17">
        <f t="shared" si="31"/>
        <v>1070.8730469672532</v>
      </c>
      <c r="N194" s="17">
        <f t="shared" si="31"/>
        <v>2845.748249507576</v>
      </c>
    </row>
    <row r="195" spans="1:14" x14ac:dyDescent="0.25">
      <c r="A195">
        <v>351</v>
      </c>
      <c r="B195">
        <v>355</v>
      </c>
      <c r="C195" t="s">
        <v>54</v>
      </c>
      <c r="D195" t="s">
        <v>381</v>
      </c>
      <c r="E195" s="2">
        <v>30000</v>
      </c>
      <c r="F195" s="2" t="s">
        <v>376</v>
      </c>
      <c r="G195" s="2"/>
      <c r="H195" s="2">
        <v>23</v>
      </c>
      <c r="I195" s="12">
        <v>30000</v>
      </c>
      <c r="J195" s="17">
        <f t="shared" si="31"/>
        <v>20225.774903081921</v>
      </c>
      <c r="K195" s="17">
        <f t="shared" si="31"/>
        <v>7985.6377874810414</v>
      </c>
      <c r="L195" s="17">
        <f t="shared" si="31"/>
        <v>1000.0058403481461</v>
      </c>
      <c r="M195" s="17">
        <f t="shared" si="31"/>
        <v>215.61202287931272</v>
      </c>
      <c r="N195" s="17">
        <f t="shared" si="31"/>
        <v>572.96944620957902</v>
      </c>
    </row>
    <row r="196" spans="1:14" x14ac:dyDescent="0.25">
      <c r="A196">
        <v>352</v>
      </c>
      <c r="B196">
        <v>356</v>
      </c>
      <c r="C196" t="s">
        <v>54</v>
      </c>
      <c r="D196" t="s">
        <v>382</v>
      </c>
      <c r="E196" s="2">
        <v>5000</v>
      </c>
      <c r="F196" s="2" t="s">
        <v>376</v>
      </c>
      <c r="G196" s="2"/>
      <c r="H196" s="2">
        <v>23</v>
      </c>
      <c r="I196" s="12">
        <v>5000.0000000000009</v>
      </c>
      <c r="J196" s="17">
        <f t="shared" si="31"/>
        <v>3370.9624838469877</v>
      </c>
      <c r="K196" s="17">
        <f t="shared" si="31"/>
        <v>1330.9396312468405</v>
      </c>
      <c r="L196" s="17">
        <f t="shared" si="31"/>
        <v>166.66764005802438</v>
      </c>
      <c r="M196" s="17">
        <f t="shared" si="31"/>
        <v>35.935337146552129</v>
      </c>
      <c r="N196" s="17">
        <f t="shared" si="31"/>
        <v>95.494907701596517</v>
      </c>
    </row>
    <row r="197" spans="1:14" x14ac:dyDescent="0.25">
      <c r="A197">
        <v>353</v>
      </c>
      <c r="B197">
        <v>357</v>
      </c>
      <c r="C197" t="s">
        <v>54</v>
      </c>
      <c r="D197" t="s">
        <v>383</v>
      </c>
      <c r="E197" s="2">
        <v>23000</v>
      </c>
      <c r="F197" s="2" t="s">
        <v>376</v>
      </c>
      <c r="G197" s="2"/>
      <c r="H197" s="2">
        <v>23</v>
      </c>
      <c r="I197" s="12">
        <v>23000</v>
      </c>
      <c r="J197" s="17">
        <f t="shared" si="31"/>
        <v>15506.42742569614</v>
      </c>
      <c r="K197" s="17">
        <f t="shared" si="31"/>
        <v>6122.3223037354646</v>
      </c>
      <c r="L197" s="17">
        <f t="shared" si="31"/>
        <v>766.67114426691205</v>
      </c>
      <c r="M197" s="17">
        <f t="shared" si="31"/>
        <v>165.30255087413977</v>
      </c>
      <c r="N197" s="17">
        <f t="shared" si="31"/>
        <v>439.27657542734391</v>
      </c>
    </row>
    <row r="198" spans="1:14" x14ac:dyDescent="0.25">
      <c r="A198">
        <v>354</v>
      </c>
      <c r="D198" t="s">
        <v>384</v>
      </c>
      <c r="E198" s="2">
        <f>SUM(E190:E197)</f>
        <v>392000</v>
      </c>
      <c r="F198" s="2"/>
      <c r="G198" s="2"/>
      <c r="H198" s="2">
        <v>23</v>
      </c>
      <c r="I198" s="12">
        <f t="shared" ref="I198:N198" si="32">SUM(I190:I197)</f>
        <v>392000</v>
      </c>
      <c r="J198" s="12">
        <f t="shared" si="32"/>
        <v>264283.45873360377</v>
      </c>
      <c r="K198" s="12">
        <f t="shared" si="32"/>
        <v>104345.66708975229</v>
      </c>
      <c r="L198" s="12">
        <f t="shared" si="32"/>
        <v>13066.742980549108</v>
      </c>
      <c r="M198" s="12">
        <f t="shared" si="32"/>
        <v>2817.3304322896865</v>
      </c>
      <c r="N198" s="12">
        <f t="shared" si="32"/>
        <v>7486.8007638051668</v>
      </c>
    </row>
    <row r="199" spans="1:14" x14ac:dyDescent="0.25">
      <c r="A199">
        <v>355</v>
      </c>
      <c r="E199" s="2"/>
      <c r="F199" s="2"/>
      <c r="G199" s="2"/>
      <c r="H199" s="2"/>
      <c r="I199" s="12"/>
      <c r="J199" s="12"/>
      <c r="K199" s="12"/>
      <c r="L199" s="12"/>
      <c r="M199" s="12"/>
      <c r="N199" s="12"/>
    </row>
    <row r="200" spans="1:14" x14ac:dyDescent="0.25">
      <c r="A200">
        <v>356</v>
      </c>
      <c r="D200" t="s">
        <v>385</v>
      </c>
      <c r="E200" s="2"/>
      <c r="F200" s="2"/>
      <c r="G200" s="2"/>
      <c r="H200" s="2"/>
      <c r="I200" s="12"/>
      <c r="J200" s="12"/>
      <c r="K200" s="12"/>
      <c r="L200" s="12"/>
      <c r="M200" s="12"/>
      <c r="N200" s="12"/>
    </row>
    <row r="201" spans="1:14" x14ac:dyDescent="0.25">
      <c r="A201">
        <v>357</v>
      </c>
      <c r="B201">
        <v>374</v>
      </c>
      <c r="C201" t="s">
        <v>49</v>
      </c>
      <c r="D201" t="s">
        <v>375</v>
      </c>
      <c r="E201" s="2">
        <v>0</v>
      </c>
      <c r="F201" s="2" t="s">
        <v>386</v>
      </c>
      <c r="G201" s="2"/>
      <c r="H201" s="2"/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</row>
    <row r="202" spans="1:14" x14ac:dyDescent="0.25">
      <c r="A202">
        <v>358</v>
      </c>
      <c r="B202">
        <v>375</v>
      </c>
      <c r="C202" t="s">
        <v>49</v>
      </c>
      <c r="D202" t="s">
        <v>377</v>
      </c>
      <c r="E202" s="2">
        <v>909000</v>
      </c>
      <c r="F202" s="2" t="s">
        <v>387</v>
      </c>
      <c r="G202" s="2"/>
      <c r="H202" s="2">
        <v>29</v>
      </c>
      <c r="I202" s="12">
        <v>909000.00000000012</v>
      </c>
      <c r="J202" s="17">
        <f t="shared" ref="J202:N207" si="33">+INDEX(Alloc,$H202,J$1)*$I202</f>
        <v>561345.01430273731</v>
      </c>
      <c r="K202" s="17">
        <f t="shared" si="33"/>
        <v>215531.59159664434</v>
      </c>
      <c r="L202" s="17">
        <f t="shared" si="33"/>
        <v>20296.532509566678</v>
      </c>
      <c r="M202" s="17">
        <f t="shared" si="33"/>
        <v>4820.4470792822531</v>
      </c>
      <c r="N202" s="17">
        <f t="shared" si="33"/>
        <v>107006.41451176956</v>
      </c>
    </row>
    <row r="203" spans="1:14" x14ac:dyDescent="0.25">
      <c r="A203">
        <v>359</v>
      </c>
      <c r="B203" t="s">
        <v>78</v>
      </c>
      <c r="C203" t="s">
        <v>49</v>
      </c>
      <c r="D203" t="s">
        <v>388</v>
      </c>
      <c r="E203" s="2">
        <v>2527000</v>
      </c>
      <c r="F203" s="2" t="s">
        <v>389</v>
      </c>
      <c r="G203" s="2"/>
      <c r="H203" s="2">
        <v>29</v>
      </c>
      <c r="I203" s="12">
        <f>2527000+942000</f>
        <v>3469000</v>
      </c>
      <c r="J203" s="17">
        <f t="shared" si="33"/>
        <v>2142250.6651443294</v>
      </c>
      <c r="K203" s="17">
        <f t="shared" si="33"/>
        <v>822529.25329896493</v>
      </c>
      <c r="L203" s="17">
        <f t="shared" si="33"/>
        <v>77457.284131668639</v>
      </c>
      <c r="M203" s="17">
        <f t="shared" si="33"/>
        <v>18396.183628195966</v>
      </c>
      <c r="N203" s="17">
        <f t="shared" si="33"/>
        <v>408366.61379684112</v>
      </c>
    </row>
    <row r="204" spans="1:14" x14ac:dyDescent="0.25">
      <c r="A204">
        <v>361</v>
      </c>
      <c r="B204">
        <v>378</v>
      </c>
      <c r="C204" t="s">
        <v>49</v>
      </c>
      <c r="D204" t="s">
        <v>390</v>
      </c>
      <c r="E204" s="2">
        <v>109000</v>
      </c>
      <c r="F204" s="2" t="s">
        <v>391</v>
      </c>
      <c r="G204" s="2"/>
      <c r="H204" s="2">
        <v>19</v>
      </c>
      <c r="I204" s="12">
        <v>109000.00000000001</v>
      </c>
      <c r="J204" s="17">
        <f t="shared" si="33"/>
        <v>67311.998414739675</v>
      </c>
      <c r="K204" s="17">
        <f t="shared" si="33"/>
        <v>25844.822314669127</v>
      </c>
      <c r="L204" s="17">
        <f t="shared" si="33"/>
        <v>2433.797627659811</v>
      </c>
      <c r="M204" s="17">
        <f t="shared" si="33"/>
        <v>578.02940774671697</v>
      </c>
      <c r="N204" s="17">
        <f t="shared" si="33"/>
        <v>12831.352235184691</v>
      </c>
    </row>
    <row r="205" spans="1:14" x14ac:dyDescent="0.25">
      <c r="A205">
        <v>362</v>
      </c>
      <c r="B205">
        <v>379</v>
      </c>
      <c r="C205" t="s">
        <v>49</v>
      </c>
      <c r="D205" t="s">
        <v>392</v>
      </c>
      <c r="E205" s="2">
        <v>54000</v>
      </c>
      <c r="F205" s="2" t="s">
        <v>393</v>
      </c>
      <c r="G205" s="2"/>
      <c r="H205" s="2">
        <v>19</v>
      </c>
      <c r="I205" s="12">
        <v>53999.999999999993</v>
      </c>
      <c r="J205" s="17">
        <f t="shared" si="33"/>
        <v>33347.228572439832</v>
      </c>
      <c r="K205" s="17">
        <f t="shared" si="33"/>
        <v>12803.856926533324</v>
      </c>
      <c r="L205" s="17">
        <f t="shared" si="33"/>
        <v>1205.7346045287134</v>
      </c>
      <c r="M205" s="17">
        <f t="shared" si="33"/>
        <v>286.36319282864866</v>
      </c>
      <c r="N205" s="17">
        <f t="shared" si="33"/>
        <v>6356.8167036694786</v>
      </c>
    </row>
    <row r="206" spans="1:14" x14ac:dyDescent="0.25">
      <c r="A206">
        <v>363</v>
      </c>
      <c r="B206">
        <v>380</v>
      </c>
      <c r="C206" t="s">
        <v>49</v>
      </c>
      <c r="D206" t="s">
        <v>394</v>
      </c>
      <c r="E206" s="2">
        <v>2782000</v>
      </c>
      <c r="F206" s="2" t="s">
        <v>395</v>
      </c>
      <c r="G206" s="2"/>
      <c r="H206" s="2">
        <v>12</v>
      </c>
      <c r="I206" s="12">
        <v>2782000</v>
      </c>
      <c r="J206" s="17">
        <f t="shared" si="33"/>
        <v>2729673.2787393765</v>
      </c>
      <c r="K206" s="17">
        <f t="shared" si="33"/>
        <v>45997.620657172927</v>
      </c>
      <c r="L206" s="17">
        <f t="shared" si="33"/>
        <v>1400.1311237143082</v>
      </c>
      <c r="M206" s="17">
        <f t="shared" si="33"/>
        <v>100.00936597959343</v>
      </c>
      <c r="N206" s="17">
        <f t="shared" si="33"/>
        <v>4828.9601137568043</v>
      </c>
    </row>
    <row r="207" spans="1:14" x14ac:dyDescent="0.25">
      <c r="A207">
        <v>364</v>
      </c>
      <c r="B207">
        <v>381</v>
      </c>
      <c r="C207" t="s">
        <v>49</v>
      </c>
      <c r="D207" t="s">
        <v>396</v>
      </c>
      <c r="E207" s="2">
        <v>1441000</v>
      </c>
      <c r="F207" s="2" t="s">
        <v>397</v>
      </c>
      <c r="G207" s="2"/>
      <c r="H207" s="2">
        <v>13</v>
      </c>
      <c r="I207" s="12">
        <v>1441000.0000000002</v>
      </c>
      <c r="J207" s="17">
        <f t="shared" si="33"/>
        <v>1238652.8140769093</v>
      </c>
      <c r="K207" s="17">
        <f t="shared" si="33"/>
        <v>169789.72578409157</v>
      </c>
      <c r="L207" s="17">
        <f t="shared" si="33"/>
        <v>4737.647156090653</v>
      </c>
      <c r="M207" s="17">
        <f t="shared" si="33"/>
        <v>2604.2526623179488</v>
      </c>
      <c r="N207" s="17">
        <f t="shared" si="33"/>
        <v>25215.560320590903</v>
      </c>
    </row>
    <row r="208" spans="1:14" x14ac:dyDescent="0.25">
      <c r="A208">
        <v>365</v>
      </c>
      <c r="B208">
        <v>382</v>
      </c>
      <c r="C208" t="s">
        <v>49</v>
      </c>
      <c r="D208" t="s">
        <v>398</v>
      </c>
      <c r="E208" s="2">
        <v>0</v>
      </c>
      <c r="F208" s="2" t="s">
        <v>399</v>
      </c>
      <c r="G208" s="2"/>
      <c r="H208" s="2"/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</row>
    <row r="209" spans="1:14" x14ac:dyDescent="0.25">
      <c r="A209">
        <v>366</v>
      </c>
      <c r="B209">
        <v>383</v>
      </c>
      <c r="C209" t="s">
        <v>49</v>
      </c>
      <c r="D209" t="s">
        <v>400</v>
      </c>
      <c r="E209" s="2">
        <v>0</v>
      </c>
      <c r="F209" s="2" t="s">
        <v>401</v>
      </c>
      <c r="G209" s="2"/>
      <c r="H209" s="2"/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</row>
    <row r="210" spans="1:14" x14ac:dyDescent="0.25">
      <c r="A210">
        <v>367</v>
      </c>
      <c r="B210">
        <v>384</v>
      </c>
      <c r="C210" t="s">
        <v>49</v>
      </c>
      <c r="D210" t="s">
        <v>402</v>
      </c>
      <c r="E210" s="2">
        <v>0</v>
      </c>
      <c r="F210" s="2" t="s">
        <v>403</v>
      </c>
      <c r="G210" s="2"/>
      <c r="H210" s="2"/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</row>
    <row r="211" spans="1:14" x14ac:dyDescent="0.25">
      <c r="A211">
        <v>368</v>
      </c>
      <c r="B211">
        <v>385</v>
      </c>
      <c r="C211" t="s">
        <v>49</v>
      </c>
      <c r="D211" t="s">
        <v>404</v>
      </c>
      <c r="E211" s="2">
        <v>46000</v>
      </c>
      <c r="F211" s="2" t="s">
        <v>405</v>
      </c>
      <c r="G211" s="2"/>
      <c r="H211" s="2">
        <v>15</v>
      </c>
      <c r="I211" s="12">
        <v>45999.999999999993</v>
      </c>
      <c r="J211" s="17">
        <f>+INDEX(Alloc,$H211,J$1)*$I211</f>
        <v>0</v>
      </c>
      <c r="K211" s="17">
        <f>+INDEX(Alloc,$H211,K$1)*$I211</f>
        <v>35770.598911601868</v>
      </c>
      <c r="L211" s="17">
        <f>+INDEX(Alloc,$H211,L$1)*$I211</f>
        <v>1480.7052140326955</v>
      </c>
      <c r="M211" s="17">
        <f>+INDEX(Alloc,$H211,M$1)*$I211</f>
        <v>820.01334575294675</v>
      </c>
      <c r="N211" s="17">
        <f>+INDEX(Alloc,$H211,N$1)*$I211</f>
        <v>7928.6825286124886</v>
      </c>
    </row>
    <row r="212" spans="1:14" x14ac:dyDescent="0.25">
      <c r="A212">
        <v>369</v>
      </c>
      <c r="B212">
        <v>387</v>
      </c>
      <c r="C212" t="s">
        <v>49</v>
      </c>
      <c r="D212" t="s">
        <v>383</v>
      </c>
      <c r="E212" s="2">
        <v>0</v>
      </c>
      <c r="F212" s="2" t="s">
        <v>406</v>
      </c>
      <c r="G212" s="2"/>
      <c r="H212" s="2"/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</row>
    <row r="213" spans="1:14" x14ac:dyDescent="0.25">
      <c r="A213">
        <v>370</v>
      </c>
      <c r="D213" t="s">
        <v>407</v>
      </c>
      <c r="E213" s="2">
        <f>SUM(E201:E212)</f>
        <v>7868000</v>
      </c>
      <c r="F213" s="2"/>
      <c r="G213" s="2"/>
      <c r="H213" s="2"/>
      <c r="I213" s="12">
        <f t="shared" ref="I213:N213" si="34">SUM(I201:I212)</f>
        <v>8810000</v>
      </c>
      <c r="J213" s="12">
        <f t="shared" si="34"/>
        <v>6772580.9992505331</v>
      </c>
      <c r="K213" s="12">
        <f t="shared" si="34"/>
        <v>1328267.469489678</v>
      </c>
      <c r="L213" s="12">
        <f t="shared" si="34"/>
        <v>109011.83236726149</v>
      </c>
      <c r="M213" s="12">
        <f t="shared" si="34"/>
        <v>27605.298682104072</v>
      </c>
      <c r="N213" s="12">
        <f t="shared" si="34"/>
        <v>572534.40021042502</v>
      </c>
    </row>
    <row r="214" spans="1:14" x14ac:dyDescent="0.25">
      <c r="A214">
        <v>371</v>
      </c>
      <c r="E214" s="2"/>
      <c r="F214" s="2"/>
      <c r="G214" s="2"/>
      <c r="H214" s="2"/>
      <c r="I214" s="12"/>
      <c r="J214" s="12"/>
      <c r="K214" s="12"/>
      <c r="L214" s="12"/>
      <c r="M214" s="12"/>
      <c r="N214" s="12"/>
    </row>
    <row r="215" spans="1:14" x14ac:dyDescent="0.25">
      <c r="A215">
        <v>372</v>
      </c>
      <c r="D215" t="s">
        <v>408</v>
      </c>
      <c r="E215" s="2"/>
      <c r="F215" s="2"/>
      <c r="G215" s="2"/>
      <c r="H215" s="2"/>
      <c r="I215" s="12"/>
      <c r="J215" s="12"/>
      <c r="K215" s="12"/>
      <c r="L215" s="12"/>
      <c r="M215" s="12"/>
      <c r="N215" s="12"/>
    </row>
    <row r="216" spans="1:14" x14ac:dyDescent="0.25">
      <c r="A216">
        <v>373</v>
      </c>
      <c r="B216">
        <v>389</v>
      </c>
      <c r="C216" t="s">
        <v>51</v>
      </c>
      <c r="D216" t="s">
        <v>375</v>
      </c>
      <c r="E216" s="2">
        <v>3000</v>
      </c>
      <c r="F216" s="2" t="s">
        <v>409</v>
      </c>
      <c r="G216" s="2"/>
      <c r="H216" s="2">
        <v>24</v>
      </c>
      <c r="I216" s="12">
        <v>2999.9999999999995</v>
      </c>
      <c r="J216" s="17">
        <f t="shared" ref="J216:N225" si="35">+INDEX(Alloc,$H216,J$1)*$I216</f>
        <v>2242.1455755858433</v>
      </c>
      <c r="K216" s="17">
        <f t="shared" si="35"/>
        <v>501.08379595157561</v>
      </c>
      <c r="L216" s="17">
        <f t="shared" si="35"/>
        <v>44.437087551432512</v>
      </c>
      <c r="M216" s="17">
        <f t="shared" si="35"/>
        <v>10.895817915345081</v>
      </c>
      <c r="N216" s="17">
        <f t="shared" si="35"/>
        <v>201.43772299580306</v>
      </c>
    </row>
    <row r="217" spans="1:14" x14ac:dyDescent="0.25">
      <c r="A217">
        <v>374</v>
      </c>
      <c r="B217">
        <v>390</v>
      </c>
      <c r="C217" t="s">
        <v>51</v>
      </c>
      <c r="D217" t="s">
        <v>377</v>
      </c>
      <c r="E217" s="2">
        <v>3066000</v>
      </c>
      <c r="F217" s="2" t="s">
        <v>163</v>
      </c>
      <c r="G217" s="2"/>
      <c r="H217" s="2">
        <v>24</v>
      </c>
      <c r="I217" s="12">
        <v>3066000.0000000005</v>
      </c>
      <c r="J217" s="17">
        <f t="shared" si="35"/>
        <v>2291472.7782487329</v>
      </c>
      <c r="K217" s="17">
        <f t="shared" si="35"/>
        <v>512107.63946251047</v>
      </c>
      <c r="L217" s="17">
        <f t="shared" si="35"/>
        <v>45414.703477564042</v>
      </c>
      <c r="M217" s="17">
        <f t="shared" si="35"/>
        <v>11135.525909482676</v>
      </c>
      <c r="N217" s="17">
        <f t="shared" si="35"/>
        <v>205869.35290171078</v>
      </c>
    </row>
    <row r="218" spans="1:14" x14ac:dyDescent="0.25">
      <c r="A218">
        <v>375</v>
      </c>
      <c r="B218">
        <v>391</v>
      </c>
      <c r="C218" t="s">
        <v>51</v>
      </c>
      <c r="D218" t="s">
        <v>410</v>
      </c>
      <c r="E218" s="2">
        <v>1303000</v>
      </c>
      <c r="F218" s="2" t="s">
        <v>164</v>
      </c>
      <c r="G218" s="2"/>
      <c r="H218" s="2">
        <v>24</v>
      </c>
      <c r="I218" s="12">
        <v>1302999.9999999998</v>
      </c>
      <c r="J218" s="17">
        <f t="shared" si="35"/>
        <v>973838.56166278466</v>
      </c>
      <c r="K218" s="17">
        <f t="shared" si="35"/>
        <v>217637.39537496769</v>
      </c>
      <c r="L218" s="17">
        <f t="shared" si="35"/>
        <v>19300.508359838856</v>
      </c>
      <c r="M218" s="17">
        <f t="shared" si="35"/>
        <v>4732.4169145648793</v>
      </c>
      <c r="N218" s="17">
        <f t="shared" si="35"/>
        <v>87491.117687843784</v>
      </c>
    </row>
    <row r="219" spans="1:14" x14ac:dyDescent="0.25">
      <c r="A219">
        <v>376</v>
      </c>
      <c r="B219">
        <v>392</v>
      </c>
      <c r="C219" t="s">
        <v>51</v>
      </c>
      <c r="D219" t="s">
        <v>411</v>
      </c>
      <c r="E219" s="2">
        <v>70000</v>
      </c>
      <c r="F219" s="2" t="s">
        <v>166</v>
      </c>
      <c r="G219" s="2"/>
      <c r="H219" s="2">
        <v>24</v>
      </c>
      <c r="I219" s="12">
        <v>69999.999999999985</v>
      </c>
      <c r="J219" s="17">
        <f t="shared" si="35"/>
        <v>52316.730097003012</v>
      </c>
      <c r="K219" s="17">
        <f t="shared" si="35"/>
        <v>11691.955238870098</v>
      </c>
      <c r="L219" s="17">
        <f t="shared" si="35"/>
        <v>1036.865376200092</v>
      </c>
      <c r="M219" s="17">
        <f t="shared" si="35"/>
        <v>254.23575135805186</v>
      </c>
      <c r="N219" s="17">
        <f t="shared" si="35"/>
        <v>4700.2135365687373</v>
      </c>
    </row>
    <row r="220" spans="1:14" x14ac:dyDescent="0.25">
      <c r="A220">
        <v>377</v>
      </c>
      <c r="B220">
        <v>393</v>
      </c>
      <c r="C220" t="s">
        <v>51</v>
      </c>
      <c r="D220" t="s">
        <v>412</v>
      </c>
      <c r="E220" s="2">
        <v>17000</v>
      </c>
      <c r="F220" s="2" t="s">
        <v>168</v>
      </c>
      <c r="G220" s="2"/>
      <c r="H220" s="2">
        <v>24</v>
      </c>
      <c r="I220" s="12">
        <v>16999.999999999996</v>
      </c>
      <c r="J220" s="17">
        <f t="shared" si="35"/>
        <v>12705.491594986446</v>
      </c>
      <c r="K220" s="17">
        <f t="shared" si="35"/>
        <v>2839.4748437255948</v>
      </c>
      <c r="L220" s="17">
        <f t="shared" si="35"/>
        <v>251.81016279145089</v>
      </c>
      <c r="M220" s="17">
        <f t="shared" si="35"/>
        <v>61.742968186955451</v>
      </c>
      <c r="N220" s="17">
        <f t="shared" si="35"/>
        <v>1141.4804303095505</v>
      </c>
    </row>
    <row r="221" spans="1:14" x14ac:dyDescent="0.25">
      <c r="A221">
        <v>378</v>
      </c>
      <c r="B221">
        <v>394</v>
      </c>
      <c r="C221" t="s">
        <v>51</v>
      </c>
      <c r="D221" t="s">
        <v>413</v>
      </c>
      <c r="E221" s="2">
        <v>235000</v>
      </c>
      <c r="F221" s="2" t="s">
        <v>170</v>
      </c>
      <c r="G221" s="2"/>
      <c r="H221" s="2">
        <v>24</v>
      </c>
      <c r="I221" s="12">
        <v>234999.99999999997</v>
      </c>
      <c r="J221" s="17">
        <f t="shared" si="35"/>
        <v>175634.7367542244</v>
      </c>
      <c r="K221" s="17">
        <f t="shared" si="35"/>
        <v>39251.564016206758</v>
      </c>
      <c r="L221" s="17">
        <f t="shared" si="35"/>
        <v>3480.9051915288806</v>
      </c>
      <c r="M221" s="17">
        <f t="shared" si="35"/>
        <v>853.5057367020313</v>
      </c>
      <c r="N221" s="17">
        <f t="shared" si="35"/>
        <v>15779.288301337905</v>
      </c>
    </row>
    <row r="222" spans="1:14" x14ac:dyDescent="0.25">
      <c r="A222">
        <v>379</v>
      </c>
      <c r="B222">
        <v>395</v>
      </c>
      <c r="C222" t="s">
        <v>51</v>
      </c>
      <c r="D222" t="s">
        <v>414</v>
      </c>
      <c r="E222" s="2">
        <v>22000</v>
      </c>
      <c r="F222" s="2" t="s">
        <v>172</v>
      </c>
      <c r="G222" s="2"/>
      <c r="H222" s="2">
        <v>24</v>
      </c>
      <c r="I222" s="12">
        <v>22000</v>
      </c>
      <c r="J222" s="17">
        <f t="shared" si="35"/>
        <v>16442.400887629523</v>
      </c>
      <c r="K222" s="17">
        <f t="shared" si="35"/>
        <v>3674.6145036448884</v>
      </c>
      <c r="L222" s="17">
        <f t="shared" si="35"/>
        <v>325.87197537717185</v>
      </c>
      <c r="M222" s="17">
        <f t="shared" si="35"/>
        <v>79.902664712530594</v>
      </c>
      <c r="N222" s="17">
        <f t="shared" si="35"/>
        <v>1477.2099686358893</v>
      </c>
    </row>
    <row r="223" spans="1:14" x14ac:dyDescent="0.25">
      <c r="A223">
        <v>380</v>
      </c>
      <c r="B223">
        <v>396</v>
      </c>
      <c r="C223" t="s">
        <v>51</v>
      </c>
      <c r="D223" t="s">
        <v>415</v>
      </c>
      <c r="E223" s="2">
        <v>83000</v>
      </c>
      <c r="F223" s="2" t="s">
        <v>174</v>
      </c>
      <c r="G223" s="2"/>
      <c r="H223" s="2">
        <v>24</v>
      </c>
      <c r="I223" s="12">
        <v>83000</v>
      </c>
      <c r="J223" s="17">
        <f t="shared" si="35"/>
        <v>62032.694257875009</v>
      </c>
      <c r="K223" s="17">
        <f t="shared" si="35"/>
        <v>13863.318354660261</v>
      </c>
      <c r="L223" s="17">
        <f t="shared" si="35"/>
        <v>1229.4260889229665</v>
      </c>
      <c r="M223" s="17">
        <f t="shared" si="35"/>
        <v>301.45096232454728</v>
      </c>
      <c r="N223" s="17">
        <f t="shared" si="35"/>
        <v>5573.1103362172189</v>
      </c>
    </row>
    <row r="224" spans="1:14" x14ac:dyDescent="0.25">
      <c r="A224">
        <v>381</v>
      </c>
      <c r="B224">
        <v>397</v>
      </c>
      <c r="C224" t="s">
        <v>51</v>
      </c>
      <c r="D224" t="s">
        <v>416</v>
      </c>
      <c r="E224" s="2">
        <v>268000</v>
      </c>
      <c r="F224" s="2" t="s">
        <v>176</v>
      </c>
      <c r="G224" s="2"/>
      <c r="H224" s="2">
        <v>24</v>
      </c>
      <c r="I224" s="12">
        <v>268000</v>
      </c>
      <c r="J224" s="17">
        <f t="shared" si="35"/>
        <v>200298.33808566871</v>
      </c>
      <c r="K224" s="17">
        <f t="shared" si="35"/>
        <v>44763.485771674095</v>
      </c>
      <c r="L224" s="17">
        <f t="shared" si="35"/>
        <v>3969.7131545946386</v>
      </c>
      <c r="M224" s="17">
        <f t="shared" si="35"/>
        <v>973.35973377082735</v>
      </c>
      <c r="N224" s="17">
        <f t="shared" si="35"/>
        <v>17995.103254291742</v>
      </c>
    </row>
    <row r="225" spans="1:14" x14ac:dyDescent="0.25">
      <c r="A225">
        <v>382</v>
      </c>
      <c r="B225">
        <v>398</v>
      </c>
      <c r="C225" t="s">
        <v>51</v>
      </c>
      <c r="D225" t="s">
        <v>417</v>
      </c>
      <c r="E225" s="2">
        <v>14000</v>
      </c>
      <c r="F225" s="2" t="s">
        <v>178</v>
      </c>
      <c r="G225" s="2"/>
      <c r="H225" s="2">
        <v>24</v>
      </c>
      <c r="I225" s="12">
        <v>13999.999999999998</v>
      </c>
      <c r="J225" s="17">
        <f t="shared" si="35"/>
        <v>10463.346019400604</v>
      </c>
      <c r="K225" s="17">
        <f t="shared" si="35"/>
        <v>2338.3910477740196</v>
      </c>
      <c r="L225" s="17">
        <f t="shared" si="35"/>
        <v>207.37307524001841</v>
      </c>
      <c r="M225" s="17">
        <f t="shared" si="35"/>
        <v>50.847150271610374</v>
      </c>
      <c r="N225" s="17">
        <f t="shared" si="35"/>
        <v>940.04270731374754</v>
      </c>
    </row>
    <row r="226" spans="1:14" x14ac:dyDescent="0.25">
      <c r="A226">
        <v>383</v>
      </c>
      <c r="D226" t="s">
        <v>418</v>
      </c>
      <c r="E226" s="2">
        <f>SUM(E216:E225)</f>
        <v>5081000</v>
      </c>
      <c r="F226" s="2"/>
      <c r="G226" s="2"/>
      <c r="H226" s="2"/>
      <c r="I226" s="12">
        <f t="shared" ref="I226:N226" si="36">SUM(I216:I225)</f>
        <v>5081000</v>
      </c>
      <c r="J226" s="12">
        <f t="shared" si="36"/>
        <v>3797447.2231838913</v>
      </c>
      <c r="K226" s="12">
        <f t="shared" si="36"/>
        <v>848668.92240998545</v>
      </c>
      <c r="L226" s="12">
        <f t="shared" si="36"/>
        <v>75261.613949609542</v>
      </c>
      <c r="M226" s="12">
        <f t="shared" si="36"/>
        <v>18453.883609289456</v>
      </c>
      <c r="N226" s="12">
        <f t="shared" si="36"/>
        <v>341168.35684722511</v>
      </c>
    </row>
    <row r="227" spans="1:14" x14ac:dyDescent="0.25">
      <c r="A227">
        <v>384</v>
      </c>
      <c r="E227" s="2"/>
      <c r="F227" s="2"/>
      <c r="G227" s="2"/>
      <c r="H227" s="2"/>
      <c r="I227" s="12"/>
      <c r="J227" s="12"/>
      <c r="K227" s="12"/>
      <c r="L227" s="12"/>
      <c r="M227" s="12"/>
      <c r="N227" s="12"/>
    </row>
    <row r="228" spans="1:14" x14ac:dyDescent="0.25">
      <c r="A228">
        <v>385</v>
      </c>
      <c r="D228" t="s">
        <v>419</v>
      </c>
      <c r="E228" s="2">
        <f>+E213+E226+E198</f>
        <v>13341000</v>
      </c>
      <c r="F228" s="2" t="s">
        <v>420</v>
      </c>
      <c r="G228" s="2"/>
      <c r="H228" s="2"/>
      <c r="I228" s="12">
        <f t="shared" ref="I228:N228" si="37">+I213+I226+I198</f>
        <v>14283000</v>
      </c>
      <c r="J228" s="12">
        <f t="shared" si="37"/>
        <v>10834311.681168027</v>
      </c>
      <c r="K228" s="12">
        <f t="shared" si="37"/>
        <v>2281282.0589894159</v>
      </c>
      <c r="L228" s="12">
        <f t="shared" si="37"/>
        <v>197340.18929742015</v>
      </c>
      <c r="M228" s="12">
        <f t="shared" si="37"/>
        <v>48876.51272368322</v>
      </c>
      <c r="N228" s="12">
        <f t="shared" si="37"/>
        <v>921189.5578214553</v>
      </c>
    </row>
    <row r="229" spans="1:14" x14ac:dyDescent="0.25">
      <c r="A229">
        <v>386</v>
      </c>
      <c r="E229" s="2"/>
      <c r="F229" s="2"/>
      <c r="G229" s="2"/>
      <c r="H229" s="2"/>
      <c r="I229" s="12"/>
      <c r="J229" s="12"/>
      <c r="K229" s="12"/>
      <c r="L229" s="12"/>
      <c r="M229" s="12"/>
      <c r="N229" s="12"/>
    </row>
    <row r="230" spans="1:14" x14ac:dyDescent="0.25">
      <c r="A230">
        <v>387</v>
      </c>
      <c r="D230" t="s">
        <v>184</v>
      </c>
      <c r="E230" s="2"/>
      <c r="F230" s="2"/>
      <c r="G230" s="2"/>
      <c r="H230" s="2"/>
      <c r="I230" s="12"/>
      <c r="J230" s="12"/>
      <c r="K230" s="12"/>
      <c r="L230" s="12"/>
      <c r="M230" s="12"/>
      <c r="N230" s="12"/>
    </row>
    <row r="231" spans="1:14" x14ac:dyDescent="0.25">
      <c r="A231">
        <v>388</v>
      </c>
      <c r="D231" t="s">
        <v>421</v>
      </c>
      <c r="E231" s="2"/>
      <c r="F231" s="2"/>
      <c r="G231" s="2"/>
      <c r="H231" s="2"/>
      <c r="I231" s="12"/>
      <c r="J231" s="12"/>
      <c r="K231" s="12"/>
      <c r="L231" s="12"/>
      <c r="M231" s="12"/>
      <c r="N231" s="12"/>
    </row>
    <row r="232" spans="1:14" x14ac:dyDescent="0.25">
      <c r="A232">
        <v>389</v>
      </c>
      <c r="C232" t="s">
        <v>51</v>
      </c>
      <c r="D232" t="s">
        <v>422</v>
      </c>
      <c r="E232" s="2">
        <v>0</v>
      </c>
      <c r="F232" s="2" t="s">
        <v>61</v>
      </c>
      <c r="G232" s="2"/>
      <c r="H232" s="2"/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</row>
    <row r="233" spans="1:14" x14ac:dyDescent="0.25">
      <c r="A233">
        <v>390</v>
      </c>
      <c r="C233" t="s">
        <v>49</v>
      </c>
      <c r="D233" t="s">
        <v>423</v>
      </c>
      <c r="E233" s="2">
        <v>0</v>
      </c>
      <c r="F233" s="2" t="s">
        <v>59</v>
      </c>
      <c r="G233" s="2"/>
      <c r="H233" s="2"/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</row>
    <row r="234" spans="1:14" x14ac:dyDescent="0.25">
      <c r="A234">
        <v>391</v>
      </c>
      <c r="C234" t="s">
        <v>51</v>
      </c>
      <c r="D234" t="s">
        <v>424</v>
      </c>
      <c r="E234" s="2">
        <v>1395000</v>
      </c>
      <c r="F234" s="2" t="s">
        <v>61</v>
      </c>
      <c r="G234" s="2"/>
      <c r="H234" s="2">
        <v>24</v>
      </c>
      <c r="I234" s="12">
        <v>1394999.9999999998</v>
      </c>
      <c r="J234" s="17">
        <f>+INDEX(Alloc,$H234,J$1)*$I234</f>
        <v>1042597.6926474172</v>
      </c>
      <c r="K234" s="17">
        <f>+INDEX(Alloc,$H234,K$1)*$I234</f>
        <v>233003.96511748267</v>
      </c>
      <c r="L234" s="17">
        <f>+INDEX(Alloc,$H234,L$1)*$I234</f>
        <v>20663.245711416119</v>
      </c>
      <c r="M234" s="17">
        <f>+INDEX(Alloc,$H234,M$1)*$I234</f>
        <v>5066.5553306354623</v>
      </c>
      <c r="N234" s="17">
        <f>+INDEX(Alloc,$H234,N$1)*$I234</f>
        <v>93668.541193048412</v>
      </c>
    </row>
    <row r="235" spans="1:14" x14ac:dyDescent="0.25">
      <c r="A235">
        <v>392</v>
      </c>
      <c r="C235" t="s">
        <v>49</v>
      </c>
      <c r="D235" t="s">
        <v>425</v>
      </c>
      <c r="E235" s="2">
        <v>0</v>
      </c>
      <c r="F235" s="2" t="s">
        <v>61</v>
      </c>
      <c r="G235" s="2"/>
      <c r="H235" s="2"/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</row>
    <row r="236" spans="1:14" x14ac:dyDescent="0.25">
      <c r="A236">
        <v>393</v>
      </c>
      <c r="D236" t="s">
        <v>426</v>
      </c>
      <c r="E236" s="2">
        <f>SUM(E232:E235)</f>
        <v>1395000</v>
      </c>
      <c r="F236" s="2"/>
      <c r="G236" s="2"/>
      <c r="H236" s="2"/>
      <c r="I236" s="12">
        <f t="shared" ref="I236:N236" si="38">SUM(I232:I235)</f>
        <v>1394999.9999999998</v>
      </c>
      <c r="J236" s="12">
        <f t="shared" si="38"/>
        <v>1042597.6926474172</v>
      </c>
      <c r="K236" s="12">
        <f t="shared" si="38"/>
        <v>233003.96511748267</v>
      </c>
      <c r="L236" s="12">
        <f t="shared" si="38"/>
        <v>20663.245711416119</v>
      </c>
      <c r="M236" s="12">
        <f t="shared" si="38"/>
        <v>5066.5553306354623</v>
      </c>
      <c r="N236" s="12">
        <f t="shared" si="38"/>
        <v>93668.541193048412</v>
      </c>
    </row>
    <row r="237" spans="1:14" x14ac:dyDescent="0.25">
      <c r="A237">
        <v>394</v>
      </c>
      <c r="E237" s="2"/>
      <c r="F237" s="2"/>
      <c r="G237" s="2"/>
      <c r="H237" s="2"/>
      <c r="I237" s="12"/>
      <c r="J237" s="12"/>
      <c r="K237" s="12"/>
      <c r="L237" s="12"/>
      <c r="M237" s="12"/>
      <c r="N237" s="12"/>
    </row>
    <row r="238" spans="1:14" x14ac:dyDescent="0.25">
      <c r="A238">
        <v>395</v>
      </c>
      <c r="D238" t="s">
        <v>427</v>
      </c>
      <c r="E238" s="2">
        <f>+E228+E236</f>
        <v>14736000</v>
      </c>
      <c r="F238" s="2" t="s">
        <v>428</v>
      </c>
      <c r="G238" s="2"/>
      <c r="H238" s="2"/>
      <c r="I238" s="12">
        <f t="shared" ref="I238:N238" si="39">+I228+I236</f>
        <v>15678000</v>
      </c>
      <c r="J238" s="12">
        <f t="shared" si="39"/>
        <v>11876909.373815445</v>
      </c>
      <c r="K238" s="12">
        <f t="shared" si="39"/>
        <v>2514286.0241068983</v>
      </c>
      <c r="L238" s="12">
        <f t="shared" si="39"/>
        <v>218003.43500883627</v>
      </c>
      <c r="M238" s="12">
        <f t="shared" si="39"/>
        <v>53943.068054318683</v>
      </c>
      <c r="N238" s="12">
        <f t="shared" si="39"/>
        <v>1014858.0990145036</v>
      </c>
    </row>
    <row r="239" spans="1:14" x14ac:dyDescent="0.25">
      <c r="A239">
        <v>396</v>
      </c>
      <c r="E239" s="2"/>
      <c r="F239" s="2"/>
      <c r="G239" s="2"/>
      <c r="H239" s="2"/>
      <c r="I239" s="12"/>
      <c r="J239" s="12"/>
      <c r="K239" s="12"/>
      <c r="L239" s="12"/>
      <c r="M239" s="12"/>
      <c r="N239" s="12"/>
    </row>
    <row r="240" spans="1:14" x14ac:dyDescent="0.25">
      <c r="A240">
        <v>397</v>
      </c>
      <c r="D240" t="s">
        <v>429</v>
      </c>
      <c r="E240" s="2">
        <f>+E178+E186+E238</f>
        <v>134833000</v>
      </c>
      <c r="F240" s="2" t="s">
        <v>430</v>
      </c>
      <c r="G240" s="2"/>
      <c r="H240" s="2"/>
      <c r="I240" s="12">
        <f t="shared" ref="I240:N240" si="40">+I178+I186+I238</f>
        <v>135775000.01391649</v>
      </c>
      <c r="J240" s="12">
        <f t="shared" si="40"/>
        <v>98410411.458043993</v>
      </c>
      <c r="K240" s="12">
        <f t="shared" si="40"/>
        <v>30205566.237518322</v>
      </c>
      <c r="L240" s="12">
        <f t="shared" si="40"/>
        <v>3411928.3227354619</v>
      </c>
      <c r="M240" s="12">
        <f t="shared" si="40"/>
        <v>718749.34845872258</v>
      </c>
      <c r="N240" s="12">
        <f t="shared" si="40"/>
        <v>3028344.6471599885</v>
      </c>
    </row>
    <row r="241" spans="1:14" x14ac:dyDescent="0.25">
      <c r="A241">
        <v>398</v>
      </c>
      <c r="E241" s="2"/>
      <c r="F241" s="2"/>
      <c r="G241" s="2"/>
      <c r="H241" s="2"/>
      <c r="I241" s="12"/>
      <c r="J241" s="12"/>
      <c r="K241" s="12"/>
      <c r="L241" s="12"/>
      <c r="M241" s="12"/>
      <c r="N241" s="12"/>
    </row>
    <row r="242" spans="1:14" x14ac:dyDescent="0.25">
      <c r="D242" t="s">
        <v>500</v>
      </c>
      <c r="E242" s="2"/>
      <c r="F242" s="2"/>
      <c r="G242" s="2"/>
      <c r="H242" s="2">
        <v>34</v>
      </c>
      <c r="I242" s="12">
        <v>6702000</v>
      </c>
      <c r="J242" s="17">
        <f>+INDEX(Alloc,$H242,J$1)*$I242</f>
        <v>4958724.3301639259</v>
      </c>
      <c r="K242" s="17">
        <f>+INDEX(Alloc,$H242,K$1)*$I242</f>
        <v>1171109.5345450568</v>
      </c>
      <c r="L242" s="17">
        <f>+INDEX(Alloc,$H242,L$1)*$I242</f>
        <v>105645.39669359023</v>
      </c>
      <c r="M242" s="17">
        <f>+INDEX(Alloc,$H242,M$1)*$I242</f>
        <v>25804.632620908229</v>
      </c>
      <c r="N242" s="17">
        <f>+INDEX(Alloc,$H242,N$1)*$I242</f>
        <v>440716.10597651941</v>
      </c>
    </row>
    <row r="243" spans="1:14" x14ac:dyDescent="0.25">
      <c r="E243" s="2"/>
      <c r="F243" s="2"/>
      <c r="G243" s="2"/>
      <c r="H243" s="2"/>
      <c r="I243" s="12"/>
      <c r="J243" s="12"/>
      <c r="K243" s="12"/>
      <c r="L243" s="12"/>
      <c r="M243" s="12"/>
      <c r="N243" s="12"/>
    </row>
    <row r="244" spans="1:14" x14ac:dyDescent="0.25">
      <c r="A244">
        <v>399</v>
      </c>
      <c r="D244" t="s">
        <v>431</v>
      </c>
      <c r="E244" s="2"/>
      <c r="F244" s="2" t="s">
        <v>432</v>
      </c>
      <c r="G244" s="2" t="s">
        <v>433</v>
      </c>
      <c r="H244" s="2"/>
      <c r="I244" s="12">
        <f>+Revenue!I22+Expenses!I240+Expenses!I242</f>
        <v>-7957999.9860835373</v>
      </c>
      <c r="J244" s="12">
        <f>+Revenue!J22+Expenses!J240+Expenses!J242</f>
        <v>-6015294.168959707</v>
      </c>
      <c r="K244" s="12">
        <f>+Revenue!K22+Expenses!K240+Expenses!K242</f>
        <v>-2762035.1706647016</v>
      </c>
      <c r="L244" s="12">
        <f>+Revenue!L22+Expenses!L240+Expenses!L242</f>
        <v>-275326.75662274694</v>
      </c>
      <c r="M244" s="12">
        <f>+Revenue!M22+Expenses!M240+Expenses!M242</f>
        <v>6953.2881849431687</v>
      </c>
      <c r="N244" s="12">
        <f>+Revenue!N22+Expenses!N240+Expenses!N242</f>
        <v>1087702.8219786559</v>
      </c>
    </row>
    <row r="245" spans="1:14" x14ac:dyDescent="0.25">
      <c r="A245">
        <v>400</v>
      </c>
      <c r="E245" s="2"/>
      <c r="F245" s="2"/>
      <c r="G245" s="2"/>
      <c r="H245" s="2"/>
      <c r="I245" s="12"/>
      <c r="J245" s="12"/>
      <c r="K245" s="12"/>
      <c r="L245" s="12"/>
      <c r="M245" s="12"/>
      <c r="N245" s="12"/>
    </row>
    <row r="246" spans="1:14" x14ac:dyDescent="0.25">
      <c r="A246">
        <v>401</v>
      </c>
      <c r="D246" t="s">
        <v>434</v>
      </c>
      <c r="E246" s="2"/>
      <c r="F246" s="2"/>
      <c r="G246" s="2"/>
      <c r="H246" s="2"/>
      <c r="I246" s="12"/>
      <c r="J246" s="12"/>
      <c r="K246" s="12"/>
      <c r="L246" s="12"/>
      <c r="M246" s="12"/>
      <c r="N246" s="12"/>
    </row>
    <row r="247" spans="1:14" x14ac:dyDescent="0.25">
      <c r="A247">
        <v>402</v>
      </c>
      <c r="C247" t="s">
        <v>53</v>
      </c>
      <c r="D247" t="s">
        <v>435</v>
      </c>
      <c r="E247" s="2">
        <v>-323000</v>
      </c>
      <c r="F247" s="2" t="s">
        <v>436</v>
      </c>
      <c r="G247" s="2"/>
      <c r="H247" s="2"/>
      <c r="I247" s="12">
        <v>-323000.00000000064</v>
      </c>
      <c r="J247" s="17">
        <f t="shared" ref="J247:N250" si="41">+J$244/$I$244*$I247</f>
        <v>-244149.28624926912</v>
      </c>
      <c r="K247" s="17">
        <f t="shared" si="41"/>
        <v>-112105.72526826031</v>
      </c>
      <c r="L247" s="17">
        <f t="shared" si="41"/>
        <v>-11174.986497193229</v>
      </c>
      <c r="M247" s="17">
        <f t="shared" si="41"/>
        <v>282.22066947275209</v>
      </c>
      <c r="N247" s="17">
        <f t="shared" si="41"/>
        <v>44147.777345248483</v>
      </c>
    </row>
    <row r="248" spans="1:14" x14ac:dyDescent="0.25">
      <c r="A248">
        <v>403</v>
      </c>
      <c r="C248" t="s">
        <v>53</v>
      </c>
      <c r="D248" t="s">
        <v>437</v>
      </c>
      <c r="E248" s="2">
        <v>-748000</v>
      </c>
      <c r="F248" s="2" t="s">
        <v>436</v>
      </c>
      <c r="G248" s="2"/>
      <c r="H248" s="2"/>
      <c r="I248" s="12">
        <v>-748000.00000000151</v>
      </c>
      <c r="J248" s="17">
        <f t="shared" si="41"/>
        <v>-565398.3471035707</v>
      </c>
      <c r="K248" s="17">
        <f t="shared" si="41"/>
        <v>-259613.25851597128</v>
      </c>
      <c r="L248" s="17">
        <f t="shared" si="41"/>
        <v>-25878.916098763271</v>
      </c>
      <c r="M248" s="17">
        <f t="shared" si="41"/>
        <v>653.56365562111023</v>
      </c>
      <c r="N248" s="17">
        <f t="shared" si="41"/>
        <v>102236.95806268071</v>
      </c>
    </row>
    <row r="249" spans="1:14" x14ac:dyDescent="0.25">
      <c r="A249">
        <v>404</v>
      </c>
      <c r="C249" t="s">
        <v>53</v>
      </c>
      <c r="D249" t="s">
        <v>438</v>
      </c>
      <c r="E249" s="2">
        <v>-25000</v>
      </c>
      <c r="F249" s="2" t="s">
        <v>436</v>
      </c>
      <c r="G249" s="2"/>
      <c r="H249" s="2"/>
      <c r="I249" s="12">
        <v>-25000.000000000047</v>
      </c>
      <c r="J249" s="17">
        <f t="shared" si="41"/>
        <v>-18897.003579664794</v>
      </c>
      <c r="K249" s="17">
        <f t="shared" si="41"/>
        <v>-8676.9137204535837</v>
      </c>
      <c r="L249" s="17">
        <f t="shared" si="41"/>
        <v>-864.93703538647287</v>
      </c>
      <c r="M249" s="17">
        <f t="shared" si="41"/>
        <v>21.84370506755047</v>
      </c>
      <c r="N249" s="17">
        <f t="shared" si="41"/>
        <v>3417.0106304371889</v>
      </c>
    </row>
    <row r="250" spans="1:14" x14ac:dyDescent="0.25">
      <c r="A250">
        <v>405</v>
      </c>
      <c r="C250" t="s">
        <v>53</v>
      </c>
      <c r="D250" t="s">
        <v>439</v>
      </c>
      <c r="E250" s="2">
        <v>4568000</v>
      </c>
      <c r="F250" s="2" t="s">
        <v>436</v>
      </c>
      <c r="G250" s="2"/>
      <c r="H250" s="2"/>
      <c r="I250" s="12">
        <v>4568000.0000000093</v>
      </c>
      <c r="J250" s="17">
        <f t="shared" si="41"/>
        <v>3452860.4940763512</v>
      </c>
      <c r="K250" s="17">
        <f t="shared" si="41"/>
        <v>1585445.6750012792</v>
      </c>
      <c r="L250" s="17">
        <f t="shared" si="41"/>
        <v>158041.29510581633</v>
      </c>
      <c r="M250" s="17">
        <f t="shared" si="41"/>
        <v>-3991.2817899428228</v>
      </c>
      <c r="N250" s="17">
        <f t="shared" si="41"/>
        <v>-624356.18239348324</v>
      </c>
    </row>
    <row r="251" spans="1:14" x14ac:dyDescent="0.25">
      <c r="A251">
        <v>406</v>
      </c>
      <c r="D251" t="s">
        <v>440</v>
      </c>
      <c r="E251" s="2">
        <f>SUM(E247:E250)</f>
        <v>3472000</v>
      </c>
      <c r="F251" s="2"/>
      <c r="G251" s="2"/>
      <c r="H251" s="2"/>
      <c r="I251" s="12">
        <f t="shared" ref="I251:N251" si="42">SUM(I247:I250)</f>
        <v>3472000.0000000075</v>
      </c>
      <c r="J251" s="12">
        <f t="shared" si="42"/>
        <v>2624415.8571438463</v>
      </c>
      <c r="K251" s="12">
        <f t="shared" si="42"/>
        <v>1205049.777496594</v>
      </c>
      <c r="L251" s="12">
        <f t="shared" si="42"/>
        <v>120122.45547447336</v>
      </c>
      <c r="M251" s="12">
        <f t="shared" si="42"/>
        <v>-3033.6537597814099</v>
      </c>
      <c r="N251" s="12">
        <f t="shared" si="42"/>
        <v>-474554.43635511684</v>
      </c>
    </row>
    <row r="252" spans="1:14" x14ac:dyDescent="0.25">
      <c r="A252">
        <v>407</v>
      </c>
      <c r="E252" s="2"/>
      <c r="F252" s="2"/>
      <c r="G252" s="2"/>
      <c r="H252" s="2"/>
      <c r="I252" s="12"/>
      <c r="J252" s="12"/>
      <c r="K252" s="12"/>
      <c r="L252" s="12"/>
      <c r="M252" s="12"/>
      <c r="N252" s="12"/>
    </row>
    <row r="253" spans="1:14" x14ac:dyDescent="0.25">
      <c r="A253">
        <v>408</v>
      </c>
      <c r="D253" t="s">
        <v>441</v>
      </c>
      <c r="E253" s="2">
        <f>+E240+E251</f>
        <v>138305000</v>
      </c>
      <c r="F253" s="2" t="s">
        <v>442</v>
      </c>
      <c r="G253" s="2"/>
      <c r="H253" s="2"/>
      <c r="I253" s="12">
        <f t="shared" ref="I253:N253" si="43">+I240+I251</f>
        <v>139247000.01391649</v>
      </c>
      <c r="J253" s="12">
        <f t="shared" si="43"/>
        <v>101034827.31518784</v>
      </c>
      <c r="K253" s="12">
        <f t="shared" si="43"/>
        <v>31410616.015014917</v>
      </c>
      <c r="L253" s="12">
        <f t="shared" si="43"/>
        <v>3532050.7782099354</v>
      </c>
      <c r="M253" s="12">
        <f t="shared" si="43"/>
        <v>715715.6946989412</v>
      </c>
      <c r="N253" s="12">
        <f t="shared" si="43"/>
        <v>2553790.2108048717</v>
      </c>
    </row>
    <row r="254" spans="1:14" x14ac:dyDescent="0.25">
      <c r="I254" s="12"/>
      <c r="J254" s="12"/>
      <c r="K254" s="12"/>
      <c r="L254" s="12"/>
      <c r="M254" s="12"/>
      <c r="N254" s="12"/>
    </row>
    <row r="255" spans="1:14" x14ac:dyDescent="0.25">
      <c r="D255" t="s">
        <v>501</v>
      </c>
      <c r="I255" s="12">
        <f>-(+Revenue!I22+Expenses!I253)</f>
        <v>11187999.986083537</v>
      </c>
      <c r="J255" s="12">
        <f>-(+Revenue!J22+Expenses!J253)</f>
        <v>8349602.6419797838</v>
      </c>
      <c r="K255" s="12">
        <f>-(+Revenue!K22+Expenses!K253)</f>
        <v>2728094.9277131632</v>
      </c>
      <c r="L255" s="12">
        <f>-(+Revenue!L22+Expenses!L253)</f>
        <v>260849.69784186361</v>
      </c>
      <c r="M255" s="12">
        <f>-(+Revenue!M22+Expenses!M253)</f>
        <v>21884.998195746448</v>
      </c>
      <c r="N255" s="12">
        <f>-(+Revenue!N22+Expenses!N253)</f>
        <v>-172432.27964701969</v>
      </c>
    </row>
    <row r="257" spans="4:14" x14ac:dyDescent="0.25">
      <c r="D257" t="s">
        <v>502</v>
      </c>
      <c r="I257" s="9">
        <f>+I255/'Rate Base'!I127</f>
        <v>4.6070728476237985E-2</v>
      </c>
      <c r="J257" s="9">
        <f>+J255/'Rate Base'!J127</f>
        <v>4.647002310062387E-2</v>
      </c>
      <c r="K257" s="9">
        <f>+K255/'Rate Base'!K127</f>
        <v>6.4289345892987321E-2</v>
      </c>
      <c r="L257" s="9">
        <f>+L255/'Rate Base'!L127</f>
        <v>6.8142302725853018E-2</v>
      </c>
      <c r="M257" s="9">
        <f>+M255/'Rate Base'!M127</f>
        <v>2.3405928848415077E-2</v>
      </c>
      <c r="N257" s="9">
        <f>+N255/'Rate Base'!N127</f>
        <v>-1.0797835166850459E-2</v>
      </c>
    </row>
    <row r="258" spans="4:14" x14ac:dyDescent="0.25">
      <c r="D258" t="s">
        <v>503</v>
      </c>
      <c r="J258" s="10">
        <f>+J257/$I257</f>
        <v>1.0086669917666231</v>
      </c>
      <c r="K258" s="10">
        <f>+K257/$I257</f>
        <v>1.3954488678455779</v>
      </c>
      <c r="L258" s="10">
        <f>+L257/$I257</f>
        <v>1.4790802094870052</v>
      </c>
      <c r="M258" s="10">
        <f>+M257/$I257</f>
        <v>0.50804338508533053</v>
      </c>
      <c r="N258" s="10">
        <f>+N257/$I257</f>
        <v>-0.23437517755812534</v>
      </c>
    </row>
    <row r="262" spans="4:14" x14ac:dyDescent="0.25">
      <c r="D262" s="11" t="s">
        <v>512</v>
      </c>
    </row>
    <row r="263" spans="4:14" x14ac:dyDescent="0.25">
      <c r="D263" s="11" t="s">
        <v>504</v>
      </c>
    </row>
    <row r="264" spans="4:14" x14ac:dyDescent="0.25">
      <c r="D264" s="11" t="s">
        <v>505</v>
      </c>
    </row>
    <row r="265" spans="4:14" x14ac:dyDescent="0.25">
      <c r="D265" s="11" t="s">
        <v>506</v>
      </c>
    </row>
    <row r="267" spans="4:14" x14ac:dyDescent="0.25">
      <c r="D267" s="11" t="s">
        <v>508</v>
      </c>
    </row>
    <row r="268" spans="4:14" x14ac:dyDescent="0.25">
      <c r="D268" s="11" t="s">
        <v>509</v>
      </c>
    </row>
    <row r="269" spans="4:14" x14ac:dyDescent="0.25">
      <c r="D269" s="11" t="s">
        <v>510</v>
      </c>
    </row>
    <row r="270" spans="4:14" x14ac:dyDescent="0.25">
      <c r="D270" s="11" t="s">
        <v>511</v>
      </c>
    </row>
    <row r="271" spans="4:14" x14ac:dyDescent="0.25">
      <c r="D271" s="11" t="s">
        <v>507</v>
      </c>
    </row>
  </sheetData>
  <mergeCells count="3">
    <mergeCell ref="B2:N2"/>
    <mergeCell ref="B3:N3"/>
    <mergeCell ref="B4:N4"/>
  </mergeCells>
  <printOptions horizontalCentered="1"/>
  <pageMargins left="0.7" right="0.7" top="0.75" bottom="0.75" header="0.3" footer="0.3"/>
  <pageSetup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"/>
  <sheetViews>
    <sheetView zoomScale="75" zoomScaleNormal="75" workbookViewId="0">
      <selection activeCell="B2" sqref="B2:N2"/>
    </sheetView>
  </sheetViews>
  <sheetFormatPr defaultRowHeight="15" x14ac:dyDescent="0.25"/>
  <cols>
    <col min="1" max="1" width="4.140625" bestFit="1" customWidth="1"/>
    <col min="2" max="2" width="8" hidden="1" customWidth="1"/>
    <col min="3" max="3" width="5.140625" hidden="1" customWidth="1"/>
    <col min="4" max="4" width="50" bestFit="1" customWidth="1"/>
    <col min="5" max="5" width="12.7109375" hidden="1" customWidth="1"/>
    <col min="6" max="6" width="23.28515625" hidden="1" customWidth="1"/>
    <col min="7" max="7" width="19.28515625" hidden="1" customWidth="1"/>
    <col min="8" max="8" width="16.140625" bestFit="1" customWidth="1"/>
    <col min="9" max="9" width="12.7109375" customWidth="1"/>
    <col min="10" max="10" width="14.28515625" bestFit="1" customWidth="1"/>
    <col min="11" max="14" width="12.7109375" customWidth="1"/>
  </cols>
  <sheetData>
    <row r="1" spans="1:14" x14ac:dyDescent="0.25">
      <c r="J1">
        <v>5</v>
      </c>
      <c r="K1">
        <v>6</v>
      </c>
      <c r="L1">
        <v>7</v>
      </c>
      <c r="M1">
        <v>8</v>
      </c>
      <c r="N1">
        <v>9</v>
      </c>
    </row>
    <row r="2" spans="1:14" x14ac:dyDescent="0.25">
      <c r="B2" s="53" t="s">
        <v>513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x14ac:dyDescent="0.25">
      <c r="B3" s="53" t="s">
        <v>514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x14ac:dyDescent="0.25">
      <c r="B4" s="53" t="s">
        <v>517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4" x14ac:dyDescent="0.25">
      <c r="A5">
        <v>2</v>
      </c>
      <c r="B5" s="24"/>
      <c r="C5" s="24"/>
      <c r="D5" s="24"/>
      <c r="E5" s="25"/>
      <c r="F5" s="25"/>
      <c r="G5" s="25"/>
      <c r="H5" s="25"/>
      <c r="I5" s="24"/>
      <c r="J5" s="24"/>
      <c r="K5" s="24"/>
      <c r="L5" s="24"/>
      <c r="M5" s="24"/>
      <c r="N5" s="24"/>
    </row>
    <row r="6" spans="1:14" x14ac:dyDescent="0.25">
      <c r="A6">
        <v>3</v>
      </c>
      <c r="B6" s="29"/>
      <c r="C6" s="29"/>
      <c r="D6" s="31"/>
      <c r="E6" s="31" t="s">
        <v>0</v>
      </c>
      <c r="F6" s="32"/>
      <c r="G6" s="32"/>
      <c r="H6" s="32"/>
      <c r="I6" s="31"/>
      <c r="J6" s="31"/>
      <c r="K6" s="31"/>
      <c r="L6" s="31"/>
      <c r="M6" s="31"/>
      <c r="N6" s="31"/>
    </row>
    <row r="7" spans="1:14" x14ac:dyDescent="0.25">
      <c r="A7">
        <v>4</v>
      </c>
      <c r="B7" s="29"/>
      <c r="C7" s="29"/>
      <c r="D7" s="33"/>
      <c r="E7" s="34" t="s">
        <v>1</v>
      </c>
      <c r="F7" s="34"/>
      <c r="G7" s="34"/>
      <c r="H7" s="34" t="s">
        <v>464</v>
      </c>
      <c r="I7" s="33"/>
      <c r="J7" s="33"/>
      <c r="K7" s="33"/>
      <c r="L7" s="33"/>
      <c r="M7" s="33"/>
      <c r="N7" s="33"/>
    </row>
    <row r="8" spans="1:14" x14ac:dyDescent="0.25">
      <c r="A8">
        <v>5</v>
      </c>
      <c r="B8" s="29" t="s">
        <v>2</v>
      </c>
      <c r="C8" s="29" t="s">
        <v>3</v>
      </c>
      <c r="D8" s="27" t="s">
        <v>4</v>
      </c>
      <c r="E8" s="28" t="s">
        <v>5</v>
      </c>
      <c r="F8" s="28" t="s">
        <v>6</v>
      </c>
      <c r="G8" s="28" t="s">
        <v>7</v>
      </c>
      <c r="H8" s="28" t="s">
        <v>463</v>
      </c>
      <c r="I8" s="27" t="s">
        <v>8</v>
      </c>
      <c r="J8" s="27" t="s">
        <v>9</v>
      </c>
      <c r="K8" s="27" t="s">
        <v>10</v>
      </c>
      <c r="L8" s="27" t="s">
        <v>11</v>
      </c>
      <c r="M8" s="27" t="s">
        <v>12</v>
      </c>
      <c r="N8" s="27" t="s">
        <v>13</v>
      </c>
    </row>
    <row r="9" spans="1:14" x14ac:dyDescent="0.25">
      <c r="A9">
        <v>6</v>
      </c>
      <c r="E9" s="2"/>
      <c r="F9" s="2"/>
      <c r="G9" s="2"/>
      <c r="H9" s="2"/>
    </row>
    <row r="12" spans="1:14" x14ac:dyDescent="0.25">
      <c r="D12" t="s">
        <v>209</v>
      </c>
    </row>
    <row r="13" spans="1:14" x14ac:dyDescent="0.25">
      <c r="D13" t="s">
        <v>210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</row>
    <row r="14" spans="1:14" x14ac:dyDescent="0.25">
      <c r="D14" t="s">
        <v>211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</row>
    <row r="15" spans="1:14" x14ac:dyDescent="0.25">
      <c r="D15" t="s">
        <v>495</v>
      </c>
      <c r="I15" s="12"/>
      <c r="J15" s="12"/>
      <c r="K15" s="12"/>
      <c r="L15" s="12"/>
      <c r="M15" s="12"/>
      <c r="N15" s="12"/>
    </row>
    <row r="16" spans="1:14" x14ac:dyDescent="0.25">
      <c r="D16" t="s">
        <v>526</v>
      </c>
      <c r="H16">
        <v>26</v>
      </c>
      <c r="I16" s="12">
        <v>417188</v>
      </c>
      <c r="J16" s="17">
        <f>+INDEX(Alloc,$H16,J$1)*$I16</f>
        <v>280152.87458005478</v>
      </c>
      <c r="K16" s="17">
        <f>+INDEX(Alloc,$H16,K$1)*$I16</f>
        <v>110611.30622871844</v>
      </c>
      <c r="L16" s="17">
        <f>+INDEX(Alloc,$H16,L$1)*$I16</f>
        <v>13851.361053547951</v>
      </c>
      <c r="M16" s="17">
        <f>+INDEX(Alloc,$H16,M$1)*$I16</f>
        <v>2986.5025341726623</v>
      </c>
      <c r="N16" s="17">
        <f>+INDEX(Alloc,$H16,N$1)*$I16</f>
        <v>9585.955603506176</v>
      </c>
    </row>
    <row r="17" spans="4:14" x14ac:dyDescent="0.25">
      <c r="D17" t="s">
        <v>218</v>
      </c>
      <c r="I17" s="12">
        <f>SUM(I12:I16)</f>
        <v>417188</v>
      </c>
      <c r="J17" s="12">
        <f t="shared" ref="J17:N17" si="0">SUM(J12:J16)</f>
        <v>280152.87458005478</v>
      </c>
      <c r="K17" s="12">
        <f t="shared" si="0"/>
        <v>110611.30622871844</v>
      </c>
      <c r="L17" s="12">
        <f t="shared" si="0"/>
        <v>13851.361053547951</v>
      </c>
      <c r="M17" s="12">
        <f t="shared" si="0"/>
        <v>2986.5025341726623</v>
      </c>
      <c r="N17" s="12">
        <f t="shared" si="0"/>
        <v>9585.955603506176</v>
      </c>
    </row>
    <row r="18" spans="4:14" x14ac:dyDescent="0.25">
      <c r="I18" s="12"/>
      <c r="J18" s="12"/>
      <c r="K18" s="12"/>
      <c r="L18" s="12"/>
      <c r="M18" s="12"/>
      <c r="N18" s="12"/>
    </row>
    <row r="19" spans="4:14" x14ac:dyDescent="0.25">
      <c r="D19" t="s">
        <v>219</v>
      </c>
      <c r="I19" s="12"/>
      <c r="J19" s="12"/>
      <c r="K19" s="12"/>
      <c r="L19" s="12"/>
      <c r="M19" s="12"/>
      <c r="N19" s="12"/>
    </row>
    <row r="20" spans="4:14" x14ac:dyDescent="0.25">
      <c r="D20" t="s">
        <v>221</v>
      </c>
      <c r="H20">
        <v>23</v>
      </c>
      <c r="I20" s="12">
        <v>9928</v>
      </c>
      <c r="J20" s="17">
        <f>+INDEX(Alloc,$H20,J$1)*$I20</f>
        <v>6693.3831079265774</v>
      </c>
      <c r="K20" s="17">
        <f>+INDEX(Alloc,$H20,K$1)*$I20</f>
        <v>2642.7137318037258</v>
      </c>
      <c r="L20" s="17">
        <f>+INDEX(Alloc,$H20,L$1)*$I20</f>
        <v>330.93526609921315</v>
      </c>
      <c r="M20" s="17">
        <f>+INDEX(Alloc,$H20,M$1)*$I20</f>
        <v>71.353205438193896</v>
      </c>
      <c r="N20" s="17">
        <f>+INDEX(Alloc,$H20,N$1)*$I20</f>
        <v>189.61468873229001</v>
      </c>
    </row>
    <row r="21" spans="4:14" x14ac:dyDescent="0.25">
      <c r="D21" t="s">
        <v>223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</row>
    <row r="22" spans="4:14" x14ac:dyDescent="0.25">
      <c r="D22" t="s">
        <v>225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</row>
    <row r="23" spans="4:14" x14ac:dyDescent="0.25">
      <c r="D23" t="s">
        <v>227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</row>
    <row r="24" spans="4:14" x14ac:dyDescent="0.25">
      <c r="D24" t="s">
        <v>229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</row>
    <row r="25" spans="4:14" x14ac:dyDescent="0.25">
      <c r="D25" t="s">
        <v>231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</row>
    <row r="26" spans="4:14" x14ac:dyDescent="0.25">
      <c r="D26" t="s">
        <v>233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</row>
    <row r="27" spans="4:14" x14ac:dyDescent="0.25">
      <c r="D27" t="s">
        <v>235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</row>
    <row r="28" spans="4:14" x14ac:dyDescent="0.25">
      <c r="D28" t="s">
        <v>237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</row>
    <row r="29" spans="4:14" x14ac:dyDescent="0.25">
      <c r="D29" t="s">
        <v>239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</row>
    <row r="30" spans="4:14" x14ac:dyDescent="0.25">
      <c r="D30" t="s">
        <v>241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</row>
    <row r="31" spans="4:14" x14ac:dyDescent="0.25">
      <c r="D31" t="s">
        <v>242</v>
      </c>
      <c r="I31" s="12">
        <f>SUM(I20:I30)</f>
        <v>9928</v>
      </c>
      <c r="J31" s="12">
        <f t="shared" ref="J31:N31" si="1">SUM(J20:J30)</f>
        <v>6693.3831079265774</v>
      </c>
      <c r="K31" s="12">
        <f t="shared" si="1"/>
        <v>2642.7137318037258</v>
      </c>
      <c r="L31" s="12">
        <f t="shared" si="1"/>
        <v>330.93526609921315</v>
      </c>
      <c r="M31" s="12">
        <f t="shared" si="1"/>
        <v>71.353205438193896</v>
      </c>
      <c r="N31" s="12">
        <f t="shared" si="1"/>
        <v>189.61468873229001</v>
      </c>
    </row>
    <row r="32" spans="4:14" x14ac:dyDescent="0.25">
      <c r="D32" t="s">
        <v>221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</row>
    <row r="33" spans="4:14" x14ac:dyDescent="0.25">
      <c r="D33" t="s">
        <v>223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</row>
    <row r="34" spans="4:14" x14ac:dyDescent="0.25">
      <c r="D34" t="s">
        <v>225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</row>
    <row r="35" spans="4:14" x14ac:dyDescent="0.25">
      <c r="D35" t="s">
        <v>227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</row>
    <row r="36" spans="4:14" x14ac:dyDescent="0.25">
      <c r="D36" t="s">
        <v>229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</row>
    <row r="37" spans="4:14" x14ac:dyDescent="0.25">
      <c r="D37" t="s">
        <v>231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</row>
    <row r="38" spans="4:14" x14ac:dyDescent="0.25">
      <c r="D38" t="s">
        <v>250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</row>
    <row r="39" spans="4:14" x14ac:dyDescent="0.25">
      <c r="D39" t="s">
        <v>73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</row>
    <row r="40" spans="4:14" x14ac:dyDescent="0.25">
      <c r="D40" t="s">
        <v>252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</row>
    <row r="41" spans="4:14" x14ac:dyDescent="0.25">
      <c r="D41" t="s">
        <v>253</v>
      </c>
      <c r="I41" s="12">
        <f>SUM(I31:I40)</f>
        <v>9928</v>
      </c>
      <c r="J41" s="12">
        <f t="shared" ref="J41:N41" si="2">SUM(J31:J40)</f>
        <v>6693.3831079265774</v>
      </c>
      <c r="K41" s="12">
        <f t="shared" si="2"/>
        <v>2642.7137318037258</v>
      </c>
      <c r="L41" s="12">
        <f t="shared" si="2"/>
        <v>330.93526609921315</v>
      </c>
      <c r="M41" s="12">
        <f t="shared" si="2"/>
        <v>71.353205438193896</v>
      </c>
      <c r="N41" s="12">
        <f t="shared" si="2"/>
        <v>189.61468873229001</v>
      </c>
    </row>
    <row r="42" spans="4:14" x14ac:dyDescent="0.25">
      <c r="I42" s="12"/>
      <c r="J42" s="12"/>
      <c r="K42" s="12"/>
      <c r="L42" s="12"/>
      <c r="M42" s="12"/>
      <c r="N42" s="12"/>
    </row>
    <row r="43" spans="4:14" x14ac:dyDescent="0.25">
      <c r="D43" t="s">
        <v>254</v>
      </c>
      <c r="I43" s="12"/>
      <c r="J43" s="12"/>
      <c r="K43" s="12"/>
      <c r="L43" s="12"/>
      <c r="M43" s="12"/>
      <c r="N43" s="12"/>
    </row>
    <row r="44" spans="4:14" x14ac:dyDescent="0.25">
      <c r="D44" t="s">
        <v>221</v>
      </c>
      <c r="H44">
        <v>22</v>
      </c>
      <c r="I44" s="12">
        <v>531588</v>
      </c>
      <c r="J44" s="17">
        <f>+INDEX(Alloc,$H44,J$1)*$I44</f>
        <v>400159.83971427334</v>
      </c>
      <c r="K44" s="17">
        <f>+INDEX(Alloc,$H44,K$1)*$I44</f>
        <v>84914.367669194718</v>
      </c>
      <c r="L44" s="17">
        <f>+INDEX(Alloc,$H44,L$1)*$I44</f>
        <v>7150.1728691614207</v>
      </c>
      <c r="M44" s="17">
        <f>+INDEX(Alloc,$H44,M$1)*$I44</f>
        <v>1791.7428723670375</v>
      </c>
      <c r="N44" s="17">
        <f>+INDEX(Alloc,$H44,N$1)*$I44</f>
        <v>37571.876875003458</v>
      </c>
    </row>
    <row r="45" spans="4:14" x14ac:dyDescent="0.25">
      <c r="D45" t="s">
        <v>258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</row>
    <row r="46" spans="4:14" x14ac:dyDescent="0.25">
      <c r="D46" t="s">
        <v>262</v>
      </c>
      <c r="H46">
        <v>27</v>
      </c>
      <c r="I46" s="12">
        <v>1018235</v>
      </c>
      <c r="J46" s="17">
        <f t="shared" ref="J46:N51" si="3">+INDEX(Alloc,$H46,J$1)*$I46</f>
        <v>777228.32331478992</v>
      </c>
      <c r="K46" s="17">
        <f t="shared" si="3"/>
        <v>151403.11792486822</v>
      </c>
      <c r="L46" s="17">
        <f t="shared" si="3"/>
        <v>13827.494060489356</v>
      </c>
      <c r="M46" s="17">
        <f t="shared" si="3"/>
        <v>3249.9295794258019</v>
      </c>
      <c r="N46" s="17">
        <f t="shared" si="3"/>
        <v>72526.135120426654</v>
      </c>
    </row>
    <row r="47" spans="4:14" x14ac:dyDescent="0.25">
      <c r="D47" t="s">
        <v>265</v>
      </c>
      <c r="H47">
        <v>19</v>
      </c>
      <c r="I47" s="12">
        <v>39204</v>
      </c>
      <c r="J47" s="17">
        <f t="shared" si="3"/>
        <v>24210.087943591319</v>
      </c>
      <c r="K47" s="17">
        <f t="shared" si="3"/>
        <v>9295.6001286631945</v>
      </c>
      <c r="L47" s="17">
        <f t="shared" si="3"/>
        <v>875.36332288784604</v>
      </c>
      <c r="M47" s="17">
        <f t="shared" si="3"/>
        <v>207.89967799359897</v>
      </c>
      <c r="N47" s="17">
        <f t="shared" si="3"/>
        <v>4615.0489268640422</v>
      </c>
    </row>
    <row r="48" spans="4:14" x14ac:dyDescent="0.25">
      <c r="D48" t="s">
        <v>268</v>
      </c>
      <c r="H48">
        <v>15</v>
      </c>
      <c r="I48" s="12">
        <v>1263</v>
      </c>
      <c r="J48" s="17">
        <f t="shared" si="3"/>
        <v>0</v>
      </c>
      <c r="K48" s="17">
        <f t="shared" si="3"/>
        <v>982.13622663811225</v>
      </c>
      <c r="L48" s="17">
        <f t="shared" si="3"/>
        <v>40.655014898332489</v>
      </c>
      <c r="M48" s="17">
        <f t="shared" si="3"/>
        <v>22.514714254042868</v>
      </c>
      <c r="N48" s="17">
        <f t="shared" si="3"/>
        <v>217.6940442095125</v>
      </c>
    </row>
    <row r="49" spans="4:14" x14ac:dyDescent="0.25">
      <c r="D49" t="s">
        <v>271</v>
      </c>
      <c r="H49">
        <v>19</v>
      </c>
      <c r="I49" s="12">
        <v>36137</v>
      </c>
      <c r="J49" s="17">
        <f t="shared" si="3"/>
        <v>22316.088868930707</v>
      </c>
      <c r="K49" s="17">
        <f t="shared" si="3"/>
        <v>8568.3884769284232</v>
      </c>
      <c r="L49" s="17">
        <f t="shared" si="3"/>
        <v>806.8820630343356</v>
      </c>
      <c r="M49" s="17">
        <f t="shared" si="3"/>
        <v>191.63530924534962</v>
      </c>
      <c r="N49" s="17">
        <f t="shared" si="3"/>
        <v>4254.0052818611848</v>
      </c>
    </row>
    <row r="50" spans="4:14" x14ac:dyDescent="0.25">
      <c r="D50" t="s">
        <v>274</v>
      </c>
      <c r="H50">
        <v>13</v>
      </c>
      <c r="I50" s="12">
        <v>299351</v>
      </c>
      <c r="J50" s="17">
        <f t="shared" si="3"/>
        <v>257315.72418232949</v>
      </c>
      <c r="K50" s="17">
        <f t="shared" si="3"/>
        <v>35271.841917552796</v>
      </c>
      <c r="L50" s="17">
        <f t="shared" si="3"/>
        <v>984.19112687223662</v>
      </c>
      <c r="M50" s="17">
        <f t="shared" si="3"/>
        <v>541.00321909614172</v>
      </c>
      <c r="N50" s="17">
        <f t="shared" si="3"/>
        <v>5238.2395541493452</v>
      </c>
    </row>
    <row r="51" spans="4:14" x14ac:dyDescent="0.25">
      <c r="D51" t="s">
        <v>277</v>
      </c>
      <c r="H51">
        <v>11</v>
      </c>
      <c r="I51" s="12">
        <v>597871</v>
      </c>
      <c r="J51" s="17">
        <f t="shared" si="3"/>
        <v>587696.54427032382</v>
      </c>
      <c r="K51" s="17">
        <f t="shared" si="3"/>
        <v>9903.2521274348474</v>
      </c>
      <c r="L51" s="17">
        <f t="shared" si="3"/>
        <v>111.6720715111625</v>
      </c>
      <c r="M51" s="17">
        <f t="shared" si="3"/>
        <v>7.9765765365116073</v>
      </c>
      <c r="N51" s="17">
        <f t="shared" si="3"/>
        <v>151.55495419372053</v>
      </c>
    </row>
    <row r="52" spans="4:14" x14ac:dyDescent="0.25">
      <c r="D52" t="s">
        <v>279</v>
      </c>
      <c r="H52" t="s">
        <v>496</v>
      </c>
      <c r="I52" s="12">
        <v>648426</v>
      </c>
      <c r="J52" s="17">
        <f>(SUM(J44:J51)+J64)/(SUM(I44:I51)+I64)*I52</f>
        <v>521289.98144053546</v>
      </c>
      <c r="K52" s="17">
        <f t="shared" ref="K52:N52" si="4">(SUM(K44:K51)+K64)/(SUM(J44:J51)+J64)*J52</f>
        <v>85297.136859632374</v>
      </c>
      <c r="L52" s="17">
        <f t="shared" si="4"/>
        <v>6425.6612578798231</v>
      </c>
      <c r="M52" s="17">
        <f t="shared" si="4"/>
        <v>1714.0769774220691</v>
      </c>
      <c r="N52" s="17">
        <f t="shared" si="4"/>
        <v>33699.143464530149</v>
      </c>
    </row>
    <row r="53" spans="4:14" x14ac:dyDescent="0.25">
      <c r="D53" t="s">
        <v>241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</row>
    <row r="54" spans="4:14" x14ac:dyDescent="0.25">
      <c r="D54" t="s">
        <v>282</v>
      </c>
      <c r="I54" s="12">
        <f>SUM(I44:I53)</f>
        <v>3172075</v>
      </c>
      <c r="J54" s="12">
        <f t="shared" ref="J54:N54" si="5">SUM(J44:J53)</f>
        <v>2590216.5897347741</v>
      </c>
      <c r="K54" s="12">
        <f t="shared" si="5"/>
        <v>385635.84133091266</v>
      </c>
      <c r="L54" s="12">
        <f t="shared" si="5"/>
        <v>30222.091786734512</v>
      </c>
      <c r="M54" s="12">
        <f t="shared" si="5"/>
        <v>7726.7789263405539</v>
      </c>
      <c r="N54" s="12">
        <f t="shared" si="5"/>
        <v>158273.69822123804</v>
      </c>
    </row>
    <row r="55" spans="4:14" x14ac:dyDescent="0.25">
      <c r="D55" t="s">
        <v>221</v>
      </c>
      <c r="H55">
        <v>22</v>
      </c>
      <c r="I55" s="12">
        <v>32896</v>
      </c>
      <c r="J55" s="17">
        <f>+INDEX(Alloc,$H55,J$1)*$I55</f>
        <v>24762.895489064344</v>
      </c>
      <c r="K55" s="17">
        <f>+INDEX(Alloc,$H55,K$1)*$I55</f>
        <v>5254.7142502197739</v>
      </c>
      <c r="L55" s="17">
        <f>+INDEX(Alloc,$H55,L$1)*$I55</f>
        <v>442.47064776468636</v>
      </c>
      <c r="M55" s="17">
        <f>+INDEX(Alloc,$H55,M$1)*$I55</f>
        <v>110.87754714061654</v>
      </c>
      <c r="N55" s="17">
        <f>+INDEX(Alloc,$H55,N$1)*$I55</f>
        <v>2325.0420658105782</v>
      </c>
    </row>
    <row r="56" spans="4:14" x14ac:dyDescent="0.25">
      <c r="D56" t="s">
        <v>67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</row>
    <row r="57" spans="4:14" x14ac:dyDescent="0.25">
      <c r="D57" t="s">
        <v>79</v>
      </c>
      <c r="H57">
        <v>29</v>
      </c>
      <c r="I57" s="12">
        <v>547879</v>
      </c>
      <c r="J57" s="17">
        <f t="shared" ref="J57:N63" si="6">+INDEX(Alloc,$H57,J$1)*$I57</f>
        <v>338337.89338962524</v>
      </c>
      <c r="K57" s="17">
        <f t="shared" si="6"/>
        <v>129906.74683429911</v>
      </c>
      <c r="L57" s="17">
        <f t="shared" si="6"/>
        <v>12233.271655455314</v>
      </c>
      <c r="M57" s="17">
        <f t="shared" si="6"/>
        <v>2905.4144393290226</v>
      </c>
      <c r="N57" s="17">
        <f t="shared" si="6"/>
        <v>64495.6736812913</v>
      </c>
    </row>
    <row r="58" spans="4:14" x14ac:dyDescent="0.25">
      <c r="D58" t="s">
        <v>265</v>
      </c>
      <c r="H58">
        <v>19</v>
      </c>
      <c r="I58" s="12">
        <v>59177</v>
      </c>
      <c r="J58" s="17">
        <f t="shared" si="6"/>
        <v>36544.239726505039</v>
      </c>
      <c r="K58" s="17">
        <f t="shared" si="6"/>
        <v>14031.367432249308</v>
      </c>
      <c r="L58" s="17">
        <f t="shared" si="6"/>
        <v>1321.3288276332532</v>
      </c>
      <c r="M58" s="17">
        <f t="shared" si="6"/>
        <v>313.81693818557306</v>
      </c>
      <c r="N58" s="17">
        <f t="shared" si="6"/>
        <v>6966.2470754268288</v>
      </c>
    </row>
    <row r="59" spans="4:14" x14ac:dyDescent="0.25">
      <c r="D59" t="s">
        <v>268</v>
      </c>
      <c r="H59">
        <v>15</v>
      </c>
      <c r="I59" s="12">
        <v>39159</v>
      </c>
      <c r="J59" s="17">
        <f t="shared" si="6"/>
        <v>0</v>
      </c>
      <c r="K59" s="17">
        <f t="shared" si="6"/>
        <v>30450.888756074299</v>
      </c>
      <c r="L59" s="17">
        <f t="shared" si="6"/>
        <v>1260.4985973110072</v>
      </c>
      <c r="M59" s="17">
        <f t="shared" si="6"/>
        <v>698.06310013781842</v>
      </c>
      <c r="N59" s="17">
        <f t="shared" si="6"/>
        <v>6749.5495464768801</v>
      </c>
    </row>
    <row r="60" spans="4:14" x14ac:dyDescent="0.25">
      <c r="D60" t="s">
        <v>271</v>
      </c>
      <c r="H60">
        <v>19</v>
      </c>
      <c r="I60" s="12">
        <v>20826</v>
      </c>
      <c r="J60" s="17">
        <f t="shared" si="6"/>
        <v>12860.914486104295</v>
      </c>
      <c r="K60" s="17">
        <f t="shared" si="6"/>
        <v>4938.0208213330197</v>
      </c>
      <c r="L60" s="17">
        <f t="shared" si="6"/>
        <v>465.01164581324048</v>
      </c>
      <c r="M60" s="17">
        <f t="shared" si="6"/>
        <v>110.44073803424885</v>
      </c>
      <c r="N60" s="17">
        <f t="shared" si="6"/>
        <v>2451.6123087151959</v>
      </c>
    </row>
    <row r="61" spans="4:14" x14ac:dyDescent="0.25">
      <c r="D61" t="s">
        <v>88</v>
      </c>
      <c r="H61">
        <v>12</v>
      </c>
      <c r="I61" s="12">
        <v>487236</v>
      </c>
      <c r="J61" s="17">
        <f t="shared" si="6"/>
        <v>478071.56349383853</v>
      </c>
      <c r="K61" s="17">
        <f t="shared" si="6"/>
        <v>8055.9657435364152</v>
      </c>
      <c r="L61" s="17">
        <f t="shared" si="6"/>
        <v>245.21721358521373</v>
      </c>
      <c r="M61" s="17">
        <f t="shared" si="6"/>
        <v>17.515515256086694</v>
      </c>
      <c r="N61" s="17">
        <f t="shared" si="6"/>
        <v>845.73803378375635</v>
      </c>
    </row>
    <row r="62" spans="4:14" x14ac:dyDescent="0.25">
      <c r="D62" t="s">
        <v>293</v>
      </c>
      <c r="H62">
        <v>13</v>
      </c>
      <c r="I62" s="12">
        <v>486604</v>
      </c>
      <c r="J62" s="17">
        <f t="shared" si="6"/>
        <v>418274.402457377</v>
      </c>
      <c r="K62" s="17">
        <f t="shared" si="6"/>
        <v>57335.433536045857</v>
      </c>
      <c r="L62" s="17">
        <f t="shared" si="6"/>
        <v>1599.8321004457571</v>
      </c>
      <c r="M62" s="17">
        <f t="shared" si="6"/>
        <v>879.41690665826718</v>
      </c>
      <c r="N62" s="17">
        <f t="shared" si="6"/>
        <v>8514.9149994731524</v>
      </c>
    </row>
    <row r="63" spans="4:14" x14ac:dyDescent="0.25">
      <c r="D63" t="s">
        <v>73</v>
      </c>
      <c r="H63">
        <v>22</v>
      </c>
      <c r="I63" s="12">
        <v>65201</v>
      </c>
      <c r="J63" s="17">
        <f t="shared" si="6"/>
        <v>49080.907976121242</v>
      </c>
      <c r="K63" s="17">
        <f t="shared" si="6"/>
        <v>10415.023827473842</v>
      </c>
      <c r="L63" s="17">
        <f t="shared" si="6"/>
        <v>876.99199613646999</v>
      </c>
      <c r="M63" s="17">
        <f t="shared" si="6"/>
        <v>219.76310041085054</v>
      </c>
      <c r="N63" s="17">
        <f t="shared" si="6"/>
        <v>4608.3130998575971</v>
      </c>
    </row>
    <row r="64" spans="4:14" x14ac:dyDescent="0.25">
      <c r="D64" t="s">
        <v>295</v>
      </c>
      <c r="I64" s="12">
        <f>SUM(I55:I63)</f>
        <v>1738978</v>
      </c>
      <c r="J64" s="12">
        <f t="shared" ref="J64:N64" si="7">SUM(J55:J63)</f>
        <v>1357932.8170186356</v>
      </c>
      <c r="K64" s="12">
        <f t="shared" si="7"/>
        <v>260388.16120123162</v>
      </c>
      <c r="L64" s="12">
        <f t="shared" si="7"/>
        <v>18444.622684144939</v>
      </c>
      <c r="M64" s="12">
        <f t="shared" si="7"/>
        <v>5255.3082851524841</v>
      </c>
      <c r="N64" s="12">
        <f t="shared" si="7"/>
        <v>96957.090810835274</v>
      </c>
    </row>
    <row r="65" spans="4:14" x14ac:dyDescent="0.25">
      <c r="D65" t="s">
        <v>296</v>
      </c>
      <c r="I65" s="12">
        <f>I64+I54</f>
        <v>4911053</v>
      </c>
      <c r="J65" s="12">
        <f t="shared" ref="J65:N65" si="8">J64+J54</f>
        <v>3948149.4067534097</v>
      </c>
      <c r="K65" s="12">
        <f t="shared" si="8"/>
        <v>646024.00253214431</v>
      </c>
      <c r="L65" s="12">
        <f t="shared" si="8"/>
        <v>48666.714470879451</v>
      </c>
      <c r="M65" s="12">
        <f t="shared" si="8"/>
        <v>12982.087211493039</v>
      </c>
      <c r="N65" s="12">
        <f t="shared" si="8"/>
        <v>255230.78903207331</v>
      </c>
    </row>
    <row r="66" spans="4:14" x14ac:dyDescent="0.25">
      <c r="I66" s="12"/>
      <c r="J66" s="12"/>
      <c r="K66" s="12"/>
      <c r="L66" s="12"/>
      <c r="M66" s="12"/>
      <c r="N66" s="12"/>
    </row>
    <row r="67" spans="4:14" x14ac:dyDescent="0.25">
      <c r="D67" t="s">
        <v>297</v>
      </c>
      <c r="I67" s="12"/>
      <c r="J67" s="12"/>
      <c r="K67" s="12"/>
      <c r="L67" s="12"/>
      <c r="M67" s="12"/>
      <c r="N67" s="12"/>
    </row>
    <row r="68" spans="4:14" x14ac:dyDescent="0.25">
      <c r="D68" t="s">
        <v>299</v>
      </c>
      <c r="H68">
        <v>11</v>
      </c>
      <c r="I68" s="12">
        <v>96815</v>
      </c>
      <c r="J68" s="17">
        <f t="shared" ref="J68:N70" si="9">+INDEX(Alloc,$H68,J$1)*$I68</f>
        <v>95167.420620052479</v>
      </c>
      <c r="K68" s="17">
        <f t="shared" si="9"/>
        <v>1603.6625872765276</v>
      </c>
      <c r="L68" s="17">
        <f t="shared" si="9"/>
        <v>18.083385217468646</v>
      </c>
      <c r="M68" s="17">
        <f t="shared" si="9"/>
        <v>1.2916703726763321</v>
      </c>
      <c r="N68" s="17">
        <f t="shared" si="9"/>
        <v>24.541737080850304</v>
      </c>
    </row>
    <row r="69" spans="4:14" x14ac:dyDescent="0.25">
      <c r="D69" t="s">
        <v>302</v>
      </c>
      <c r="H69">
        <v>11</v>
      </c>
      <c r="I69" s="12">
        <v>880019</v>
      </c>
      <c r="J69" s="17">
        <f t="shared" si="9"/>
        <v>865043.00290903228</v>
      </c>
      <c r="K69" s="17">
        <f t="shared" si="9"/>
        <v>14576.806759205727</v>
      </c>
      <c r="L69" s="17">
        <f t="shared" si="9"/>
        <v>164.37248954905274</v>
      </c>
      <c r="M69" s="17">
        <f t="shared" si="9"/>
        <v>11.740892110646625</v>
      </c>
      <c r="N69" s="17">
        <f t="shared" si="9"/>
        <v>223.07695010228585</v>
      </c>
    </row>
    <row r="70" spans="4:14" x14ac:dyDescent="0.25">
      <c r="D70" t="s">
        <v>304</v>
      </c>
      <c r="H70">
        <v>11</v>
      </c>
      <c r="I70" s="12">
        <v>1610165</v>
      </c>
      <c r="J70" s="17">
        <f t="shared" si="9"/>
        <v>1582763.5162184248</v>
      </c>
      <c r="K70" s="17">
        <f t="shared" si="9"/>
        <v>26671.087846326602</v>
      </c>
      <c r="L70" s="17">
        <f t="shared" si="9"/>
        <v>300.75126745530554</v>
      </c>
      <c r="M70" s="17">
        <f t="shared" si="9"/>
        <v>21.482233389664682</v>
      </c>
      <c r="N70" s="17">
        <f t="shared" si="9"/>
        <v>408.16243440362888</v>
      </c>
    </row>
    <row r="71" spans="4:14" x14ac:dyDescent="0.25">
      <c r="D71" t="s">
        <v>306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</row>
    <row r="72" spans="4:14" x14ac:dyDescent="0.25">
      <c r="D72" t="s">
        <v>309</v>
      </c>
      <c r="H72">
        <v>11</v>
      </c>
      <c r="I72" s="12">
        <v>40382</v>
      </c>
      <c r="J72" s="17">
        <f>+INDEX(Alloc,$H72,J$1)*$I72</f>
        <v>39694.786752868451</v>
      </c>
      <c r="K72" s="17">
        <f>+INDEX(Alloc,$H72,K$1)*$I72</f>
        <v>668.8953426576536</v>
      </c>
      <c r="L72" s="17">
        <f>+INDEX(Alloc,$H72,L$1)*$I72</f>
        <v>7.5426665480743571</v>
      </c>
      <c r="M72" s="17">
        <f>+INDEX(Alloc,$H72,M$1)*$I72</f>
        <v>0.53876189629102555</v>
      </c>
      <c r="N72" s="17">
        <f>+INDEX(Alloc,$H72,N$1)*$I72</f>
        <v>10.236476029529484</v>
      </c>
    </row>
    <row r="73" spans="4:14" x14ac:dyDescent="0.25">
      <c r="D73" t="s">
        <v>310</v>
      </c>
      <c r="I73" s="12">
        <f>SUM(I68:I72)</f>
        <v>2627381</v>
      </c>
      <c r="J73" s="12">
        <f t="shared" ref="J73:N73" si="10">SUM(J68:J72)</f>
        <v>2582668.726500378</v>
      </c>
      <c r="K73" s="12">
        <f t="shared" si="10"/>
        <v>43520.452535466509</v>
      </c>
      <c r="L73" s="12">
        <f t="shared" si="10"/>
        <v>490.74980876990128</v>
      </c>
      <c r="M73" s="12">
        <f t="shared" si="10"/>
        <v>35.053557769278669</v>
      </c>
      <c r="N73" s="12">
        <f t="shared" si="10"/>
        <v>666.01759761629455</v>
      </c>
    </row>
    <row r="74" spans="4:14" x14ac:dyDescent="0.25">
      <c r="I74" s="12"/>
      <c r="J74" s="12"/>
      <c r="K74" s="12"/>
      <c r="L74" s="12"/>
      <c r="M74" s="12"/>
      <c r="N74" s="12"/>
    </row>
    <row r="75" spans="4:14" x14ac:dyDescent="0.25">
      <c r="D75" t="s">
        <v>311</v>
      </c>
      <c r="I75" s="12"/>
      <c r="J75" s="12"/>
      <c r="K75" s="12"/>
      <c r="L75" s="12"/>
      <c r="M75" s="12"/>
      <c r="N75" s="12"/>
    </row>
    <row r="76" spans="4:14" x14ac:dyDescent="0.25">
      <c r="D76" t="s">
        <v>299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</row>
    <row r="77" spans="4:14" x14ac:dyDescent="0.25">
      <c r="D77" t="s">
        <v>314</v>
      </c>
      <c r="H77">
        <v>11</v>
      </c>
      <c r="I77" s="12">
        <v>153256</v>
      </c>
      <c r="J77" s="17">
        <f>+INDEX(Alloc,$H77,J$1)*$I77</f>
        <v>150647.91834474786</v>
      </c>
      <c r="K77" s="17">
        <f>+INDEX(Alloc,$H77,K$1)*$I77</f>
        <v>2538.562345459397</v>
      </c>
      <c r="L77" s="17">
        <f>+INDEX(Alloc,$H77,L$1)*$I77</f>
        <v>28.625598149959973</v>
      </c>
      <c r="M77" s="17">
        <f>+INDEX(Alloc,$H77,M$1)*$I77</f>
        <v>2.0446855821399983</v>
      </c>
      <c r="N77" s="17">
        <f>+INDEX(Alloc,$H77,N$1)*$I77</f>
        <v>38.849026060659966</v>
      </c>
    </row>
    <row r="78" spans="4:14" x14ac:dyDescent="0.25">
      <c r="D78" t="s">
        <v>314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</row>
    <row r="79" spans="4:14" x14ac:dyDescent="0.25">
      <c r="D79" t="s">
        <v>316</v>
      </c>
      <c r="H79">
        <v>11</v>
      </c>
      <c r="I79" s="12">
        <v>127436</v>
      </c>
      <c r="J79" s="17">
        <f t="shared" ref="J79:N80" si="11">+INDEX(Alloc,$H79,J$1)*$I79</f>
        <v>125267.31822689674</v>
      </c>
      <c r="K79" s="17">
        <f t="shared" si="11"/>
        <v>2110.8748176643244</v>
      </c>
      <c r="L79" s="17">
        <f t="shared" si="11"/>
        <v>23.802864004269324</v>
      </c>
      <c r="M79" s="17">
        <f t="shared" si="11"/>
        <v>1.7002045717335232</v>
      </c>
      <c r="N79" s="17">
        <f t="shared" si="11"/>
        <v>32.303886862936935</v>
      </c>
    </row>
    <row r="80" spans="4:14" x14ac:dyDescent="0.25">
      <c r="D80" t="s">
        <v>318</v>
      </c>
      <c r="H80">
        <v>11</v>
      </c>
      <c r="I80" s="12">
        <v>18813</v>
      </c>
      <c r="J80" s="17">
        <f t="shared" si="11"/>
        <v>18492.843920105843</v>
      </c>
      <c r="K80" s="17">
        <f t="shared" si="11"/>
        <v>311.62220993062351</v>
      </c>
      <c r="L80" s="17">
        <f t="shared" si="11"/>
        <v>3.5139464555723561</v>
      </c>
      <c r="M80" s="17">
        <f t="shared" si="11"/>
        <v>0.25099617539802543</v>
      </c>
      <c r="N80" s="17">
        <f t="shared" si="11"/>
        <v>4.768927332562483</v>
      </c>
    </row>
    <row r="81" spans="4:14" x14ac:dyDescent="0.25">
      <c r="D81" t="s">
        <v>319</v>
      </c>
      <c r="I81" s="12">
        <f>SUM(I76:I80)</f>
        <v>299505</v>
      </c>
      <c r="J81" s="12">
        <f t="shared" ref="J81:N81" si="12">SUM(J76:J80)</f>
        <v>294408.08049175044</v>
      </c>
      <c r="K81" s="12">
        <f t="shared" si="12"/>
        <v>4961.0593730543442</v>
      </c>
      <c r="L81" s="12">
        <f t="shared" si="12"/>
        <v>55.942408609801653</v>
      </c>
      <c r="M81" s="12">
        <f t="shared" si="12"/>
        <v>3.9958863292715474</v>
      </c>
      <c r="N81" s="12">
        <f t="shared" si="12"/>
        <v>75.921840256159385</v>
      </c>
    </row>
    <row r="82" spans="4:14" x14ac:dyDescent="0.25">
      <c r="I82" s="12"/>
      <c r="J82" s="12"/>
      <c r="K82" s="12"/>
      <c r="L82" s="12"/>
      <c r="M82" s="12"/>
      <c r="N82" s="12"/>
    </row>
    <row r="83" spans="4:14" x14ac:dyDescent="0.25">
      <c r="D83" t="s">
        <v>320</v>
      </c>
      <c r="I83" s="12"/>
      <c r="J83" s="12"/>
      <c r="K83" s="12"/>
      <c r="L83" s="12"/>
      <c r="M83" s="12"/>
      <c r="N83" s="12"/>
    </row>
    <row r="84" spans="4:14" x14ac:dyDescent="0.25">
      <c r="D84" t="s">
        <v>299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</row>
    <row r="85" spans="4:14" x14ac:dyDescent="0.25">
      <c r="D85" t="s">
        <v>323</v>
      </c>
      <c r="H85">
        <v>11</v>
      </c>
      <c r="I85" s="12">
        <v>3177</v>
      </c>
      <c r="J85" s="17">
        <f>+INDEX(Alloc,$H85,J$1)*$I85</f>
        <v>3122.9344141910524</v>
      </c>
      <c r="K85" s="17">
        <f>+INDEX(Alloc,$H85,K$1)*$I85</f>
        <v>52.624449101663252</v>
      </c>
      <c r="L85" s="17">
        <f>+INDEX(Alloc,$H85,L$1)*$I85</f>
        <v>0.59340923241127808</v>
      </c>
      <c r="M85" s="17">
        <f>+INDEX(Alloc,$H85,M$1)*$I85</f>
        <v>4.2386373743662727E-2</v>
      </c>
      <c r="N85" s="17">
        <f>+INDEX(Alloc,$H85,N$1)*$I85</f>
        <v>0.80534110112959167</v>
      </c>
    </row>
    <row r="86" spans="4:14" x14ac:dyDescent="0.25">
      <c r="D86" t="s">
        <v>325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</row>
    <row r="87" spans="4:14" x14ac:dyDescent="0.25">
      <c r="D87" t="s">
        <v>327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</row>
    <row r="88" spans="4:14" x14ac:dyDescent="0.25">
      <c r="D88" t="s">
        <v>328</v>
      </c>
      <c r="I88" s="12">
        <f>SUM(I84:I87)</f>
        <v>3177</v>
      </c>
      <c r="J88" s="12">
        <f t="shared" ref="J88:N88" si="13">SUM(J84:J87)</f>
        <v>3122.9344141910524</v>
      </c>
      <c r="K88" s="12">
        <f t="shared" si="13"/>
        <v>52.624449101663252</v>
      </c>
      <c r="L88" s="12">
        <f t="shared" si="13"/>
        <v>0.59340923241127808</v>
      </c>
      <c r="M88" s="12">
        <f t="shared" si="13"/>
        <v>4.2386373743662727E-2</v>
      </c>
      <c r="N88" s="12">
        <f t="shared" si="13"/>
        <v>0.80534110112959167</v>
      </c>
    </row>
    <row r="89" spans="4:14" x14ac:dyDescent="0.25">
      <c r="I89" s="12"/>
      <c r="J89" s="12"/>
      <c r="K89" s="12"/>
      <c r="L89" s="12"/>
      <c r="M89" s="12"/>
      <c r="N89" s="12"/>
    </row>
    <row r="90" spans="4:14" x14ac:dyDescent="0.25">
      <c r="D90" t="s">
        <v>329</v>
      </c>
      <c r="I90" s="12">
        <f>+I88+I81+I73+I65+I41+I17</f>
        <v>8268232</v>
      </c>
      <c r="J90" s="12">
        <f t="shared" ref="J90:N90" si="14">+J88+J81+J73+J65+J41+J17</f>
        <v>7115195.4058477106</v>
      </c>
      <c r="K90" s="12">
        <f t="shared" si="14"/>
        <v>807812.15885028907</v>
      </c>
      <c r="L90" s="12">
        <f t="shared" si="14"/>
        <v>63396.296417138736</v>
      </c>
      <c r="M90" s="12">
        <f t="shared" si="14"/>
        <v>16079.034781576189</v>
      </c>
      <c r="N90" s="12">
        <f t="shared" si="14"/>
        <v>265749.10410328535</v>
      </c>
    </row>
    <row r="91" spans="4:14" x14ac:dyDescent="0.25">
      <c r="I91" s="12"/>
      <c r="J91" s="12"/>
      <c r="K91" s="12"/>
      <c r="L91" s="12"/>
      <c r="M91" s="12"/>
      <c r="N91" s="12"/>
    </row>
    <row r="92" spans="4:14" x14ac:dyDescent="0.25">
      <c r="D92" t="s">
        <v>334</v>
      </c>
      <c r="I92" s="12"/>
      <c r="J92" s="12"/>
      <c r="K92" s="12"/>
      <c r="L92" s="12"/>
      <c r="M92" s="12"/>
      <c r="N92" s="12"/>
    </row>
    <row r="93" spans="4:14" x14ac:dyDescent="0.25">
      <c r="D93" t="s">
        <v>336</v>
      </c>
      <c r="I93" s="12"/>
      <c r="J93" s="12"/>
      <c r="K93" s="12"/>
      <c r="L93" s="12"/>
      <c r="M93" s="12"/>
      <c r="N93" s="12"/>
    </row>
    <row r="94" spans="4:14" x14ac:dyDescent="0.25">
      <c r="D94" t="s">
        <v>337</v>
      </c>
      <c r="H94">
        <v>32</v>
      </c>
      <c r="I94" s="12">
        <v>1343211</v>
      </c>
      <c r="J94" s="17">
        <f t="shared" ref="J94:N95" si="15">+INDEX(Alloc,$H94,J$1)*$I94</f>
        <v>1155895.0857068487</v>
      </c>
      <c r="K94" s="17">
        <f t="shared" si="15"/>
        <v>131232.67195471239</v>
      </c>
      <c r="L94" s="17">
        <f t="shared" si="15"/>
        <v>10299.009837503512</v>
      </c>
      <c r="M94" s="17">
        <f t="shared" si="15"/>
        <v>2612.1105924453659</v>
      </c>
      <c r="N94" s="17">
        <f t="shared" si="15"/>
        <v>43172.121908489986</v>
      </c>
    </row>
    <row r="95" spans="4:14" x14ac:dyDescent="0.25">
      <c r="D95" t="s">
        <v>15</v>
      </c>
      <c r="H95">
        <v>1</v>
      </c>
      <c r="I95" s="12">
        <v>1343211</v>
      </c>
      <c r="J95" s="17">
        <f t="shared" si="15"/>
        <v>787580.85651030776</v>
      </c>
      <c r="K95" s="17">
        <f t="shared" si="15"/>
        <v>310956.46414452349</v>
      </c>
      <c r="L95" s="17">
        <f t="shared" si="15"/>
        <v>38939.692547289938</v>
      </c>
      <c r="M95" s="17">
        <f t="shared" si="15"/>
        <v>8395.8168459263306</v>
      </c>
      <c r="N95" s="17">
        <f t="shared" si="15"/>
        <v>197338.16995195253</v>
      </c>
    </row>
    <row r="96" spans="4:14" x14ac:dyDescent="0.25">
      <c r="D96" t="s">
        <v>339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</row>
    <row r="97" spans="4:14" x14ac:dyDescent="0.25">
      <c r="D97" t="s">
        <v>23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</row>
    <row r="98" spans="4:14" x14ac:dyDescent="0.25">
      <c r="D98" t="s">
        <v>29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</row>
    <row r="99" spans="4:14" x14ac:dyDescent="0.25">
      <c r="D99" t="s">
        <v>340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</row>
    <row r="100" spans="4:14" x14ac:dyDescent="0.25">
      <c r="D100" t="s">
        <v>343</v>
      </c>
      <c r="I100" s="12"/>
      <c r="J100" s="12"/>
      <c r="K100" s="12"/>
      <c r="L100" s="12"/>
      <c r="M100" s="12"/>
      <c r="N100" s="12"/>
    </row>
    <row r="101" spans="4:14" x14ac:dyDescent="0.25">
      <c r="D101" t="s">
        <v>337</v>
      </c>
      <c r="H101">
        <v>32</v>
      </c>
      <c r="I101" s="12">
        <v>11372.5</v>
      </c>
      <c r="J101" s="17">
        <f t="shared" ref="J101:N102" si="16">+INDEX(Alloc,$H101,J$1)*$I101</f>
        <v>9786.5613535037573</v>
      </c>
      <c r="K101" s="17">
        <f t="shared" si="16"/>
        <v>1111.1013547424543</v>
      </c>
      <c r="L101" s="17">
        <f t="shared" si="16"/>
        <v>87.198131475254954</v>
      </c>
      <c r="M101" s="17">
        <f t="shared" si="16"/>
        <v>22.115831178113435</v>
      </c>
      <c r="N101" s="17">
        <f t="shared" si="16"/>
        <v>365.52332910041861</v>
      </c>
    </row>
    <row r="102" spans="4:14" x14ac:dyDescent="0.25">
      <c r="D102" t="s">
        <v>15</v>
      </c>
      <c r="H102">
        <v>1</v>
      </c>
      <c r="I102" s="12">
        <v>11372.5</v>
      </c>
      <c r="J102" s="17">
        <f t="shared" si="16"/>
        <v>6668.1729755514771</v>
      </c>
      <c r="K102" s="17">
        <f t="shared" si="16"/>
        <v>2632.7601460110091</v>
      </c>
      <c r="L102" s="17">
        <f t="shared" si="16"/>
        <v>329.68882289830475</v>
      </c>
      <c r="M102" s="17">
        <f t="shared" si="16"/>
        <v>71.0844588678154</v>
      </c>
      <c r="N102" s="17">
        <f t="shared" si="16"/>
        <v>1670.7935966713942</v>
      </c>
    </row>
    <row r="103" spans="4:14" x14ac:dyDescent="0.25">
      <c r="D103" t="s">
        <v>339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</row>
    <row r="104" spans="4:14" x14ac:dyDescent="0.25">
      <c r="D104" t="s">
        <v>23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</row>
    <row r="105" spans="4:14" x14ac:dyDescent="0.25">
      <c r="D105" t="s">
        <v>29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</row>
    <row r="106" spans="4:14" x14ac:dyDescent="0.25">
      <c r="D106" t="s">
        <v>340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</row>
    <row r="107" spans="4:14" x14ac:dyDescent="0.25">
      <c r="D107" t="s">
        <v>345</v>
      </c>
      <c r="I107" s="12"/>
      <c r="J107" s="12"/>
      <c r="K107" s="12"/>
      <c r="L107" s="12"/>
      <c r="M107" s="12"/>
      <c r="N107" s="12"/>
    </row>
    <row r="108" spans="4:14" x14ac:dyDescent="0.25">
      <c r="D108" t="s">
        <v>337</v>
      </c>
      <c r="H108">
        <v>32</v>
      </c>
      <c r="I108" s="12">
        <v>42.5</v>
      </c>
      <c r="J108" s="17">
        <f t="shared" ref="J108:N109" si="17">+INDEX(Alloc,$H108,J$1)*$I108</f>
        <v>36.573212356466016</v>
      </c>
      <c r="K108" s="17">
        <f t="shared" si="17"/>
        <v>4.1522802881120517</v>
      </c>
      <c r="L108" s="17">
        <f t="shared" si="17"/>
        <v>0.32586683558569668</v>
      </c>
      <c r="M108" s="17">
        <f t="shared" si="17"/>
        <v>8.2648742586926449E-2</v>
      </c>
      <c r="N108" s="17">
        <f t="shared" si="17"/>
        <v>1.3659917772493111</v>
      </c>
    </row>
    <row r="109" spans="4:14" x14ac:dyDescent="0.25">
      <c r="D109" t="s">
        <v>15</v>
      </c>
      <c r="H109">
        <v>1</v>
      </c>
      <c r="I109" s="12">
        <v>42.5</v>
      </c>
      <c r="J109" s="17">
        <f t="shared" si="17"/>
        <v>24.919529695400112</v>
      </c>
      <c r="K109" s="17">
        <f t="shared" si="17"/>
        <v>9.8388486441387464</v>
      </c>
      <c r="L109" s="17">
        <f t="shared" si="17"/>
        <v>1.2320751790000399</v>
      </c>
      <c r="M109" s="17">
        <f t="shared" si="17"/>
        <v>0.26564867020287136</v>
      </c>
      <c r="N109" s="17">
        <f t="shared" si="17"/>
        <v>6.2438978112582335</v>
      </c>
    </row>
    <row r="110" spans="4:14" x14ac:dyDescent="0.25">
      <c r="D110" t="s">
        <v>339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</row>
    <row r="111" spans="4:14" x14ac:dyDescent="0.25">
      <c r="D111" t="s">
        <v>23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</row>
    <row r="112" spans="4:14" x14ac:dyDescent="0.25">
      <c r="D112" t="s">
        <v>29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</row>
    <row r="113" spans="4:14" x14ac:dyDescent="0.25">
      <c r="D113" t="s">
        <v>340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</row>
    <row r="114" spans="4:14" x14ac:dyDescent="0.25">
      <c r="D114" t="s">
        <v>347</v>
      </c>
      <c r="I114" s="12"/>
      <c r="J114" s="12"/>
      <c r="K114" s="12"/>
      <c r="L114" s="12"/>
      <c r="M114" s="12"/>
      <c r="N114" s="12"/>
    </row>
    <row r="115" spans="4:14" x14ac:dyDescent="0.25">
      <c r="D115" t="s">
        <v>337</v>
      </c>
      <c r="H115">
        <v>32</v>
      </c>
      <c r="I115" s="12">
        <v>389.5</v>
      </c>
      <c r="J115" s="17">
        <f t="shared" ref="J115:N116" si="18">+INDEX(Alloc,$H115,J$1)*$I115</f>
        <v>335.18273441984735</v>
      </c>
      <c r="K115" s="17">
        <f t="shared" si="18"/>
        <v>38.054427581638684</v>
      </c>
      <c r="L115" s="17">
        <f t="shared" si="18"/>
        <v>2.9864737049559733</v>
      </c>
      <c r="M115" s="17">
        <f t="shared" si="18"/>
        <v>0.75745141735547883</v>
      </c>
      <c r="N115" s="17">
        <f t="shared" si="18"/>
        <v>12.51891287620251</v>
      </c>
    </row>
    <row r="116" spans="4:14" x14ac:dyDescent="0.25">
      <c r="D116" t="s">
        <v>15</v>
      </c>
      <c r="H116">
        <v>1</v>
      </c>
      <c r="I116" s="12">
        <v>389.5</v>
      </c>
      <c r="J116" s="17">
        <f t="shared" si="18"/>
        <v>228.38016038490221</v>
      </c>
      <c r="K116" s="17">
        <f t="shared" si="18"/>
        <v>90.170154044518625</v>
      </c>
      <c r="L116" s="17">
        <f t="shared" si="18"/>
        <v>11.291606640482717</v>
      </c>
      <c r="M116" s="17">
        <f t="shared" si="18"/>
        <v>2.4345919304474917</v>
      </c>
      <c r="N116" s="17">
        <f t="shared" si="18"/>
        <v>57.223486999648983</v>
      </c>
    </row>
    <row r="117" spans="4:14" x14ac:dyDescent="0.25">
      <c r="D117" t="s">
        <v>339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</row>
    <row r="118" spans="4:14" x14ac:dyDescent="0.25">
      <c r="D118" t="s">
        <v>23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</row>
    <row r="119" spans="4:14" x14ac:dyDescent="0.25">
      <c r="D119" t="s">
        <v>29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</row>
    <row r="120" spans="4:14" x14ac:dyDescent="0.25">
      <c r="D120" t="s">
        <v>340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</row>
    <row r="121" spans="4:14" x14ac:dyDescent="0.25">
      <c r="D121" t="s">
        <v>349</v>
      </c>
      <c r="I121" s="12"/>
      <c r="J121" s="12"/>
      <c r="K121" s="12"/>
      <c r="L121" s="12"/>
      <c r="M121" s="12"/>
      <c r="N121" s="12"/>
    </row>
    <row r="122" spans="4:14" x14ac:dyDescent="0.25">
      <c r="D122" t="s">
        <v>337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</row>
    <row r="123" spans="4:14" x14ac:dyDescent="0.25">
      <c r="D123" t="s">
        <v>15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</row>
    <row r="124" spans="4:14" x14ac:dyDescent="0.25">
      <c r="D124" t="s">
        <v>339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</row>
    <row r="125" spans="4:14" x14ac:dyDescent="0.25">
      <c r="D125" t="s">
        <v>23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</row>
    <row r="126" spans="4:14" x14ac:dyDescent="0.25">
      <c r="D126" t="s">
        <v>29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</row>
    <row r="127" spans="4:14" x14ac:dyDescent="0.25">
      <c r="D127" t="s">
        <v>340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</row>
    <row r="128" spans="4:14" x14ac:dyDescent="0.25">
      <c r="D128" t="s">
        <v>351</v>
      </c>
      <c r="I128" s="12"/>
      <c r="J128" s="12"/>
      <c r="K128" s="12"/>
      <c r="L128" s="12"/>
      <c r="M128" s="12"/>
      <c r="N128" s="12"/>
    </row>
    <row r="129" spans="4:14" x14ac:dyDescent="0.25">
      <c r="D129" t="s">
        <v>337</v>
      </c>
      <c r="H129">
        <v>32</v>
      </c>
      <c r="I129" s="12">
        <v>14736.5</v>
      </c>
      <c r="J129" s="17">
        <f t="shared" ref="J129:N130" si="19">+INDEX(Alloc,$H129,J$1)*$I129</f>
        <v>12681.43867978968</v>
      </c>
      <c r="K129" s="17">
        <f t="shared" si="19"/>
        <v>1439.7665521356057</v>
      </c>
      <c r="L129" s="17">
        <f t="shared" si="19"/>
        <v>112.99144994373222</v>
      </c>
      <c r="M129" s="17">
        <f t="shared" si="19"/>
        <v>28.657722238405686</v>
      </c>
      <c r="N129" s="17">
        <f t="shared" si="19"/>
        <v>473.64559589257584</v>
      </c>
    </row>
    <row r="130" spans="4:14" x14ac:dyDescent="0.25">
      <c r="D130" t="s">
        <v>15</v>
      </c>
      <c r="H130">
        <v>1</v>
      </c>
      <c r="I130" s="12">
        <v>14736.5</v>
      </c>
      <c r="J130" s="17">
        <f t="shared" si="19"/>
        <v>8640.6270436767936</v>
      </c>
      <c r="K130" s="17">
        <f t="shared" si="19"/>
        <v>3411.5339539847205</v>
      </c>
      <c r="L130" s="17">
        <f t="shared" si="19"/>
        <v>427.21119706668441</v>
      </c>
      <c r="M130" s="17">
        <f t="shared" si="19"/>
        <v>92.11133243399091</v>
      </c>
      <c r="N130" s="17">
        <f t="shared" si="19"/>
        <v>2165.0164728378109</v>
      </c>
    </row>
    <row r="131" spans="4:14" x14ac:dyDescent="0.25">
      <c r="D131" t="s">
        <v>339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</row>
    <row r="132" spans="4:14" x14ac:dyDescent="0.25">
      <c r="D132" t="s">
        <v>23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</row>
    <row r="133" spans="4:14" x14ac:dyDescent="0.25">
      <c r="D133" t="s">
        <v>29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</row>
    <row r="134" spans="4:14" x14ac:dyDescent="0.25">
      <c r="D134" t="s">
        <v>340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</row>
    <row r="135" spans="4:14" x14ac:dyDescent="0.25">
      <c r="D135" t="s">
        <v>353</v>
      </c>
      <c r="I135" s="12"/>
      <c r="J135" s="12"/>
      <c r="K135" s="12"/>
      <c r="L135" s="12"/>
      <c r="M135" s="12"/>
      <c r="N135" s="12"/>
    </row>
    <row r="136" spans="4:14" x14ac:dyDescent="0.25">
      <c r="D136" t="s">
        <v>337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</row>
    <row r="137" spans="4:14" x14ac:dyDescent="0.25">
      <c r="D137" t="s">
        <v>15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</row>
    <row r="138" spans="4:14" x14ac:dyDescent="0.25">
      <c r="D138" t="s">
        <v>339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</row>
    <row r="139" spans="4:14" x14ac:dyDescent="0.25">
      <c r="D139" t="s">
        <v>23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</row>
    <row r="140" spans="4:14" x14ac:dyDescent="0.25">
      <c r="D140" t="s">
        <v>29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</row>
    <row r="141" spans="4:14" x14ac:dyDescent="0.25">
      <c r="D141" t="s">
        <v>340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</row>
    <row r="142" spans="4:14" x14ac:dyDescent="0.25">
      <c r="D142" t="s">
        <v>355</v>
      </c>
      <c r="I142" s="12"/>
      <c r="J142" s="12"/>
      <c r="K142" s="12"/>
      <c r="L142" s="12"/>
      <c r="M142" s="12"/>
      <c r="N142" s="12"/>
    </row>
    <row r="143" spans="4:14" x14ac:dyDescent="0.25">
      <c r="D143" t="s">
        <v>337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</row>
    <row r="144" spans="4:14" x14ac:dyDescent="0.25">
      <c r="D144" t="s">
        <v>15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</row>
    <row r="145" spans="4:14" x14ac:dyDescent="0.25">
      <c r="D145" t="s">
        <v>339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</row>
    <row r="146" spans="4:14" x14ac:dyDescent="0.25">
      <c r="D146" t="s">
        <v>23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</row>
    <row r="147" spans="4:14" x14ac:dyDescent="0.25">
      <c r="D147" t="s">
        <v>29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</row>
    <row r="148" spans="4:14" x14ac:dyDescent="0.25">
      <c r="D148" t="s">
        <v>340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</row>
    <row r="149" spans="4:14" x14ac:dyDescent="0.25">
      <c r="D149" t="s">
        <v>357</v>
      </c>
      <c r="I149" s="12"/>
      <c r="J149" s="12"/>
      <c r="K149" s="12"/>
      <c r="L149" s="12"/>
      <c r="M149" s="12"/>
      <c r="N149" s="12"/>
    </row>
    <row r="150" spans="4:14" x14ac:dyDescent="0.25">
      <c r="D150" t="s">
        <v>337</v>
      </c>
      <c r="H150">
        <v>32</v>
      </c>
      <c r="I150" s="12">
        <v>112434</v>
      </c>
      <c r="J150" s="17">
        <f t="shared" ref="J150:N151" si="20">+INDEX(Alloc,$H150,J$1)*$I150</f>
        <v>96754.648425574109</v>
      </c>
      <c r="K150" s="17">
        <f t="shared" si="20"/>
        <v>10984.881927378598</v>
      </c>
      <c r="L150" s="17">
        <f t="shared" si="20"/>
        <v>862.08263040569932</v>
      </c>
      <c r="M150" s="17">
        <f t="shared" si="20"/>
        <v>218.64773468278796</v>
      </c>
      <c r="N150" s="17">
        <f t="shared" si="20"/>
        <v>3613.7392819588013</v>
      </c>
    </row>
    <row r="151" spans="4:14" x14ac:dyDescent="0.25">
      <c r="D151" t="s">
        <v>15</v>
      </c>
      <c r="H151">
        <v>1</v>
      </c>
      <c r="I151" s="12">
        <v>112434</v>
      </c>
      <c r="J151" s="17">
        <f t="shared" si="20"/>
        <v>65924.762394649792</v>
      </c>
      <c r="K151" s="17">
        <f t="shared" si="20"/>
        <v>26028.731963649312</v>
      </c>
      <c r="L151" s="17">
        <f t="shared" si="20"/>
        <v>3259.4621335456582</v>
      </c>
      <c r="M151" s="17">
        <f t="shared" si="20"/>
        <v>702.77511966093266</v>
      </c>
      <c r="N151" s="17">
        <f t="shared" si="20"/>
        <v>16518.268388494311</v>
      </c>
    </row>
    <row r="152" spans="4:14" x14ac:dyDescent="0.25">
      <c r="D152" t="s">
        <v>339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</row>
    <row r="153" spans="4:14" x14ac:dyDescent="0.25">
      <c r="D153" t="s">
        <v>23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</row>
    <row r="154" spans="4:14" x14ac:dyDescent="0.25">
      <c r="D154" t="s">
        <v>29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</row>
    <row r="155" spans="4:14" x14ac:dyDescent="0.25">
      <c r="D155" t="s">
        <v>340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</row>
    <row r="156" spans="4:14" x14ac:dyDescent="0.25">
      <c r="D156" t="s">
        <v>359</v>
      </c>
      <c r="I156" s="12"/>
      <c r="J156" s="12"/>
      <c r="K156" s="12"/>
      <c r="L156" s="12"/>
      <c r="M156" s="12"/>
      <c r="N156" s="12"/>
    </row>
    <row r="157" spans="4:14" x14ac:dyDescent="0.25">
      <c r="D157" t="s">
        <v>337</v>
      </c>
      <c r="H157">
        <v>32</v>
      </c>
      <c r="I157" s="12">
        <v>12019.5</v>
      </c>
      <c r="J157" s="17">
        <f t="shared" ref="J157:N158" si="21">+INDEX(Alloc,$H157,J$1)*$I157</f>
        <v>10343.334727495136</v>
      </c>
      <c r="K157" s="17">
        <f t="shared" si="21"/>
        <v>1174.3137158344189</v>
      </c>
      <c r="L157" s="17">
        <f t="shared" si="21"/>
        <v>92.158974831112502</v>
      </c>
      <c r="M157" s="17">
        <f t="shared" si="21"/>
        <v>23.37403674173088</v>
      </c>
      <c r="N157" s="17">
        <f t="shared" si="21"/>
        <v>386.31854509760223</v>
      </c>
    </row>
    <row r="158" spans="4:14" x14ac:dyDescent="0.25">
      <c r="D158" t="s">
        <v>15</v>
      </c>
      <c r="H158">
        <v>1</v>
      </c>
      <c r="I158" s="12">
        <v>12019.5</v>
      </c>
      <c r="J158" s="17">
        <f t="shared" si="21"/>
        <v>7047.5361687967443</v>
      </c>
      <c r="K158" s="17">
        <f t="shared" si="21"/>
        <v>2782.5421477229565</v>
      </c>
      <c r="L158" s="17">
        <f t="shared" si="21"/>
        <v>348.44535562331714</v>
      </c>
      <c r="M158" s="17">
        <f t="shared" si="21"/>
        <v>75.12856921184499</v>
      </c>
      <c r="N158" s="17">
        <f t="shared" si="21"/>
        <v>1765.8477586451372</v>
      </c>
    </row>
    <row r="159" spans="4:14" x14ac:dyDescent="0.25">
      <c r="D159" t="s">
        <v>339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</row>
    <row r="160" spans="4:14" x14ac:dyDescent="0.25">
      <c r="D160" t="s">
        <v>23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</row>
    <row r="161" spans="4:14" x14ac:dyDescent="0.25">
      <c r="D161" t="s">
        <v>29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</row>
    <row r="162" spans="4:14" x14ac:dyDescent="0.25">
      <c r="D162" t="s">
        <v>340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</row>
    <row r="163" spans="4:14" x14ac:dyDescent="0.25">
      <c r="D163" t="s">
        <v>241</v>
      </c>
      <c r="I163" s="12"/>
      <c r="J163" s="12"/>
      <c r="K163" s="12"/>
      <c r="L163" s="12"/>
      <c r="M163" s="12"/>
      <c r="N163" s="12"/>
    </row>
    <row r="164" spans="4:14" x14ac:dyDescent="0.25">
      <c r="D164" t="s">
        <v>337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</row>
    <row r="165" spans="4:14" x14ac:dyDescent="0.25">
      <c r="D165" t="s">
        <v>15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</row>
    <row r="166" spans="4:14" x14ac:dyDescent="0.25">
      <c r="D166" t="s">
        <v>339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</row>
    <row r="167" spans="4:14" x14ac:dyDescent="0.25">
      <c r="D167" t="s">
        <v>23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</row>
    <row r="168" spans="4:14" x14ac:dyDescent="0.25">
      <c r="D168" t="s">
        <v>29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</row>
    <row r="169" spans="4:14" x14ac:dyDescent="0.25">
      <c r="D169" t="s">
        <v>340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</row>
    <row r="170" spans="4:14" x14ac:dyDescent="0.25">
      <c r="D170" t="s">
        <v>362</v>
      </c>
      <c r="I170" s="12"/>
      <c r="J170" s="12"/>
      <c r="K170" s="12"/>
      <c r="L170" s="12"/>
      <c r="M170" s="12"/>
      <c r="N170" s="12"/>
    </row>
    <row r="171" spans="4:14" x14ac:dyDescent="0.25">
      <c r="D171" t="s">
        <v>337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</row>
    <row r="172" spans="4:14" x14ac:dyDescent="0.25">
      <c r="D172" t="s">
        <v>15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</row>
    <row r="173" spans="4:14" x14ac:dyDescent="0.25">
      <c r="D173" t="s">
        <v>339</v>
      </c>
      <c r="H173">
        <v>25</v>
      </c>
      <c r="I173" s="12">
        <v>209140</v>
      </c>
      <c r="J173" s="17">
        <f>+INDEX(Alloc,$H173,J$1)*$I173</f>
        <v>156311.41100435157</v>
      </c>
      <c r="K173" s="17">
        <f>+INDEX(Alloc,$H173,K$1)*$I173</f>
        <v>34926.84417736547</v>
      </c>
      <c r="L173" s="17">
        <f>+INDEX(Alloc,$H173,L$1)*$I173</f>
        <v>3096.8530807227062</v>
      </c>
      <c r="M173" s="17">
        <f>+INDEX(Alloc,$H173,M$1)*$I173</f>
        <v>759.39098911910605</v>
      </c>
      <c r="N173" s="17">
        <f>+INDEX(Alloc,$H173,N$1)*$I173</f>
        <v>14045.500748441122</v>
      </c>
    </row>
    <row r="174" spans="4:14" x14ac:dyDescent="0.25">
      <c r="D174" t="s">
        <v>23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</row>
    <row r="175" spans="4:14" x14ac:dyDescent="0.25">
      <c r="D175" t="s">
        <v>29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</row>
    <row r="176" spans="4:14" x14ac:dyDescent="0.25">
      <c r="D176" t="s">
        <v>340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</row>
    <row r="177" spans="4:14" x14ac:dyDescent="0.25">
      <c r="D177" t="s">
        <v>363</v>
      </c>
      <c r="I177" s="12">
        <f>SUM(I93:I176)</f>
        <v>3197551</v>
      </c>
      <c r="J177" s="12">
        <f t="shared" ref="J177:N177" si="22">SUM(J93:J176)</f>
        <v>2318259.490627402</v>
      </c>
      <c r="K177" s="12">
        <f t="shared" si="22"/>
        <v>526823.82774861879</v>
      </c>
      <c r="L177" s="12">
        <f t="shared" si="22"/>
        <v>57870.63018366594</v>
      </c>
      <c r="M177" s="12">
        <f t="shared" si="22"/>
        <v>13004.753573267019</v>
      </c>
      <c r="N177" s="12">
        <f t="shared" si="22"/>
        <v>281592.29786704609</v>
      </c>
    </row>
    <row r="178" spans="4:14" x14ac:dyDescent="0.25">
      <c r="I178" s="12"/>
      <c r="J178" s="12"/>
      <c r="K178" s="12"/>
      <c r="L178" s="12"/>
      <c r="M178" s="12"/>
      <c r="N178" s="12"/>
    </row>
    <row r="179" spans="4:14" x14ac:dyDescent="0.25">
      <c r="D179" t="s">
        <v>364</v>
      </c>
      <c r="I179" s="12">
        <f>+I177+I90</f>
        <v>11465783</v>
      </c>
      <c r="J179" s="12">
        <f t="shared" ref="J179:N179" si="23">+J177+J90</f>
        <v>9433454.8964751121</v>
      </c>
      <c r="K179" s="12">
        <f t="shared" si="23"/>
        <v>1334635.986598908</v>
      </c>
      <c r="L179" s="12">
        <f t="shared" si="23"/>
        <v>121266.92660080467</v>
      </c>
      <c r="M179" s="12">
        <f t="shared" si="23"/>
        <v>29083.788354843207</v>
      </c>
      <c r="N179" s="12">
        <f t="shared" si="23"/>
        <v>547341.40197033144</v>
      </c>
    </row>
  </sheetData>
  <mergeCells count="3">
    <mergeCell ref="B2:N2"/>
    <mergeCell ref="B3:N3"/>
    <mergeCell ref="B4:N4"/>
  </mergeCells>
  <printOptions horizontalCentered="1"/>
  <pageMargins left="0.7" right="0.7" top="0.75" bottom="0.75" header="0.3" footer="0.3"/>
  <pageSetup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zoomScale="75" zoomScaleNormal="75" workbookViewId="0">
      <selection activeCell="B2" sqref="B2:N2"/>
    </sheetView>
  </sheetViews>
  <sheetFormatPr defaultRowHeight="15" x14ac:dyDescent="0.25"/>
  <cols>
    <col min="1" max="1" width="4.140625" bestFit="1" customWidth="1"/>
    <col min="2" max="2" width="8" customWidth="1"/>
    <col min="3" max="3" width="5.140625" hidden="1" customWidth="1"/>
    <col min="4" max="4" width="50" bestFit="1" customWidth="1"/>
    <col min="5" max="5" width="12.7109375" hidden="1" customWidth="1"/>
    <col min="6" max="6" width="23.28515625" hidden="1" customWidth="1"/>
    <col min="7" max="7" width="22.28515625" hidden="1" customWidth="1"/>
    <col min="8" max="8" width="13.140625" customWidth="1"/>
    <col min="9" max="9" width="14.42578125" bestFit="1" customWidth="1"/>
    <col min="10" max="10" width="15.7109375" bestFit="1" customWidth="1"/>
    <col min="11" max="11" width="14.42578125" bestFit="1" customWidth="1"/>
    <col min="12" max="12" width="13.28515625" bestFit="1" customWidth="1"/>
    <col min="13" max="13" width="12.7109375" customWidth="1"/>
    <col min="14" max="14" width="13.28515625" bestFit="1" customWidth="1"/>
    <col min="15" max="18" width="12.7109375" customWidth="1"/>
  </cols>
  <sheetData>
    <row r="1" spans="1:14" x14ac:dyDescent="0.25">
      <c r="J1">
        <v>5</v>
      </c>
      <c r="K1">
        <v>6</v>
      </c>
      <c r="L1">
        <v>7</v>
      </c>
      <c r="M1">
        <v>8</v>
      </c>
      <c r="N1">
        <v>9</v>
      </c>
    </row>
    <row r="2" spans="1:14" x14ac:dyDescent="0.25">
      <c r="B2" s="53" t="s">
        <v>513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x14ac:dyDescent="0.25">
      <c r="B3" s="53" t="s">
        <v>514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x14ac:dyDescent="0.25">
      <c r="B4" s="53" t="s">
        <v>518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4" x14ac:dyDescent="0.25">
      <c r="A5">
        <v>2</v>
      </c>
      <c r="B5" s="24"/>
      <c r="C5" s="24"/>
      <c r="D5" s="24"/>
      <c r="E5" s="25"/>
      <c r="F5" s="25"/>
      <c r="G5" s="25"/>
      <c r="H5" s="25"/>
      <c r="I5" s="24"/>
      <c r="J5" s="24"/>
      <c r="K5" s="24"/>
      <c r="L5" s="24"/>
      <c r="M5" s="24"/>
      <c r="N5" s="24"/>
    </row>
    <row r="6" spans="1:14" x14ac:dyDescent="0.25">
      <c r="A6">
        <v>3</v>
      </c>
      <c r="B6" s="29"/>
      <c r="C6" s="29"/>
      <c r="D6" s="29"/>
      <c r="E6" s="29" t="s">
        <v>0</v>
      </c>
      <c r="F6" s="30"/>
      <c r="G6" s="30"/>
      <c r="H6" s="30"/>
      <c r="I6" s="29"/>
      <c r="J6" s="29"/>
      <c r="K6" s="29"/>
      <c r="L6" s="29"/>
      <c r="M6" s="29"/>
      <c r="N6" s="29"/>
    </row>
    <row r="7" spans="1:14" x14ac:dyDescent="0.25">
      <c r="A7">
        <v>4</v>
      </c>
      <c r="B7" s="33"/>
      <c r="C7" s="33"/>
      <c r="D7" s="33"/>
      <c r="E7" s="34" t="s">
        <v>1</v>
      </c>
      <c r="F7" s="34"/>
      <c r="G7" s="34"/>
      <c r="H7" s="34" t="s">
        <v>464</v>
      </c>
      <c r="I7" s="33"/>
      <c r="J7" s="33"/>
      <c r="K7" s="33"/>
      <c r="L7" s="33"/>
      <c r="M7" s="33"/>
      <c r="N7" s="33"/>
    </row>
    <row r="8" spans="1:14" x14ac:dyDescent="0.25">
      <c r="A8">
        <v>5</v>
      </c>
      <c r="B8" s="27" t="s">
        <v>2</v>
      </c>
      <c r="C8" s="27" t="s">
        <v>3</v>
      </c>
      <c r="D8" s="27" t="s">
        <v>4</v>
      </c>
      <c r="E8" s="28" t="s">
        <v>5</v>
      </c>
      <c r="F8" s="28" t="s">
        <v>6</v>
      </c>
      <c r="G8" s="28" t="s">
        <v>7</v>
      </c>
      <c r="H8" s="28" t="s">
        <v>463</v>
      </c>
      <c r="I8" s="27" t="s">
        <v>8</v>
      </c>
      <c r="J8" s="27" t="s">
        <v>9</v>
      </c>
      <c r="K8" s="27" t="s">
        <v>10</v>
      </c>
      <c r="L8" s="27" t="s">
        <v>11</v>
      </c>
      <c r="M8" s="27" t="s">
        <v>12</v>
      </c>
      <c r="N8" s="27" t="s">
        <v>13</v>
      </c>
    </row>
    <row r="9" spans="1:14" x14ac:dyDescent="0.25">
      <c r="A9">
        <v>6</v>
      </c>
      <c r="B9" s="29"/>
      <c r="C9" s="29"/>
      <c r="D9" s="29"/>
      <c r="E9" s="30"/>
      <c r="F9" s="30"/>
      <c r="G9" s="30"/>
      <c r="H9" s="30"/>
      <c r="I9" s="29"/>
      <c r="J9" s="29"/>
      <c r="K9" s="29"/>
      <c r="L9" s="29"/>
      <c r="M9" s="29"/>
      <c r="N9" s="29"/>
    </row>
    <row r="10" spans="1:14" x14ac:dyDescent="0.25">
      <c r="A10">
        <v>410</v>
      </c>
      <c r="D10" t="s">
        <v>443</v>
      </c>
      <c r="E10" s="2"/>
      <c r="F10" s="2"/>
      <c r="G10" s="2"/>
      <c r="H10" s="2"/>
    </row>
    <row r="11" spans="1:14" x14ac:dyDescent="0.25">
      <c r="A11">
        <v>411</v>
      </c>
      <c r="B11" t="s">
        <v>444</v>
      </c>
      <c r="D11" t="s">
        <v>445</v>
      </c>
      <c r="E11" s="2">
        <v>-148485000</v>
      </c>
      <c r="F11" s="2" t="s">
        <v>307</v>
      </c>
      <c r="G11" s="2"/>
      <c r="H11" s="2">
        <v>17</v>
      </c>
      <c r="I11" s="12">
        <v>-148485000.00000003</v>
      </c>
      <c r="J11" s="17">
        <f>+INDEX(Alloc,$H11,J$1)*$I11</f>
        <v>-107941456.68724887</v>
      </c>
      <c r="K11" s="17">
        <f>+INDEX(Alloc,$H11,K$1)*$I11</f>
        <v>-33798192.391850784</v>
      </c>
      <c r="L11" s="17">
        <f>+INDEX(Alloc,$H11,L$1)*$I11</f>
        <v>-3762196.8009496857</v>
      </c>
      <c r="M11" s="17">
        <f>+INDEX(Alloc,$H11,M$1)*$I11</f>
        <v>-730099.82668873377</v>
      </c>
      <c r="N11" s="17">
        <f>+INDEX(Alloc,$H11,N$1)*$I11</f>
        <v>-2253054.293261962</v>
      </c>
    </row>
    <row r="12" spans="1:14" x14ac:dyDescent="0.25">
      <c r="A12">
        <v>412</v>
      </c>
      <c r="E12" s="2"/>
      <c r="F12" s="2"/>
      <c r="G12" s="2"/>
      <c r="H12" s="2"/>
      <c r="I12" s="12"/>
      <c r="J12" s="12"/>
      <c r="K12" s="12"/>
      <c r="L12" s="12"/>
      <c r="M12" s="12"/>
      <c r="N12" s="12"/>
    </row>
    <row r="13" spans="1:14" x14ac:dyDescent="0.25">
      <c r="A13">
        <v>413</v>
      </c>
      <c r="D13" t="s">
        <v>446</v>
      </c>
      <c r="E13" s="2"/>
      <c r="F13" s="2"/>
      <c r="G13" s="2"/>
      <c r="H13" s="2"/>
      <c r="I13" s="12"/>
      <c r="J13" s="12"/>
      <c r="K13" s="12"/>
      <c r="L13" s="12"/>
      <c r="M13" s="12"/>
      <c r="N13" s="12"/>
    </row>
    <row r="14" spans="1:14" x14ac:dyDescent="0.25">
      <c r="A14">
        <v>414</v>
      </c>
      <c r="B14" t="s">
        <v>447</v>
      </c>
      <c r="C14" t="s">
        <v>52</v>
      </c>
      <c r="D14" t="s">
        <v>448</v>
      </c>
      <c r="E14" s="2">
        <v>0</v>
      </c>
      <c r="F14" s="2" t="s">
        <v>449</v>
      </c>
      <c r="G14" s="2"/>
      <c r="H14" s="2"/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</row>
    <row r="15" spans="1:14" x14ac:dyDescent="0.25">
      <c r="A15">
        <v>415</v>
      </c>
      <c r="B15">
        <v>488</v>
      </c>
      <c r="C15" t="s">
        <v>49</v>
      </c>
      <c r="D15" t="s">
        <v>450</v>
      </c>
      <c r="E15" s="2">
        <v>-15000</v>
      </c>
      <c r="F15" s="2" t="s">
        <v>59</v>
      </c>
      <c r="G15" s="2"/>
      <c r="H15" s="2">
        <v>22</v>
      </c>
      <c r="I15" s="12">
        <v>-15000.000000000002</v>
      </c>
      <c r="J15" s="17">
        <f t="shared" ref="J15:N16" si="0">+INDEX(Alloc,$H15,J$1)*$I15</f>
        <v>-11291.446751458087</v>
      </c>
      <c r="K15" s="17">
        <f t="shared" si="0"/>
        <v>-2396.057689484941</v>
      </c>
      <c r="L15" s="17">
        <f t="shared" si="0"/>
        <v>-201.75886784017194</v>
      </c>
      <c r="M15" s="17">
        <f t="shared" si="0"/>
        <v>-50.558220060470831</v>
      </c>
      <c r="N15" s="17">
        <f t="shared" si="0"/>
        <v>-1060.1784711563314</v>
      </c>
    </row>
    <row r="16" spans="1:14" x14ac:dyDescent="0.25">
      <c r="A16">
        <v>416</v>
      </c>
      <c r="B16">
        <v>493</v>
      </c>
      <c r="C16" t="s">
        <v>49</v>
      </c>
      <c r="D16" t="s">
        <v>526</v>
      </c>
      <c r="E16" s="2">
        <v>-2000</v>
      </c>
      <c r="F16" s="2" t="s">
        <v>451</v>
      </c>
      <c r="G16" s="2"/>
      <c r="H16" s="2">
        <v>34</v>
      </c>
      <c r="I16" s="12">
        <v>-1999.9999999999998</v>
      </c>
      <c r="J16" s="17">
        <f t="shared" si="0"/>
        <v>-1479.7744942297597</v>
      </c>
      <c r="K16" s="17">
        <f t="shared" si="0"/>
        <v>-349.48061311401273</v>
      </c>
      <c r="L16" s="17">
        <f t="shared" si="0"/>
        <v>-31.526528407517223</v>
      </c>
      <c r="M16" s="17">
        <f t="shared" si="0"/>
        <v>-7.7005767296055589</v>
      </c>
      <c r="N16" s="17">
        <f t="shared" si="0"/>
        <v>-131.51778751910456</v>
      </c>
    </row>
    <row r="17" spans="1:14" x14ac:dyDescent="0.25">
      <c r="A17">
        <v>417</v>
      </c>
      <c r="B17">
        <v>495.9</v>
      </c>
      <c r="C17" t="s">
        <v>54</v>
      </c>
      <c r="D17" t="s">
        <v>452</v>
      </c>
      <c r="E17" s="2">
        <v>0</v>
      </c>
      <c r="F17" s="2" t="s">
        <v>199</v>
      </c>
      <c r="G17" s="2"/>
      <c r="H17" s="2"/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</row>
    <row r="18" spans="1:14" x14ac:dyDescent="0.25">
      <c r="A18">
        <v>418</v>
      </c>
      <c r="B18">
        <v>495</v>
      </c>
      <c r="C18" t="s">
        <v>47</v>
      </c>
      <c r="D18" t="s">
        <v>453</v>
      </c>
      <c r="E18" s="2">
        <v>-1933000</v>
      </c>
      <c r="F18" s="2" t="s">
        <v>451</v>
      </c>
      <c r="G18" s="2"/>
      <c r="H18" s="2">
        <v>34</v>
      </c>
      <c r="I18" s="12">
        <v>-1932999.9999999995</v>
      </c>
      <c r="J18" s="17">
        <f>+INDEX(Alloc,$H18,J$1)*$I18</f>
        <v>-1430202.0486730626</v>
      </c>
      <c r="K18" s="17">
        <f>+INDEX(Alloc,$H18,K$1)*$I18</f>
        <v>-337773.01257469325</v>
      </c>
      <c r="L18" s="17">
        <f>+INDEX(Alloc,$H18,L$1)*$I18</f>
        <v>-30470.389705865393</v>
      </c>
      <c r="M18" s="17">
        <f>+INDEX(Alloc,$H18,M$1)*$I18</f>
        <v>-7442.607409163772</v>
      </c>
      <c r="N18" s="17">
        <f>+INDEX(Alloc,$H18,N$1)*$I18</f>
        <v>-127111.94163721454</v>
      </c>
    </row>
    <row r="19" spans="1:14" x14ac:dyDescent="0.25">
      <c r="A19">
        <v>419</v>
      </c>
      <c r="D19" t="s">
        <v>14</v>
      </c>
      <c r="E19" s="2"/>
      <c r="F19" s="2"/>
      <c r="G19" s="2"/>
      <c r="H19" s="2"/>
      <c r="I19" s="12"/>
      <c r="J19" s="12"/>
      <c r="K19" s="12"/>
      <c r="L19" s="12"/>
      <c r="M19" s="12"/>
      <c r="N19" s="12"/>
    </row>
    <row r="20" spans="1:14" x14ac:dyDescent="0.25">
      <c r="A20">
        <v>420</v>
      </c>
      <c r="D20" t="s">
        <v>454</v>
      </c>
      <c r="E20" s="2">
        <f>SUM(E14:E18)</f>
        <v>-1950000</v>
      </c>
      <c r="F20" s="2"/>
      <c r="G20" s="2"/>
      <c r="H20" s="2"/>
      <c r="I20" s="12">
        <f t="shared" ref="I20:N20" si="1">SUM(I14:I18)</f>
        <v>-1949999.9999999995</v>
      </c>
      <c r="J20" s="12">
        <f t="shared" si="1"/>
        <v>-1442973.2699187505</v>
      </c>
      <c r="K20" s="12">
        <f t="shared" si="1"/>
        <v>-340518.55087729217</v>
      </c>
      <c r="L20" s="12">
        <f t="shared" si="1"/>
        <v>-30703.67510211308</v>
      </c>
      <c r="M20" s="12">
        <f t="shared" si="1"/>
        <v>-7500.8662059538483</v>
      </c>
      <c r="N20" s="12">
        <f t="shared" si="1"/>
        <v>-128303.63789588997</v>
      </c>
    </row>
    <row r="21" spans="1:14" x14ac:dyDescent="0.25">
      <c r="A21">
        <v>421</v>
      </c>
      <c r="E21" s="2"/>
      <c r="F21" s="2"/>
      <c r="G21" s="2"/>
      <c r="H21" s="2"/>
      <c r="I21" s="12"/>
      <c r="J21" s="12"/>
      <c r="K21" s="12"/>
      <c r="L21" s="12"/>
      <c r="M21" s="12"/>
      <c r="N21" s="12"/>
    </row>
    <row r="22" spans="1:14" x14ac:dyDescent="0.25">
      <c r="A22">
        <v>422</v>
      </c>
      <c r="D22" t="s">
        <v>455</v>
      </c>
      <c r="E22" s="2">
        <f>+E11+E20</f>
        <v>-150435000</v>
      </c>
      <c r="F22" s="2" t="s">
        <v>456</v>
      </c>
      <c r="G22" s="2"/>
      <c r="H22" s="2"/>
      <c r="I22" s="12">
        <f t="shared" ref="I22:N22" si="2">+I11+I20</f>
        <v>-150435000.00000003</v>
      </c>
      <c r="J22" s="12">
        <f t="shared" si="2"/>
        <v>-109384429.95716763</v>
      </c>
      <c r="K22" s="12">
        <f t="shared" si="2"/>
        <v>-34138710.94272808</v>
      </c>
      <c r="L22" s="12">
        <f t="shared" si="2"/>
        <v>-3792900.476051799</v>
      </c>
      <c r="M22" s="12">
        <f t="shared" si="2"/>
        <v>-737600.69289468764</v>
      </c>
      <c r="N22" s="12">
        <f t="shared" si="2"/>
        <v>-2381357.9311578521</v>
      </c>
    </row>
  </sheetData>
  <mergeCells count="3">
    <mergeCell ref="B2:N2"/>
    <mergeCell ref="B3:N3"/>
    <mergeCell ref="B4:N4"/>
  </mergeCells>
  <printOptions horizontalCentered="1"/>
  <pageMargins left="0.7" right="0.7" top="0.75" bottom="0.75" header="0.3" footer="0.3"/>
  <pageSetup scale="7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76"/>
  <sheetViews>
    <sheetView topLeftCell="F22" workbookViewId="0">
      <selection activeCell="B2" sqref="B2:N2"/>
    </sheetView>
  </sheetViews>
  <sheetFormatPr defaultRowHeight="15" x14ac:dyDescent="0.25"/>
  <cols>
    <col min="1" max="1" width="4.140625" hidden="1" customWidth="1"/>
    <col min="2" max="2" width="8" hidden="1" customWidth="1"/>
    <col min="3" max="3" width="5.140625" hidden="1" customWidth="1"/>
    <col min="4" max="4" width="50" hidden="1" customWidth="1"/>
    <col min="5" max="5" width="12.7109375" hidden="1" customWidth="1"/>
    <col min="6" max="6" width="37" bestFit="1" customWidth="1"/>
    <col min="7" max="7" width="22.28515625" hidden="1" customWidth="1"/>
    <col min="8" max="8" width="16.140625" customWidth="1"/>
    <col min="9" max="10" width="13.7109375" bestFit="1" customWidth="1"/>
    <col min="11" max="14" width="12.7109375" customWidth="1"/>
  </cols>
  <sheetData>
    <row r="2" spans="4:18" x14ac:dyDescent="0.25">
      <c r="F2" s="53" t="s">
        <v>513</v>
      </c>
      <c r="G2" s="53"/>
      <c r="H2" s="53"/>
      <c r="I2" s="53"/>
      <c r="J2" s="53"/>
      <c r="K2" s="53"/>
      <c r="L2" s="53"/>
      <c r="M2" s="53"/>
      <c r="N2" s="53"/>
      <c r="O2" s="22"/>
      <c r="P2" s="22"/>
      <c r="Q2" s="22"/>
      <c r="R2" s="22"/>
    </row>
    <row r="3" spans="4:18" x14ac:dyDescent="0.25">
      <c r="F3" s="53" t="s">
        <v>514</v>
      </c>
      <c r="G3" s="53"/>
      <c r="H3" s="53"/>
      <c r="I3" s="53"/>
      <c r="J3" s="53"/>
      <c r="K3" s="53"/>
      <c r="L3" s="53"/>
      <c r="M3" s="53"/>
      <c r="N3" s="53"/>
      <c r="O3" s="22"/>
      <c r="P3" s="22"/>
      <c r="Q3" s="22"/>
      <c r="R3" s="22"/>
    </row>
    <row r="4" spans="4:18" x14ac:dyDescent="0.25">
      <c r="F4" s="53" t="s">
        <v>519</v>
      </c>
      <c r="G4" s="53"/>
      <c r="H4" s="53"/>
      <c r="I4" s="53"/>
      <c r="J4" s="53"/>
      <c r="K4" s="53"/>
      <c r="L4" s="53"/>
      <c r="M4" s="53"/>
      <c r="N4" s="53"/>
      <c r="O4" s="22"/>
      <c r="P4" s="22"/>
      <c r="Q4" s="22"/>
      <c r="R4" s="22"/>
    </row>
    <row r="5" spans="4:18" x14ac:dyDescent="0.25">
      <c r="E5" s="2"/>
      <c r="F5" s="25"/>
      <c r="G5" s="25"/>
      <c r="H5" s="25"/>
      <c r="I5" s="24"/>
      <c r="J5" s="24"/>
      <c r="K5" s="24"/>
      <c r="L5" s="24"/>
      <c r="M5" s="24"/>
      <c r="N5" s="24"/>
    </row>
    <row r="6" spans="4:18" x14ac:dyDescent="0.25">
      <c r="F6" s="30"/>
      <c r="G6" s="30"/>
      <c r="H6" s="5"/>
      <c r="I6" s="29"/>
      <c r="J6" s="29"/>
      <c r="K6" s="29"/>
      <c r="L6" s="29"/>
      <c r="M6" s="29"/>
      <c r="N6" s="29"/>
    </row>
    <row r="7" spans="4:18" x14ac:dyDescent="0.25">
      <c r="E7" s="2"/>
      <c r="F7" s="5"/>
      <c r="G7" s="5"/>
      <c r="H7" s="5" t="s">
        <v>462</v>
      </c>
      <c r="I7" s="26"/>
      <c r="J7" s="26"/>
      <c r="K7" s="26"/>
      <c r="L7" s="26"/>
      <c r="M7" s="26"/>
      <c r="N7" s="26"/>
    </row>
    <row r="8" spans="4:18" x14ac:dyDescent="0.25">
      <c r="E8" s="2"/>
      <c r="F8" s="23" t="s">
        <v>457</v>
      </c>
      <c r="G8" s="23" t="s">
        <v>458</v>
      </c>
      <c r="H8" s="23" t="s">
        <v>463</v>
      </c>
      <c r="I8" s="23" t="s">
        <v>8</v>
      </c>
      <c r="J8" s="27" t="s">
        <v>9</v>
      </c>
      <c r="K8" s="27" t="s">
        <v>10</v>
      </c>
      <c r="L8" s="27" t="s">
        <v>11</v>
      </c>
      <c r="M8" s="27" t="s">
        <v>12</v>
      </c>
      <c r="N8" s="27" t="s">
        <v>13</v>
      </c>
    </row>
    <row r="9" spans="4:18" x14ac:dyDescent="0.25">
      <c r="E9" s="2"/>
      <c r="F9" s="2"/>
      <c r="G9" s="2"/>
      <c r="H9" s="2"/>
    </row>
    <row r="10" spans="4:18" x14ac:dyDescent="0.25">
      <c r="F10" t="s">
        <v>459</v>
      </c>
      <c r="G10" t="s">
        <v>30</v>
      </c>
      <c r="H10">
        <v>1</v>
      </c>
      <c r="I10" s="2">
        <v>195732638</v>
      </c>
      <c r="J10" s="2">
        <v>114766242</v>
      </c>
      <c r="K10" s="2">
        <v>45312560</v>
      </c>
      <c r="L10" s="2">
        <v>5674290</v>
      </c>
      <c r="M10" s="2">
        <v>1223438</v>
      </c>
      <c r="N10" s="2">
        <v>28756108</v>
      </c>
    </row>
    <row r="11" spans="4:18" x14ac:dyDescent="0.25">
      <c r="F11" t="s">
        <v>460</v>
      </c>
      <c r="G11" t="s">
        <v>31</v>
      </c>
      <c r="H11">
        <f>+H10+1</f>
        <v>2</v>
      </c>
      <c r="I11" s="2">
        <v>166976530</v>
      </c>
      <c r="J11" s="2">
        <v>114766242</v>
      </c>
      <c r="K11" s="2">
        <v>45312560</v>
      </c>
      <c r="L11" s="2">
        <v>5674290</v>
      </c>
      <c r="M11" s="2">
        <v>1223438</v>
      </c>
      <c r="N11" s="2">
        <v>0</v>
      </c>
    </row>
    <row r="12" spans="4:18" x14ac:dyDescent="0.25">
      <c r="F12" t="s">
        <v>461</v>
      </c>
      <c r="G12" t="s">
        <v>32</v>
      </c>
      <c r="H12">
        <f t="shared" ref="H12:H75" si="0">+H11+1</f>
        <v>3</v>
      </c>
      <c r="I12" s="2">
        <v>170847521</v>
      </c>
      <c r="J12" s="2">
        <v>114766242</v>
      </c>
      <c r="K12" s="2">
        <v>45312560</v>
      </c>
      <c r="L12" s="2">
        <v>5674290</v>
      </c>
      <c r="M12" s="2">
        <v>0</v>
      </c>
      <c r="N12" s="2">
        <v>5094429</v>
      </c>
    </row>
    <row r="13" spans="4:18" x14ac:dyDescent="0.25">
      <c r="F13" t="s">
        <v>16</v>
      </c>
      <c r="G13" t="s">
        <v>33</v>
      </c>
      <c r="H13">
        <f t="shared" si="0"/>
        <v>4</v>
      </c>
      <c r="I13" s="2">
        <v>60579085</v>
      </c>
      <c r="J13" s="2">
        <v>41637193</v>
      </c>
      <c r="K13" s="2">
        <v>16439397</v>
      </c>
      <c r="L13" s="2">
        <v>2058632</v>
      </c>
      <c r="M13" s="2">
        <v>443863</v>
      </c>
      <c r="N13" s="2">
        <v>0</v>
      </c>
    </row>
    <row r="14" spans="4:18" x14ac:dyDescent="0.25">
      <c r="F14" t="s">
        <v>17</v>
      </c>
      <c r="G14" t="s">
        <v>34</v>
      </c>
      <c r="H14">
        <f t="shared" si="0"/>
        <v>5</v>
      </c>
      <c r="I14" s="2">
        <v>73260.499079999994</v>
      </c>
      <c r="J14" s="2">
        <v>53940.133739999997</v>
      </c>
      <c r="K14" s="2">
        <v>17218.772800000002</v>
      </c>
      <c r="L14" s="2">
        <v>1759.0299</v>
      </c>
      <c r="M14" s="2">
        <v>342.56263999999999</v>
      </c>
      <c r="N14" s="2">
        <v>0</v>
      </c>
    </row>
    <row r="15" spans="4:18" x14ac:dyDescent="0.25">
      <c r="F15" t="s">
        <v>18</v>
      </c>
      <c r="G15" t="s">
        <v>35</v>
      </c>
      <c r="H15">
        <f t="shared" si="0"/>
        <v>6</v>
      </c>
      <c r="I15" s="2">
        <v>1346732.8</v>
      </c>
      <c r="J15" s="2">
        <v>859463.84820375557</v>
      </c>
      <c r="K15" s="2">
        <v>324317.19171596353</v>
      </c>
      <c r="L15" s="2">
        <v>24134.491671264506</v>
      </c>
      <c r="M15" s="2">
        <v>6297.4363283957064</v>
      </c>
      <c r="N15" s="2">
        <v>132519.83208062084</v>
      </c>
    </row>
    <row r="16" spans="4:18" x14ac:dyDescent="0.25">
      <c r="D16" t="s">
        <v>526</v>
      </c>
      <c r="F16" t="s">
        <v>19</v>
      </c>
      <c r="G16" t="s">
        <v>36</v>
      </c>
      <c r="H16">
        <f t="shared" si="0"/>
        <v>7</v>
      </c>
      <c r="I16" s="2">
        <v>1230013.3914483401</v>
      </c>
      <c r="J16" s="2">
        <v>859463.84820375557</v>
      </c>
      <c r="K16" s="2">
        <v>324317.19171596353</v>
      </c>
      <c r="L16" s="2">
        <v>24134.491671264506</v>
      </c>
      <c r="M16" s="2">
        <v>0</v>
      </c>
      <c r="N16" s="2">
        <v>22097.859857356554</v>
      </c>
    </row>
    <row r="17" spans="6:14" x14ac:dyDescent="0.25">
      <c r="F17" t="s">
        <v>20</v>
      </c>
      <c r="G17" t="s">
        <v>37</v>
      </c>
      <c r="H17">
        <f t="shared" si="0"/>
        <v>8</v>
      </c>
      <c r="I17" s="2">
        <v>18579799</v>
      </c>
      <c r="J17" s="2">
        <v>12966290</v>
      </c>
      <c r="K17" s="2">
        <v>5002960</v>
      </c>
      <c r="L17" s="2">
        <v>513467</v>
      </c>
      <c r="M17" s="2">
        <v>81554</v>
      </c>
      <c r="N17" s="2">
        <v>15528</v>
      </c>
    </row>
    <row r="18" spans="6:14" x14ac:dyDescent="0.25">
      <c r="F18" t="s">
        <v>21</v>
      </c>
      <c r="G18" t="s">
        <v>38</v>
      </c>
      <c r="H18">
        <f t="shared" si="0"/>
        <v>9</v>
      </c>
      <c r="I18" s="2">
        <v>100</v>
      </c>
      <c r="J18" s="2">
        <v>0</v>
      </c>
      <c r="K18" s="2">
        <v>0</v>
      </c>
      <c r="L18" s="2">
        <v>0</v>
      </c>
      <c r="M18" s="2">
        <v>100</v>
      </c>
      <c r="N18" s="2">
        <v>0</v>
      </c>
    </row>
    <row r="19" spans="6:14" x14ac:dyDescent="0.25">
      <c r="F19" t="s">
        <v>22</v>
      </c>
      <c r="G19" t="s">
        <v>39</v>
      </c>
      <c r="H19">
        <f t="shared" si="0"/>
        <v>10</v>
      </c>
      <c r="I19" s="2">
        <v>100</v>
      </c>
      <c r="J19" s="2">
        <v>0</v>
      </c>
      <c r="K19" s="2">
        <v>0</v>
      </c>
      <c r="L19" s="2">
        <v>0</v>
      </c>
      <c r="M19" s="2">
        <v>0</v>
      </c>
      <c r="N19" s="2">
        <v>100</v>
      </c>
    </row>
    <row r="20" spans="6:14" x14ac:dyDescent="0.25">
      <c r="F20" t="s">
        <v>23</v>
      </c>
      <c r="G20" t="s">
        <v>40</v>
      </c>
      <c r="H20">
        <f t="shared" si="0"/>
        <v>11</v>
      </c>
      <c r="I20" s="2">
        <v>1798880</v>
      </c>
      <c r="J20" s="2">
        <v>1768267</v>
      </c>
      <c r="K20" s="2">
        <v>29797</v>
      </c>
      <c r="L20" s="2">
        <v>336</v>
      </c>
      <c r="M20" s="2">
        <v>24</v>
      </c>
      <c r="N20" s="2">
        <v>456</v>
      </c>
    </row>
    <row r="21" spans="6:14" x14ac:dyDescent="0.25">
      <c r="F21" t="s">
        <v>24</v>
      </c>
      <c r="G21" t="s">
        <v>41</v>
      </c>
      <c r="H21">
        <f t="shared" si="0"/>
        <v>12</v>
      </c>
      <c r="I21" s="2">
        <v>1802163.9557800305</v>
      </c>
      <c r="J21" s="2">
        <v>1768267</v>
      </c>
      <c r="K21" s="2">
        <v>29797</v>
      </c>
      <c r="L21" s="2">
        <v>906.99706848444168</v>
      </c>
      <c r="M21" s="2">
        <v>64.78550489174583</v>
      </c>
      <c r="N21" s="2">
        <v>3128.1732066541867</v>
      </c>
    </row>
    <row r="22" spans="6:14" x14ac:dyDescent="0.25">
      <c r="F22" t="s">
        <v>25</v>
      </c>
      <c r="G22" t="s">
        <v>42</v>
      </c>
      <c r="H22">
        <f t="shared" si="0"/>
        <v>13</v>
      </c>
      <c r="I22" s="2">
        <v>2057132.3279953313</v>
      </c>
      <c r="J22" s="2">
        <v>1768267</v>
      </c>
      <c r="K22" s="2">
        <v>242387.18519910975</v>
      </c>
      <c r="L22" s="2">
        <v>6763.3359635178522</v>
      </c>
      <c r="M22" s="2">
        <v>3717.7601262471621</v>
      </c>
      <c r="N22" s="2">
        <v>35997.046706456531</v>
      </c>
    </row>
    <row r="23" spans="6:14" x14ac:dyDescent="0.25">
      <c r="F23" t="s">
        <v>26</v>
      </c>
      <c r="G23" t="s">
        <v>43</v>
      </c>
      <c r="H23">
        <f t="shared" si="0"/>
        <v>14</v>
      </c>
      <c r="I23" s="2">
        <v>1798880</v>
      </c>
      <c r="J23" s="2">
        <v>1768267</v>
      </c>
      <c r="K23" s="2">
        <v>29797</v>
      </c>
      <c r="L23" s="2">
        <v>336</v>
      </c>
      <c r="M23" s="2">
        <v>24</v>
      </c>
      <c r="N23" s="2">
        <v>456</v>
      </c>
    </row>
    <row r="24" spans="6:14" x14ac:dyDescent="0.25">
      <c r="F24" t="s">
        <v>27</v>
      </c>
      <c r="G24" t="s">
        <v>44</v>
      </c>
      <c r="H24">
        <f t="shared" si="0"/>
        <v>15</v>
      </c>
      <c r="I24" s="2">
        <v>38318.117160611422</v>
      </c>
      <c r="J24" s="2">
        <v>0</v>
      </c>
      <c r="K24" s="2">
        <v>29797</v>
      </c>
      <c r="L24" s="2">
        <v>1233.4312146007182</v>
      </c>
      <c r="M24" s="2">
        <v>683.07320556144305</v>
      </c>
      <c r="N24" s="2">
        <v>6604.6127404492654</v>
      </c>
    </row>
    <row r="25" spans="6:14" x14ac:dyDescent="0.25">
      <c r="F25" t="s">
        <v>28</v>
      </c>
      <c r="G25" t="s">
        <v>45</v>
      </c>
      <c r="H25">
        <f t="shared" si="0"/>
        <v>16</v>
      </c>
      <c r="I25" s="2">
        <v>100</v>
      </c>
      <c r="J25" s="2">
        <v>100</v>
      </c>
      <c r="K25" s="2">
        <v>0</v>
      </c>
      <c r="L25" s="2">
        <v>0</v>
      </c>
      <c r="M25" s="2">
        <v>0</v>
      </c>
      <c r="N25" s="2">
        <v>0</v>
      </c>
    </row>
    <row r="26" spans="6:14" x14ac:dyDescent="0.25">
      <c r="F26" t="s">
        <v>29</v>
      </c>
      <c r="G26" t="s">
        <v>46</v>
      </c>
      <c r="H26">
        <f t="shared" si="0"/>
        <v>17</v>
      </c>
      <c r="I26" s="2">
        <v>148485442</v>
      </c>
      <c r="J26" s="2">
        <v>107941778</v>
      </c>
      <c r="K26" s="2">
        <v>33798293</v>
      </c>
      <c r="L26" s="2">
        <v>3762208</v>
      </c>
      <c r="M26" s="2">
        <v>730102</v>
      </c>
      <c r="N26" s="2">
        <v>2253061</v>
      </c>
    </row>
    <row r="27" spans="6:14" x14ac:dyDescent="0.25">
      <c r="F27" t="s">
        <v>466</v>
      </c>
      <c r="H27">
        <f t="shared" si="0"/>
        <v>18</v>
      </c>
      <c r="I27">
        <f>SUM(J27:N27)</f>
        <v>1</v>
      </c>
      <c r="J27">
        <f>+J28</f>
        <v>0.61754126985999691</v>
      </c>
      <c r="K27">
        <f t="shared" ref="K27:N27" si="1">+K28</f>
        <v>0.23710846160246901</v>
      </c>
      <c r="L27">
        <f t="shared" si="1"/>
        <v>2.2328418602383583E-2</v>
      </c>
      <c r="M27">
        <f t="shared" si="1"/>
        <v>5.3030220894194208E-3</v>
      </c>
      <c r="N27">
        <f t="shared" si="1"/>
        <v>0.11771882784573109</v>
      </c>
    </row>
    <row r="28" spans="6:14" x14ac:dyDescent="0.25">
      <c r="F28" t="s">
        <v>467</v>
      </c>
      <c r="H28">
        <f t="shared" si="0"/>
        <v>19</v>
      </c>
      <c r="I28">
        <f>SUM(J28:N28)</f>
        <v>1</v>
      </c>
      <c r="J28">
        <f>+J10/$I10*0.398189+J15/$I15*0.601811</f>
        <v>0.61754126985999691</v>
      </c>
      <c r="K28">
        <f t="shared" ref="K28:N28" si="2">+K10/$I10*0.398189+K15/$I15*0.601811</f>
        <v>0.23710846160246901</v>
      </c>
      <c r="L28">
        <f t="shared" si="2"/>
        <v>2.2328418602383583E-2</v>
      </c>
      <c r="M28">
        <f t="shared" si="2"/>
        <v>5.3030220894194208E-3</v>
      </c>
      <c r="N28">
        <f t="shared" si="2"/>
        <v>0.11771882784573109</v>
      </c>
    </row>
    <row r="29" spans="6:14" x14ac:dyDescent="0.25">
      <c r="F29" t="s">
        <v>465</v>
      </c>
      <c r="H29">
        <f t="shared" si="0"/>
        <v>20</v>
      </c>
    </row>
    <row r="30" spans="6:14" x14ac:dyDescent="0.25">
      <c r="F30" t="s">
        <v>472</v>
      </c>
      <c r="H30">
        <f t="shared" si="0"/>
        <v>21</v>
      </c>
      <c r="I30" s="6">
        <f>SUM('Rate Base'!I31:I44)</f>
        <v>308210000</v>
      </c>
      <c r="J30" s="6">
        <f>SUM('Rate Base'!J31:J44)</f>
        <v>236908207.7311205</v>
      </c>
      <c r="K30" s="6">
        <f>SUM('Rate Base'!K31:K44)</f>
        <v>46429434.473888755</v>
      </c>
      <c r="L30" s="6">
        <f>SUM('Rate Base'!L31:L44)</f>
        <v>3823963.0232935646</v>
      </c>
      <c r="M30" s="6">
        <f>SUM('Rate Base'!M31:M44)</f>
        <v>968823.06420890556</v>
      </c>
      <c r="N30" s="6">
        <f>SUM('Rate Base'!N31:N44)</f>
        <v>20079571.70748828</v>
      </c>
    </row>
    <row r="31" spans="6:14" x14ac:dyDescent="0.25">
      <c r="F31" t="s">
        <v>102</v>
      </c>
      <c r="H31">
        <f t="shared" si="0"/>
        <v>22</v>
      </c>
      <c r="I31" s="2">
        <f t="shared" ref="I31:I43" si="3">SUM(J31:N31)</f>
        <v>344440000</v>
      </c>
      <c r="J31" s="2">
        <f>+'Rate Base'!J45</f>
        <v>259281727.93814817</v>
      </c>
      <c r="K31" s="2">
        <f>+'Rate Base'!K45</f>
        <v>55019874.037746206</v>
      </c>
      <c r="L31" s="2">
        <f>+'Rate Base'!L45</f>
        <v>4632921.6292579211</v>
      </c>
      <c r="M31" s="2">
        <f>+'Rate Base'!M45</f>
        <v>1160951.5545085713</v>
      </c>
      <c r="N31" s="2">
        <f>+'Rate Base'!N45</f>
        <v>24344524.840339117</v>
      </c>
    </row>
    <row r="32" spans="6:14" x14ac:dyDescent="0.25">
      <c r="F32" t="s">
        <v>473</v>
      </c>
      <c r="H32">
        <f t="shared" si="0"/>
        <v>23</v>
      </c>
      <c r="I32" s="2">
        <f t="shared" si="3"/>
        <v>1</v>
      </c>
      <c r="J32">
        <f>+'Alloc Pct'!J10*0.13+'Alloc Pct'!J11*0.87</f>
        <v>0.67419249676939741</v>
      </c>
      <c r="K32">
        <f>+'Alloc Pct'!K10*0.13+'Alloc Pct'!K11*0.87</f>
        <v>0.26618792624936805</v>
      </c>
      <c r="L32">
        <f>+'Alloc Pct'!L10*0.13+'Alloc Pct'!L11*0.87</f>
        <v>3.3333528011604871E-2</v>
      </c>
      <c r="M32">
        <f>+'Alloc Pct'!M10*0.13+'Alloc Pct'!M11*0.87</f>
        <v>7.1870674293104241E-3</v>
      </c>
      <c r="N32">
        <f>+'Alloc Pct'!N10*0.13+'Alloc Pct'!N11*0.87</f>
        <v>1.9098981540319301E-2</v>
      </c>
    </row>
    <row r="33" spans="6:14" x14ac:dyDescent="0.25">
      <c r="F33" t="s">
        <v>474</v>
      </c>
      <c r="H33">
        <f t="shared" si="0"/>
        <v>24</v>
      </c>
      <c r="I33" s="2">
        <f t="shared" si="3"/>
        <v>369764999.99999994</v>
      </c>
      <c r="J33" s="2">
        <f>+'Rate Base'!J47</f>
        <v>276355652.91883314</v>
      </c>
      <c r="K33" s="2">
        <f>+'Rate Base'!K47</f>
        <v>61761083.270011455</v>
      </c>
      <c r="L33" s="2">
        <f>+'Rate Base'!L47</f>
        <v>5477093.2261518147</v>
      </c>
      <c r="M33" s="2">
        <f>+'Rate Base'!M47</f>
        <v>1342964.0371558578</v>
      </c>
      <c r="N33" s="2">
        <f>+'Rate Base'!N47</f>
        <v>24828206.547847703</v>
      </c>
    </row>
    <row r="34" spans="6:14" x14ac:dyDescent="0.25">
      <c r="F34" t="s">
        <v>488</v>
      </c>
      <c r="H34">
        <f t="shared" si="0"/>
        <v>25</v>
      </c>
      <c r="I34" s="2">
        <f t="shared" si="3"/>
        <v>448574000</v>
      </c>
      <c r="J34" s="8">
        <f>+'Rate Base'!J62</f>
        <v>335264582.95814288</v>
      </c>
      <c r="K34" s="8">
        <f>+'Rate Base'!K62</f>
        <v>74912853.590979904</v>
      </c>
      <c r="L34" s="8">
        <f>+'Rate Base'!L62</f>
        <v>6642286.3815248506</v>
      </c>
      <c r="M34" s="8">
        <f>+'Rate Base'!M62</f>
        <v>1628780.0208143536</v>
      </c>
      <c r="N34" s="8">
        <f>+'Rate Base'!N62</f>
        <v>30125497.048537955</v>
      </c>
    </row>
    <row r="35" spans="6:14" x14ac:dyDescent="0.25">
      <c r="F35" t="s">
        <v>490</v>
      </c>
      <c r="H35">
        <f t="shared" si="0"/>
        <v>26</v>
      </c>
      <c r="I35" s="2">
        <f t="shared" si="3"/>
        <v>1</v>
      </c>
      <c r="J35">
        <f>0.1564*'Alloc Pct'!J10+0.8436*'Alloc Pct'!J11</f>
        <v>0.6715266848041046</v>
      </c>
      <c r="K35">
        <f>0.1564*'Alloc Pct'!K10+0.8436*'Alloc Pct'!K11</f>
        <v>0.26513539753952281</v>
      </c>
      <c r="L35">
        <f>0.1564*'Alloc Pct'!L10+0.8436*'Alloc Pct'!L11</f>
        <v>3.320172453078217E-2</v>
      </c>
      <c r="M35">
        <f>0.1564*'Alloc Pct'!M10+0.8436*'Alloc Pct'!M11</f>
        <v>7.1586491801601737E-3</v>
      </c>
      <c r="N35">
        <f>0.1564*'Alloc Pct'!N10+0.8436*'Alloc Pct'!N11</f>
        <v>2.29775439454303E-2</v>
      </c>
    </row>
    <row r="36" spans="6:14" x14ac:dyDescent="0.25">
      <c r="F36" t="s">
        <v>491</v>
      </c>
      <c r="H36">
        <f t="shared" si="0"/>
        <v>27</v>
      </c>
      <c r="I36" s="2">
        <f t="shared" si="3"/>
        <v>256963000</v>
      </c>
      <c r="J36" s="8">
        <f>SUM('Rate Base'!J31:J35)+'Rate Base'!J38</f>
        <v>196142267.397937</v>
      </c>
      <c r="K36" s="8">
        <f>SUM('Rate Base'!K31:K35)+'Rate Base'!K38</f>
        <v>38208271.559441499</v>
      </c>
      <c r="L36" s="8">
        <f>SUM('Rate Base'!L31:L35)+'Rate Base'!L38</f>
        <v>3489522.9060732801</v>
      </c>
      <c r="M36" s="8">
        <f>SUM('Rate Base'!M31:M35)+'Rate Base'!M38</f>
        <v>820156.10789060709</v>
      </c>
      <c r="N36" s="8">
        <f>SUM('Rate Base'!N31:N35)+'Rate Base'!N38</f>
        <v>18302782.028657623</v>
      </c>
    </row>
    <row r="37" spans="6:14" x14ac:dyDescent="0.25">
      <c r="F37" t="s">
        <v>492</v>
      </c>
      <c r="H37">
        <f t="shared" si="0"/>
        <v>28</v>
      </c>
      <c r="I37" s="2">
        <f t="shared" si="3"/>
        <v>0</v>
      </c>
      <c r="J37" s="2"/>
      <c r="K37" s="2"/>
      <c r="L37" s="2"/>
      <c r="M37" s="2"/>
      <c r="N37" s="2"/>
    </row>
    <row r="38" spans="6:14" x14ac:dyDescent="0.25">
      <c r="F38" t="s">
        <v>493</v>
      </c>
      <c r="H38">
        <f t="shared" si="0"/>
        <v>29</v>
      </c>
      <c r="I38" s="2">
        <f t="shared" si="3"/>
        <v>153960000.00000003</v>
      </c>
      <c r="J38" s="8">
        <f>SUM('Rate Base'!J31:J34)</f>
        <v>95076653.907645136</v>
      </c>
      <c r="K38" s="8">
        <f>SUM('Rate Base'!K31:K34)</f>
        <v>36505218.748316132</v>
      </c>
      <c r="L38" s="8">
        <f>SUM('Rate Base'!L31:L34)</f>
        <v>3437683.3280229764</v>
      </c>
      <c r="M38" s="8">
        <f>SUM('Rate Base'!M31:M34)</f>
        <v>816453.280887014</v>
      </c>
      <c r="N38" s="8">
        <f>SUM('Rate Base'!N31:N34)</f>
        <v>18123990.73512876</v>
      </c>
    </row>
    <row r="39" spans="6:14" x14ac:dyDescent="0.25">
      <c r="F39" s="2" t="s">
        <v>494</v>
      </c>
      <c r="H39">
        <f t="shared" si="0"/>
        <v>30</v>
      </c>
      <c r="I39" s="2">
        <f t="shared" si="3"/>
        <v>8975000</v>
      </c>
      <c r="J39" s="8">
        <f>SUM(Expenses!J42:J49)+Expenses!J62</f>
        <v>7085027.4843394868</v>
      </c>
      <c r="K39" s="8">
        <f>SUM(Expenses!K42:K49)+Expenses!K62</f>
        <v>1261947.0963798668</v>
      </c>
      <c r="L39" s="8">
        <f>SUM(Expenses!L42:L49)+Expenses!L62</f>
        <v>96383.057541471542</v>
      </c>
      <c r="M39" s="8">
        <f>SUM(Expenses!M42:M49)+Expenses!M62</f>
        <v>25811.442661339184</v>
      </c>
      <c r="N39" s="8">
        <f>SUM(Expenses!N42:N49)+Expenses!N62</f>
        <v>505830.91907783621</v>
      </c>
    </row>
    <row r="40" spans="6:14" x14ac:dyDescent="0.25">
      <c r="F40" t="s">
        <v>497</v>
      </c>
      <c r="H40">
        <f t="shared" si="0"/>
        <v>31</v>
      </c>
      <c r="I40" s="2">
        <f t="shared" si="3"/>
        <v>18164999.999999981</v>
      </c>
      <c r="J40" s="2">
        <f>+Expenses!J89</f>
        <v>15360599.813325392</v>
      </c>
      <c r="K40" s="2">
        <f>+Expenses!K89</f>
        <v>1981707.4638869555</v>
      </c>
      <c r="L40" s="2">
        <f>+Expenses!L89</f>
        <v>165677.84902643814</v>
      </c>
      <c r="M40" s="2">
        <f>+Expenses!M89</f>
        <v>41321.379837138476</v>
      </c>
      <c r="N40" s="2">
        <f>+Expenses!N89</f>
        <v>615693.49392406049</v>
      </c>
    </row>
    <row r="41" spans="6:14" x14ac:dyDescent="0.25">
      <c r="F41" t="s">
        <v>498</v>
      </c>
      <c r="H41">
        <f t="shared" si="0"/>
        <v>32</v>
      </c>
      <c r="I41" s="2">
        <f t="shared" si="3"/>
        <v>8268232</v>
      </c>
      <c r="J41" s="2">
        <f>+Labor!J90</f>
        <v>7115195.4058477106</v>
      </c>
      <c r="K41" s="2">
        <f>+Labor!K90</f>
        <v>807812.15885028907</v>
      </c>
      <c r="L41" s="2">
        <f>+Labor!L90</f>
        <v>63396.296417138736</v>
      </c>
      <c r="M41" s="2">
        <f>+Labor!M90</f>
        <v>16079.034781576189</v>
      </c>
      <c r="N41" s="2">
        <f>+Labor!N90</f>
        <v>265749.10410328535</v>
      </c>
    </row>
    <row r="42" spans="6:14" x14ac:dyDescent="0.25">
      <c r="F42" t="s">
        <v>499</v>
      </c>
      <c r="H42">
        <f t="shared" si="0"/>
        <v>33</v>
      </c>
      <c r="I42" s="2">
        <f t="shared" si="3"/>
        <v>11465782.999999998</v>
      </c>
      <c r="J42" s="2">
        <f>+Labor!J179</f>
        <v>9433454.8964751121</v>
      </c>
      <c r="K42" s="2">
        <f>+Labor!K179</f>
        <v>1334635.986598908</v>
      </c>
      <c r="L42" s="2">
        <f>+Labor!L179</f>
        <v>121266.92660080467</v>
      </c>
      <c r="M42" s="2">
        <f>+Labor!M179</f>
        <v>29083.788354843207</v>
      </c>
      <c r="N42" s="2">
        <f>+Labor!N179</f>
        <v>547341.40197033144</v>
      </c>
    </row>
    <row r="43" spans="6:14" x14ac:dyDescent="0.25">
      <c r="F43" t="s">
        <v>55</v>
      </c>
      <c r="H43">
        <f t="shared" si="0"/>
        <v>34</v>
      </c>
      <c r="I43" s="2">
        <f t="shared" si="3"/>
        <v>242843999.99999994</v>
      </c>
      <c r="J43" s="8">
        <f>+'Rate Base'!J127</f>
        <v>179677178.63836586</v>
      </c>
      <c r="K43" s="8">
        <f>+'Rate Base'!K127</f>
        <v>42434635.005529642</v>
      </c>
      <c r="L43" s="8">
        <f>+'Rate Base'!L127</f>
        <v>3828014.1322975559</v>
      </c>
      <c r="M43" s="8">
        <f>+'Rate Base'!M127</f>
        <v>935019.42766216607</v>
      </c>
      <c r="N43" s="8">
        <f>+'Rate Base'!N127</f>
        <v>15969152.796144711</v>
      </c>
    </row>
    <row r="44" spans="6:14" x14ac:dyDescent="0.25">
      <c r="H44">
        <f t="shared" si="0"/>
        <v>35</v>
      </c>
      <c r="I44" s="2"/>
    </row>
    <row r="45" spans="6:14" x14ac:dyDescent="0.25">
      <c r="H45">
        <f t="shared" si="0"/>
        <v>36</v>
      </c>
    </row>
    <row r="46" spans="6:14" x14ac:dyDescent="0.25">
      <c r="H46">
        <f t="shared" si="0"/>
        <v>37</v>
      </c>
    </row>
    <row r="47" spans="6:14" x14ac:dyDescent="0.25">
      <c r="H47">
        <f t="shared" si="0"/>
        <v>38</v>
      </c>
    </row>
    <row r="48" spans="6:14" x14ac:dyDescent="0.25">
      <c r="H48">
        <f t="shared" si="0"/>
        <v>39</v>
      </c>
    </row>
    <row r="49" spans="8:8" x14ac:dyDescent="0.25">
      <c r="H49">
        <f t="shared" si="0"/>
        <v>40</v>
      </c>
    </row>
    <row r="50" spans="8:8" x14ac:dyDescent="0.25">
      <c r="H50">
        <f t="shared" si="0"/>
        <v>41</v>
      </c>
    </row>
    <row r="51" spans="8:8" x14ac:dyDescent="0.25">
      <c r="H51">
        <f t="shared" si="0"/>
        <v>42</v>
      </c>
    </row>
    <row r="52" spans="8:8" x14ac:dyDescent="0.25">
      <c r="H52">
        <f t="shared" si="0"/>
        <v>43</v>
      </c>
    </row>
    <row r="53" spans="8:8" x14ac:dyDescent="0.25">
      <c r="H53">
        <f t="shared" si="0"/>
        <v>44</v>
      </c>
    </row>
    <row r="54" spans="8:8" x14ac:dyDescent="0.25">
      <c r="H54">
        <f t="shared" si="0"/>
        <v>45</v>
      </c>
    </row>
    <row r="55" spans="8:8" x14ac:dyDescent="0.25">
      <c r="H55">
        <f t="shared" si="0"/>
        <v>46</v>
      </c>
    </row>
    <row r="56" spans="8:8" x14ac:dyDescent="0.25">
      <c r="H56">
        <f t="shared" si="0"/>
        <v>47</v>
      </c>
    </row>
    <row r="57" spans="8:8" x14ac:dyDescent="0.25">
      <c r="H57">
        <f t="shared" si="0"/>
        <v>48</v>
      </c>
    </row>
    <row r="58" spans="8:8" x14ac:dyDescent="0.25">
      <c r="H58">
        <f t="shared" si="0"/>
        <v>49</v>
      </c>
    </row>
    <row r="59" spans="8:8" x14ac:dyDescent="0.25">
      <c r="H59">
        <f t="shared" si="0"/>
        <v>50</v>
      </c>
    </row>
    <row r="60" spans="8:8" x14ac:dyDescent="0.25">
      <c r="H60">
        <f t="shared" si="0"/>
        <v>51</v>
      </c>
    </row>
    <row r="61" spans="8:8" x14ac:dyDescent="0.25">
      <c r="H61">
        <f t="shared" si="0"/>
        <v>52</v>
      </c>
    </row>
    <row r="62" spans="8:8" x14ac:dyDescent="0.25">
      <c r="H62">
        <f t="shared" si="0"/>
        <v>53</v>
      </c>
    </row>
    <row r="63" spans="8:8" x14ac:dyDescent="0.25">
      <c r="H63">
        <f t="shared" si="0"/>
        <v>54</v>
      </c>
    </row>
    <row r="64" spans="8:8" x14ac:dyDescent="0.25">
      <c r="H64">
        <f t="shared" si="0"/>
        <v>55</v>
      </c>
    </row>
    <row r="65" spans="8:8" x14ac:dyDescent="0.25">
      <c r="H65">
        <f t="shared" si="0"/>
        <v>56</v>
      </c>
    </row>
    <row r="66" spans="8:8" x14ac:dyDescent="0.25">
      <c r="H66">
        <f t="shared" si="0"/>
        <v>57</v>
      </c>
    </row>
    <row r="67" spans="8:8" x14ac:dyDescent="0.25">
      <c r="H67">
        <f t="shared" si="0"/>
        <v>58</v>
      </c>
    </row>
    <row r="68" spans="8:8" x14ac:dyDescent="0.25">
      <c r="H68">
        <f t="shared" si="0"/>
        <v>59</v>
      </c>
    </row>
    <row r="69" spans="8:8" x14ac:dyDescent="0.25">
      <c r="H69">
        <f t="shared" si="0"/>
        <v>60</v>
      </c>
    </row>
    <row r="70" spans="8:8" x14ac:dyDescent="0.25">
      <c r="H70">
        <f t="shared" si="0"/>
        <v>61</v>
      </c>
    </row>
    <row r="71" spans="8:8" x14ac:dyDescent="0.25">
      <c r="H71">
        <f t="shared" si="0"/>
        <v>62</v>
      </c>
    </row>
    <row r="72" spans="8:8" x14ac:dyDescent="0.25">
      <c r="H72">
        <f t="shared" si="0"/>
        <v>63</v>
      </c>
    </row>
    <row r="73" spans="8:8" x14ac:dyDescent="0.25">
      <c r="H73">
        <f t="shared" si="0"/>
        <v>64</v>
      </c>
    </row>
    <row r="74" spans="8:8" x14ac:dyDescent="0.25">
      <c r="H74">
        <f t="shared" si="0"/>
        <v>65</v>
      </c>
    </row>
    <row r="75" spans="8:8" x14ac:dyDescent="0.25">
      <c r="H75">
        <f t="shared" si="0"/>
        <v>66</v>
      </c>
    </row>
    <row r="76" spans="8:8" x14ac:dyDescent="0.25">
      <c r="H76">
        <f t="shared" ref="H76" si="4">+H75+1</f>
        <v>67</v>
      </c>
    </row>
  </sheetData>
  <mergeCells count="3">
    <mergeCell ref="F2:N2"/>
    <mergeCell ref="F3:N3"/>
    <mergeCell ref="F4:N4"/>
  </mergeCells>
  <printOptions horizontalCentered="1"/>
  <pageMargins left="0.7" right="0.7" top="0.75" bottom="0.75" header="0.3" footer="0.3"/>
  <pageSetup scale="9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0"/>
  <sheetViews>
    <sheetView topLeftCell="F7" workbookViewId="0">
      <selection activeCell="B2" sqref="B2:N2"/>
    </sheetView>
  </sheetViews>
  <sheetFormatPr defaultRowHeight="15" x14ac:dyDescent="0.25"/>
  <cols>
    <col min="1" max="1" width="4.140625" hidden="1" customWidth="1"/>
    <col min="2" max="2" width="8" hidden="1" customWidth="1"/>
    <col min="3" max="3" width="5.140625" hidden="1" customWidth="1"/>
    <col min="4" max="4" width="50" hidden="1" customWidth="1"/>
    <col min="5" max="5" width="12.7109375" hidden="1" customWidth="1"/>
    <col min="6" max="6" width="37" bestFit="1" customWidth="1"/>
    <col min="7" max="7" width="22.28515625" hidden="1" customWidth="1"/>
    <col min="8" max="8" width="10" bestFit="1" customWidth="1"/>
    <col min="9" max="19" width="12.7109375" customWidth="1"/>
  </cols>
  <sheetData>
    <row r="2" spans="1:14" x14ac:dyDescent="0.25">
      <c r="F2" s="53" t="s">
        <v>513</v>
      </c>
      <c r="G2" s="53"/>
      <c r="H2" s="53"/>
      <c r="I2" s="53"/>
      <c r="J2" s="53"/>
      <c r="K2" s="53"/>
      <c r="L2" s="53"/>
      <c r="M2" s="53"/>
      <c r="N2" s="53"/>
    </row>
    <row r="3" spans="1:14" x14ac:dyDescent="0.25">
      <c r="F3" s="53" t="s">
        <v>514</v>
      </c>
      <c r="G3" s="53"/>
      <c r="H3" s="53"/>
      <c r="I3" s="53"/>
      <c r="J3" s="53"/>
      <c r="K3" s="53"/>
      <c r="L3" s="53"/>
      <c r="M3" s="53"/>
      <c r="N3" s="53"/>
    </row>
    <row r="4" spans="1:14" x14ac:dyDescent="0.25">
      <c r="F4" s="53" t="s">
        <v>520</v>
      </c>
      <c r="G4" s="53"/>
      <c r="H4" s="53"/>
      <c r="I4" s="53"/>
      <c r="J4" s="53"/>
      <c r="K4" s="53"/>
      <c r="L4" s="53"/>
      <c r="M4" s="53"/>
      <c r="N4" s="53"/>
    </row>
    <row r="5" spans="1:14" x14ac:dyDescent="0.25">
      <c r="E5" s="2"/>
      <c r="F5" s="14"/>
      <c r="G5" s="14"/>
      <c r="H5" s="14"/>
      <c r="I5" s="13"/>
      <c r="J5" s="13"/>
      <c r="K5" s="13"/>
      <c r="L5" s="13"/>
      <c r="M5" s="13"/>
      <c r="N5" s="13"/>
    </row>
    <row r="6" spans="1:14" x14ac:dyDescent="0.25">
      <c r="F6" s="19"/>
      <c r="G6" s="19"/>
      <c r="H6" s="19"/>
      <c r="I6" s="18"/>
      <c r="J6" s="18"/>
      <c r="K6" s="18"/>
      <c r="L6" s="18"/>
      <c r="M6" s="18"/>
      <c r="N6" s="18"/>
    </row>
    <row r="7" spans="1:14" x14ac:dyDescent="0.25">
      <c r="E7" s="2"/>
      <c r="F7" s="21"/>
      <c r="G7" s="21"/>
      <c r="H7" s="21" t="s">
        <v>462</v>
      </c>
      <c r="I7" s="20"/>
      <c r="J7" s="20"/>
      <c r="K7" s="20"/>
      <c r="L7" s="20"/>
      <c r="M7" s="20"/>
      <c r="N7" s="20"/>
    </row>
    <row r="8" spans="1:14" x14ac:dyDescent="0.25">
      <c r="E8" s="2"/>
      <c r="F8" s="16" t="s">
        <v>457</v>
      </c>
      <c r="G8" s="16" t="s">
        <v>458</v>
      </c>
      <c r="H8" s="16" t="s">
        <v>463</v>
      </c>
      <c r="I8" s="16" t="s">
        <v>8</v>
      </c>
      <c r="J8" s="16" t="s">
        <v>9</v>
      </c>
      <c r="K8" s="16" t="s">
        <v>10</v>
      </c>
      <c r="L8" s="16" t="s">
        <v>11</v>
      </c>
      <c r="M8" s="16" t="s">
        <v>12</v>
      </c>
      <c r="N8" s="16" t="s">
        <v>13</v>
      </c>
    </row>
    <row r="9" spans="1:14" x14ac:dyDescent="0.25">
      <c r="A9">
        <v>6</v>
      </c>
      <c r="E9" s="2"/>
      <c r="F9" s="2"/>
      <c r="G9" s="2"/>
      <c r="H9" s="2"/>
    </row>
    <row r="10" spans="1:14" x14ac:dyDescent="0.25">
      <c r="F10" t="str">
        <f>+'Alloc Amt'!F10</f>
        <v>Throughput - All Schedules</v>
      </c>
      <c r="G10" t="str">
        <f>+'Alloc Amt'!G10</f>
        <v>E01</v>
      </c>
      <c r="H10">
        <v>1</v>
      </c>
      <c r="I10" s="4">
        <f>SUM(J10:N10)</f>
        <v>1</v>
      </c>
      <c r="J10" s="3">
        <f>+'Alloc Amt'!J10/'Alloc Amt'!$I10</f>
        <v>0.58634187518588499</v>
      </c>
      <c r="K10" s="3">
        <f>+'Alloc Amt'!K10/'Alloc Amt'!$I10</f>
        <v>0.23150232103855872</v>
      </c>
      <c r="L10" s="3">
        <f>+'Alloc Amt'!L10/'Alloc Amt'!$I10</f>
        <v>2.8990004211765643E-2</v>
      </c>
      <c r="M10" s="3">
        <f>+'Alloc Amt'!M10/'Alloc Amt'!$I10</f>
        <v>6.2505569459499139E-3</v>
      </c>
      <c r="N10" s="3">
        <f>+'Alloc Amt'!N10/'Alloc Amt'!$I10</f>
        <v>0.14691524261784078</v>
      </c>
    </row>
    <row r="11" spans="1:14" x14ac:dyDescent="0.25">
      <c r="F11" t="str">
        <f>+'Alloc Amt'!F11</f>
        <v>Sales - Excludes 146</v>
      </c>
      <c r="G11" t="str">
        <f>+'Alloc Amt'!G11</f>
        <v>E04</v>
      </c>
      <c r="H11">
        <f>+H10+1</f>
        <v>2</v>
      </c>
      <c r="I11" s="4">
        <f t="shared" ref="I11:I74" si="0">SUM(J11:N11)</f>
        <v>0.99999999999999989</v>
      </c>
      <c r="J11" s="3">
        <f>+'Alloc Amt'!J11/'Alloc Amt'!$I11</f>
        <v>0.68731960114394519</v>
      </c>
      <c r="K11" s="3">
        <f>+'Alloc Amt'!K11/'Alloc Amt'!$I11</f>
        <v>0.27137083277512114</v>
      </c>
      <c r="L11" s="3">
        <f>+'Alloc Amt'!L11/'Alloc Amt'!$I11</f>
        <v>3.3982560303534873E-2</v>
      </c>
      <c r="M11" s="3">
        <f>+'Alloc Amt'!M11/'Alloc Amt'!$I11</f>
        <v>7.3270057773987757E-3</v>
      </c>
      <c r="N11" s="3">
        <f>+'Alloc Amt'!N11/'Alloc Amt'!$I11</f>
        <v>0</v>
      </c>
    </row>
    <row r="12" spans="1:14" x14ac:dyDescent="0.25">
      <c r="F12" t="str">
        <f>+'Alloc Amt'!F12</f>
        <v>Throughput - Excludes 132 &amp; 146</v>
      </c>
      <c r="G12" t="str">
        <f>+'Alloc Amt'!G12</f>
        <v>E06</v>
      </c>
      <c r="H12">
        <f t="shared" ref="H12:H75" si="1">+H11+1</f>
        <v>3</v>
      </c>
      <c r="I12" s="4">
        <f t="shared" si="0"/>
        <v>1</v>
      </c>
      <c r="J12" s="3">
        <f>+'Alloc Amt'!J12/'Alloc Amt'!$I12</f>
        <v>0.6717466038035167</v>
      </c>
      <c r="K12" s="3">
        <f>+'Alloc Amt'!K12/'Alloc Amt'!$I12</f>
        <v>0.26522222701727116</v>
      </c>
      <c r="L12" s="3">
        <f>+'Alloc Amt'!L12/'Alloc Amt'!$I12</f>
        <v>3.3212597799414365E-2</v>
      </c>
      <c r="M12" s="3">
        <f>+'Alloc Amt'!M12/'Alloc Amt'!$I12</f>
        <v>0</v>
      </c>
      <c r="N12" s="3">
        <f>+'Alloc Amt'!N12/'Alloc Amt'!$I12</f>
        <v>2.9818571379797779E-2</v>
      </c>
    </row>
    <row r="13" spans="1:14" x14ac:dyDescent="0.25">
      <c r="F13" t="str">
        <f>+'Alloc Amt'!F13</f>
        <v>Purchased Gas - Commodity</v>
      </c>
      <c r="G13" t="str">
        <f>+'Alloc Amt'!G13</f>
        <v>E07</v>
      </c>
      <c r="H13">
        <f t="shared" si="1"/>
        <v>4</v>
      </c>
      <c r="I13" s="4">
        <f t="shared" si="0"/>
        <v>1</v>
      </c>
      <c r="J13" s="3">
        <f>+'Alloc Amt'!J13/'Alloc Amt'!$I13</f>
        <v>0.687319608739551</v>
      </c>
      <c r="K13" s="3">
        <f>+'Alloc Amt'!K13/'Alloc Amt'!$I13</f>
        <v>0.27137083698111319</v>
      </c>
      <c r="L13" s="3">
        <f>+'Alloc Amt'!L13/'Alloc Amt'!$I13</f>
        <v>3.3982553549628557E-2</v>
      </c>
      <c r="M13" s="3">
        <f>+'Alloc Amt'!M13/'Alloc Amt'!$I13</f>
        <v>7.3270007297072913E-3</v>
      </c>
      <c r="N13" s="3">
        <f>+'Alloc Amt'!N13/'Alloc Amt'!$I13</f>
        <v>0</v>
      </c>
    </row>
    <row r="14" spans="1:14" x14ac:dyDescent="0.25">
      <c r="F14" t="str">
        <f>+'Alloc Amt'!F14</f>
        <v>GTI Expense</v>
      </c>
      <c r="G14" t="str">
        <f>+'Alloc Amt'!G14</f>
        <v>E08</v>
      </c>
      <c r="H14">
        <f t="shared" si="1"/>
        <v>5</v>
      </c>
      <c r="I14" s="4">
        <f t="shared" si="0"/>
        <v>1</v>
      </c>
      <c r="J14" s="3">
        <f>+'Alloc Amt'!J14/'Alloc Amt'!$I14</f>
        <v>0.7362785459746557</v>
      </c>
      <c r="K14" s="3">
        <f>+'Alloc Amt'!K14/'Alloc Amt'!$I14</f>
        <v>0.23503488259337701</v>
      </c>
      <c r="L14" s="3">
        <f>+'Alloc Amt'!L14/'Alloc Amt'!$I14</f>
        <v>2.4010618574672151E-2</v>
      </c>
      <c r="M14" s="3">
        <f>+'Alloc Amt'!M14/'Alloc Amt'!$I14</f>
        <v>4.6759528572952224E-3</v>
      </c>
      <c r="N14" s="3">
        <f>+'Alloc Amt'!N14/'Alloc Amt'!$I14</f>
        <v>0</v>
      </c>
    </row>
    <row r="15" spans="1:14" x14ac:dyDescent="0.25">
      <c r="F15" t="str">
        <f>+'Alloc Amt'!F15</f>
        <v>Coincident Peak - All</v>
      </c>
      <c r="G15" t="str">
        <f>+'Alloc Amt'!G15</f>
        <v>D01</v>
      </c>
      <c r="H15">
        <f t="shared" si="1"/>
        <v>6</v>
      </c>
      <c r="I15" s="4">
        <f t="shared" si="0"/>
        <v>1.0000000000000002</v>
      </c>
      <c r="J15" s="3">
        <f>+'Alloc Amt'!J15/'Alloc Amt'!$I15</f>
        <v>0.63818438832391666</v>
      </c>
      <c r="K15" s="3">
        <f>+'Alloc Amt'!K15/'Alloc Amt'!$I15</f>
        <v>0.24081777151040171</v>
      </c>
      <c r="L15" s="3">
        <f>+'Alloc Amt'!L15/'Alloc Amt'!$I15</f>
        <v>1.7920772161533829E-2</v>
      </c>
      <c r="M15" s="3">
        <f>+'Alloc Amt'!M15/'Alloc Amt'!$I15</f>
        <v>4.6760844678288864E-3</v>
      </c>
      <c r="N15" s="3">
        <f>+'Alloc Amt'!N15/'Alloc Amt'!$I15</f>
        <v>9.8400983536319028E-2</v>
      </c>
    </row>
    <row r="16" spans="1:14" x14ac:dyDescent="0.25">
      <c r="D16" t="s">
        <v>526</v>
      </c>
      <c r="F16" t="str">
        <f>+'Alloc Amt'!F16</f>
        <v>Coincident Peak - Small Mains</v>
      </c>
      <c r="G16" t="str">
        <f>+'Alloc Amt'!G16</f>
        <v>D02</v>
      </c>
      <c r="H16">
        <f t="shared" si="1"/>
        <v>7</v>
      </c>
      <c r="I16" s="4">
        <f t="shared" si="0"/>
        <v>1</v>
      </c>
      <c r="J16" s="3">
        <f>+'Alloc Amt'!J16/'Alloc Amt'!$I16</f>
        <v>0.69874348863123947</v>
      </c>
      <c r="K16" s="3">
        <f>+'Alloc Amt'!K16/'Alloc Amt'!$I16</f>
        <v>0.26366964292484668</v>
      </c>
      <c r="L16" s="3">
        <f>+'Alloc Amt'!L16/'Alloc Amt'!$I16</f>
        <v>1.9621324319767083E-2</v>
      </c>
      <c r="M16" s="3">
        <f>+'Alloc Amt'!M16/'Alloc Amt'!$I16</f>
        <v>0</v>
      </c>
      <c r="N16" s="3">
        <f>+'Alloc Amt'!N16/'Alloc Amt'!$I16</f>
        <v>1.7965544124146759E-2</v>
      </c>
    </row>
    <row r="17" spans="6:14" x14ac:dyDescent="0.25">
      <c r="F17" t="str">
        <f>+'Alloc Amt'!F17</f>
        <v>Purchased Gas - Demand</v>
      </c>
      <c r="G17" t="str">
        <f>+'Alloc Amt'!G17</f>
        <v>D05</v>
      </c>
      <c r="H17">
        <f t="shared" si="1"/>
        <v>8</v>
      </c>
      <c r="I17" s="4">
        <f t="shared" si="0"/>
        <v>1</v>
      </c>
      <c r="J17" s="3">
        <f>+'Alloc Amt'!J17/'Alloc Amt'!$I17</f>
        <v>0.69787030527079441</v>
      </c>
      <c r="K17" s="3">
        <f>+'Alloc Amt'!K17/'Alloc Amt'!$I17</f>
        <v>0.26926879025978701</v>
      </c>
      <c r="L17" s="3">
        <f>+'Alloc Amt'!L17/'Alloc Amt'!$I17</f>
        <v>2.7635767211475214E-2</v>
      </c>
      <c r="M17" s="3">
        <f>+'Alloc Amt'!M17/'Alloc Amt'!$I17</f>
        <v>4.3893908647773851E-3</v>
      </c>
      <c r="N17" s="3">
        <f>+'Alloc Amt'!N17/'Alloc Amt'!$I17</f>
        <v>8.3574639316604015E-4</v>
      </c>
    </row>
    <row r="18" spans="6:14" x14ac:dyDescent="0.25">
      <c r="F18" t="str">
        <f>+'Alloc Amt'!F18</f>
        <v>DA 131</v>
      </c>
      <c r="G18" t="str">
        <f>+'Alloc Amt'!G18</f>
        <v>D06</v>
      </c>
      <c r="H18">
        <f t="shared" si="1"/>
        <v>9</v>
      </c>
      <c r="I18" s="4">
        <f t="shared" si="0"/>
        <v>1</v>
      </c>
      <c r="J18" s="3">
        <f>+'Alloc Amt'!J18/'Alloc Amt'!$I18</f>
        <v>0</v>
      </c>
      <c r="K18" s="3">
        <f>+'Alloc Amt'!K18/'Alloc Amt'!$I18</f>
        <v>0</v>
      </c>
      <c r="L18" s="3">
        <f>+'Alloc Amt'!L18/'Alloc Amt'!$I18</f>
        <v>0</v>
      </c>
      <c r="M18" s="3">
        <f>+'Alloc Amt'!M18/'Alloc Amt'!$I18</f>
        <v>1</v>
      </c>
      <c r="N18" s="3">
        <f>+'Alloc Amt'!N18/'Alloc Amt'!$I18</f>
        <v>0</v>
      </c>
    </row>
    <row r="19" spans="6:14" x14ac:dyDescent="0.25">
      <c r="F19" t="str">
        <f>+'Alloc Amt'!F19</f>
        <v>DA 146</v>
      </c>
      <c r="G19" t="str">
        <f>+'Alloc Amt'!G19</f>
        <v>D07</v>
      </c>
      <c r="H19">
        <f t="shared" si="1"/>
        <v>10</v>
      </c>
      <c r="I19" s="4">
        <f t="shared" si="0"/>
        <v>1</v>
      </c>
      <c r="J19" s="3">
        <f>+'Alloc Amt'!J19/'Alloc Amt'!$I19</f>
        <v>0</v>
      </c>
      <c r="K19" s="3">
        <f>+'Alloc Amt'!K19/'Alloc Amt'!$I19</f>
        <v>0</v>
      </c>
      <c r="L19" s="3">
        <f>+'Alloc Amt'!L19/'Alloc Amt'!$I19</f>
        <v>0</v>
      </c>
      <c r="M19" s="3">
        <f>+'Alloc Amt'!M19/'Alloc Amt'!$I19</f>
        <v>0</v>
      </c>
      <c r="N19" s="3">
        <f>+'Alloc Amt'!N19/'Alloc Amt'!$I19</f>
        <v>1</v>
      </c>
    </row>
    <row r="20" spans="6:14" x14ac:dyDescent="0.25">
      <c r="F20" t="str">
        <f>+'Alloc Amt'!F20</f>
        <v>All Customers</v>
      </c>
      <c r="G20" t="str">
        <f>+'Alloc Amt'!G20</f>
        <v>C01</v>
      </c>
      <c r="H20">
        <f t="shared" si="1"/>
        <v>11</v>
      </c>
      <c r="I20" s="4">
        <f t="shared" si="0"/>
        <v>1</v>
      </c>
      <c r="J20" s="3">
        <f>+'Alloc Amt'!J20/'Alloc Amt'!$I20</f>
        <v>0.98298218891754874</v>
      </c>
      <c r="K20" s="3">
        <f>+'Alloc Amt'!K20/'Alloc Amt'!$I20</f>
        <v>1.6564195499421862E-2</v>
      </c>
      <c r="L20" s="3">
        <f>+'Alloc Amt'!L20/'Alloc Amt'!$I20</f>
        <v>1.8678288712976963E-4</v>
      </c>
      <c r="M20" s="3">
        <f>+'Alloc Amt'!M20/'Alloc Amt'!$I20</f>
        <v>1.3341634794983546E-5</v>
      </c>
      <c r="N20" s="3">
        <f>+'Alloc Amt'!N20/'Alloc Amt'!$I20</f>
        <v>2.5349106110468734E-4</v>
      </c>
    </row>
    <row r="21" spans="6:14" x14ac:dyDescent="0.25">
      <c r="F21" t="str">
        <f>+'Alloc Amt'!F21</f>
        <v>Service Cost</v>
      </c>
      <c r="G21" t="str">
        <f>+'Alloc Amt'!G21</f>
        <v>C02</v>
      </c>
      <c r="H21">
        <f t="shared" si="1"/>
        <v>12</v>
      </c>
      <c r="I21" s="4">
        <f t="shared" si="0"/>
        <v>1</v>
      </c>
      <c r="J21" s="3">
        <f>+'Alloc Amt'!J21/'Alloc Amt'!$I21</f>
        <v>0.98119097007166656</v>
      </c>
      <c r="K21" s="3">
        <f>+'Alloc Amt'!K21/'Alloc Amt'!$I21</f>
        <v>1.653401173873937E-2</v>
      </c>
      <c r="L21" s="3">
        <f>+'Alloc Amt'!L21/'Alloc Amt'!$I21</f>
        <v>5.032822155694853E-4</v>
      </c>
      <c r="M21" s="3">
        <f>+'Alloc Amt'!M21/'Alloc Amt'!$I21</f>
        <v>3.5948729683534659E-5</v>
      </c>
      <c r="N21" s="3">
        <f>+'Alloc Amt'!N21/'Alloc Amt'!$I21</f>
        <v>1.735787244341051E-3</v>
      </c>
    </row>
    <row r="22" spans="6:14" x14ac:dyDescent="0.25">
      <c r="F22" t="str">
        <f>+'Alloc Amt'!F22</f>
        <v>Meter Cost</v>
      </c>
      <c r="G22" t="str">
        <f>+'Alloc Amt'!G22</f>
        <v>C03</v>
      </c>
      <c r="H22">
        <f t="shared" si="1"/>
        <v>13</v>
      </c>
      <c r="I22" s="4">
        <f t="shared" si="0"/>
        <v>1</v>
      </c>
      <c r="J22" s="3">
        <f>+'Alloc Amt'!J22/'Alloc Amt'!$I22</f>
        <v>0.85957863572304583</v>
      </c>
      <c r="K22" s="3">
        <f>+'Alloc Amt'!K22/'Alloc Amt'!$I22</f>
        <v>0.11782770699798163</v>
      </c>
      <c r="L22" s="3">
        <f>+'Alloc Amt'!L22/'Alloc Amt'!$I22</f>
        <v>3.287749587849169E-3</v>
      </c>
      <c r="M22" s="3">
        <f>+'Alloc Amt'!M22/'Alloc Amt'!$I22</f>
        <v>1.8072537559458352E-3</v>
      </c>
      <c r="N22" s="3">
        <f>+'Alloc Amt'!N22/'Alloc Amt'!$I22</f>
        <v>1.7498653935177584E-2</v>
      </c>
    </row>
    <row r="23" spans="6:14" x14ac:dyDescent="0.25">
      <c r="F23" t="str">
        <f>+'Alloc Amt'!F23</f>
        <v>Regulator Cost</v>
      </c>
      <c r="G23" t="str">
        <f>+'Alloc Amt'!G23</f>
        <v>C04</v>
      </c>
      <c r="H23">
        <f t="shared" si="1"/>
        <v>14</v>
      </c>
      <c r="I23" s="4">
        <f t="shared" si="0"/>
        <v>1</v>
      </c>
      <c r="J23" s="3">
        <f>+'Alloc Amt'!J23/'Alloc Amt'!$I23</f>
        <v>0.98298218891754874</v>
      </c>
      <c r="K23" s="3">
        <f>+'Alloc Amt'!K23/'Alloc Amt'!$I23</f>
        <v>1.6564195499421862E-2</v>
      </c>
      <c r="L23" s="3">
        <f>+'Alloc Amt'!L23/'Alloc Amt'!$I23</f>
        <v>1.8678288712976963E-4</v>
      </c>
      <c r="M23" s="3">
        <f>+'Alloc Amt'!M23/'Alloc Amt'!$I23</f>
        <v>1.3341634794983546E-5</v>
      </c>
      <c r="N23" s="3">
        <f>+'Alloc Amt'!N23/'Alloc Amt'!$I23</f>
        <v>2.5349106110468734E-4</v>
      </c>
    </row>
    <row r="24" spans="6:14" x14ac:dyDescent="0.25">
      <c r="F24" t="str">
        <f>+'Alloc Amt'!F24</f>
        <v>Ind Meas &amp; Reg Cost</v>
      </c>
      <c r="G24" t="str">
        <f>+'Alloc Amt'!G24</f>
        <v>C06</v>
      </c>
      <c r="H24">
        <f t="shared" si="1"/>
        <v>15</v>
      </c>
      <c r="I24" s="4">
        <f t="shared" si="0"/>
        <v>1</v>
      </c>
      <c r="J24" s="3">
        <f>+'Alloc Amt'!J24/'Alloc Amt'!$I24</f>
        <v>0</v>
      </c>
      <c r="K24" s="3">
        <f>+'Alloc Amt'!K24/'Alloc Amt'!$I24</f>
        <v>0.7776217154696059</v>
      </c>
      <c r="L24" s="3">
        <f>+'Alloc Amt'!L24/'Alloc Amt'!$I24</f>
        <v>3.2189243783319471E-2</v>
      </c>
      <c r="M24" s="3">
        <f>+'Alloc Amt'!M24/'Alloc Amt'!$I24</f>
        <v>1.7826377081585802E-2</v>
      </c>
      <c r="N24" s="3">
        <f>+'Alloc Amt'!N24/'Alloc Amt'!$I24</f>
        <v>0.17236266366548891</v>
      </c>
    </row>
    <row r="25" spans="6:14" x14ac:dyDescent="0.25">
      <c r="F25" t="str">
        <f>+'Alloc Amt'!F25</f>
        <v>DA 101</v>
      </c>
      <c r="G25" t="str">
        <f>+'Alloc Amt'!G25</f>
        <v>C10</v>
      </c>
      <c r="H25">
        <f t="shared" si="1"/>
        <v>16</v>
      </c>
      <c r="I25" s="4">
        <f t="shared" si="0"/>
        <v>1</v>
      </c>
      <c r="J25" s="3">
        <f>+'Alloc Amt'!J25/'Alloc Amt'!$I25</f>
        <v>1</v>
      </c>
      <c r="K25" s="3">
        <f>+'Alloc Amt'!K25/'Alloc Amt'!$I25</f>
        <v>0</v>
      </c>
      <c r="L25" s="3">
        <f>+'Alloc Amt'!L25/'Alloc Amt'!$I25</f>
        <v>0</v>
      </c>
      <c r="M25" s="3">
        <f>+'Alloc Amt'!M25/'Alloc Amt'!$I25</f>
        <v>0</v>
      </c>
      <c r="N25" s="3">
        <f>+'Alloc Amt'!N25/'Alloc Amt'!$I25</f>
        <v>0</v>
      </c>
    </row>
    <row r="26" spans="6:14" x14ac:dyDescent="0.25">
      <c r="F26" t="str">
        <f>+'Alloc Amt'!F26</f>
        <v>Revenues From Retail Rates</v>
      </c>
      <c r="G26" t="str">
        <f>+'Alloc Amt'!G26</f>
        <v>R01</v>
      </c>
      <c r="H26">
        <f t="shared" si="1"/>
        <v>17</v>
      </c>
      <c r="I26" s="4">
        <f t="shared" si="0"/>
        <v>1</v>
      </c>
      <c r="J26" s="3">
        <f>+'Alloc Amt'!J26/'Alloc Amt'!$I26</f>
        <v>0.72695192569787415</v>
      </c>
      <c r="K26" s="3">
        <f>+'Alloc Amt'!K26/'Alloc Amt'!$I26</f>
        <v>0.22762024710813064</v>
      </c>
      <c r="L26" s="3">
        <f>+'Alloc Amt'!L26/'Alloc Amt'!$I26</f>
        <v>2.5337217907193892E-2</v>
      </c>
      <c r="M26" s="3">
        <f>+'Alloc Amt'!M26/'Alloc Amt'!$I26</f>
        <v>4.9169938154610474E-3</v>
      </c>
      <c r="N26" s="3">
        <f>+'Alloc Amt'!N26/'Alloc Amt'!$I26</f>
        <v>1.5173615471340281E-2</v>
      </c>
    </row>
    <row r="27" spans="6:14" x14ac:dyDescent="0.25">
      <c r="F27" t="str">
        <f>+'Alloc Amt'!F27</f>
        <v>Peak &amp; Average - Small Mains</v>
      </c>
      <c r="G27">
        <f>+'Alloc Amt'!G27</f>
        <v>0</v>
      </c>
      <c r="H27">
        <f t="shared" si="1"/>
        <v>18</v>
      </c>
      <c r="I27" s="4">
        <f t="shared" si="0"/>
        <v>1</v>
      </c>
      <c r="J27" s="3">
        <f>+'Alloc Amt'!J27/'Alloc Amt'!$I27</f>
        <v>0.61754126985999691</v>
      </c>
      <c r="K27" s="3">
        <f>+'Alloc Amt'!K27/'Alloc Amt'!$I27</f>
        <v>0.23710846160246901</v>
      </c>
      <c r="L27" s="3">
        <f>+'Alloc Amt'!L27/'Alloc Amt'!$I27</f>
        <v>2.2328418602383583E-2</v>
      </c>
      <c r="M27" s="3">
        <f>+'Alloc Amt'!M27/'Alloc Amt'!$I27</f>
        <v>5.3030220894194208E-3</v>
      </c>
      <c r="N27" s="3">
        <f>+'Alloc Amt'!N27/'Alloc Amt'!$I27</f>
        <v>0.11771882784573109</v>
      </c>
    </row>
    <row r="28" spans="6:14" x14ac:dyDescent="0.25">
      <c r="F28" t="str">
        <f>+'Alloc Amt'!F28</f>
        <v>Peak &amp; Average - Large Mains</v>
      </c>
      <c r="G28">
        <f>+'Alloc Amt'!G28</f>
        <v>0</v>
      </c>
      <c r="H28">
        <f t="shared" si="1"/>
        <v>19</v>
      </c>
      <c r="I28" s="4">
        <f t="shared" si="0"/>
        <v>1</v>
      </c>
      <c r="J28" s="3">
        <f>+'Alloc Amt'!J28/'Alloc Amt'!$I28</f>
        <v>0.61754126985999691</v>
      </c>
      <c r="K28" s="3">
        <f>+'Alloc Amt'!K28/'Alloc Amt'!$I28</f>
        <v>0.23710846160246901</v>
      </c>
      <c r="L28" s="3">
        <f>+'Alloc Amt'!L28/'Alloc Amt'!$I28</f>
        <v>2.2328418602383583E-2</v>
      </c>
      <c r="M28" s="3">
        <f>+'Alloc Amt'!M28/'Alloc Amt'!$I28</f>
        <v>5.3030220894194208E-3</v>
      </c>
      <c r="N28" s="3">
        <f>+'Alloc Amt'!N28/'Alloc Amt'!$I28</f>
        <v>0.11771882784573109</v>
      </c>
    </row>
    <row r="29" spans="6:14" x14ac:dyDescent="0.25">
      <c r="F29" t="str">
        <f>+'Alloc Amt'!F29</f>
        <v>Peak &amp; Average - All Mains</v>
      </c>
      <c r="G29">
        <f>+'Alloc Amt'!G29</f>
        <v>0</v>
      </c>
      <c r="H29">
        <f t="shared" si="1"/>
        <v>20</v>
      </c>
      <c r="I29" s="4"/>
      <c r="J29" s="3"/>
      <c r="K29" s="3"/>
      <c r="L29" s="3"/>
      <c r="M29" s="3"/>
      <c r="N29" s="3"/>
    </row>
    <row r="30" spans="6:14" x14ac:dyDescent="0.25">
      <c r="F30" t="str">
        <f>+'Alloc Amt'!F30</f>
        <v>Accts. 376-387</v>
      </c>
      <c r="G30">
        <f>+'Alloc Amt'!G30</f>
        <v>0</v>
      </c>
      <c r="H30">
        <f t="shared" si="1"/>
        <v>21</v>
      </c>
      <c r="I30" s="4">
        <f t="shared" si="0"/>
        <v>1</v>
      </c>
      <c r="J30" s="3">
        <f>+'Alloc Amt'!J30/'Alloc Amt'!$I30</f>
        <v>0.76865840735576552</v>
      </c>
      <c r="K30" s="3">
        <f>+'Alloc Amt'!K30/'Alloc Amt'!$I30</f>
        <v>0.15064220652765567</v>
      </c>
      <c r="L30" s="3">
        <f>+'Alloc Amt'!L30/'Alloc Amt'!$I30</f>
        <v>1.2407005039724748E-2</v>
      </c>
      <c r="M30" s="3">
        <f>+'Alloc Amt'!M30/'Alloc Amt'!$I30</f>
        <v>3.1433862113782992E-3</v>
      </c>
      <c r="N30" s="3">
        <f>+'Alloc Amt'!N30/'Alloc Amt'!$I30</f>
        <v>6.5148994865475748E-2</v>
      </c>
    </row>
    <row r="31" spans="6:14" x14ac:dyDescent="0.25">
      <c r="F31" t="str">
        <f>+'Alloc Amt'!F31</f>
        <v>Total Distribution Plant</v>
      </c>
      <c r="G31">
        <f>+'Alloc Amt'!G31</f>
        <v>0</v>
      </c>
      <c r="H31">
        <f t="shared" si="1"/>
        <v>22</v>
      </c>
      <c r="I31" s="4">
        <f t="shared" si="0"/>
        <v>0.99999999999999989</v>
      </c>
      <c r="J31" s="3">
        <f>+'Alloc Amt'!J31/'Alloc Amt'!$I31</f>
        <v>0.75276311676387231</v>
      </c>
      <c r="K31" s="3">
        <f>+'Alloc Amt'!K31/'Alloc Amt'!$I31</f>
        <v>0.15973717929899606</v>
      </c>
      <c r="L31" s="3">
        <f>+'Alloc Amt'!L31/'Alloc Amt'!$I31</f>
        <v>1.3450591189344795E-2</v>
      </c>
      <c r="M31" s="3">
        <f>+'Alloc Amt'!M31/'Alloc Amt'!$I31</f>
        <v>3.3705480040313882E-3</v>
      </c>
      <c r="N31" s="3">
        <f>+'Alloc Amt'!N31/'Alloc Amt'!$I31</f>
        <v>7.0678564743755418E-2</v>
      </c>
    </row>
    <row r="32" spans="6:14" x14ac:dyDescent="0.25">
      <c r="F32" t="str">
        <f>+'Alloc Amt'!F32</f>
        <v>Storage (13% Throughput/87% Sales)</v>
      </c>
      <c r="G32">
        <f>+'Alloc Amt'!G32</f>
        <v>0</v>
      </c>
      <c r="H32">
        <f t="shared" si="1"/>
        <v>23</v>
      </c>
      <c r="I32" s="4">
        <f t="shared" si="0"/>
        <v>1</v>
      </c>
      <c r="J32" s="3">
        <f>+'Alloc Amt'!J32/'Alloc Amt'!$I32</f>
        <v>0.67419249676939741</v>
      </c>
      <c r="K32" s="3">
        <f>+'Alloc Amt'!K32/'Alloc Amt'!$I32</f>
        <v>0.26618792624936805</v>
      </c>
      <c r="L32" s="3">
        <f>+'Alloc Amt'!L32/'Alloc Amt'!$I32</f>
        <v>3.3333528011604871E-2</v>
      </c>
      <c r="M32" s="3">
        <f>+'Alloc Amt'!M32/'Alloc Amt'!$I32</f>
        <v>7.1870674293104241E-3</v>
      </c>
      <c r="N32" s="3">
        <f>+'Alloc Amt'!N32/'Alloc Amt'!$I32</f>
        <v>1.9098981540319301E-2</v>
      </c>
    </row>
    <row r="33" spans="6:14" x14ac:dyDescent="0.25">
      <c r="F33" t="str">
        <f>+'Alloc Amt'!F33</f>
        <v>Distribution plus Storage Plant</v>
      </c>
      <c r="G33">
        <f>+'Alloc Amt'!G33</f>
        <v>0</v>
      </c>
      <c r="H33">
        <f t="shared" si="1"/>
        <v>24</v>
      </c>
      <c r="I33" s="4">
        <f t="shared" si="0"/>
        <v>1</v>
      </c>
      <c r="J33" s="3">
        <f>+'Alloc Amt'!J33/'Alloc Amt'!$I33</f>
        <v>0.74738185852861461</v>
      </c>
      <c r="K33" s="3">
        <f>+'Alloc Amt'!K33/'Alloc Amt'!$I33</f>
        <v>0.16702793198385857</v>
      </c>
      <c r="L33" s="3">
        <f>+'Alloc Amt'!L33/'Alloc Amt'!$I33</f>
        <v>1.4812362517144174E-2</v>
      </c>
      <c r="M33" s="3">
        <f>+'Alloc Amt'!M33/'Alloc Amt'!$I33</f>
        <v>3.6319393051150273E-3</v>
      </c>
      <c r="N33" s="3">
        <f>+'Alloc Amt'!N33/'Alloc Amt'!$I33</f>
        <v>6.7145907665267693E-2</v>
      </c>
    </row>
    <row r="34" spans="6:14" x14ac:dyDescent="0.25">
      <c r="F34" t="str">
        <f>+'Alloc Amt'!F34</f>
        <v>Gross Plant in Service</v>
      </c>
      <c r="G34">
        <f>+'Alloc Amt'!G34</f>
        <v>0</v>
      </c>
      <c r="H34">
        <f t="shared" si="1"/>
        <v>25</v>
      </c>
      <c r="I34" s="4">
        <f t="shared" si="0"/>
        <v>0.99999999999999989</v>
      </c>
      <c r="J34" s="3">
        <f>+'Alloc Amt'!J34/'Alloc Amt'!$I34</f>
        <v>0.74740083678087199</v>
      </c>
      <c r="K34" s="3">
        <f>+'Alloc Amt'!K34/'Alloc Amt'!$I34</f>
        <v>0.16700221945761437</v>
      </c>
      <c r="L34" s="3">
        <f>+'Alloc Amt'!L34/'Alloc Amt'!$I34</f>
        <v>1.4807559915476266E-2</v>
      </c>
      <c r="M34" s="3">
        <f>+'Alloc Amt'!M34/'Alloc Amt'!$I34</f>
        <v>3.6310174482122315E-3</v>
      </c>
      <c r="N34" s="3">
        <f>+'Alloc Amt'!N34/'Alloc Amt'!$I34</f>
        <v>6.7158366397825006E-2</v>
      </c>
    </row>
    <row r="35" spans="6:14" x14ac:dyDescent="0.25">
      <c r="F35" t="str">
        <f>+'Alloc Amt'!F35</f>
        <v>Gas Scheduling &amp; Purchasing Exp.</v>
      </c>
      <c r="G35">
        <f>+'Alloc Amt'!G35</f>
        <v>0</v>
      </c>
      <c r="H35">
        <f t="shared" si="1"/>
        <v>26</v>
      </c>
      <c r="I35" s="4">
        <f t="shared" si="0"/>
        <v>1</v>
      </c>
      <c r="J35" s="3">
        <f>+'Alloc Amt'!J35/'Alloc Amt'!$I35</f>
        <v>0.6715266848041046</v>
      </c>
      <c r="K35" s="3">
        <f>+'Alloc Amt'!K35/'Alloc Amt'!$I35</f>
        <v>0.26513539753952281</v>
      </c>
      <c r="L35" s="3">
        <f>+'Alloc Amt'!L35/'Alloc Amt'!$I35</f>
        <v>3.320172453078217E-2</v>
      </c>
      <c r="M35" s="3">
        <f>+'Alloc Amt'!M35/'Alloc Amt'!$I35</f>
        <v>7.1586491801601737E-3</v>
      </c>
      <c r="N35" s="3">
        <f>+'Alloc Amt'!N35/'Alloc Amt'!$I35</f>
        <v>2.29775439454303E-2</v>
      </c>
    </row>
    <row r="36" spans="6:14" x14ac:dyDescent="0.25">
      <c r="F36" t="str">
        <f>+'Alloc Amt'!F36</f>
        <v>Mains plus Services Plant</v>
      </c>
      <c r="G36">
        <f>+'Alloc Amt'!G36</f>
        <v>0</v>
      </c>
      <c r="H36">
        <f t="shared" si="1"/>
        <v>27</v>
      </c>
      <c r="I36" s="4">
        <f t="shared" si="0"/>
        <v>1</v>
      </c>
      <c r="J36" s="3">
        <f>+'Alloc Amt'!J36/'Alloc Amt'!$I36</f>
        <v>0.76330937682832545</v>
      </c>
      <c r="K36" s="3">
        <f>+'Alloc Amt'!K36/'Alloc Amt'!$I36</f>
        <v>0.14869172433168004</v>
      </c>
      <c r="L36" s="3">
        <f>+'Alloc Amt'!L36/'Alloc Amt'!$I36</f>
        <v>1.3579865218234843E-2</v>
      </c>
      <c r="M36" s="3">
        <f>+'Alloc Amt'!M36/'Alloc Amt'!$I36</f>
        <v>3.1917284118359729E-3</v>
      </c>
      <c r="N36" s="3">
        <f>+'Alloc Amt'!N36/'Alloc Amt'!$I36</f>
        <v>7.1227305209923694E-2</v>
      </c>
    </row>
    <row r="37" spans="6:14" x14ac:dyDescent="0.25">
      <c r="F37" t="str">
        <f>+'Alloc Amt'!F37</f>
        <v>Accts. 870-879</v>
      </c>
      <c r="G37">
        <f>+'Alloc Amt'!G37</f>
        <v>0</v>
      </c>
      <c r="H37">
        <f t="shared" si="1"/>
        <v>28</v>
      </c>
      <c r="I37" s="4"/>
      <c r="J37" s="3"/>
      <c r="K37" s="3"/>
      <c r="L37" s="3"/>
      <c r="M37" s="3"/>
      <c r="N37" s="3"/>
    </row>
    <row r="38" spans="6:14" x14ac:dyDescent="0.25">
      <c r="F38" t="str">
        <f>+'Alloc Amt'!F38</f>
        <v>Mains Plant</v>
      </c>
      <c r="G38">
        <f>+'Alloc Amt'!G38</f>
        <v>0</v>
      </c>
      <c r="H38">
        <f t="shared" si="1"/>
        <v>29</v>
      </c>
      <c r="I38" s="4">
        <f t="shared" si="0"/>
        <v>1</v>
      </c>
      <c r="J38" s="3">
        <f>+'Alloc Amt'!J38/'Alloc Amt'!$I38</f>
        <v>0.61754126985999691</v>
      </c>
      <c r="K38" s="3">
        <f>+'Alloc Amt'!K38/'Alloc Amt'!$I38</f>
        <v>0.23710846160246898</v>
      </c>
      <c r="L38" s="3">
        <f>+'Alloc Amt'!L38/'Alloc Amt'!$I38</f>
        <v>2.232841860238358E-2</v>
      </c>
      <c r="M38" s="3">
        <f>+'Alloc Amt'!M38/'Alloc Amt'!$I38</f>
        <v>5.3030220894194199E-3</v>
      </c>
      <c r="N38" s="3">
        <f>+'Alloc Amt'!N38/'Alloc Amt'!$I38</f>
        <v>0.11771882784573108</v>
      </c>
    </row>
    <row r="39" spans="6:14" x14ac:dyDescent="0.25">
      <c r="F39" t="str">
        <f>+'Alloc Amt'!F39</f>
        <v>Total Dist O&amp;M less 880, 881</v>
      </c>
      <c r="G39">
        <f>+'Alloc Amt'!G39</f>
        <v>0</v>
      </c>
      <c r="H39">
        <f t="shared" si="1"/>
        <v>30</v>
      </c>
      <c r="I39" s="4">
        <f t="shared" si="0"/>
        <v>1</v>
      </c>
      <c r="J39" s="3">
        <f>+'Alloc Amt'!J39/'Alloc Amt'!$I39</f>
        <v>0.78941810410467816</v>
      </c>
      <c r="K39" s="3">
        <f>+'Alloc Amt'!K39/'Alloc Amt'!$I39</f>
        <v>0.14060691881669826</v>
      </c>
      <c r="L39" s="3">
        <f>+'Alloc Amt'!L39/'Alloc Amt'!$I39</f>
        <v>1.0739059336097107E-2</v>
      </c>
      <c r="M39" s="3">
        <f>+'Alloc Amt'!M39/'Alloc Amt'!$I39</f>
        <v>2.8759267589235859E-3</v>
      </c>
      <c r="N39" s="3">
        <f>+'Alloc Amt'!N39/'Alloc Amt'!$I39</f>
        <v>5.635999098360292E-2</v>
      </c>
    </row>
    <row r="40" spans="6:14" x14ac:dyDescent="0.25">
      <c r="F40" t="str">
        <f>+'Alloc Amt'!F40</f>
        <v>O&amp;M Excl. Purc. Gas &amp; Uncollect. &amp; A&amp;G</v>
      </c>
      <c r="G40">
        <f>+'Alloc Amt'!G40</f>
        <v>0</v>
      </c>
      <c r="H40">
        <f t="shared" si="1"/>
        <v>31</v>
      </c>
      <c r="I40" s="4">
        <f t="shared" si="0"/>
        <v>1.0000000000000002</v>
      </c>
      <c r="J40" s="3">
        <f>+'Alloc Amt'!J40/'Alloc Amt'!$I40</f>
        <v>0.84561518377789202</v>
      </c>
      <c r="K40" s="3">
        <f>+'Alloc Amt'!K40/'Alloc Amt'!$I40</f>
        <v>0.10909482322526604</v>
      </c>
      <c r="L40" s="3">
        <f>+'Alloc Amt'!L40/'Alloc Amt'!$I40</f>
        <v>9.1207183609379738E-3</v>
      </c>
      <c r="M40" s="3">
        <f>+'Alloc Amt'!M40/'Alloc Amt'!$I40</f>
        <v>2.2747800626005238E-3</v>
      </c>
      <c r="N40" s="3">
        <f>+'Alloc Amt'!N40/'Alloc Amt'!$I40</f>
        <v>3.3894494573303666E-2</v>
      </c>
    </row>
    <row r="41" spans="6:14" x14ac:dyDescent="0.25">
      <c r="F41" t="str">
        <f>+'Alloc Amt'!F41</f>
        <v>Labor Excl. Purc. Gas &amp; Uncollect. &amp; A&amp;G</v>
      </c>
      <c r="G41">
        <f>+'Alloc Amt'!G41</f>
        <v>0</v>
      </c>
      <c r="H41">
        <f t="shared" si="1"/>
        <v>32</v>
      </c>
      <c r="I41" s="4">
        <f t="shared" si="0"/>
        <v>1</v>
      </c>
      <c r="J41" s="3">
        <f>+'Alloc Amt'!J41/'Alloc Amt'!$I41</f>
        <v>0.86054617309331793</v>
      </c>
      <c r="K41" s="3">
        <f>+'Alloc Amt'!K41/'Alloc Amt'!$I41</f>
        <v>9.7700712661460035E-2</v>
      </c>
      <c r="L41" s="3">
        <f>+'Alloc Amt'!L41/'Alloc Amt'!$I41</f>
        <v>7.6674549549575694E-3</v>
      </c>
      <c r="M41" s="3">
        <f>+'Alloc Amt'!M41/'Alloc Amt'!$I41</f>
        <v>1.9446762961629752E-3</v>
      </c>
      <c r="N41" s="3">
        <f>+'Alloc Amt'!N41/'Alloc Amt'!$I41</f>
        <v>3.2140982994101439E-2</v>
      </c>
    </row>
    <row r="42" spans="6:14" x14ac:dyDescent="0.25">
      <c r="F42" t="str">
        <f>+'Alloc Amt'!F42</f>
        <v>Total Labor</v>
      </c>
      <c r="G42">
        <f>+'Alloc Amt'!G42</f>
        <v>0</v>
      </c>
      <c r="H42">
        <f t="shared" si="1"/>
        <v>33</v>
      </c>
      <c r="I42" s="4">
        <f t="shared" si="0"/>
        <v>1.0000000000000002</v>
      </c>
      <c r="J42" s="3">
        <f>+'Alloc Amt'!J42/'Alloc Amt'!$I42</f>
        <v>0.82274842428773631</v>
      </c>
      <c r="K42" s="3">
        <f>+'Alloc Amt'!K42/'Alloc Amt'!$I42</f>
        <v>0.11640164362075474</v>
      </c>
      <c r="L42" s="3">
        <f>+'Alloc Amt'!L42/'Alloc Amt'!$I42</f>
        <v>1.0576419124695164E-2</v>
      </c>
      <c r="M42" s="3">
        <f>+'Alloc Amt'!M42/'Alloc Amt'!$I42</f>
        <v>2.536572369705864E-3</v>
      </c>
      <c r="N42" s="3">
        <f>+'Alloc Amt'!N42/'Alloc Amt'!$I42</f>
        <v>4.773694059710807E-2</v>
      </c>
    </row>
    <row r="43" spans="6:14" x14ac:dyDescent="0.25">
      <c r="F43" t="str">
        <f>+'Alloc Amt'!F43</f>
        <v>Rate Base</v>
      </c>
      <c r="G43">
        <f>+'Alloc Amt'!G43</f>
        <v>0</v>
      </c>
      <c r="H43">
        <f t="shared" si="1"/>
        <v>34</v>
      </c>
      <c r="I43" s="4">
        <f t="shared" si="0"/>
        <v>1</v>
      </c>
      <c r="J43" s="3">
        <f>+'Alloc Amt'!J43/'Alloc Amt'!$I43</f>
        <v>0.73988724711487996</v>
      </c>
      <c r="K43" s="3">
        <f>+'Alloc Amt'!K43/'Alloc Amt'!$I43</f>
        <v>0.17474030655700637</v>
      </c>
      <c r="L43" s="3">
        <f>+'Alloc Amt'!L43/'Alloc Amt'!$I43</f>
        <v>1.5763264203758613E-2</v>
      </c>
      <c r="M43" s="3">
        <f>+'Alloc Amt'!M43/'Alloc Amt'!$I43</f>
        <v>3.8502883648027799E-3</v>
      </c>
      <c r="N43" s="3">
        <f>+'Alloc Amt'!N43/'Alloc Amt'!$I43</f>
        <v>6.5758893759552281E-2</v>
      </c>
    </row>
    <row r="44" spans="6:14" x14ac:dyDescent="0.25">
      <c r="F44">
        <f>+'Alloc Amt'!F44</f>
        <v>0</v>
      </c>
      <c r="G44">
        <f>+'Alloc Amt'!G44</f>
        <v>0</v>
      </c>
      <c r="H44">
        <f t="shared" si="1"/>
        <v>35</v>
      </c>
      <c r="I44" s="4" t="e">
        <f t="shared" si="0"/>
        <v>#DIV/0!</v>
      </c>
      <c r="J44" s="3" t="e">
        <f>+'Alloc Amt'!J44/'Alloc Amt'!$I44</f>
        <v>#DIV/0!</v>
      </c>
      <c r="K44" s="3" t="e">
        <f>+'Alloc Amt'!K44/'Alloc Amt'!$I44</f>
        <v>#DIV/0!</v>
      </c>
      <c r="L44" s="3" t="e">
        <f>+'Alloc Amt'!L44/'Alloc Amt'!$I44</f>
        <v>#DIV/0!</v>
      </c>
      <c r="M44" s="3" t="e">
        <f>+'Alloc Amt'!M44/'Alloc Amt'!$I44</f>
        <v>#DIV/0!</v>
      </c>
      <c r="N44" s="3" t="e">
        <f>+'Alloc Amt'!N44/'Alloc Amt'!$I44</f>
        <v>#DIV/0!</v>
      </c>
    </row>
    <row r="45" spans="6:14" x14ac:dyDescent="0.25">
      <c r="F45">
        <f>+'Alloc Amt'!F45</f>
        <v>0</v>
      </c>
      <c r="G45">
        <f>+'Alloc Amt'!G45</f>
        <v>0</v>
      </c>
      <c r="H45">
        <f t="shared" si="1"/>
        <v>36</v>
      </c>
      <c r="I45" s="4" t="e">
        <f t="shared" si="0"/>
        <v>#DIV/0!</v>
      </c>
      <c r="J45" s="3" t="e">
        <f>+'Alloc Amt'!J45/'Alloc Amt'!$I45</f>
        <v>#DIV/0!</v>
      </c>
      <c r="K45" s="3" t="e">
        <f>+'Alloc Amt'!K45/'Alloc Amt'!$I45</f>
        <v>#DIV/0!</v>
      </c>
      <c r="L45" s="3" t="e">
        <f>+'Alloc Amt'!L45/'Alloc Amt'!$I45</f>
        <v>#DIV/0!</v>
      </c>
      <c r="M45" s="3" t="e">
        <f>+'Alloc Amt'!M45/'Alloc Amt'!$I45</f>
        <v>#DIV/0!</v>
      </c>
      <c r="N45" s="3" t="e">
        <f>+'Alloc Amt'!N45/'Alloc Amt'!$I45</f>
        <v>#DIV/0!</v>
      </c>
    </row>
    <row r="46" spans="6:14" x14ac:dyDescent="0.25">
      <c r="F46">
        <f>+'Alloc Amt'!F46</f>
        <v>0</v>
      </c>
      <c r="G46">
        <f>+'Alloc Amt'!G46</f>
        <v>0</v>
      </c>
      <c r="H46">
        <f t="shared" si="1"/>
        <v>37</v>
      </c>
      <c r="I46" s="4" t="e">
        <f t="shared" si="0"/>
        <v>#DIV/0!</v>
      </c>
      <c r="J46" s="3" t="e">
        <f>+'Alloc Amt'!J46/'Alloc Amt'!$I46</f>
        <v>#DIV/0!</v>
      </c>
      <c r="K46" s="3" t="e">
        <f>+'Alloc Amt'!K46/'Alloc Amt'!$I46</f>
        <v>#DIV/0!</v>
      </c>
      <c r="L46" s="3" t="e">
        <f>+'Alloc Amt'!L46/'Alloc Amt'!$I46</f>
        <v>#DIV/0!</v>
      </c>
      <c r="M46" s="3" t="e">
        <f>+'Alloc Amt'!M46/'Alloc Amt'!$I46</f>
        <v>#DIV/0!</v>
      </c>
      <c r="N46" s="3" t="e">
        <f>+'Alloc Amt'!N46/'Alloc Amt'!$I46</f>
        <v>#DIV/0!</v>
      </c>
    </row>
    <row r="47" spans="6:14" x14ac:dyDescent="0.25">
      <c r="F47">
        <f>+'Alloc Amt'!F47</f>
        <v>0</v>
      </c>
      <c r="G47">
        <f>+'Alloc Amt'!G47</f>
        <v>0</v>
      </c>
      <c r="H47">
        <f t="shared" si="1"/>
        <v>38</v>
      </c>
      <c r="I47" s="4" t="e">
        <f t="shared" si="0"/>
        <v>#DIV/0!</v>
      </c>
      <c r="J47" s="3" t="e">
        <f>+'Alloc Amt'!J47/'Alloc Amt'!$I47</f>
        <v>#DIV/0!</v>
      </c>
      <c r="K47" s="3" t="e">
        <f>+'Alloc Amt'!K47/'Alloc Amt'!$I47</f>
        <v>#DIV/0!</v>
      </c>
      <c r="L47" s="3" t="e">
        <f>+'Alloc Amt'!L47/'Alloc Amt'!$I47</f>
        <v>#DIV/0!</v>
      </c>
      <c r="M47" s="3" t="e">
        <f>+'Alloc Amt'!M47/'Alloc Amt'!$I47</f>
        <v>#DIV/0!</v>
      </c>
      <c r="N47" s="3" t="e">
        <f>+'Alloc Amt'!N47/'Alloc Amt'!$I47</f>
        <v>#DIV/0!</v>
      </c>
    </row>
    <row r="48" spans="6:14" x14ac:dyDescent="0.25">
      <c r="F48">
        <f>+'Alloc Amt'!F48</f>
        <v>0</v>
      </c>
      <c r="G48">
        <f>+'Alloc Amt'!G48</f>
        <v>0</v>
      </c>
      <c r="H48">
        <f t="shared" si="1"/>
        <v>39</v>
      </c>
      <c r="I48" s="4" t="e">
        <f t="shared" si="0"/>
        <v>#DIV/0!</v>
      </c>
      <c r="J48" s="3" t="e">
        <f>+'Alloc Amt'!J48/'Alloc Amt'!$I48</f>
        <v>#DIV/0!</v>
      </c>
      <c r="K48" s="3" t="e">
        <f>+'Alloc Amt'!K48/'Alloc Amt'!$I48</f>
        <v>#DIV/0!</v>
      </c>
      <c r="L48" s="3" t="e">
        <f>+'Alloc Amt'!L48/'Alloc Amt'!$I48</f>
        <v>#DIV/0!</v>
      </c>
      <c r="M48" s="3" t="e">
        <f>+'Alloc Amt'!M48/'Alloc Amt'!$I48</f>
        <v>#DIV/0!</v>
      </c>
      <c r="N48" s="3" t="e">
        <f>+'Alloc Amt'!N48/'Alloc Amt'!$I48</f>
        <v>#DIV/0!</v>
      </c>
    </row>
    <row r="49" spans="6:14" x14ac:dyDescent="0.25">
      <c r="F49">
        <f>+'Alloc Amt'!F49</f>
        <v>0</v>
      </c>
      <c r="G49">
        <f>+'Alloc Amt'!G49</f>
        <v>0</v>
      </c>
      <c r="H49">
        <f t="shared" si="1"/>
        <v>40</v>
      </c>
      <c r="I49" s="4" t="e">
        <f t="shared" si="0"/>
        <v>#DIV/0!</v>
      </c>
      <c r="J49" s="3" t="e">
        <f>+'Alloc Amt'!J49/'Alloc Amt'!$I49</f>
        <v>#DIV/0!</v>
      </c>
      <c r="K49" s="3" t="e">
        <f>+'Alloc Amt'!K49/'Alloc Amt'!$I49</f>
        <v>#DIV/0!</v>
      </c>
      <c r="L49" s="3" t="e">
        <f>+'Alloc Amt'!L49/'Alloc Amt'!$I49</f>
        <v>#DIV/0!</v>
      </c>
      <c r="M49" s="3" t="e">
        <f>+'Alloc Amt'!M49/'Alloc Amt'!$I49</f>
        <v>#DIV/0!</v>
      </c>
      <c r="N49" s="3" t="e">
        <f>+'Alloc Amt'!N49/'Alloc Amt'!$I49</f>
        <v>#DIV/0!</v>
      </c>
    </row>
    <row r="50" spans="6:14" x14ac:dyDescent="0.25">
      <c r="F50">
        <f>+'Alloc Amt'!F50</f>
        <v>0</v>
      </c>
      <c r="G50">
        <f>+'Alloc Amt'!G50</f>
        <v>0</v>
      </c>
      <c r="H50">
        <f t="shared" si="1"/>
        <v>41</v>
      </c>
      <c r="I50" s="4" t="e">
        <f t="shared" si="0"/>
        <v>#DIV/0!</v>
      </c>
      <c r="J50" s="3" t="e">
        <f>+'Alloc Amt'!J50/'Alloc Amt'!$I50</f>
        <v>#DIV/0!</v>
      </c>
      <c r="K50" s="3" t="e">
        <f>+'Alloc Amt'!K50/'Alloc Amt'!$I50</f>
        <v>#DIV/0!</v>
      </c>
      <c r="L50" s="3" t="e">
        <f>+'Alloc Amt'!L50/'Alloc Amt'!$I50</f>
        <v>#DIV/0!</v>
      </c>
      <c r="M50" s="3" t="e">
        <f>+'Alloc Amt'!M50/'Alloc Amt'!$I50</f>
        <v>#DIV/0!</v>
      </c>
      <c r="N50" s="3" t="e">
        <f>+'Alloc Amt'!N50/'Alloc Amt'!$I50</f>
        <v>#DIV/0!</v>
      </c>
    </row>
    <row r="51" spans="6:14" x14ac:dyDescent="0.25">
      <c r="F51">
        <f>+'Alloc Amt'!F51</f>
        <v>0</v>
      </c>
      <c r="G51">
        <f>+'Alloc Amt'!G51</f>
        <v>0</v>
      </c>
      <c r="H51">
        <f t="shared" si="1"/>
        <v>42</v>
      </c>
      <c r="I51" s="4" t="e">
        <f t="shared" si="0"/>
        <v>#DIV/0!</v>
      </c>
      <c r="J51" s="3" t="e">
        <f>+'Alloc Amt'!J51/'Alloc Amt'!$I51</f>
        <v>#DIV/0!</v>
      </c>
      <c r="K51" s="3" t="e">
        <f>+'Alloc Amt'!K51/'Alloc Amt'!$I51</f>
        <v>#DIV/0!</v>
      </c>
      <c r="L51" s="3" t="e">
        <f>+'Alloc Amt'!L51/'Alloc Amt'!$I51</f>
        <v>#DIV/0!</v>
      </c>
      <c r="M51" s="3" t="e">
        <f>+'Alloc Amt'!M51/'Alloc Amt'!$I51</f>
        <v>#DIV/0!</v>
      </c>
      <c r="N51" s="3" t="e">
        <f>+'Alloc Amt'!N51/'Alloc Amt'!$I51</f>
        <v>#DIV/0!</v>
      </c>
    </row>
    <row r="52" spans="6:14" x14ac:dyDescent="0.25">
      <c r="F52">
        <f>+'Alloc Amt'!F52</f>
        <v>0</v>
      </c>
      <c r="G52">
        <f>+'Alloc Amt'!G52</f>
        <v>0</v>
      </c>
      <c r="H52">
        <f t="shared" si="1"/>
        <v>43</v>
      </c>
      <c r="I52" s="4" t="e">
        <f t="shared" si="0"/>
        <v>#DIV/0!</v>
      </c>
      <c r="J52" s="3" t="e">
        <f>+'Alloc Amt'!J52/'Alloc Amt'!$I52</f>
        <v>#DIV/0!</v>
      </c>
      <c r="K52" s="3" t="e">
        <f>+'Alloc Amt'!K52/'Alloc Amt'!$I52</f>
        <v>#DIV/0!</v>
      </c>
      <c r="L52" s="3" t="e">
        <f>+'Alloc Amt'!L52/'Alloc Amt'!$I52</f>
        <v>#DIV/0!</v>
      </c>
      <c r="M52" s="3" t="e">
        <f>+'Alloc Amt'!M52/'Alloc Amt'!$I52</f>
        <v>#DIV/0!</v>
      </c>
      <c r="N52" s="3" t="e">
        <f>+'Alloc Amt'!N52/'Alloc Amt'!$I52</f>
        <v>#DIV/0!</v>
      </c>
    </row>
    <row r="53" spans="6:14" x14ac:dyDescent="0.25">
      <c r="F53">
        <f>+'Alloc Amt'!F53</f>
        <v>0</v>
      </c>
      <c r="G53">
        <f>+'Alloc Amt'!G53</f>
        <v>0</v>
      </c>
      <c r="H53">
        <f t="shared" si="1"/>
        <v>44</v>
      </c>
      <c r="I53" s="4" t="e">
        <f t="shared" si="0"/>
        <v>#DIV/0!</v>
      </c>
      <c r="J53" s="3" t="e">
        <f>+'Alloc Amt'!J53/'Alloc Amt'!$I53</f>
        <v>#DIV/0!</v>
      </c>
      <c r="K53" s="3" t="e">
        <f>+'Alloc Amt'!K53/'Alloc Amt'!$I53</f>
        <v>#DIV/0!</v>
      </c>
      <c r="L53" s="3" t="e">
        <f>+'Alloc Amt'!L53/'Alloc Amt'!$I53</f>
        <v>#DIV/0!</v>
      </c>
      <c r="M53" s="3" t="e">
        <f>+'Alloc Amt'!M53/'Alloc Amt'!$I53</f>
        <v>#DIV/0!</v>
      </c>
      <c r="N53" s="3" t="e">
        <f>+'Alloc Amt'!N53/'Alloc Amt'!$I53</f>
        <v>#DIV/0!</v>
      </c>
    </row>
    <row r="54" spans="6:14" x14ac:dyDescent="0.25">
      <c r="F54">
        <f>+'Alloc Amt'!F54</f>
        <v>0</v>
      </c>
      <c r="G54">
        <f>+'Alloc Amt'!G54</f>
        <v>0</v>
      </c>
      <c r="H54">
        <f t="shared" si="1"/>
        <v>45</v>
      </c>
      <c r="I54" s="4" t="e">
        <f t="shared" si="0"/>
        <v>#DIV/0!</v>
      </c>
      <c r="J54" s="3" t="e">
        <f>+'Alloc Amt'!J54/'Alloc Amt'!$I54</f>
        <v>#DIV/0!</v>
      </c>
      <c r="K54" s="3" t="e">
        <f>+'Alloc Amt'!K54/'Alloc Amt'!$I54</f>
        <v>#DIV/0!</v>
      </c>
      <c r="L54" s="3" t="e">
        <f>+'Alloc Amt'!L54/'Alloc Amt'!$I54</f>
        <v>#DIV/0!</v>
      </c>
      <c r="M54" s="3" t="e">
        <f>+'Alloc Amt'!M54/'Alloc Amt'!$I54</f>
        <v>#DIV/0!</v>
      </c>
      <c r="N54" s="3" t="e">
        <f>+'Alloc Amt'!N54/'Alloc Amt'!$I54</f>
        <v>#DIV/0!</v>
      </c>
    </row>
    <row r="55" spans="6:14" x14ac:dyDescent="0.25">
      <c r="F55">
        <f>+'Alloc Amt'!F55</f>
        <v>0</v>
      </c>
      <c r="G55">
        <f>+'Alloc Amt'!G55</f>
        <v>0</v>
      </c>
      <c r="H55">
        <f t="shared" si="1"/>
        <v>46</v>
      </c>
      <c r="I55" s="4" t="e">
        <f t="shared" si="0"/>
        <v>#DIV/0!</v>
      </c>
      <c r="J55" s="3" t="e">
        <f>+'Alloc Amt'!J55/'Alloc Amt'!$I55</f>
        <v>#DIV/0!</v>
      </c>
      <c r="K55" s="3" t="e">
        <f>+'Alloc Amt'!K55/'Alloc Amt'!$I55</f>
        <v>#DIV/0!</v>
      </c>
      <c r="L55" s="3" t="e">
        <f>+'Alloc Amt'!L55/'Alloc Amt'!$I55</f>
        <v>#DIV/0!</v>
      </c>
      <c r="M55" s="3" t="e">
        <f>+'Alloc Amt'!M55/'Alloc Amt'!$I55</f>
        <v>#DIV/0!</v>
      </c>
      <c r="N55" s="3" t="e">
        <f>+'Alloc Amt'!N55/'Alloc Amt'!$I55</f>
        <v>#DIV/0!</v>
      </c>
    </row>
    <row r="56" spans="6:14" x14ac:dyDescent="0.25">
      <c r="F56">
        <f>+'Alloc Amt'!F56</f>
        <v>0</v>
      </c>
      <c r="G56">
        <f>+'Alloc Amt'!G56</f>
        <v>0</v>
      </c>
      <c r="H56">
        <f t="shared" si="1"/>
        <v>47</v>
      </c>
      <c r="I56" s="4" t="e">
        <f t="shared" si="0"/>
        <v>#DIV/0!</v>
      </c>
      <c r="J56" s="3" t="e">
        <f>+'Alloc Amt'!J56/'Alloc Amt'!$I56</f>
        <v>#DIV/0!</v>
      </c>
      <c r="K56" s="3" t="e">
        <f>+'Alloc Amt'!K56/'Alloc Amt'!$I56</f>
        <v>#DIV/0!</v>
      </c>
      <c r="L56" s="3" t="e">
        <f>+'Alloc Amt'!L56/'Alloc Amt'!$I56</f>
        <v>#DIV/0!</v>
      </c>
      <c r="M56" s="3" t="e">
        <f>+'Alloc Amt'!M56/'Alloc Amt'!$I56</f>
        <v>#DIV/0!</v>
      </c>
      <c r="N56" s="3" t="e">
        <f>+'Alloc Amt'!N56/'Alloc Amt'!$I56</f>
        <v>#DIV/0!</v>
      </c>
    </row>
    <row r="57" spans="6:14" x14ac:dyDescent="0.25">
      <c r="F57">
        <f>+'Alloc Amt'!F57</f>
        <v>0</v>
      </c>
      <c r="G57">
        <f>+'Alloc Amt'!G57</f>
        <v>0</v>
      </c>
      <c r="H57">
        <f t="shared" si="1"/>
        <v>48</v>
      </c>
      <c r="I57" s="4" t="e">
        <f t="shared" si="0"/>
        <v>#DIV/0!</v>
      </c>
      <c r="J57" s="3" t="e">
        <f>+'Alloc Amt'!J57/'Alloc Amt'!$I57</f>
        <v>#DIV/0!</v>
      </c>
      <c r="K57" s="3" t="e">
        <f>+'Alloc Amt'!K57/'Alloc Amt'!$I57</f>
        <v>#DIV/0!</v>
      </c>
      <c r="L57" s="3" t="e">
        <f>+'Alloc Amt'!L57/'Alloc Amt'!$I57</f>
        <v>#DIV/0!</v>
      </c>
      <c r="M57" s="3" t="e">
        <f>+'Alloc Amt'!M57/'Alloc Amt'!$I57</f>
        <v>#DIV/0!</v>
      </c>
      <c r="N57" s="3" t="e">
        <f>+'Alloc Amt'!N57/'Alloc Amt'!$I57</f>
        <v>#DIV/0!</v>
      </c>
    </row>
    <row r="58" spans="6:14" x14ac:dyDescent="0.25">
      <c r="F58">
        <f>+'Alloc Amt'!F58</f>
        <v>0</v>
      </c>
      <c r="G58">
        <f>+'Alloc Amt'!G58</f>
        <v>0</v>
      </c>
      <c r="H58">
        <f t="shared" si="1"/>
        <v>49</v>
      </c>
      <c r="I58" s="4" t="e">
        <f t="shared" si="0"/>
        <v>#DIV/0!</v>
      </c>
      <c r="J58" s="3" t="e">
        <f>+'Alloc Amt'!J58/'Alloc Amt'!$I58</f>
        <v>#DIV/0!</v>
      </c>
      <c r="K58" s="3" t="e">
        <f>+'Alloc Amt'!K58/'Alloc Amt'!$I58</f>
        <v>#DIV/0!</v>
      </c>
      <c r="L58" s="3" t="e">
        <f>+'Alloc Amt'!L58/'Alloc Amt'!$I58</f>
        <v>#DIV/0!</v>
      </c>
      <c r="M58" s="3" t="e">
        <f>+'Alloc Amt'!M58/'Alloc Amt'!$I58</f>
        <v>#DIV/0!</v>
      </c>
      <c r="N58" s="3" t="e">
        <f>+'Alloc Amt'!N58/'Alloc Amt'!$I58</f>
        <v>#DIV/0!</v>
      </c>
    </row>
    <row r="59" spans="6:14" x14ac:dyDescent="0.25">
      <c r="F59">
        <f>+'Alloc Amt'!F59</f>
        <v>0</v>
      </c>
      <c r="G59">
        <f>+'Alloc Amt'!G59</f>
        <v>0</v>
      </c>
      <c r="H59">
        <f t="shared" si="1"/>
        <v>50</v>
      </c>
      <c r="I59" s="4" t="e">
        <f t="shared" si="0"/>
        <v>#DIV/0!</v>
      </c>
      <c r="J59" s="3" t="e">
        <f>+'Alloc Amt'!J59/'Alloc Amt'!$I59</f>
        <v>#DIV/0!</v>
      </c>
      <c r="K59" s="3" t="e">
        <f>+'Alloc Amt'!K59/'Alloc Amt'!$I59</f>
        <v>#DIV/0!</v>
      </c>
      <c r="L59" s="3" t="e">
        <f>+'Alloc Amt'!L59/'Alloc Amt'!$I59</f>
        <v>#DIV/0!</v>
      </c>
      <c r="M59" s="3" t="e">
        <f>+'Alloc Amt'!M59/'Alloc Amt'!$I59</f>
        <v>#DIV/0!</v>
      </c>
      <c r="N59" s="3" t="e">
        <f>+'Alloc Amt'!N59/'Alloc Amt'!$I59</f>
        <v>#DIV/0!</v>
      </c>
    </row>
    <row r="60" spans="6:14" x14ac:dyDescent="0.25">
      <c r="F60">
        <f>+'Alloc Amt'!F60</f>
        <v>0</v>
      </c>
      <c r="G60">
        <f>+'Alloc Amt'!G60</f>
        <v>0</v>
      </c>
      <c r="H60">
        <f t="shared" si="1"/>
        <v>51</v>
      </c>
      <c r="I60" s="4" t="e">
        <f t="shared" si="0"/>
        <v>#DIV/0!</v>
      </c>
      <c r="J60" s="3" t="e">
        <f>+'Alloc Amt'!J60/'Alloc Amt'!$I60</f>
        <v>#DIV/0!</v>
      </c>
      <c r="K60" s="3" t="e">
        <f>+'Alloc Amt'!K60/'Alloc Amt'!$I60</f>
        <v>#DIV/0!</v>
      </c>
      <c r="L60" s="3" t="e">
        <f>+'Alloc Amt'!L60/'Alloc Amt'!$I60</f>
        <v>#DIV/0!</v>
      </c>
      <c r="M60" s="3" t="e">
        <f>+'Alloc Amt'!M60/'Alloc Amt'!$I60</f>
        <v>#DIV/0!</v>
      </c>
      <c r="N60" s="3" t="e">
        <f>+'Alloc Amt'!N60/'Alloc Amt'!$I60</f>
        <v>#DIV/0!</v>
      </c>
    </row>
    <row r="61" spans="6:14" x14ac:dyDescent="0.25">
      <c r="F61">
        <f>+'Alloc Amt'!F61</f>
        <v>0</v>
      </c>
      <c r="G61">
        <f>+'Alloc Amt'!G61</f>
        <v>0</v>
      </c>
      <c r="H61">
        <f t="shared" si="1"/>
        <v>52</v>
      </c>
      <c r="I61" s="4" t="e">
        <f t="shared" si="0"/>
        <v>#DIV/0!</v>
      </c>
      <c r="J61" s="3" t="e">
        <f>+'Alloc Amt'!J61/'Alloc Amt'!$I61</f>
        <v>#DIV/0!</v>
      </c>
      <c r="K61" s="3" t="e">
        <f>+'Alloc Amt'!K61/'Alloc Amt'!$I61</f>
        <v>#DIV/0!</v>
      </c>
      <c r="L61" s="3" t="e">
        <f>+'Alloc Amt'!L61/'Alloc Amt'!$I61</f>
        <v>#DIV/0!</v>
      </c>
      <c r="M61" s="3" t="e">
        <f>+'Alloc Amt'!M61/'Alloc Amt'!$I61</f>
        <v>#DIV/0!</v>
      </c>
      <c r="N61" s="3" t="e">
        <f>+'Alloc Amt'!N61/'Alloc Amt'!$I61</f>
        <v>#DIV/0!</v>
      </c>
    </row>
    <row r="62" spans="6:14" x14ac:dyDescent="0.25">
      <c r="F62">
        <f>+'Alloc Amt'!F62</f>
        <v>0</v>
      </c>
      <c r="G62">
        <f>+'Alloc Amt'!G62</f>
        <v>0</v>
      </c>
      <c r="H62">
        <f t="shared" si="1"/>
        <v>53</v>
      </c>
      <c r="I62" s="4" t="e">
        <f t="shared" si="0"/>
        <v>#DIV/0!</v>
      </c>
      <c r="J62" s="3" t="e">
        <f>+'Alloc Amt'!J62/'Alloc Amt'!$I62</f>
        <v>#DIV/0!</v>
      </c>
      <c r="K62" s="3" t="e">
        <f>+'Alloc Amt'!K62/'Alloc Amt'!$I62</f>
        <v>#DIV/0!</v>
      </c>
      <c r="L62" s="3" t="e">
        <f>+'Alloc Amt'!L62/'Alloc Amt'!$I62</f>
        <v>#DIV/0!</v>
      </c>
      <c r="M62" s="3" t="e">
        <f>+'Alloc Amt'!M62/'Alloc Amt'!$I62</f>
        <v>#DIV/0!</v>
      </c>
      <c r="N62" s="3" t="e">
        <f>+'Alloc Amt'!N62/'Alloc Amt'!$I62</f>
        <v>#DIV/0!</v>
      </c>
    </row>
    <row r="63" spans="6:14" x14ac:dyDescent="0.25">
      <c r="F63">
        <f>+'Alloc Amt'!F63</f>
        <v>0</v>
      </c>
      <c r="G63">
        <f>+'Alloc Amt'!G63</f>
        <v>0</v>
      </c>
      <c r="H63">
        <f t="shared" si="1"/>
        <v>54</v>
      </c>
      <c r="I63" s="4" t="e">
        <f t="shared" si="0"/>
        <v>#DIV/0!</v>
      </c>
      <c r="J63" s="3" t="e">
        <f>+'Alloc Amt'!J63/'Alloc Amt'!$I63</f>
        <v>#DIV/0!</v>
      </c>
      <c r="K63" s="3" t="e">
        <f>+'Alloc Amt'!K63/'Alloc Amt'!$I63</f>
        <v>#DIV/0!</v>
      </c>
      <c r="L63" s="3" t="e">
        <f>+'Alloc Amt'!L63/'Alloc Amt'!$I63</f>
        <v>#DIV/0!</v>
      </c>
      <c r="M63" s="3" t="e">
        <f>+'Alloc Amt'!M63/'Alloc Amt'!$I63</f>
        <v>#DIV/0!</v>
      </c>
      <c r="N63" s="3" t="e">
        <f>+'Alloc Amt'!N63/'Alloc Amt'!$I63</f>
        <v>#DIV/0!</v>
      </c>
    </row>
    <row r="64" spans="6:14" x14ac:dyDescent="0.25">
      <c r="F64">
        <f>+'Alloc Amt'!F64</f>
        <v>0</v>
      </c>
      <c r="G64">
        <f>+'Alloc Amt'!G64</f>
        <v>0</v>
      </c>
      <c r="H64">
        <f t="shared" si="1"/>
        <v>55</v>
      </c>
      <c r="I64" s="4" t="e">
        <f t="shared" si="0"/>
        <v>#DIV/0!</v>
      </c>
      <c r="J64" s="3" t="e">
        <f>+'Alloc Amt'!J64/'Alloc Amt'!$I64</f>
        <v>#DIV/0!</v>
      </c>
      <c r="K64" s="3" t="e">
        <f>+'Alloc Amt'!K64/'Alloc Amt'!$I64</f>
        <v>#DIV/0!</v>
      </c>
      <c r="L64" s="3" t="e">
        <f>+'Alloc Amt'!L64/'Alloc Amt'!$I64</f>
        <v>#DIV/0!</v>
      </c>
      <c r="M64" s="3" t="e">
        <f>+'Alloc Amt'!M64/'Alloc Amt'!$I64</f>
        <v>#DIV/0!</v>
      </c>
      <c r="N64" s="3" t="e">
        <f>+'Alloc Amt'!N64/'Alloc Amt'!$I64</f>
        <v>#DIV/0!</v>
      </c>
    </row>
    <row r="65" spans="6:14" x14ac:dyDescent="0.25">
      <c r="F65">
        <f>+'Alloc Amt'!F65</f>
        <v>0</v>
      </c>
      <c r="G65">
        <f>+'Alloc Amt'!G65</f>
        <v>0</v>
      </c>
      <c r="H65">
        <f t="shared" si="1"/>
        <v>56</v>
      </c>
      <c r="I65" s="4" t="e">
        <f t="shared" si="0"/>
        <v>#DIV/0!</v>
      </c>
      <c r="J65" s="3" t="e">
        <f>+'Alloc Amt'!J65/'Alloc Amt'!$I65</f>
        <v>#DIV/0!</v>
      </c>
      <c r="K65" s="3" t="e">
        <f>+'Alloc Amt'!K65/'Alloc Amt'!$I65</f>
        <v>#DIV/0!</v>
      </c>
      <c r="L65" s="3" t="e">
        <f>+'Alloc Amt'!L65/'Alloc Amt'!$I65</f>
        <v>#DIV/0!</v>
      </c>
      <c r="M65" s="3" t="e">
        <f>+'Alloc Amt'!M65/'Alloc Amt'!$I65</f>
        <v>#DIV/0!</v>
      </c>
      <c r="N65" s="3" t="e">
        <f>+'Alloc Amt'!N65/'Alloc Amt'!$I65</f>
        <v>#DIV/0!</v>
      </c>
    </row>
    <row r="66" spans="6:14" x14ac:dyDescent="0.25">
      <c r="F66">
        <f>+'Alloc Amt'!F66</f>
        <v>0</v>
      </c>
      <c r="G66">
        <f>+'Alloc Amt'!G66</f>
        <v>0</v>
      </c>
      <c r="H66">
        <f t="shared" si="1"/>
        <v>57</v>
      </c>
      <c r="I66" s="4" t="e">
        <f t="shared" si="0"/>
        <v>#DIV/0!</v>
      </c>
      <c r="J66" s="3" t="e">
        <f>+'Alloc Amt'!J66/'Alloc Amt'!$I66</f>
        <v>#DIV/0!</v>
      </c>
      <c r="K66" s="3" t="e">
        <f>+'Alloc Amt'!K66/'Alloc Amt'!$I66</f>
        <v>#DIV/0!</v>
      </c>
      <c r="L66" s="3" t="e">
        <f>+'Alloc Amt'!L66/'Alloc Amt'!$I66</f>
        <v>#DIV/0!</v>
      </c>
      <c r="M66" s="3" t="e">
        <f>+'Alloc Amt'!M66/'Alloc Amt'!$I66</f>
        <v>#DIV/0!</v>
      </c>
      <c r="N66" s="3" t="e">
        <f>+'Alloc Amt'!N66/'Alloc Amt'!$I66</f>
        <v>#DIV/0!</v>
      </c>
    </row>
    <row r="67" spans="6:14" x14ac:dyDescent="0.25">
      <c r="F67">
        <f>+'Alloc Amt'!F67</f>
        <v>0</v>
      </c>
      <c r="G67">
        <f>+'Alloc Amt'!G67</f>
        <v>0</v>
      </c>
      <c r="H67">
        <f t="shared" si="1"/>
        <v>58</v>
      </c>
      <c r="I67" s="4" t="e">
        <f t="shared" si="0"/>
        <v>#DIV/0!</v>
      </c>
      <c r="J67" s="3" t="e">
        <f>+'Alloc Amt'!J67/'Alloc Amt'!$I67</f>
        <v>#DIV/0!</v>
      </c>
      <c r="K67" s="3" t="e">
        <f>+'Alloc Amt'!K67/'Alloc Amt'!$I67</f>
        <v>#DIV/0!</v>
      </c>
      <c r="L67" s="3" t="e">
        <f>+'Alloc Amt'!L67/'Alloc Amt'!$I67</f>
        <v>#DIV/0!</v>
      </c>
      <c r="M67" s="3" t="e">
        <f>+'Alloc Amt'!M67/'Alloc Amt'!$I67</f>
        <v>#DIV/0!</v>
      </c>
      <c r="N67" s="3" t="e">
        <f>+'Alloc Amt'!N67/'Alloc Amt'!$I67</f>
        <v>#DIV/0!</v>
      </c>
    </row>
    <row r="68" spans="6:14" x14ac:dyDescent="0.25">
      <c r="F68">
        <f>+'Alloc Amt'!F68</f>
        <v>0</v>
      </c>
      <c r="G68">
        <f>+'Alloc Amt'!G68</f>
        <v>0</v>
      </c>
      <c r="H68">
        <f t="shared" si="1"/>
        <v>59</v>
      </c>
      <c r="I68" s="4" t="e">
        <f t="shared" si="0"/>
        <v>#DIV/0!</v>
      </c>
      <c r="J68" s="3" t="e">
        <f>+'Alloc Amt'!J68/'Alloc Amt'!$I68</f>
        <v>#DIV/0!</v>
      </c>
      <c r="K68" s="3" t="e">
        <f>+'Alloc Amt'!K68/'Alloc Amt'!$I68</f>
        <v>#DIV/0!</v>
      </c>
      <c r="L68" s="3" t="e">
        <f>+'Alloc Amt'!L68/'Alloc Amt'!$I68</f>
        <v>#DIV/0!</v>
      </c>
      <c r="M68" s="3" t="e">
        <f>+'Alloc Amt'!M68/'Alloc Amt'!$I68</f>
        <v>#DIV/0!</v>
      </c>
      <c r="N68" s="3" t="e">
        <f>+'Alloc Amt'!N68/'Alloc Amt'!$I68</f>
        <v>#DIV/0!</v>
      </c>
    </row>
    <row r="69" spans="6:14" x14ac:dyDescent="0.25">
      <c r="F69">
        <f>+'Alloc Amt'!F69</f>
        <v>0</v>
      </c>
      <c r="G69">
        <f>+'Alloc Amt'!G69</f>
        <v>0</v>
      </c>
      <c r="H69">
        <f t="shared" si="1"/>
        <v>60</v>
      </c>
      <c r="I69" s="4" t="e">
        <f t="shared" si="0"/>
        <v>#DIV/0!</v>
      </c>
      <c r="J69" s="3" t="e">
        <f>+'Alloc Amt'!J69/'Alloc Amt'!$I69</f>
        <v>#DIV/0!</v>
      </c>
      <c r="K69" s="3" t="e">
        <f>+'Alloc Amt'!K69/'Alloc Amt'!$I69</f>
        <v>#DIV/0!</v>
      </c>
      <c r="L69" s="3" t="e">
        <f>+'Alloc Amt'!L69/'Alloc Amt'!$I69</f>
        <v>#DIV/0!</v>
      </c>
      <c r="M69" s="3" t="e">
        <f>+'Alloc Amt'!M69/'Alloc Amt'!$I69</f>
        <v>#DIV/0!</v>
      </c>
      <c r="N69" s="3" t="e">
        <f>+'Alloc Amt'!N69/'Alloc Amt'!$I69</f>
        <v>#DIV/0!</v>
      </c>
    </row>
    <row r="70" spans="6:14" x14ac:dyDescent="0.25">
      <c r="F70">
        <f>+'Alloc Amt'!F70</f>
        <v>0</v>
      </c>
      <c r="G70">
        <f>+'Alloc Amt'!G70</f>
        <v>0</v>
      </c>
      <c r="H70">
        <f t="shared" si="1"/>
        <v>61</v>
      </c>
      <c r="I70" s="4" t="e">
        <f t="shared" si="0"/>
        <v>#DIV/0!</v>
      </c>
      <c r="J70" s="3" t="e">
        <f>+'Alloc Amt'!J70/'Alloc Amt'!$I70</f>
        <v>#DIV/0!</v>
      </c>
      <c r="K70" s="3" t="e">
        <f>+'Alloc Amt'!K70/'Alloc Amt'!$I70</f>
        <v>#DIV/0!</v>
      </c>
      <c r="L70" s="3" t="e">
        <f>+'Alloc Amt'!L70/'Alloc Amt'!$I70</f>
        <v>#DIV/0!</v>
      </c>
      <c r="M70" s="3" t="e">
        <f>+'Alloc Amt'!M70/'Alloc Amt'!$I70</f>
        <v>#DIV/0!</v>
      </c>
      <c r="N70" s="3" t="e">
        <f>+'Alloc Amt'!N70/'Alloc Amt'!$I70</f>
        <v>#DIV/0!</v>
      </c>
    </row>
    <row r="71" spans="6:14" x14ac:dyDescent="0.25">
      <c r="F71">
        <f>+'Alloc Amt'!F71</f>
        <v>0</v>
      </c>
      <c r="G71">
        <f>+'Alloc Amt'!G71</f>
        <v>0</v>
      </c>
      <c r="H71">
        <f t="shared" si="1"/>
        <v>62</v>
      </c>
      <c r="I71" s="4" t="e">
        <f t="shared" si="0"/>
        <v>#DIV/0!</v>
      </c>
      <c r="J71" s="3" t="e">
        <f>+'Alloc Amt'!J71/'Alloc Amt'!$I71</f>
        <v>#DIV/0!</v>
      </c>
      <c r="K71" s="3" t="e">
        <f>+'Alloc Amt'!K71/'Alloc Amt'!$I71</f>
        <v>#DIV/0!</v>
      </c>
      <c r="L71" s="3" t="e">
        <f>+'Alloc Amt'!L71/'Alloc Amt'!$I71</f>
        <v>#DIV/0!</v>
      </c>
      <c r="M71" s="3" t="e">
        <f>+'Alloc Amt'!M71/'Alloc Amt'!$I71</f>
        <v>#DIV/0!</v>
      </c>
      <c r="N71" s="3" t="e">
        <f>+'Alloc Amt'!N71/'Alloc Amt'!$I71</f>
        <v>#DIV/0!</v>
      </c>
    </row>
    <row r="72" spans="6:14" x14ac:dyDescent="0.25">
      <c r="F72">
        <f>+'Alloc Amt'!F72</f>
        <v>0</v>
      </c>
      <c r="G72">
        <f>+'Alloc Amt'!G72</f>
        <v>0</v>
      </c>
      <c r="H72">
        <f t="shared" si="1"/>
        <v>63</v>
      </c>
      <c r="I72" s="4" t="e">
        <f t="shared" si="0"/>
        <v>#DIV/0!</v>
      </c>
      <c r="J72" s="3" t="e">
        <f>+'Alloc Amt'!J72/'Alloc Amt'!$I72</f>
        <v>#DIV/0!</v>
      </c>
      <c r="K72" s="3" t="e">
        <f>+'Alloc Amt'!K72/'Alloc Amt'!$I72</f>
        <v>#DIV/0!</v>
      </c>
      <c r="L72" s="3" t="e">
        <f>+'Alloc Amt'!L72/'Alloc Amt'!$I72</f>
        <v>#DIV/0!</v>
      </c>
      <c r="M72" s="3" t="e">
        <f>+'Alloc Amt'!M72/'Alloc Amt'!$I72</f>
        <v>#DIV/0!</v>
      </c>
      <c r="N72" s="3" t="e">
        <f>+'Alloc Amt'!N72/'Alloc Amt'!$I72</f>
        <v>#DIV/0!</v>
      </c>
    </row>
    <row r="73" spans="6:14" x14ac:dyDescent="0.25">
      <c r="F73">
        <f>+'Alloc Amt'!F73</f>
        <v>0</v>
      </c>
      <c r="G73">
        <f>+'Alloc Amt'!G73</f>
        <v>0</v>
      </c>
      <c r="H73">
        <f t="shared" si="1"/>
        <v>64</v>
      </c>
      <c r="I73" s="4" t="e">
        <f t="shared" si="0"/>
        <v>#DIV/0!</v>
      </c>
      <c r="J73" s="3" t="e">
        <f>+'Alloc Amt'!J73/'Alloc Amt'!$I73</f>
        <v>#DIV/0!</v>
      </c>
      <c r="K73" s="3" t="e">
        <f>+'Alloc Amt'!K73/'Alloc Amt'!$I73</f>
        <v>#DIV/0!</v>
      </c>
      <c r="L73" s="3" t="e">
        <f>+'Alloc Amt'!L73/'Alloc Amt'!$I73</f>
        <v>#DIV/0!</v>
      </c>
      <c r="M73" s="3" t="e">
        <f>+'Alloc Amt'!M73/'Alloc Amt'!$I73</f>
        <v>#DIV/0!</v>
      </c>
      <c r="N73" s="3" t="e">
        <f>+'Alloc Amt'!N73/'Alloc Amt'!$I73</f>
        <v>#DIV/0!</v>
      </c>
    </row>
    <row r="74" spans="6:14" x14ac:dyDescent="0.25">
      <c r="F74">
        <f>+'Alloc Amt'!F74</f>
        <v>0</v>
      </c>
      <c r="G74">
        <f>+'Alloc Amt'!G74</f>
        <v>0</v>
      </c>
      <c r="H74">
        <f t="shared" si="1"/>
        <v>65</v>
      </c>
      <c r="I74" s="4" t="e">
        <f t="shared" si="0"/>
        <v>#DIV/0!</v>
      </c>
      <c r="J74" s="3" t="e">
        <f>+'Alloc Amt'!J74/'Alloc Amt'!$I74</f>
        <v>#DIV/0!</v>
      </c>
      <c r="K74" s="3" t="e">
        <f>+'Alloc Amt'!K74/'Alloc Amt'!$I74</f>
        <v>#DIV/0!</v>
      </c>
      <c r="L74" s="3" t="e">
        <f>+'Alloc Amt'!L74/'Alloc Amt'!$I74</f>
        <v>#DIV/0!</v>
      </c>
      <c r="M74" s="3" t="e">
        <f>+'Alloc Amt'!M74/'Alloc Amt'!$I74</f>
        <v>#DIV/0!</v>
      </c>
      <c r="N74" s="3" t="e">
        <f>+'Alloc Amt'!N74/'Alloc Amt'!$I74</f>
        <v>#DIV/0!</v>
      </c>
    </row>
    <row r="75" spans="6:14" x14ac:dyDescent="0.25">
      <c r="F75">
        <f>+'Alloc Amt'!F75</f>
        <v>0</v>
      </c>
      <c r="G75">
        <f>+'Alloc Amt'!G75</f>
        <v>0</v>
      </c>
      <c r="H75">
        <f t="shared" si="1"/>
        <v>66</v>
      </c>
      <c r="I75" s="4" t="e">
        <f t="shared" ref="I75:I100" si="2">SUM(J75:N75)</f>
        <v>#DIV/0!</v>
      </c>
      <c r="J75" s="3" t="e">
        <f>+'Alloc Amt'!J75/'Alloc Amt'!$I75</f>
        <v>#DIV/0!</v>
      </c>
      <c r="K75" s="3" t="e">
        <f>+'Alloc Amt'!K75/'Alloc Amt'!$I75</f>
        <v>#DIV/0!</v>
      </c>
      <c r="L75" s="3" t="e">
        <f>+'Alloc Amt'!L75/'Alloc Amt'!$I75</f>
        <v>#DIV/0!</v>
      </c>
      <c r="M75" s="3" t="e">
        <f>+'Alloc Amt'!M75/'Alloc Amt'!$I75</f>
        <v>#DIV/0!</v>
      </c>
      <c r="N75" s="3" t="e">
        <f>+'Alloc Amt'!N75/'Alloc Amt'!$I75</f>
        <v>#DIV/0!</v>
      </c>
    </row>
    <row r="76" spans="6:14" x14ac:dyDescent="0.25">
      <c r="F76">
        <f>+'Alloc Amt'!F76</f>
        <v>0</v>
      </c>
      <c r="G76">
        <f>+'Alloc Amt'!G76</f>
        <v>0</v>
      </c>
      <c r="H76">
        <f t="shared" ref="H76:H100" si="3">+H75+1</f>
        <v>67</v>
      </c>
      <c r="I76" s="4" t="e">
        <f t="shared" si="2"/>
        <v>#DIV/0!</v>
      </c>
      <c r="J76" s="3" t="e">
        <f>+'Alloc Amt'!J76/'Alloc Amt'!$I76</f>
        <v>#DIV/0!</v>
      </c>
      <c r="K76" s="3" t="e">
        <f>+'Alloc Amt'!K76/'Alloc Amt'!$I76</f>
        <v>#DIV/0!</v>
      </c>
      <c r="L76" s="3" t="e">
        <f>+'Alloc Amt'!L76/'Alloc Amt'!$I76</f>
        <v>#DIV/0!</v>
      </c>
      <c r="M76" s="3" t="e">
        <f>+'Alloc Amt'!M76/'Alloc Amt'!$I76</f>
        <v>#DIV/0!</v>
      </c>
      <c r="N76" s="3" t="e">
        <f>+'Alloc Amt'!N76/'Alloc Amt'!$I76</f>
        <v>#DIV/0!</v>
      </c>
    </row>
    <row r="77" spans="6:14" x14ac:dyDescent="0.25">
      <c r="F77">
        <f>+'Alloc Amt'!F77</f>
        <v>0</v>
      </c>
      <c r="G77">
        <f>+'Alloc Amt'!G77</f>
        <v>0</v>
      </c>
      <c r="H77">
        <f t="shared" si="3"/>
        <v>68</v>
      </c>
      <c r="I77" s="4" t="e">
        <f t="shared" si="2"/>
        <v>#DIV/0!</v>
      </c>
      <c r="J77" s="3" t="e">
        <f>+'Alloc Amt'!J77/'Alloc Amt'!$I77</f>
        <v>#DIV/0!</v>
      </c>
      <c r="K77" s="3" t="e">
        <f>+'Alloc Amt'!K77/'Alloc Amt'!$I77</f>
        <v>#DIV/0!</v>
      </c>
      <c r="L77" s="3" t="e">
        <f>+'Alloc Amt'!L77/'Alloc Amt'!$I77</f>
        <v>#DIV/0!</v>
      </c>
      <c r="M77" s="3" t="e">
        <f>+'Alloc Amt'!M77/'Alloc Amt'!$I77</f>
        <v>#DIV/0!</v>
      </c>
      <c r="N77" s="3" t="e">
        <f>+'Alloc Amt'!N77/'Alloc Amt'!$I77</f>
        <v>#DIV/0!</v>
      </c>
    </row>
    <row r="78" spans="6:14" x14ac:dyDescent="0.25">
      <c r="F78">
        <f>+'Alloc Amt'!F78</f>
        <v>0</v>
      </c>
      <c r="G78">
        <f>+'Alloc Amt'!G78</f>
        <v>0</v>
      </c>
      <c r="H78">
        <f t="shared" si="3"/>
        <v>69</v>
      </c>
      <c r="I78" s="4" t="e">
        <f t="shared" si="2"/>
        <v>#DIV/0!</v>
      </c>
      <c r="J78" s="3" t="e">
        <f>+'Alloc Amt'!J78/'Alloc Amt'!$I78</f>
        <v>#DIV/0!</v>
      </c>
      <c r="K78" s="3" t="e">
        <f>+'Alloc Amt'!K78/'Alloc Amt'!$I78</f>
        <v>#DIV/0!</v>
      </c>
      <c r="L78" s="3" t="e">
        <f>+'Alloc Amt'!L78/'Alloc Amt'!$I78</f>
        <v>#DIV/0!</v>
      </c>
      <c r="M78" s="3" t="e">
        <f>+'Alloc Amt'!M78/'Alloc Amt'!$I78</f>
        <v>#DIV/0!</v>
      </c>
      <c r="N78" s="3" t="e">
        <f>+'Alloc Amt'!N78/'Alloc Amt'!$I78</f>
        <v>#DIV/0!</v>
      </c>
    </row>
    <row r="79" spans="6:14" x14ac:dyDescent="0.25">
      <c r="F79">
        <f>+'Alloc Amt'!F79</f>
        <v>0</v>
      </c>
      <c r="G79">
        <f>+'Alloc Amt'!G79</f>
        <v>0</v>
      </c>
      <c r="H79">
        <f t="shared" si="3"/>
        <v>70</v>
      </c>
      <c r="I79" s="4" t="e">
        <f t="shared" si="2"/>
        <v>#DIV/0!</v>
      </c>
      <c r="J79" s="3" t="e">
        <f>+'Alloc Amt'!J79/'Alloc Amt'!$I79</f>
        <v>#DIV/0!</v>
      </c>
      <c r="K79" s="3" t="e">
        <f>+'Alloc Amt'!K79/'Alloc Amt'!$I79</f>
        <v>#DIV/0!</v>
      </c>
      <c r="L79" s="3" t="e">
        <f>+'Alloc Amt'!L79/'Alloc Amt'!$I79</f>
        <v>#DIV/0!</v>
      </c>
      <c r="M79" s="3" t="e">
        <f>+'Alloc Amt'!M79/'Alloc Amt'!$I79</f>
        <v>#DIV/0!</v>
      </c>
      <c r="N79" s="3" t="e">
        <f>+'Alloc Amt'!N79/'Alloc Amt'!$I79</f>
        <v>#DIV/0!</v>
      </c>
    </row>
    <row r="80" spans="6:14" x14ac:dyDescent="0.25">
      <c r="F80">
        <f>+'Alloc Amt'!F80</f>
        <v>0</v>
      </c>
      <c r="G80">
        <f>+'Alloc Amt'!G80</f>
        <v>0</v>
      </c>
      <c r="H80">
        <f t="shared" si="3"/>
        <v>71</v>
      </c>
      <c r="I80" s="4" t="e">
        <f t="shared" si="2"/>
        <v>#DIV/0!</v>
      </c>
      <c r="J80" s="3" t="e">
        <f>+'Alloc Amt'!J80/'Alloc Amt'!$I80</f>
        <v>#DIV/0!</v>
      </c>
      <c r="K80" s="3" t="e">
        <f>+'Alloc Amt'!K80/'Alloc Amt'!$I80</f>
        <v>#DIV/0!</v>
      </c>
      <c r="L80" s="3" t="e">
        <f>+'Alloc Amt'!L80/'Alloc Amt'!$I80</f>
        <v>#DIV/0!</v>
      </c>
      <c r="M80" s="3" t="e">
        <f>+'Alloc Amt'!M80/'Alloc Amt'!$I80</f>
        <v>#DIV/0!</v>
      </c>
      <c r="N80" s="3" t="e">
        <f>+'Alloc Amt'!N80/'Alloc Amt'!$I80</f>
        <v>#DIV/0!</v>
      </c>
    </row>
    <row r="81" spans="6:14" x14ac:dyDescent="0.25">
      <c r="F81">
        <f>+'Alloc Amt'!F81</f>
        <v>0</v>
      </c>
      <c r="G81">
        <f>+'Alloc Amt'!G81</f>
        <v>0</v>
      </c>
      <c r="H81">
        <f t="shared" si="3"/>
        <v>72</v>
      </c>
      <c r="I81" s="4" t="e">
        <f t="shared" si="2"/>
        <v>#DIV/0!</v>
      </c>
      <c r="J81" s="3" t="e">
        <f>+'Alloc Amt'!J81/'Alloc Amt'!$I81</f>
        <v>#DIV/0!</v>
      </c>
      <c r="K81" s="3" t="e">
        <f>+'Alloc Amt'!K81/'Alloc Amt'!$I81</f>
        <v>#DIV/0!</v>
      </c>
      <c r="L81" s="3" t="e">
        <f>+'Alloc Amt'!L81/'Alloc Amt'!$I81</f>
        <v>#DIV/0!</v>
      </c>
      <c r="M81" s="3" t="e">
        <f>+'Alloc Amt'!M81/'Alloc Amt'!$I81</f>
        <v>#DIV/0!</v>
      </c>
      <c r="N81" s="3" t="e">
        <f>+'Alloc Amt'!N81/'Alloc Amt'!$I81</f>
        <v>#DIV/0!</v>
      </c>
    </row>
    <row r="82" spans="6:14" x14ac:dyDescent="0.25">
      <c r="F82">
        <f>+'Alloc Amt'!F82</f>
        <v>0</v>
      </c>
      <c r="G82">
        <f>+'Alloc Amt'!G82</f>
        <v>0</v>
      </c>
      <c r="H82">
        <f t="shared" si="3"/>
        <v>73</v>
      </c>
      <c r="I82" s="4" t="e">
        <f t="shared" si="2"/>
        <v>#DIV/0!</v>
      </c>
      <c r="J82" s="3" t="e">
        <f>+'Alloc Amt'!J82/'Alloc Amt'!$I82</f>
        <v>#DIV/0!</v>
      </c>
      <c r="K82" s="3" t="e">
        <f>+'Alloc Amt'!K82/'Alloc Amt'!$I82</f>
        <v>#DIV/0!</v>
      </c>
      <c r="L82" s="3" t="e">
        <f>+'Alloc Amt'!L82/'Alloc Amt'!$I82</f>
        <v>#DIV/0!</v>
      </c>
      <c r="M82" s="3" t="e">
        <f>+'Alloc Amt'!M82/'Alloc Amt'!$I82</f>
        <v>#DIV/0!</v>
      </c>
      <c r="N82" s="3" t="e">
        <f>+'Alloc Amt'!N82/'Alloc Amt'!$I82</f>
        <v>#DIV/0!</v>
      </c>
    </row>
    <row r="83" spans="6:14" x14ac:dyDescent="0.25">
      <c r="F83">
        <f>+'Alloc Amt'!F83</f>
        <v>0</v>
      </c>
      <c r="G83">
        <f>+'Alloc Amt'!G83</f>
        <v>0</v>
      </c>
      <c r="H83">
        <f t="shared" si="3"/>
        <v>74</v>
      </c>
      <c r="I83" s="4" t="e">
        <f t="shared" si="2"/>
        <v>#DIV/0!</v>
      </c>
      <c r="J83" s="3" t="e">
        <f>+'Alloc Amt'!J83/'Alloc Amt'!$I83</f>
        <v>#DIV/0!</v>
      </c>
      <c r="K83" s="3" t="e">
        <f>+'Alloc Amt'!K83/'Alloc Amt'!$I83</f>
        <v>#DIV/0!</v>
      </c>
      <c r="L83" s="3" t="e">
        <f>+'Alloc Amt'!L83/'Alloc Amt'!$I83</f>
        <v>#DIV/0!</v>
      </c>
      <c r="M83" s="3" t="e">
        <f>+'Alloc Amt'!M83/'Alloc Amt'!$I83</f>
        <v>#DIV/0!</v>
      </c>
      <c r="N83" s="3" t="e">
        <f>+'Alloc Amt'!N83/'Alloc Amt'!$I83</f>
        <v>#DIV/0!</v>
      </c>
    </row>
    <row r="84" spans="6:14" x14ac:dyDescent="0.25">
      <c r="F84">
        <f>+'Alloc Amt'!F84</f>
        <v>0</v>
      </c>
      <c r="G84">
        <f>+'Alloc Amt'!G84</f>
        <v>0</v>
      </c>
      <c r="H84">
        <f t="shared" si="3"/>
        <v>75</v>
      </c>
      <c r="I84" s="4" t="e">
        <f t="shared" si="2"/>
        <v>#DIV/0!</v>
      </c>
      <c r="J84" s="3" t="e">
        <f>+'Alloc Amt'!J84/'Alloc Amt'!$I84</f>
        <v>#DIV/0!</v>
      </c>
      <c r="K84" s="3" t="e">
        <f>+'Alloc Amt'!K84/'Alloc Amt'!$I84</f>
        <v>#DIV/0!</v>
      </c>
      <c r="L84" s="3" t="e">
        <f>+'Alloc Amt'!L84/'Alloc Amt'!$I84</f>
        <v>#DIV/0!</v>
      </c>
      <c r="M84" s="3" t="e">
        <f>+'Alloc Amt'!M84/'Alloc Amt'!$I84</f>
        <v>#DIV/0!</v>
      </c>
      <c r="N84" s="3" t="e">
        <f>+'Alloc Amt'!N84/'Alloc Amt'!$I84</f>
        <v>#DIV/0!</v>
      </c>
    </row>
    <row r="85" spans="6:14" x14ac:dyDescent="0.25">
      <c r="F85">
        <f>+'Alloc Amt'!F85</f>
        <v>0</v>
      </c>
      <c r="G85">
        <f>+'Alloc Amt'!G85</f>
        <v>0</v>
      </c>
      <c r="H85">
        <f t="shared" si="3"/>
        <v>76</v>
      </c>
      <c r="I85" s="4" t="e">
        <f t="shared" si="2"/>
        <v>#DIV/0!</v>
      </c>
      <c r="J85" s="3" t="e">
        <f>+'Alloc Amt'!J85/'Alloc Amt'!$I85</f>
        <v>#DIV/0!</v>
      </c>
      <c r="K85" s="3" t="e">
        <f>+'Alloc Amt'!K85/'Alloc Amt'!$I85</f>
        <v>#DIV/0!</v>
      </c>
      <c r="L85" s="3" t="e">
        <f>+'Alloc Amt'!L85/'Alloc Amt'!$I85</f>
        <v>#DIV/0!</v>
      </c>
      <c r="M85" s="3" t="e">
        <f>+'Alloc Amt'!M85/'Alloc Amt'!$I85</f>
        <v>#DIV/0!</v>
      </c>
      <c r="N85" s="3" t="e">
        <f>+'Alloc Amt'!N85/'Alloc Amt'!$I85</f>
        <v>#DIV/0!</v>
      </c>
    </row>
    <row r="86" spans="6:14" x14ac:dyDescent="0.25">
      <c r="F86">
        <f>+'Alloc Amt'!F86</f>
        <v>0</v>
      </c>
      <c r="G86">
        <f>+'Alloc Amt'!G86</f>
        <v>0</v>
      </c>
      <c r="H86">
        <f t="shared" si="3"/>
        <v>77</v>
      </c>
      <c r="I86" s="4" t="e">
        <f t="shared" si="2"/>
        <v>#DIV/0!</v>
      </c>
      <c r="J86" s="3" t="e">
        <f>+'Alloc Amt'!J86/'Alloc Amt'!$I86</f>
        <v>#DIV/0!</v>
      </c>
      <c r="K86" s="3" t="e">
        <f>+'Alloc Amt'!K86/'Alloc Amt'!$I86</f>
        <v>#DIV/0!</v>
      </c>
      <c r="L86" s="3" t="e">
        <f>+'Alloc Amt'!L86/'Alloc Amt'!$I86</f>
        <v>#DIV/0!</v>
      </c>
      <c r="M86" s="3" t="e">
        <f>+'Alloc Amt'!M86/'Alloc Amt'!$I86</f>
        <v>#DIV/0!</v>
      </c>
      <c r="N86" s="3" t="e">
        <f>+'Alloc Amt'!N86/'Alloc Amt'!$I86</f>
        <v>#DIV/0!</v>
      </c>
    </row>
    <row r="87" spans="6:14" x14ac:dyDescent="0.25">
      <c r="F87">
        <f>+'Alloc Amt'!F87</f>
        <v>0</v>
      </c>
      <c r="G87">
        <f>+'Alloc Amt'!G87</f>
        <v>0</v>
      </c>
      <c r="H87">
        <f t="shared" si="3"/>
        <v>78</v>
      </c>
      <c r="I87" s="4" t="e">
        <f t="shared" si="2"/>
        <v>#DIV/0!</v>
      </c>
      <c r="J87" s="3" t="e">
        <f>+'Alloc Amt'!J87/'Alloc Amt'!$I87</f>
        <v>#DIV/0!</v>
      </c>
      <c r="K87" s="3" t="e">
        <f>+'Alloc Amt'!K87/'Alloc Amt'!$I87</f>
        <v>#DIV/0!</v>
      </c>
      <c r="L87" s="3" t="e">
        <f>+'Alloc Amt'!L87/'Alloc Amt'!$I87</f>
        <v>#DIV/0!</v>
      </c>
      <c r="M87" s="3" t="e">
        <f>+'Alloc Amt'!M87/'Alloc Amt'!$I87</f>
        <v>#DIV/0!</v>
      </c>
      <c r="N87" s="3" t="e">
        <f>+'Alloc Amt'!N87/'Alloc Amt'!$I87</f>
        <v>#DIV/0!</v>
      </c>
    </row>
    <row r="88" spans="6:14" x14ac:dyDescent="0.25">
      <c r="F88">
        <f>+'Alloc Amt'!F88</f>
        <v>0</v>
      </c>
      <c r="G88">
        <f>+'Alloc Amt'!G88</f>
        <v>0</v>
      </c>
      <c r="H88">
        <f t="shared" si="3"/>
        <v>79</v>
      </c>
      <c r="I88" s="4" t="e">
        <f t="shared" si="2"/>
        <v>#DIV/0!</v>
      </c>
      <c r="J88" s="3" t="e">
        <f>+'Alloc Amt'!J88/'Alloc Amt'!$I88</f>
        <v>#DIV/0!</v>
      </c>
      <c r="K88" s="3" t="e">
        <f>+'Alloc Amt'!K88/'Alloc Amt'!$I88</f>
        <v>#DIV/0!</v>
      </c>
      <c r="L88" s="3" t="e">
        <f>+'Alloc Amt'!L88/'Alloc Amt'!$I88</f>
        <v>#DIV/0!</v>
      </c>
      <c r="M88" s="3" t="e">
        <f>+'Alloc Amt'!M88/'Alloc Amt'!$I88</f>
        <v>#DIV/0!</v>
      </c>
      <c r="N88" s="3" t="e">
        <f>+'Alloc Amt'!N88/'Alloc Amt'!$I88</f>
        <v>#DIV/0!</v>
      </c>
    </row>
    <row r="89" spans="6:14" x14ac:dyDescent="0.25">
      <c r="F89">
        <f>+'Alloc Amt'!F89</f>
        <v>0</v>
      </c>
      <c r="G89">
        <f>+'Alloc Amt'!G89</f>
        <v>0</v>
      </c>
      <c r="H89">
        <f t="shared" si="3"/>
        <v>80</v>
      </c>
      <c r="I89" s="4" t="e">
        <f t="shared" si="2"/>
        <v>#DIV/0!</v>
      </c>
      <c r="J89" s="3" t="e">
        <f>+'Alloc Amt'!J89/'Alloc Amt'!$I89</f>
        <v>#DIV/0!</v>
      </c>
      <c r="K89" s="3" t="e">
        <f>+'Alloc Amt'!K89/'Alloc Amt'!$I89</f>
        <v>#DIV/0!</v>
      </c>
      <c r="L89" s="3" t="e">
        <f>+'Alloc Amt'!L89/'Alloc Amt'!$I89</f>
        <v>#DIV/0!</v>
      </c>
      <c r="M89" s="3" t="e">
        <f>+'Alloc Amt'!M89/'Alloc Amt'!$I89</f>
        <v>#DIV/0!</v>
      </c>
      <c r="N89" s="3" t="e">
        <f>+'Alloc Amt'!N89/'Alloc Amt'!$I89</f>
        <v>#DIV/0!</v>
      </c>
    </row>
    <row r="90" spans="6:14" x14ac:dyDescent="0.25">
      <c r="F90">
        <f>+'Alloc Amt'!F90</f>
        <v>0</v>
      </c>
      <c r="G90">
        <f>+'Alloc Amt'!G90</f>
        <v>0</v>
      </c>
      <c r="H90">
        <f t="shared" si="3"/>
        <v>81</v>
      </c>
      <c r="I90" s="4" t="e">
        <f t="shared" si="2"/>
        <v>#DIV/0!</v>
      </c>
      <c r="J90" s="3" t="e">
        <f>+'Alloc Amt'!J90/'Alloc Amt'!$I90</f>
        <v>#DIV/0!</v>
      </c>
      <c r="K90" s="3" t="e">
        <f>+'Alloc Amt'!K90/'Alloc Amt'!$I90</f>
        <v>#DIV/0!</v>
      </c>
      <c r="L90" s="3" t="e">
        <f>+'Alloc Amt'!L90/'Alloc Amt'!$I90</f>
        <v>#DIV/0!</v>
      </c>
      <c r="M90" s="3" t="e">
        <f>+'Alloc Amt'!M90/'Alloc Amt'!$I90</f>
        <v>#DIV/0!</v>
      </c>
      <c r="N90" s="3" t="e">
        <f>+'Alloc Amt'!N90/'Alloc Amt'!$I90</f>
        <v>#DIV/0!</v>
      </c>
    </row>
    <row r="91" spans="6:14" x14ac:dyDescent="0.25">
      <c r="F91">
        <f>+'Alloc Amt'!F91</f>
        <v>0</v>
      </c>
      <c r="G91">
        <f>+'Alloc Amt'!G91</f>
        <v>0</v>
      </c>
      <c r="H91">
        <f t="shared" si="3"/>
        <v>82</v>
      </c>
      <c r="I91" s="4" t="e">
        <f t="shared" si="2"/>
        <v>#DIV/0!</v>
      </c>
      <c r="J91" s="3" t="e">
        <f>+'Alloc Amt'!J91/'Alloc Amt'!$I91</f>
        <v>#DIV/0!</v>
      </c>
      <c r="K91" s="3" t="e">
        <f>+'Alloc Amt'!K91/'Alloc Amt'!$I91</f>
        <v>#DIV/0!</v>
      </c>
      <c r="L91" s="3" t="e">
        <f>+'Alloc Amt'!L91/'Alloc Amt'!$I91</f>
        <v>#DIV/0!</v>
      </c>
      <c r="M91" s="3" t="e">
        <f>+'Alloc Amt'!M91/'Alloc Amt'!$I91</f>
        <v>#DIV/0!</v>
      </c>
      <c r="N91" s="3" t="e">
        <f>+'Alloc Amt'!N91/'Alloc Amt'!$I91</f>
        <v>#DIV/0!</v>
      </c>
    </row>
    <row r="92" spans="6:14" x14ac:dyDescent="0.25">
      <c r="F92">
        <f>+'Alloc Amt'!F92</f>
        <v>0</v>
      </c>
      <c r="G92">
        <f>+'Alloc Amt'!G92</f>
        <v>0</v>
      </c>
      <c r="H92">
        <f t="shared" si="3"/>
        <v>83</v>
      </c>
      <c r="I92" s="4" t="e">
        <f t="shared" si="2"/>
        <v>#DIV/0!</v>
      </c>
      <c r="J92" s="3" t="e">
        <f>+'Alloc Amt'!J92/'Alloc Amt'!$I92</f>
        <v>#DIV/0!</v>
      </c>
      <c r="K92" s="3" t="e">
        <f>+'Alloc Amt'!K92/'Alloc Amt'!$I92</f>
        <v>#DIV/0!</v>
      </c>
      <c r="L92" s="3" t="e">
        <f>+'Alloc Amt'!L92/'Alloc Amt'!$I92</f>
        <v>#DIV/0!</v>
      </c>
      <c r="M92" s="3" t="e">
        <f>+'Alloc Amt'!M92/'Alloc Amt'!$I92</f>
        <v>#DIV/0!</v>
      </c>
      <c r="N92" s="3" t="e">
        <f>+'Alloc Amt'!N92/'Alloc Amt'!$I92</f>
        <v>#DIV/0!</v>
      </c>
    </row>
    <row r="93" spans="6:14" x14ac:dyDescent="0.25">
      <c r="F93">
        <f>+'Alloc Amt'!F93</f>
        <v>0</v>
      </c>
      <c r="G93">
        <f>+'Alloc Amt'!G93</f>
        <v>0</v>
      </c>
      <c r="H93">
        <f t="shared" si="3"/>
        <v>84</v>
      </c>
      <c r="I93" s="4" t="e">
        <f t="shared" si="2"/>
        <v>#DIV/0!</v>
      </c>
      <c r="J93" s="3" t="e">
        <f>+'Alloc Amt'!J93/'Alloc Amt'!$I93</f>
        <v>#DIV/0!</v>
      </c>
      <c r="K93" s="3" t="e">
        <f>+'Alloc Amt'!K93/'Alloc Amt'!$I93</f>
        <v>#DIV/0!</v>
      </c>
      <c r="L93" s="3" t="e">
        <f>+'Alloc Amt'!L93/'Alloc Amt'!$I93</f>
        <v>#DIV/0!</v>
      </c>
      <c r="M93" s="3" t="e">
        <f>+'Alloc Amt'!M93/'Alloc Amt'!$I93</f>
        <v>#DIV/0!</v>
      </c>
      <c r="N93" s="3" t="e">
        <f>+'Alloc Amt'!N93/'Alloc Amt'!$I93</f>
        <v>#DIV/0!</v>
      </c>
    </row>
    <row r="94" spans="6:14" x14ac:dyDescent="0.25">
      <c r="F94">
        <f>+'Alloc Amt'!F94</f>
        <v>0</v>
      </c>
      <c r="G94">
        <f>+'Alloc Amt'!G94</f>
        <v>0</v>
      </c>
      <c r="H94">
        <f t="shared" si="3"/>
        <v>85</v>
      </c>
      <c r="I94" s="4" t="e">
        <f t="shared" si="2"/>
        <v>#DIV/0!</v>
      </c>
      <c r="J94" s="3" t="e">
        <f>+'Alloc Amt'!J94/'Alloc Amt'!$I94</f>
        <v>#DIV/0!</v>
      </c>
      <c r="K94" s="3" t="e">
        <f>+'Alloc Amt'!K94/'Alloc Amt'!$I94</f>
        <v>#DIV/0!</v>
      </c>
      <c r="L94" s="3" t="e">
        <f>+'Alloc Amt'!L94/'Alloc Amt'!$I94</f>
        <v>#DIV/0!</v>
      </c>
      <c r="M94" s="3" t="e">
        <f>+'Alloc Amt'!M94/'Alloc Amt'!$I94</f>
        <v>#DIV/0!</v>
      </c>
      <c r="N94" s="3" t="e">
        <f>+'Alloc Amt'!N94/'Alloc Amt'!$I94</f>
        <v>#DIV/0!</v>
      </c>
    </row>
    <row r="95" spans="6:14" x14ac:dyDescent="0.25">
      <c r="F95">
        <f>+'Alloc Amt'!F95</f>
        <v>0</v>
      </c>
      <c r="G95">
        <f>+'Alloc Amt'!G95</f>
        <v>0</v>
      </c>
      <c r="H95">
        <f t="shared" si="3"/>
        <v>86</v>
      </c>
      <c r="I95" s="4" t="e">
        <f t="shared" si="2"/>
        <v>#DIV/0!</v>
      </c>
      <c r="J95" s="3" t="e">
        <f>+'Alloc Amt'!J95/'Alloc Amt'!$I95</f>
        <v>#DIV/0!</v>
      </c>
      <c r="K95" s="3" t="e">
        <f>+'Alloc Amt'!K95/'Alloc Amt'!$I95</f>
        <v>#DIV/0!</v>
      </c>
      <c r="L95" s="3" t="e">
        <f>+'Alloc Amt'!L95/'Alloc Amt'!$I95</f>
        <v>#DIV/0!</v>
      </c>
      <c r="M95" s="3" t="e">
        <f>+'Alloc Amt'!M95/'Alloc Amt'!$I95</f>
        <v>#DIV/0!</v>
      </c>
      <c r="N95" s="3" t="e">
        <f>+'Alloc Amt'!N95/'Alloc Amt'!$I95</f>
        <v>#DIV/0!</v>
      </c>
    </row>
    <row r="96" spans="6:14" x14ac:dyDescent="0.25">
      <c r="F96">
        <f>+'Alloc Amt'!F96</f>
        <v>0</v>
      </c>
      <c r="G96">
        <f>+'Alloc Amt'!G96</f>
        <v>0</v>
      </c>
      <c r="H96">
        <f t="shared" si="3"/>
        <v>87</v>
      </c>
      <c r="I96" s="4" t="e">
        <f t="shared" si="2"/>
        <v>#DIV/0!</v>
      </c>
      <c r="J96" s="3" t="e">
        <f>+'Alloc Amt'!J96/'Alloc Amt'!$I96</f>
        <v>#DIV/0!</v>
      </c>
      <c r="K96" s="3" t="e">
        <f>+'Alloc Amt'!K96/'Alloc Amt'!$I96</f>
        <v>#DIV/0!</v>
      </c>
      <c r="L96" s="3" t="e">
        <f>+'Alloc Amt'!L96/'Alloc Amt'!$I96</f>
        <v>#DIV/0!</v>
      </c>
      <c r="M96" s="3" t="e">
        <f>+'Alloc Amt'!M96/'Alloc Amt'!$I96</f>
        <v>#DIV/0!</v>
      </c>
      <c r="N96" s="3" t="e">
        <f>+'Alloc Amt'!N96/'Alloc Amt'!$I96</f>
        <v>#DIV/0!</v>
      </c>
    </row>
    <row r="97" spans="6:14" x14ac:dyDescent="0.25">
      <c r="F97">
        <f>+'Alloc Amt'!F97</f>
        <v>0</v>
      </c>
      <c r="G97">
        <f>+'Alloc Amt'!G97</f>
        <v>0</v>
      </c>
      <c r="H97">
        <f t="shared" si="3"/>
        <v>88</v>
      </c>
      <c r="I97" s="4" t="e">
        <f t="shared" si="2"/>
        <v>#DIV/0!</v>
      </c>
      <c r="J97" s="3" t="e">
        <f>+'Alloc Amt'!J97/'Alloc Amt'!$I97</f>
        <v>#DIV/0!</v>
      </c>
      <c r="K97" s="3" t="e">
        <f>+'Alloc Amt'!K97/'Alloc Amt'!$I97</f>
        <v>#DIV/0!</v>
      </c>
      <c r="L97" s="3" t="e">
        <f>+'Alloc Amt'!L97/'Alloc Amt'!$I97</f>
        <v>#DIV/0!</v>
      </c>
      <c r="M97" s="3" t="e">
        <f>+'Alloc Amt'!M97/'Alloc Amt'!$I97</f>
        <v>#DIV/0!</v>
      </c>
      <c r="N97" s="3" t="e">
        <f>+'Alloc Amt'!N97/'Alloc Amt'!$I97</f>
        <v>#DIV/0!</v>
      </c>
    </row>
    <row r="98" spans="6:14" x14ac:dyDescent="0.25">
      <c r="F98">
        <f>+'Alloc Amt'!F98</f>
        <v>0</v>
      </c>
      <c r="G98">
        <f>+'Alloc Amt'!G98</f>
        <v>0</v>
      </c>
      <c r="H98">
        <f t="shared" si="3"/>
        <v>89</v>
      </c>
      <c r="I98" s="4" t="e">
        <f t="shared" si="2"/>
        <v>#DIV/0!</v>
      </c>
      <c r="J98" s="3" t="e">
        <f>+'Alloc Amt'!J98/'Alloc Amt'!$I98</f>
        <v>#DIV/0!</v>
      </c>
      <c r="K98" s="3" t="e">
        <f>+'Alloc Amt'!K98/'Alloc Amt'!$I98</f>
        <v>#DIV/0!</v>
      </c>
      <c r="L98" s="3" t="e">
        <f>+'Alloc Amt'!L98/'Alloc Amt'!$I98</f>
        <v>#DIV/0!</v>
      </c>
      <c r="M98" s="3" t="e">
        <f>+'Alloc Amt'!M98/'Alloc Amt'!$I98</f>
        <v>#DIV/0!</v>
      </c>
      <c r="N98" s="3" t="e">
        <f>+'Alloc Amt'!N98/'Alloc Amt'!$I98</f>
        <v>#DIV/0!</v>
      </c>
    </row>
    <row r="99" spans="6:14" x14ac:dyDescent="0.25">
      <c r="F99">
        <f>+'Alloc Amt'!F99</f>
        <v>0</v>
      </c>
      <c r="G99">
        <f>+'Alloc Amt'!G99</f>
        <v>0</v>
      </c>
      <c r="H99">
        <f t="shared" si="3"/>
        <v>90</v>
      </c>
      <c r="I99" s="4" t="e">
        <f t="shared" si="2"/>
        <v>#DIV/0!</v>
      </c>
      <c r="J99" s="3" t="e">
        <f>+'Alloc Amt'!J99/'Alloc Amt'!$I99</f>
        <v>#DIV/0!</v>
      </c>
      <c r="K99" s="3" t="e">
        <f>+'Alloc Amt'!K99/'Alloc Amt'!$I99</f>
        <v>#DIV/0!</v>
      </c>
      <c r="L99" s="3" t="e">
        <f>+'Alloc Amt'!L99/'Alloc Amt'!$I99</f>
        <v>#DIV/0!</v>
      </c>
      <c r="M99" s="3" t="e">
        <f>+'Alloc Amt'!M99/'Alloc Amt'!$I99</f>
        <v>#DIV/0!</v>
      </c>
      <c r="N99" s="3" t="e">
        <f>+'Alloc Amt'!N99/'Alloc Amt'!$I99</f>
        <v>#DIV/0!</v>
      </c>
    </row>
    <row r="100" spans="6:14" x14ac:dyDescent="0.25">
      <c r="F100">
        <f>+'Alloc Amt'!F100</f>
        <v>0</v>
      </c>
      <c r="G100">
        <f>+'Alloc Amt'!G100</f>
        <v>0</v>
      </c>
      <c r="H100">
        <f t="shared" si="3"/>
        <v>91</v>
      </c>
      <c r="I100" s="4" t="e">
        <f t="shared" si="2"/>
        <v>#DIV/0!</v>
      </c>
      <c r="J100" s="3" t="e">
        <f>+'Alloc Amt'!J100/'Alloc Amt'!$I100</f>
        <v>#DIV/0!</v>
      </c>
      <c r="K100" s="3" t="e">
        <f>+'Alloc Amt'!K100/'Alloc Amt'!$I100</f>
        <v>#DIV/0!</v>
      </c>
      <c r="L100" s="3" t="e">
        <f>+'Alloc Amt'!L100/'Alloc Amt'!$I100</f>
        <v>#DIV/0!</v>
      </c>
      <c r="M100" s="3" t="e">
        <f>+'Alloc Amt'!M100/'Alloc Amt'!$I100</f>
        <v>#DIV/0!</v>
      </c>
      <c r="N100" s="3" t="e">
        <f>+'Alloc Amt'!N100/'Alloc Amt'!$I100</f>
        <v>#DIV/0!</v>
      </c>
    </row>
  </sheetData>
  <mergeCells count="3">
    <mergeCell ref="F2:N2"/>
    <mergeCell ref="F3:N3"/>
    <mergeCell ref="F4:N4"/>
  </mergeCells>
  <printOptions horizontalCentered="1"/>
  <pageMargins left="0.7" right="0.7" top="0.75" bottom="0.75" header="0.3" footer="0.3"/>
  <pageSetup scale="9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Testimony</DocumentSetType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Formal</CaseStatus>
    <OpenedDate xmlns="dc463f71-b30c-4ab2-9473-d307f9d35888">2014-02-04T08:00:00+00:00</OpenedDate>
    <Date1 xmlns="dc463f71-b30c-4ab2-9473-d307f9d35888">2014-07-22T07:00:00+00:00</Date1>
    <IsDocumentOrder xmlns="dc463f71-b30c-4ab2-9473-d307f9d35888" xsi:nil="true"/>
    <IsHighlyConfidential xmlns="dc463f71-b30c-4ab2-9473-d307f9d35888">false</IsHighlyConfidential>
    <CaseCompanyNames xmlns="dc463f71-b30c-4ab2-9473-d307f9d35888">Avista Corporation</CaseCompanyNames>
    <DocketNumber xmlns="dc463f71-b30c-4ab2-9473-d307f9d35888">140188</DocketNumber>
    <DelegatedOrder xmlns="dc463f71-b30c-4ab2-9473-d307f9d35888">false</DelegatedOrder>
    <Visibility xmlns="dc463f71-b30c-4ab2-9473-d307f9d35888" xsi:nil="true"/>
    <Nickname xmlns="http://schemas.microsoft.com/sharepoint/v3" xsi:nil="true"/>
    <SignificantOrder xmlns="dc463f71-b30c-4ab2-9473-d307f9d35888">false</SignificantOrd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E3E789-C28E-44A6-8163-CDFB3FEC2576}"/>
</file>

<file path=customXml/itemProps2.xml><?xml version="1.0" encoding="utf-8"?>
<ds:datastoreItem xmlns:ds="http://schemas.openxmlformats.org/officeDocument/2006/customXml" ds:itemID="{2D161AD7-AA90-42C8-9352-519B0F0AF497}"/>
</file>

<file path=customXml/itemProps3.xml><?xml version="1.0" encoding="utf-8"?>
<ds:datastoreItem xmlns:ds="http://schemas.openxmlformats.org/officeDocument/2006/customXml" ds:itemID="{759E0379-B5B6-49A0-A62C-AC780969FD6D}"/>
</file>

<file path=customXml/itemProps4.xml><?xml version="1.0" encoding="utf-8"?>
<ds:datastoreItem xmlns:ds="http://schemas.openxmlformats.org/officeDocument/2006/customXml" ds:itemID="{0B931988-5C02-4689-8C99-931F61BE9B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Summary</vt:lpstr>
      <vt:lpstr>Rate Base</vt:lpstr>
      <vt:lpstr>Expenses</vt:lpstr>
      <vt:lpstr>Labor</vt:lpstr>
      <vt:lpstr>Revenue</vt:lpstr>
      <vt:lpstr>Alloc Amt</vt:lpstr>
      <vt:lpstr>Alloc Pct</vt:lpstr>
      <vt:lpstr>Alloc</vt:lpstr>
      <vt:lpstr>'Alloc Amt'!Print_Area</vt:lpstr>
      <vt:lpstr>'Alloc Pct'!Print_Area</vt:lpstr>
      <vt:lpstr>Expenses!Print_Area</vt:lpstr>
      <vt:lpstr>Labor!Print_Area</vt:lpstr>
      <vt:lpstr>'Rate Base'!Print_Area</vt:lpstr>
      <vt:lpstr>Revenue!Print_Area</vt:lpstr>
      <vt:lpstr>Summary!Print_Area</vt:lpstr>
      <vt:lpstr>'Alloc Amt'!Print_Titles</vt:lpstr>
      <vt:lpstr>'Alloc Pct'!Print_Titles</vt:lpstr>
      <vt:lpstr>Expenses!Print_Titles</vt:lpstr>
      <vt:lpstr>Labor!Print_Titles</vt:lpstr>
      <vt:lpstr>'Rate Base'!Print_Titles</vt:lpstr>
      <vt:lpstr>Summary!Print_Titles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Jdolen</dc:creator>
  <cp:lastModifiedBy>Jdolen</cp:lastModifiedBy>
  <cp:lastPrinted>2014-07-15T17:49:38Z</cp:lastPrinted>
  <dcterms:created xsi:type="dcterms:W3CDTF">2014-06-26T13:40:05Z</dcterms:created>
  <dcterms:modified xsi:type="dcterms:W3CDTF">2014-07-15T18:45:00Z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</Properties>
</file>