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ates\Public\Gas GRC\Gas GRC 2024\FILED\Initial (Filed 2-15-24)\John Taylor\Exhibits\"/>
    </mc:Choice>
  </mc:AlternateContent>
  <bookViews>
    <workbookView xWindow="0" yWindow="0" windowWidth="28800" windowHeight="12300"/>
  </bookViews>
  <sheets>
    <sheet name="Exh JDT-5 (Rate Des Sum)" sheetId="1" r:id="rId1"/>
    <sheet name="Exh JDT-5 (Rate Spread)" sheetId="2" r:id="rId2"/>
    <sheet name="Exh JDT-5 (Rate Design)" sheetId="3" r:id="rId3"/>
    <sheet name="Exh JDT-5 (141DCARB)" sheetId="4" r:id="rId4"/>
    <sheet name="Exh JDT-5 (Procmnt Chrg)" sheetId="5" r:id="rId5"/>
  </sheets>
  <externalReferences>
    <externalReference r:id="rId6"/>
  </externalReferences>
  <definedNames>
    <definedName name="Company">'[1]Named Ranges E'!$B$2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_xlnm.Print_Area" localSheetId="3">'Exh JDT-5 (141DCARB)'!$A$1:$M$26</definedName>
    <definedName name="_xlnm.Print_Area" localSheetId="4">'Exh JDT-5 (Procmnt Chrg)'!$A$1:$H$27</definedName>
    <definedName name="_xlnm.Print_Area" localSheetId="2">'Exh JDT-5 (Rate Design)'!$A$1:$T$183</definedName>
    <definedName name="_xlnm.Print_Area" localSheetId="1">'Exh JDT-5 (Rate Spread)'!$A$1:$L$38</definedName>
    <definedName name="_xlnm.Print_Titles" localSheetId="0">'Exh JDT-5 (Rate Des Sum)'!$A:$D</definedName>
    <definedName name="_xlnm.Print_Titles" localSheetId="2">'Exh JDT-5 (Rate Design)'!$1:$7</definedName>
    <definedName name="_xlnm.Print_Titles" localSheetId="1">'Exh JDT-5 (Rate Spread)'!$1:$6</definedName>
    <definedName name="RateCase">'[1]Named Ranges E'!$B$7</definedName>
    <definedName name="TestYear">'[1]Named Ranges E'!$B$3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5" l="1"/>
  <c r="A21" i="5"/>
  <c r="A19" i="5"/>
  <c r="A17" i="5"/>
  <c r="A14" i="5"/>
  <c r="A11" i="5"/>
  <c r="H15" i="5"/>
  <c r="A9" i="5"/>
  <c r="A22" i="4"/>
  <c r="F20" i="4"/>
  <c r="J20" i="4"/>
  <c r="L20" i="4" s="1"/>
  <c r="J19" i="4"/>
  <c r="J18" i="4"/>
  <c r="J17" i="4"/>
  <c r="J16" i="4"/>
  <c r="J15" i="4"/>
  <c r="J14" i="4"/>
  <c r="A13" i="4"/>
  <c r="R183" i="3"/>
  <c r="T181" i="3"/>
  <c r="S181" i="3"/>
  <c r="K20" i="4"/>
  <c r="M172" i="3"/>
  <c r="M171" i="3"/>
  <c r="L171" i="3"/>
  <c r="M170" i="3"/>
  <c r="L170" i="3"/>
  <c r="N169" i="3"/>
  <c r="M169" i="3"/>
  <c r="L169" i="3"/>
  <c r="E173" i="3"/>
  <c r="F19" i="4" s="1"/>
  <c r="D173" i="3"/>
  <c r="Q164" i="3"/>
  <c r="P164" i="3"/>
  <c r="T163" i="3"/>
  <c r="I163" i="3"/>
  <c r="J163" i="3" s="1"/>
  <c r="Q163" i="3" s="1"/>
  <c r="M163" i="3"/>
  <c r="N163" i="3"/>
  <c r="L163" i="3"/>
  <c r="I162" i="3"/>
  <c r="J162" i="3" s="1"/>
  <c r="Q162" i="3" s="1"/>
  <c r="M162" i="3"/>
  <c r="N162" i="3"/>
  <c r="L162" i="3"/>
  <c r="D153" i="3"/>
  <c r="L152" i="3"/>
  <c r="N151" i="3"/>
  <c r="M151" i="3"/>
  <c r="L151" i="3"/>
  <c r="L150" i="3"/>
  <c r="N150" i="3"/>
  <c r="N149" i="3"/>
  <c r="M149" i="3"/>
  <c r="L149" i="3"/>
  <c r="L148" i="3"/>
  <c r="N148" i="3"/>
  <c r="N147" i="3"/>
  <c r="M147" i="3"/>
  <c r="E153" i="3"/>
  <c r="L147" i="3"/>
  <c r="Q144" i="3"/>
  <c r="P144" i="3"/>
  <c r="S143" i="3"/>
  <c r="L143" i="3"/>
  <c r="I143" i="3"/>
  <c r="J143" i="3" s="1"/>
  <c r="Q143" i="3" s="1"/>
  <c r="N143" i="3"/>
  <c r="T142" i="3"/>
  <c r="L137" i="3"/>
  <c r="N137" i="3"/>
  <c r="N136" i="3"/>
  <c r="M136" i="3"/>
  <c r="L136" i="3"/>
  <c r="L135" i="3"/>
  <c r="N135" i="3"/>
  <c r="M135" i="3"/>
  <c r="N134" i="3"/>
  <c r="M134" i="3"/>
  <c r="L134" i="3"/>
  <c r="N133" i="3"/>
  <c r="M133" i="3"/>
  <c r="L133" i="3"/>
  <c r="F138" i="3"/>
  <c r="Q129" i="3"/>
  <c r="P129" i="3"/>
  <c r="M128" i="3"/>
  <c r="L128" i="3"/>
  <c r="T127" i="3"/>
  <c r="T143" i="3" s="1"/>
  <c r="N127" i="3"/>
  <c r="I127" i="3"/>
  <c r="J127" i="3" s="1"/>
  <c r="Q127" i="3"/>
  <c r="M127" i="3"/>
  <c r="L127" i="3"/>
  <c r="T126" i="3"/>
  <c r="P126" i="3"/>
  <c r="I126" i="3"/>
  <c r="J126" i="3" s="1"/>
  <c r="N126" i="3"/>
  <c r="M126" i="3"/>
  <c r="N115" i="3"/>
  <c r="M115" i="3"/>
  <c r="D117" i="3"/>
  <c r="Q112" i="3"/>
  <c r="P112" i="3"/>
  <c r="S111" i="3"/>
  <c r="M111" i="3"/>
  <c r="L111" i="3"/>
  <c r="M110" i="3"/>
  <c r="L110" i="3"/>
  <c r="L105" i="3"/>
  <c r="N105" i="3"/>
  <c r="N104" i="3"/>
  <c r="N106" i="3" s="1"/>
  <c r="F106" i="3"/>
  <c r="M104" i="3"/>
  <c r="L104" i="3"/>
  <c r="L106" i="3" s="1"/>
  <c r="Q101" i="3"/>
  <c r="P101" i="3"/>
  <c r="L100" i="3"/>
  <c r="G20" i="5"/>
  <c r="N100" i="3"/>
  <c r="T99" i="3"/>
  <c r="T111" i="3" s="1"/>
  <c r="M99" i="3"/>
  <c r="L99" i="3"/>
  <c r="T98" i="3"/>
  <c r="N98" i="3"/>
  <c r="I98" i="3"/>
  <c r="J98" i="3" s="1"/>
  <c r="Q98" i="3"/>
  <c r="M98" i="3"/>
  <c r="L98" i="3"/>
  <c r="N88" i="3"/>
  <c r="M88" i="3"/>
  <c r="L88" i="3"/>
  <c r="L87" i="3"/>
  <c r="M87" i="3"/>
  <c r="N87" i="3"/>
  <c r="N86" i="3"/>
  <c r="E89" i="3"/>
  <c r="T83" i="3"/>
  <c r="S83" i="3"/>
  <c r="P83" i="3"/>
  <c r="Q83" i="3"/>
  <c r="S82" i="3"/>
  <c r="N82" i="3"/>
  <c r="I82" i="3"/>
  <c r="M82" i="3"/>
  <c r="L82" i="3"/>
  <c r="T81" i="3"/>
  <c r="I81" i="3"/>
  <c r="J81" i="3" s="1"/>
  <c r="L28" i="1" s="1"/>
  <c r="N81" i="3"/>
  <c r="M81" i="3"/>
  <c r="L81" i="3"/>
  <c r="N76" i="3"/>
  <c r="M76" i="3"/>
  <c r="L76" i="3"/>
  <c r="L75" i="3"/>
  <c r="N75" i="3"/>
  <c r="N74" i="3"/>
  <c r="N77" i="3" s="1"/>
  <c r="E77" i="3"/>
  <c r="F16" i="4" s="1"/>
  <c r="Q71" i="3"/>
  <c r="P71" i="3"/>
  <c r="L70" i="3"/>
  <c r="F20" i="5"/>
  <c r="N70" i="3"/>
  <c r="T69" i="3"/>
  <c r="T82" i="3" s="1"/>
  <c r="I69" i="3"/>
  <c r="J69" i="3" s="1"/>
  <c r="AA24" i="1" s="1"/>
  <c r="T68" i="3"/>
  <c r="N68" i="3"/>
  <c r="I68" i="3"/>
  <c r="J68" i="3" s="1"/>
  <c r="M68" i="3"/>
  <c r="L68" i="3"/>
  <c r="N58" i="3"/>
  <c r="M58" i="3"/>
  <c r="L58" i="3"/>
  <c r="L57" i="3"/>
  <c r="N57" i="3"/>
  <c r="N59" i="3" s="1"/>
  <c r="E20" i="1"/>
  <c r="E59" i="3"/>
  <c r="M53" i="3"/>
  <c r="L53" i="3"/>
  <c r="S52" i="3"/>
  <c r="J52" i="3"/>
  <c r="I52" i="3"/>
  <c r="N52" i="3"/>
  <c r="M52" i="3"/>
  <c r="L52" i="3"/>
  <c r="J51" i="3"/>
  <c r="I51" i="3"/>
  <c r="N51" i="3"/>
  <c r="M51" i="3"/>
  <c r="L51" i="3"/>
  <c r="F47" i="3"/>
  <c r="N46" i="3"/>
  <c r="M46" i="3"/>
  <c r="L46" i="3"/>
  <c r="L45" i="3"/>
  <c r="N45" i="3"/>
  <c r="E47" i="3"/>
  <c r="E20" i="5"/>
  <c r="N40" i="3"/>
  <c r="M40" i="3"/>
  <c r="L40" i="3"/>
  <c r="T39" i="3"/>
  <c r="T52" i="3" s="1"/>
  <c r="L39" i="3"/>
  <c r="I39" i="3"/>
  <c r="J39" i="3" s="1"/>
  <c r="AA16" i="1" s="1"/>
  <c r="M39" i="3"/>
  <c r="T38" i="3"/>
  <c r="M38" i="3"/>
  <c r="M30" i="3"/>
  <c r="M29" i="3"/>
  <c r="M31" i="3" s="1"/>
  <c r="I29" i="3"/>
  <c r="J29" i="3" s="1"/>
  <c r="Q29" i="3"/>
  <c r="L29" i="3"/>
  <c r="N26" i="3"/>
  <c r="D20" i="5"/>
  <c r="L26" i="3"/>
  <c r="L25" i="3"/>
  <c r="M25" i="3"/>
  <c r="D18" i="5"/>
  <c r="T24" i="3"/>
  <c r="B17" i="3"/>
  <c r="N16" i="3"/>
  <c r="M16" i="3"/>
  <c r="L16" i="3"/>
  <c r="B16" i="3"/>
  <c r="S15" i="3"/>
  <c r="T15" i="3" s="1"/>
  <c r="M15" i="3"/>
  <c r="M17" i="3" s="1"/>
  <c r="L13" i="3"/>
  <c r="N13" i="3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B11" i="3"/>
  <c r="N10" i="3"/>
  <c r="M10" i="3"/>
  <c r="B10" i="3"/>
  <c r="A10" i="3"/>
  <c r="A11" i="3" s="1"/>
  <c r="T9" i="3"/>
  <c r="L9" i="3"/>
  <c r="I9" i="3"/>
  <c r="J9" i="3" s="1"/>
  <c r="M9" i="3"/>
  <c r="M11" i="3" s="1"/>
  <c r="D42" i="2"/>
  <c r="D36" i="2"/>
  <c r="A36" i="2"/>
  <c r="D35" i="2"/>
  <c r="D34" i="2"/>
  <c r="L32" i="2"/>
  <c r="L34" i="2" s="1"/>
  <c r="E28" i="2"/>
  <c r="D28" i="2"/>
  <c r="C27" i="2"/>
  <c r="K32" i="2"/>
  <c r="K34" i="2" s="1"/>
  <c r="K35" i="2" s="1"/>
  <c r="C25" i="2"/>
  <c r="D25" i="2" s="1"/>
  <c r="D24" i="2"/>
  <c r="D23" i="2"/>
  <c r="A23" i="2"/>
  <c r="D22" i="2"/>
  <c r="D21" i="2"/>
  <c r="L19" i="2"/>
  <c r="L21" i="2" s="1"/>
  <c r="D15" i="2"/>
  <c r="A10" i="2"/>
  <c r="E57" i="1"/>
  <c r="E56" i="1"/>
  <c r="E55" i="1"/>
  <c r="E54" i="1"/>
  <c r="E53" i="1"/>
  <c r="AA52" i="1"/>
  <c r="Z52" i="1"/>
  <c r="Y52" i="1"/>
  <c r="L52" i="1"/>
  <c r="N52" i="1" s="1"/>
  <c r="K52" i="1"/>
  <c r="M52" i="1" s="1"/>
  <c r="J52" i="1"/>
  <c r="E52" i="1"/>
  <c r="E50" i="1"/>
  <c r="E49" i="1"/>
  <c r="E48" i="1"/>
  <c r="E47" i="1"/>
  <c r="E46" i="1"/>
  <c r="AA45" i="1"/>
  <c r="AC45" i="1" s="1"/>
  <c r="Z45" i="1"/>
  <c r="AB45" i="1" s="1"/>
  <c r="Y45" i="1"/>
  <c r="J45" i="1"/>
  <c r="E45" i="1"/>
  <c r="E43" i="1"/>
  <c r="E42" i="1"/>
  <c r="E41" i="1"/>
  <c r="E40" i="1"/>
  <c r="E39" i="1"/>
  <c r="AB38" i="1"/>
  <c r="AA38" i="1"/>
  <c r="AC38" i="1" s="1"/>
  <c r="Z38" i="1"/>
  <c r="Y38" i="1"/>
  <c r="T38" i="1"/>
  <c r="L38" i="1"/>
  <c r="K38" i="1"/>
  <c r="M38" i="1" s="1"/>
  <c r="J38" i="1"/>
  <c r="E38" i="1"/>
  <c r="E36" i="1"/>
  <c r="Y35" i="1"/>
  <c r="J35" i="1"/>
  <c r="E35" i="1"/>
  <c r="E33" i="1"/>
  <c r="Y32" i="1"/>
  <c r="T32" i="1"/>
  <c r="N32" i="1"/>
  <c r="L32" i="1"/>
  <c r="K32" i="1"/>
  <c r="M32" i="1" s="1"/>
  <c r="J32" i="1"/>
  <c r="E32" i="1"/>
  <c r="E30" i="1"/>
  <c r="E29" i="1"/>
  <c r="Y28" i="1"/>
  <c r="J28" i="1"/>
  <c r="E28" i="1"/>
  <c r="E26" i="1"/>
  <c r="E25" i="1"/>
  <c r="T24" i="1"/>
  <c r="L24" i="1"/>
  <c r="K24" i="1"/>
  <c r="M24" i="1" s="1"/>
  <c r="J24" i="1"/>
  <c r="E24" i="1"/>
  <c r="E22" i="1"/>
  <c r="E21" i="1"/>
  <c r="AC20" i="1"/>
  <c r="AA20" i="1"/>
  <c r="Z20" i="1"/>
  <c r="AB20" i="1" s="1"/>
  <c r="Y20" i="1"/>
  <c r="O20" i="1"/>
  <c r="L20" i="1"/>
  <c r="N20" i="1" s="1"/>
  <c r="K20" i="1"/>
  <c r="M20" i="1" s="1"/>
  <c r="J20" i="1"/>
  <c r="E18" i="1"/>
  <c r="E17" i="1"/>
  <c r="Z16" i="1"/>
  <c r="AB16" i="1" s="1"/>
  <c r="Y16" i="1"/>
  <c r="T16" i="1"/>
  <c r="O16" i="1"/>
  <c r="J16" i="1"/>
  <c r="E16" i="1"/>
  <c r="L14" i="1"/>
  <c r="N14" i="1" s="1"/>
  <c r="K14" i="1"/>
  <c r="M14" i="1" s="1"/>
  <c r="J14" i="1"/>
  <c r="E14" i="1"/>
  <c r="T13" i="1"/>
  <c r="E13" i="1"/>
  <c r="J11" i="1"/>
  <c r="I11" i="1"/>
  <c r="H11" i="1"/>
  <c r="J10" i="1"/>
  <c r="E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N9" i="1"/>
  <c r="L9" i="1"/>
  <c r="K9" i="1"/>
  <c r="J9" i="1"/>
  <c r="M9" i="1" s="1"/>
  <c r="E9" i="1"/>
  <c r="A8" i="2" l="1"/>
  <c r="K20" i="2"/>
  <c r="K19" i="2"/>
  <c r="K21" i="2" s="1"/>
  <c r="M19" i="3"/>
  <c r="M21" i="3" s="1"/>
  <c r="AC52" i="1"/>
  <c r="AB52" i="1"/>
  <c r="C12" i="2"/>
  <c r="D12" i="2" s="1"/>
  <c r="L20" i="2"/>
  <c r="AC16" i="1"/>
  <c r="L28" i="2"/>
  <c r="H28" i="2"/>
  <c r="H29" i="2" s="1"/>
  <c r="J28" i="2"/>
  <c r="J29" i="2" s="1"/>
  <c r="F28" i="2"/>
  <c r="F29" i="2" s="1"/>
  <c r="K28" i="2"/>
  <c r="I28" i="2"/>
  <c r="G28" i="2"/>
  <c r="L35" i="2"/>
  <c r="N24" i="1"/>
  <c r="N38" i="1"/>
  <c r="A9" i="2"/>
  <c r="L61" i="3"/>
  <c r="L24" i="3"/>
  <c r="L27" i="3" s="1"/>
  <c r="I24" i="3"/>
  <c r="P24" i="3" s="1"/>
  <c r="K17" i="4"/>
  <c r="Y24" i="1"/>
  <c r="K28" i="1"/>
  <c r="M28" i="1" s="1"/>
  <c r="C14" i="2"/>
  <c r="L22" i="2" s="1"/>
  <c r="G29" i="2"/>
  <c r="K33" i="2"/>
  <c r="F186" i="3"/>
  <c r="N9" i="3"/>
  <c r="N11" i="3" s="1"/>
  <c r="Q9" i="3"/>
  <c r="L10" i="3"/>
  <c r="L11" i="3" s="1"/>
  <c r="L15" i="3"/>
  <c r="L17" i="3" s="1"/>
  <c r="I15" i="3"/>
  <c r="M24" i="3"/>
  <c r="K14" i="4"/>
  <c r="N25" i="3"/>
  <c r="L38" i="3"/>
  <c r="I38" i="3"/>
  <c r="N47" i="3"/>
  <c r="P51" i="3"/>
  <c r="L69" i="3"/>
  <c r="L79" i="3" s="1"/>
  <c r="L93" i="3" s="1"/>
  <c r="M69" i="3"/>
  <c r="M79" i="3" s="1"/>
  <c r="M93" i="3" s="1"/>
  <c r="M95" i="3" s="1"/>
  <c r="D77" i="3"/>
  <c r="F18" i="5" s="1"/>
  <c r="F13" i="5" s="1"/>
  <c r="L74" i="3"/>
  <c r="L77" i="3" s="1"/>
  <c r="F77" i="3"/>
  <c r="M137" i="3"/>
  <c r="D138" i="3"/>
  <c r="H18" i="5" s="1"/>
  <c r="H13" i="5" s="1"/>
  <c r="J82" i="3"/>
  <c r="AA28" i="1" s="1"/>
  <c r="AC28" i="1" s="1"/>
  <c r="J13" i="1"/>
  <c r="Z24" i="1"/>
  <c r="AB24" i="1" s="1"/>
  <c r="Z28" i="1"/>
  <c r="AB28" i="1" s="1"/>
  <c r="L33" i="2"/>
  <c r="L31" i="3"/>
  <c r="F188" i="3"/>
  <c r="N39" i="3"/>
  <c r="Q39" i="3"/>
  <c r="D59" i="3"/>
  <c r="L59" i="3"/>
  <c r="N79" i="3"/>
  <c r="N93" i="3" s="1"/>
  <c r="P69" i="3"/>
  <c r="P81" i="3"/>
  <c r="Q82" i="3"/>
  <c r="D89" i="3"/>
  <c r="L86" i="3"/>
  <c r="L89" i="3" s="1"/>
  <c r="L91" i="3" s="1"/>
  <c r="F89" i="3"/>
  <c r="K15" i="4"/>
  <c r="L15" i="4" s="1"/>
  <c r="E29" i="2"/>
  <c r="I29" i="2"/>
  <c r="P15" i="3"/>
  <c r="P29" i="3"/>
  <c r="L30" i="3"/>
  <c r="P38" i="3"/>
  <c r="L41" i="3"/>
  <c r="M41" i="3"/>
  <c r="M49" i="3" s="1"/>
  <c r="M63" i="3" s="1"/>
  <c r="M65" i="3" s="1"/>
  <c r="F15" i="4"/>
  <c r="D47" i="3"/>
  <c r="E18" i="5" s="1"/>
  <c r="E10" i="5" s="1"/>
  <c r="L47" i="3"/>
  <c r="P52" i="3"/>
  <c r="F59" i="3"/>
  <c r="Q68" i="3"/>
  <c r="Q69" i="3"/>
  <c r="N89" i="3"/>
  <c r="N91" i="3" s="1"/>
  <c r="E190" i="3"/>
  <c r="F13" i="4"/>
  <c r="M13" i="3"/>
  <c r="N15" i="3"/>
  <c r="N17" i="3" s="1"/>
  <c r="N24" i="3"/>
  <c r="N29" i="3"/>
  <c r="N30" i="3"/>
  <c r="N38" i="3"/>
  <c r="N49" i="3" s="1"/>
  <c r="N41" i="3"/>
  <c r="M45" i="3"/>
  <c r="M47" i="3" s="1"/>
  <c r="Q51" i="3"/>
  <c r="Q52" i="3"/>
  <c r="N53" i="3"/>
  <c r="N61" i="3" s="1"/>
  <c r="M57" i="3"/>
  <c r="M59" i="3" s="1"/>
  <c r="M61" i="3" s="1"/>
  <c r="P68" i="3"/>
  <c r="N69" i="3"/>
  <c r="M70" i="3"/>
  <c r="M75" i="3"/>
  <c r="Q81" i="3"/>
  <c r="P82" i="3"/>
  <c r="N99" i="3"/>
  <c r="N108" i="3" s="1"/>
  <c r="I99" i="3"/>
  <c r="P110" i="3"/>
  <c r="N111" i="3"/>
  <c r="I111" i="3"/>
  <c r="E117" i="3"/>
  <c r="H20" i="5"/>
  <c r="N128" i="3"/>
  <c r="E138" i="3"/>
  <c r="F18" i="4" s="1"/>
  <c r="M132" i="3"/>
  <c r="M138" i="3" s="1"/>
  <c r="M140" i="3" s="1"/>
  <c r="L17" i="4"/>
  <c r="D186" i="3"/>
  <c r="K13" i="4"/>
  <c r="D13" i="5"/>
  <c r="D188" i="3"/>
  <c r="L108" i="3"/>
  <c r="N116" i="3"/>
  <c r="N117" i="3" s="1"/>
  <c r="N152" i="3"/>
  <c r="L14" i="4"/>
  <c r="E186" i="3"/>
  <c r="P9" i="3"/>
  <c r="F14" i="4"/>
  <c r="M26" i="3"/>
  <c r="E188" i="3"/>
  <c r="P39" i="3"/>
  <c r="M74" i="3"/>
  <c r="M77" i="3" s="1"/>
  <c r="M86" i="3"/>
  <c r="M89" i="3" s="1"/>
  <c r="M91" i="3" s="1"/>
  <c r="P99" i="3"/>
  <c r="D106" i="3"/>
  <c r="G18" i="5" s="1"/>
  <c r="G10" i="5" s="1"/>
  <c r="N110" i="3"/>
  <c r="I110" i="3"/>
  <c r="P111" i="3"/>
  <c r="L116" i="3"/>
  <c r="M116" i="3"/>
  <c r="M117" i="3" s="1"/>
  <c r="M119" i="3" s="1"/>
  <c r="P98" i="3"/>
  <c r="M100" i="3"/>
  <c r="M108" i="3" s="1"/>
  <c r="M121" i="3" s="1"/>
  <c r="M123" i="3" s="1"/>
  <c r="M105" i="3"/>
  <c r="M106" i="3" s="1"/>
  <c r="E106" i="3"/>
  <c r="F17" i="4" s="1"/>
  <c r="L115" i="3"/>
  <c r="L117" i="3" s="1"/>
  <c r="L119" i="3" s="1"/>
  <c r="F117" i="3"/>
  <c r="L126" i="3"/>
  <c r="L140" i="3" s="1"/>
  <c r="Q126" i="3"/>
  <c r="P127" i="3"/>
  <c r="L132" i="3"/>
  <c r="L138" i="3" s="1"/>
  <c r="L153" i="3"/>
  <c r="F10" i="5"/>
  <c r="F15" i="5"/>
  <c r="L142" i="3"/>
  <c r="I142" i="3"/>
  <c r="P142" i="3" s="1"/>
  <c r="P143" i="3"/>
  <c r="N153" i="3"/>
  <c r="E13" i="4"/>
  <c r="D21" i="4"/>
  <c r="N132" i="3"/>
  <c r="N138" i="3" s="1"/>
  <c r="N140" i="3" s="1"/>
  <c r="N157" i="3" s="1"/>
  <c r="M142" i="3"/>
  <c r="F153" i="3"/>
  <c r="K18" i="4" s="1"/>
  <c r="L18" i="4" s="1"/>
  <c r="M168" i="3"/>
  <c r="N142" i="3"/>
  <c r="N155" i="3" s="1"/>
  <c r="M143" i="3"/>
  <c r="M148" i="3"/>
  <c r="M153" i="3" s="1"/>
  <c r="M150" i="3"/>
  <c r="M152" i="3"/>
  <c r="P162" i="3"/>
  <c r="P163" i="3"/>
  <c r="M167" i="3"/>
  <c r="L168" i="3"/>
  <c r="L172" i="3"/>
  <c r="E15" i="5"/>
  <c r="E13" i="5"/>
  <c r="E16" i="5" s="1"/>
  <c r="N167" i="3"/>
  <c r="N171" i="3"/>
  <c r="E20" i="4"/>
  <c r="G20" i="4" s="1"/>
  <c r="D10" i="5"/>
  <c r="C9" i="5"/>
  <c r="H10" i="5"/>
  <c r="J13" i="4"/>
  <c r="A10" i="5"/>
  <c r="C12" i="5"/>
  <c r="G15" i="5"/>
  <c r="D15" i="5"/>
  <c r="C15" i="5" s="1"/>
  <c r="L167" i="3"/>
  <c r="L173" i="3" s="1"/>
  <c r="L175" i="3" s="1"/>
  <c r="L177" i="3" s="1"/>
  <c r="N168" i="3"/>
  <c r="N170" i="3"/>
  <c r="N172" i="3"/>
  <c r="F173" i="3"/>
  <c r="K19" i="4" s="1"/>
  <c r="L19" i="4" s="1"/>
  <c r="A14" i="4"/>
  <c r="A15" i="4" s="1"/>
  <c r="E14" i="4"/>
  <c r="G14" i="4" s="1"/>
  <c r="E15" i="4"/>
  <c r="G15" i="4" s="1"/>
  <c r="E16" i="4"/>
  <c r="G16" i="4" s="1"/>
  <c r="E17" i="4"/>
  <c r="G17" i="4" s="1"/>
  <c r="E18" i="4"/>
  <c r="G18" i="4" s="1"/>
  <c r="E19" i="4"/>
  <c r="G19" i="4" s="1"/>
  <c r="N159" i="3" l="1"/>
  <c r="A13" i="5"/>
  <c r="L19" i="3"/>
  <c r="AD36" i="1"/>
  <c r="AD32" i="1"/>
  <c r="AD33" i="1"/>
  <c r="AD35" i="1"/>
  <c r="L121" i="3"/>
  <c r="N19" i="3"/>
  <c r="S177" i="3"/>
  <c r="P178" i="3"/>
  <c r="L155" i="3"/>
  <c r="F190" i="3"/>
  <c r="J38" i="3"/>
  <c r="K16" i="1"/>
  <c r="M16" i="1" s="1"/>
  <c r="L33" i="3"/>
  <c r="N63" i="3"/>
  <c r="N173" i="3"/>
  <c r="N175" i="3" s="1"/>
  <c r="N177" i="3" s="1"/>
  <c r="N179" i="3" s="1"/>
  <c r="AD57" i="1"/>
  <c r="AD53" i="1"/>
  <c r="AD54" i="1"/>
  <c r="AD55" i="1"/>
  <c r="AD52" i="1"/>
  <c r="AD56" i="1"/>
  <c r="AD22" i="1"/>
  <c r="AD17" i="1"/>
  <c r="AD18" i="1"/>
  <c r="AD20" i="1"/>
  <c r="AD21" i="1"/>
  <c r="AD16" i="1"/>
  <c r="A16" i="4"/>
  <c r="G13" i="5"/>
  <c r="G16" i="5" s="1"/>
  <c r="A12" i="5"/>
  <c r="M173" i="3"/>
  <c r="M175" i="3" s="1"/>
  <c r="M177" i="3" s="1"/>
  <c r="M179" i="3" s="1"/>
  <c r="D16" i="5"/>
  <c r="J111" i="3"/>
  <c r="Z35" i="1"/>
  <c r="AB35" i="1" s="1"/>
  <c r="N31" i="3"/>
  <c r="C29" i="2"/>
  <c r="H16" i="5"/>
  <c r="L49" i="3"/>
  <c r="L63" i="3" s="1"/>
  <c r="M27" i="3"/>
  <c r="M33" i="3" s="1"/>
  <c r="M35" i="3" s="1"/>
  <c r="D190" i="3"/>
  <c r="Q178" i="3"/>
  <c r="T177" i="3"/>
  <c r="A11" i="2"/>
  <c r="J142" i="3"/>
  <c r="K45" i="1"/>
  <c r="M45" i="1" s="1"/>
  <c r="N119" i="3"/>
  <c r="N121" i="3" s="1"/>
  <c r="N95" i="3"/>
  <c r="L15" i="2"/>
  <c r="H15" i="2"/>
  <c r="H16" i="2" s="1"/>
  <c r="K15" i="2"/>
  <c r="G15" i="2"/>
  <c r="G16" i="2" s="1"/>
  <c r="J15" i="2"/>
  <c r="J16" i="2" s="1"/>
  <c r="F15" i="2"/>
  <c r="F16" i="2" s="1"/>
  <c r="I15" i="2"/>
  <c r="I16" i="2" s="1"/>
  <c r="E15" i="2"/>
  <c r="E16" i="2" s="1"/>
  <c r="J24" i="3"/>
  <c r="K13" i="1"/>
  <c r="M13" i="1" s="1"/>
  <c r="AD28" i="1"/>
  <c r="AD24" i="1"/>
  <c r="AD29" i="1"/>
  <c r="AD25" i="1"/>
  <c r="AD26" i="1"/>
  <c r="AD30" i="1"/>
  <c r="E21" i="4"/>
  <c r="E28" i="4" s="1"/>
  <c r="G13" i="4"/>
  <c r="L157" i="3"/>
  <c r="AD49" i="1"/>
  <c r="AD45" i="1"/>
  <c r="AD41" i="1"/>
  <c r="AD50" i="1"/>
  <c r="AD46" i="1"/>
  <c r="AD42" i="1"/>
  <c r="AD38" i="1"/>
  <c r="AD47" i="1"/>
  <c r="AD43" i="1"/>
  <c r="AD39" i="1"/>
  <c r="AD40" i="1"/>
  <c r="AD48" i="1"/>
  <c r="AD13" i="1"/>
  <c r="AD14" i="1"/>
  <c r="L13" i="4"/>
  <c r="M13" i="4" s="1"/>
  <c r="J21" i="4"/>
  <c r="J28" i="4" s="1"/>
  <c r="M155" i="3"/>
  <c r="M157" i="3" s="1"/>
  <c r="M159" i="3" s="1"/>
  <c r="J110" i="3"/>
  <c r="K35" i="1"/>
  <c r="M35" i="1" s="1"/>
  <c r="C18" i="5"/>
  <c r="C10" i="5" s="1"/>
  <c r="J99" i="3"/>
  <c r="Z32" i="1"/>
  <c r="AB32" i="1" s="1"/>
  <c r="N27" i="3"/>
  <c r="N33" i="3" s="1"/>
  <c r="F21" i="4"/>
  <c r="K16" i="4"/>
  <c r="L16" i="4" s="1"/>
  <c r="F16" i="5"/>
  <c r="J15" i="3"/>
  <c r="K10" i="1"/>
  <c r="M10" i="1" s="1"/>
  <c r="AC24" i="1"/>
  <c r="K22" i="2"/>
  <c r="N28" i="1"/>
  <c r="N123" i="3" l="1"/>
  <c r="C30" i="2"/>
  <c r="D29" i="2"/>
  <c r="AA32" i="1"/>
  <c r="AC32" i="1" s="1"/>
  <c r="Q99" i="3"/>
  <c r="C16" i="2"/>
  <c r="AA35" i="1"/>
  <c r="AC35" i="1" s="1"/>
  <c r="Q111" i="3"/>
  <c r="M183" i="3"/>
  <c r="L35" i="1"/>
  <c r="N35" i="1" s="1"/>
  <c r="Q110" i="3"/>
  <c r="N35" i="3"/>
  <c r="C13" i="5"/>
  <c r="C16" i="5" s="1"/>
  <c r="A12" i="2"/>
  <c r="K21" i="4"/>
  <c r="A16" i="5"/>
  <c r="N65" i="3"/>
  <c r="A15" i="5"/>
  <c r="A18" i="5" s="1"/>
  <c r="N21" i="3"/>
  <c r="L183" i="3"/>
  <c r="L13" i="1"/>
  <c r="N13" i="1" s="1"/>
  <c r="Q24" i="3"/>
  <c r="L45" i="1"/>
  <c r="N45" i="1" s="1"/>
  <c r="Q142" i="3"/>
  <c r="L16" i="1"/>
  <c r="N16" i="1" s="1"/>
  <c r="Q38" i="3"/>
  <c r="L10" i="1"/>
  <c r="N10" i="1" s="1"/>
  <c r="Q15" i="3"/>
  <c r="H13" i="4"/>
  <c r="AD11" i="1" s="1"/>
  <c r="AD10" i="1"/>
  <c r="AD9" i="1"/>
  <c r="A17" i="4"/>
  <c r="S178" i="3"/>
  <c r="S167" i="3" s="1"/>
  <c r="N183" i="3"/>
  <c r="A20" i="5" l="1"/>
  <c r="A18" i="4"/>
  <c r="D16" i="2"/>
  <c r="C17" i="2"/>
  <c r="A13" i="2"/>
  <c r="H31" i="2"/>
  <c r="H32" i="2" s="1"/>
  <c r="J31" i="2"/>
  <c r="J32" i="2" s="1"/>
  <c r="F31" i="2"/>
  <c r="F32" i="2" s="1"/>
  <c r="I31" i="2"/>
  <c r="I32" i="2" s="1"/>
  <c r="G31" i="2"/>
  <c r="G32" i="2" s="1"/>
  <c r="E31" i="2"/>
  <c r="S168" i="3"/>
  <c r="I167" i="3"/>
  <c r="A22" i="5"/>
  <c r="A23" i="5" s="1"/>
  <c r="T178" i="3"/>
  <c r="I34" i="2" l="1"/>
  <c r="I35" i="2" s="1"/>
  <c r="I33" i="2"/>
  <c r="S169" i="3"/>
  <c r="I168" i="3"/>
  <c r="F34" i="2"/>
  <c r="F35" i="2" s="1"/>
  <c r="F33" i="2"/>
  <c r="A14" i="2"/>
  <c r="A19" i="4"/>
  <c r="A20" i="4" s="1"/>
  <c r="A21" i="4" s="1"/>
  <c r="A23" i="4" s="1"/>
  <c r="C31" i="2"/>
  <c r="D31" i="2" s="1"/>
  <c r="E32" i="2"/>
  <c r="J34" i="2"/>
  <c r="J35" i="2" s="1"/>
  <c r="J33" i="2"/>
  <c r="H18" i="2"/>
  <c r="H19" i="2" s="1"/>
  <c r="G18" i="2"/>
  <c r="G19" i="2" s="1"/>
  <c r="J18" i="2"/>
  <c r="J19" i="2" s="1"/>
  <c r="F18" i="2"/>
  <c r="F19" i="2" s="1"/>
  <c r="I18" i="2"/>
  <c r="I19" i="2" s="1"/>
  <c r="E18" i="2"/>
  <c r="P167" i="3"/>
  <c r="F52" i="1"/>
  <c r="H52" i="1" s="1"/>
  <c r="G34" i="2"/>
  <c r="G35" i="2" s="1"/>
  <c r="G33" i="2"/>
  <c r="H34" i="2"/>
  <c r="H35" i="2" s="1"/>
  <c r="H33" i="2"/>
  <c r="A24" i="5"/>
  <c r="A26" i="5" s="1"/>
  <c r="Q34" i="3" l="1"/>
  <c r="T33" i="3"/>
  <c r="T121" i="3"/>
  <c r="Q122" i="3"/>
  <c r="T63" i="3"/>
  <c r="Q64" i="3"/>
  <c r="F21" i="2"/>
  <c r="F22" i="2" s="1"/>
  <c r="F20" i="2"/>
  <c r="T157" i="3"/>
  <c r="Q158" i="3"/>
  <c r="I21" i="2"/>
  <c r="I22" i="2" s="1"/>
  <c r="I20" i="2"/>
  <c r="J21" i="2"/>
  <c r="J22" i="2" s="1"/>
  <c r="J20" i="2"/>
  <c r="A27" i="5"/>
  <c r="P168" i="3"/>
  <c r="F53" i="1"/>
  <c r="H53" i="1" s="1"/>
  <c r="H21" i="2"/>
  <c r="H22" i="2" s="1"/>
  <c r="H20" i="2"/>
  <c r="T93" i="3"/>
  <c r="Q94" i="3"/>
  <c r="C18" i="2"/>
  <c r="D18" i="2" s="1"/>
  <c r="E19" i="2"/>
  <c r="G21" i="2"/>
  <c r="G22" i="2" s="1"/>
  <c r="G20" i="2"/>
  <c r="C32" i="2"/>
  <c r="D32" i="2" s="1"/>
  <c r="E33" i="2"/>
  <c r="E34" i="2"/>
  <c r="E35" i="2" s="1"/>
  <c r="A15" i="2"/>
  <c r="S170" i="3"/>
  <c r="I169" i="3"/>
  <c r="P169" i="3" l="1"/>
  <c r="F54" i="1"/>
  <c r="H54" i="1" s="1"/>
  <c r="P64" i="3"/>
  <c r="S63" i="3"/>
  <c r="P158" i="3"/>
  <c r="S157" i="3"/>
  <c r="S121" i="3"/>
  <c r="P122" i="3"/>
  <c r="S171" i="3"/>
  <c r="I170" i="3"/>
  <c r="A16" i="2"/>
  <c r="A17" i="2"/>
  <c r="A18" i="2" s="1"/>
  <c r="A19" i="2" s="1"/>
  <c r="A20" i="2" s="1"/>
  <c r="A21" i="2" s="1"/>
  <c r="A22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S33" i="3"/>
  <c r="P34" i="3"/>
  <c r="Q20" i="3"/>
  <c r="T19" i="3"/>
  <c r="C33" i="2"/>
  <c r="D33" i="2" s="1"/>
  <c r="C19" i="2"/>
  <c r="D19" i="2" s="1"/>
  <c r="E21" i="2"/>
  <c r="E22" i="2" s="1"/>
  <c r="E20" i="2"/>
  <c r="S93" i="3"/>
  <c r="P94" i="3"/>
  <c r="S94" i="3" l="1"/>
  <c r="S34" i="3"/>
  <c r="S158" i="3"/>
  <c r="S172" i="3"/>
  <c r="I172" i="3" s="1"/>
  <c r="I171" i="3"/>
  <c r="S19" i="3"/>
  <c r="P20" i="3"/>
  <c r="C20" i="2"/>
  <c r="D20" i="2" s="1"/>
  <c r="S122" i="3"/>
  <c r="S64" i="3"/>
  <c r="F55" i="1"/>
  <c r="H55" i="1" s="1"/>
  <c r="P170" i="3"/>
  <c r="S100" i="3" l="1"/>
  <c r="T122" i="3"/>
  <c r="S128" i="3"/>
  <c r="T158" i="3"/>
  <c r="S70" i="3"/>
  <c r="T94" i="3"/>
  <c r="S40" i="3"/>
  <c r="T64" i="3"/>
  <c r="S20" i="3"/>
  <c r="P171" i="3"/>
  <c r="F56" i="1"/>
  <c r="H56" i="1" s="1"/>
  <c r="P172" i="3"/>
  <c r="P173" i="3" s="1"/>
  <c r="P175" i="3" s="1"/>
  <c r="P177" i="3" s="1"/>
  <c r="F57" i="1"/>
  <c r="H57" i="1" s="1"/>
  <c r="S26" i="3"/>
  <c r="T34" i="3"/>
  <c r="T167" i="3"/>
  <c r="T168" i="3" l="1"/>
  <c r="J167" i="3"/>
  <c r="I70" i="3"/>
  <c r="T70" i="3"/>
  <c r="P179" i="3"/>
  <c r="S179" i="3"/>
  <c r="S183" i="3"/>
  <c r="S184" i="3" s="1"/>
  <c r="S13" i="3"/>
  <c r="T20" i="3"/>
  <c r="T183" i="3" s="1"/>
  <c r="T184" i="3" s="1"/>
  <c r="I40" i="3"/>
  <c r="T40" i="3"/>
  <c r="I100" i="3"/>
  <c r="T100" i="3"/>
  <c r="I26" i="3"/>
  <c r="T26" i="3"/>
  <c r="I128" i="3"/>
  <c r="T128" i="3"/>
  <c r="J26" i="3" l="1"/>
  <c r="U13" i="1"/>
  <c r="P26" i="3"/>
  <c r="S25" i="3" s="1"/>
  <c r="U16" i="1"/>
  <c r="J40" i="3"/>
  <c r="P40" i="3"/>
  <c r="J70" i="3"/>
  <c r="U24" i="1"/>
  <c r="P70" i="3"/>
  <c r="G52" i="1"/>
  <c r="I52" i="1" s="1"/>
  <c r="Q167" i="3"/>
  <c r="J128" i="3"/>
  <c r="U38" i="1"/>
  <c r="P128" i="3"/>
  <c r="J100" i="3"/>
  <c r="U32" i="1"/>
  <c r="P100" i="3"/>
  <c r="I13" i="3"/>
  <c r="T13" i="3"/>
  <c r="T169" i="3"/>
  <c r="J168" i="3"/>
  <c r="G23" i="5" l="1"/>
  <c r="G24" i="5" s="1"/>
  <c r="W32" i="1"/>
  <c r="E23" i="5"/>
  <c r="E24" i="5" s="1"/>
  <c r="W16" i="1"/>
  <c r="V32" i="1"/>
  <c r="Q100" i="3"/>
  <c r="V24" i="1"/>
  <c r="Q70" i="3"/>
  <c r="I25" i="3"/>
  <c r="S30" i="3"/>
  <c r="I30" i="3" s="1"/>
  <c r="T170" i="3"/>
  <c r="J169" i="3"/>
  <c r="V38" i="1"/>
  <c r="Q128" i="3"/>
  <c r="S45" i="3"/>
  <c r="D23" i="5"/>
  <c r="D24" i="5" s="1"/>
  <c r="W13" i="1"/>
  <c r="F23" i="5"/>
  <c r="F24" i="5" s="1"/>
  <c r="W24" i="1"/>
  <c r="J13" i="3"/>
  <c r="K11" i="1"/>
  <c r="M11" i="1" s="1"/>
  <c r="P13" i="3"/>
  <c r="S10" i="3" s="1"/>
  <c r="S132" i="3"/>
  <c r="G53" i="1"/>
  <c r="I53" i="1" s="1"/>
  <c r="Q168" i="3"/>
  <c r="S104" i="3"/>
  <c r="H23" i="5"/>
  <c r="H24" i="5" s="1"/>
  <c r="W38" i="1"/>
  <c r="S74" i="3"/>
  <c r="V16" i="1"/>
  <c r="Q40" i="3"/>
  <c r="V13" i="1"/>
  <c r="Q26" i="3"/>
  <c r="S16" i="3" l="1"/>
  <c r="I16" i="3" s="1"/>
  <c r="I10" i="3"/>
  <c r="T171" i="3"/>
  <c r="J170" i="3"/>
  <c r="F26" i="5"/>
  <c r="F27" i="5" s="1"/>
  <c r="X24" i="1"/>
  <c r="E26" i="5"/>
  <c r="E27" i="5" s="1"/>
  <c r="X16" i="1"/>
  <c r="F14" i="1"/>
  <c r="H14" i="1" s="1"/>
  <c r="P30" i="3"/>
  <c r="P31" i="3" s="1"/>
  <c r="S115" i="3"/>
  <c r="I115" i="3" s="1"/>
  <c r="S105" i="3"/>
  <c r="I104" i="3"/>
  <c r="S147" i="3"/>
  <c r="I147" i="3" s="1"/>
  <c r="S133" i="3"/>
  <c r="I132" i="3"/>
  <c r="L11" i="1"/>
  <c r="N11" i="1" s="1"/>
  <c r="Q13" i="3"/>
  <c r="H26" i="5"/>
  <c r="H27" i="5" s="1"/>
  <c r="X38" i="1"/>
  <c r="J25" i="3"/>
  <c r="F13" i="1"/>
  <c r="H13" i="1" s="1"/>
  <c r="P25" i="3"/>
  <c r="P27" i="3" s="1"/>
  <c r="P33" i="3" s="1"/>
  <c r="T25" i="3"/>
  <c r="T30" i="3" s="1"/>
  <c r="J30" i="3" s="1"/>
  <c r="S86" i="3"/>
  <c r="I86" i="3" s="1"/>
  <c r="S75" i="3"/>
  <c r="I74" i="3"/>
  <c r="D26" i="5"/>
  <c r="D27" i="5" s="1"/>
  <c r="X13" i="1"/>
  <c r="S46" i="3"/>
  <c r="S44" i="3"/>
  <c r="I45" i="3"/>
  <c r="S57" i="3"/>
  <c r="I57" i="3" s="1"/>
  <c r="S41" i="3"/>
  <c r="G54" i="1"/>
  <c r="I54" i="1" s="1"/>
  <c r="Q169" i="3"/>
  <c r="G26" i="5"/>
  <c r="G27" i="5" s="1"/>
  <c r="X32" i="1"/>
  <c r="G14" i="1" l="1"/>
  <c r="I14" i="1" s="1"/>
  <c r="Q30" i="3"/>
  <c r="Q31" i="3" s="1"/>
  <c r="G13" i="1"/>
  <c r="I13" i="1" s="1"/>
  <c r="Q25" i="3"/>
  <c r="Q27" i="3" s="1"/>
  <c r="Q33" i="3" s="1"/>
  <c r="T172" i="3"/>
  <c r="J172" i="3" s="1"/>
  <c r="J171" i="3"/>
  <c r="S53" i="3"/>
  <c r="I53" i="3" s="1"/>
  <c r="I41" i="3"/>
  <c r="S58" i="3"/>
  <c r="I58" i="3" s="1"/>
  <c r="I46" i="3"/>
  <c r="S76" i="3"/>
  <c r="I75" i="3"/>
  <c r="S87" i="3"/>
  <c r="I87" i="3" s="1"/>
  <c r="F38" i="1"/>
  <c r="H38" i="1" s="1"/>
  <c r="P132" i="3"/>
  <c r="S116" i="3"/>
  <c r="I116" i="3" s="1"/>
  <c r="I105" i="3"/>
  <c r="F9" i="1"/>
  <c r="H9" i="1" s="1"/>
  <c r="P10" i="3"/>
  <c r="P11" i="3" s="1"/>
  <c r="T10" i="3"/>
  <c r="T16" i="3" s="1"/>
  <c r="J16" i="3" s="1"/>
  <c r="S56" i="3"/>
  <c r="I56" i="3" s="1"/>
  <c r="I44" i="3"/>
  <c r="F24" i="1"/>
  <c r="H24" i="1" s="1"/>
  <c r="P74" i="3"/>
  <c r="F28" i="1"/>
  <c r="H28" i="1" s="1"/>
  <c r="P86" i="3"/>
  <c r="P35" i="3"/>
  <c r="S35" i="3"/>
  <c r="S148" i="3"/>
  <c r="I148" i="3" s="1"/>
  <c r="S134" i="3"/>
  <c r="I133" i="3"/>
  <c r="F35" i="1"/>
  <c r="H35" i="1" s="1"/>
  <c r="P115" i="3"/>
  <c r="F10" i="1"/>
  <c r="H10" i="1" s="1"/>
  <c r="P16" i="3"/>
  <c r="P17" i="3" s="1"/>
  <c r="F32" i="1"/>
  <c r="H32" i="1" s="1"/>
  <c r="P104" i="3"/>
  <c r="T104" i="3"/>
  <c r="F21" i="1"/>
  <c r="H21" i="1" s="1"/>
  <c r="P57" i="3"/>
  <c r="F17" i="1"/>
  <c r="H17" i="1" s="1"/>
  <c r="P45" i="3"/>
  <c r="F45" i="1"/>
  <c r="H45" i="1" s="1"/>
  <c r="P147" i="3"/>
  <c r="G55" i="1"/>
  <c r="I55" i="1" s="1"/>
  <c r="Q170" i="3"/>
  <c r="G10" i="1" l="1"/>
  <c r="I10" i="1" s="1"/>
  <c r="Q16" i="3"/>
  <c r="Q17" i="3" s="1"/>
  <c r="F46" i="1"/>
  <c r="H46" i="1" s="1"/>
  <c r="P148" i="3"/>
  <c r="F33" i="1"/>
  <c r="H33" i="1" s="1"/>
  <c r="P105" i="3"/>
  <c r="P106" i="3" s="1"/>
  <c r="P108" i="3" s="1"/>
  <c r="P121" i="3" s="1"/>
  <c r="S88" i="3"/>
  <c r="I88" i="3" s="1"/>
  <c r="I76" i="3"/>
  <c r="P20" i="1"/>
  <c r="R20" i="1" s="1"/>
  <c r="P53" i="3"/>
  <c r="P19" i="3"/>
  <c r="F36" i="1"/>
  <c r="H36" i="1" s="1"/>
  <c r="P116" i="3"/>
  <c r="P117" i="3" s="1"/>
  <c r="P119" i="3" s="1"/>
  <c r="F18" i="1"/>
  <c r="H18" i="1" s="1"/>
  <c r="P46" i="3"/>
  <c r="G56" i="1"/>
  <c r="I56" i="1" s="1"/>
  <c r="Q171" i="3"/>
  <c r="F39" i="1"/>
  <c r="H39" i="1" s="1"/>
  <c r="P133" i="3"/>
  <c r="I65" i="3"/>
  <c r="I184" i="3" s="1"/>
  <c r="F16" i="1"/>
  <c r="H16" i="1" s="1"/>
  <c r="F29" i="1"/>
  <c r="H29" i="1" s="1"/>
  <c r="P87" i="3"/>
  <c r="F22" i="1"/>
  <c r="H22" i="1" s="1"/>
  <c r="P58" i="3"/>
  <c r="P59" i="3" s="1"/>
  <c r="G57" i="1"/>
  <c r="I57" i="1" s="1"/>
  <c r="Q172" i="3"/>
  <c r="Q173" i="3" s="1"/>
  <c r="Q175" i="3" s="1"/>
  <c r="Q177" i="3" s="1"/>
  <c r="T115" i="3"/>
  <c r="J115" i="3" s="1"/>
  <c r="T105" i="3"/>
  <c r="T116" i="3" s="1"/>
  <c r="J116" i="3" s="1"/>
  <c r="P47" i="3"/>
  <c r="J104" i="3"/>
  <c r="S149" i="3"/>
  <c r="I149" i="3" s="1"/>
  <c r="S135" i="3"/>
  <c r="I134" i="3"/>
  <c r="F20" i="1"/>
  <c r="H20" i="1" s="1"/>
  <c r="J10" i="3"/>
  <c r="F25" i="1"/>
  <c r="H25" i="1" s="1"/>
  <c r="P75" i="3"/>
  <c r="P16" i="1"/>
  <c r="R16" i="1" s="1"/>
  <c r="P41" i="3"/>
  <c r="P49" i="3" s="1"/>
  <c r="T45" i="3"/>
  <c r="Q35" i="3"/>
  <c r="T35" i="3"/>
  <c r="G36" i="1" l="1"/>
  <c r="I36" i="1" s="1"/>
  <c r="Q116" i="3"/>
  <c r="P123" i="3"/>
  <c r="S123" i="3"/>
  <c r="I135" i="3"/>
  <c r="S150" i="3"/>
  <c r="I150" i="3" s="1"/>
  <c r="S136" i="3"/>
  <c r="F47" i="1"/>
  <c r="H47" i="1" s="1"/>
  <c r="P149" i="3"/>
  <c r="T57" i="3"/>
  <c r="J57" i="3" s="1"/>
  <c r="T41" i="3"/>
  <c r="T46" i="3"/>
  <c r="T44" i="3"/>
  <c r="J45" i="3"/>
  <c r="G9" i="1"/>
  <c r="I9" i="1" s="1"/>
  <c r="Q10" i="3"/>
  <c r="Q11" i="3" s="1"/>
  <c r="F26" i="1"/>
  <c r="H26" i="1" s="1"/>
  <c r="P76" i="3"/>
  <c r="P77" i="3" s="1"/>
  <c r="P79" i="3" s="1"/>
  <c r="P93" i="3" s="1"/>
  <c r="T74" i="3"/>
  <c r="J105" i="3"/>
  <c r="Q179" i="3"/>
  <c r="T179" i="3"/>
  <c r="F40" i="1"/>
  <c r="H40" i="1" s="1"/>
  <c r="P134" i="3"/>
  <c r="G32" i="1"/>
  <c r="I32" i="1" s="1"/>
  <c r="Q104" i="3"/>
  <c r="G35" i="1"/>
  <c r="I35" i="1" s="1"/>
  <c r="Q115" i="3"/>
  <c r="Q117" i="3" s="1"/>
  <c r="Q119" i="3" s="1"/>
  <c r="P21" i="3"/>
  <c r="S21" i="3"/>
  <c r="P61" i="3"/>
  <c r="P63" i="3" s="1"/>
  <c r="F30" i="1"/>
  <c r="H30" i="1" s="1"/>
  <c r="P88" i="3"/>
  <c r="P89" i="3" s="1"/>
  <c r="P91" i="3" s="1"/>
  <c r="P65" i="3" l="1"/>
  <c r="S65" i="3"/>
  <c r="P95" i="3"/>
  <c r="S95" i="3"/>
  <c r="Q105" i="3"/>
  <c r="G33" i="1"/>
  <c r="I33" i="1" s="1"/>
  <c r="T56" i="3"/>
  <c r="J56" i="3" s="1"/>
  <c r="G20" i="1" s="1"/>
  <c r="I20" i="1" s="1"/>
  <c r="J44" i="3"/>
  <c r="F48" i="1"/>
  <c r="H48" i="1" s="1"/>
  <c r="P150" i="3"/>
  <c r="T75" i="3"/>
  <c r="T86" i="3"/>
  <c r="J86" i="3" s="1"/>
  <c r="J74" i="3"/>
  <c r="Q19" i="3"/>
  <c r="T58" i="3"/>
  <c r="J58" i="3" s="1"/>
  <c r="J46" i="3"/>
  <c r="F41" i="1"/>
  <c r="H41" i="1" s="1"/>
  <c r="P135" i="3"/>
  <c r="T53" i="3"/>
  <c r="J53" i="3" s="1"/>
  <c r="J41" i="3"/>
  <c r="Q106" i="3"/>
  <c r="Q108" i="3" s="1"/>
  <c r="Q121" i="3" s="1"/>
  <c r="Q45" i="3"/>
  <c r="G17" i="1"/>
  <c r="I17" i="1" s="1"/>
  <c r="G21" i="1"/>
  <c r="I21" i="1" s="1"/>
  <c r="Q57" i="3"/>
  <c r="S151" i="3"/>
  <c r="I151" i="3" s="1"/>
  <c r="S137" i="3"/>
  <c r="I136" i="3"/>
  <c r="F42" i="1" l="1"/>
  <c r="H42" i="1" s="1"/>
  <c r="P136" i="3"/>
  <c r="Q123" i="3"/>
  <c r="T123" i="3"/>
  <c r="G18" i="1"/>
  <c r="I18" i="1" s="1"/>
  <c r="Q46" i="3"/>
  <c r="Q47" i="3" s="1"/>
  <c r="G24" i="1"/>
  <c r="I24" i="1" s="1"/>
  <c r="Q74" i="3"/>
  <c r="Q16" i="1"/>
  <c r="S16" i="1" s="1"/>
  <c r="Q41" i="3"/>
  <c r="G22" i="1"/>
  <c r="I22" i="1" s="1"/>
  <c r="Q58" i="3"/>
  <c r="Q59" i="3" s="1"/>
  <c r="G28" i="1"/>
  <c r="I28" i="1" s="1"/>
  <c r="Q86" i="3"/>
  <c r="S152" i="3"/>
  <c r="I152" i="3" s="1"/>
  <c r="I137" i="3"/>
  <c r="F49" i="1"/>
  <c r="H49" i="1" s="1"/>
  <c r="P151" i="3"/>
  <c r="Q20" i="1"/>
  <c r="S20" i="1" s="1"/>
  <c r="Q53" i="3"/>
  <c r="Q21" i="3"/>
  <c r="T21" i="3"/>
  <c r="T87" i="3"/>
  <c r="J87" i="3" s="1"/>
  <c r="T76" i="3"/>
  <c r="J75" i="3"/>
  <c r="J65" i="3"/>
  <c r="J184" i="3" s="1"/>
  <c r="G16" i="1"/>
  <c r="I16" i="1" s="1"/>
  <c r="F43" i="1" l="1"/>
  <c r="H43" i="1" s="1"/>
  <c r="P137" i="3"/>
  <c r="P138" i="3" s="1"/>
  <c r="P140" i="3" s="1"/>
  <c r="G29" i="1"/>
  <c r="I29" i="1" s="1"/>
  <c r="Q87" i="3"/>
  <c r="G25" i="1"/>
  <c r="I25" i="1" s="1"/>
  <c r="Q75" i="3"/>
  <c r="P153" i="3"/>
  <c r="P155" i="3" s="1"/>
  <c r="F50" i="1"/>
  <c r="H50" i="1" s="1"/>
  <c r="P152" i="3"/>
  <c r="T132" i="3"/>
  <c r="T88" i="3"/>
  <c r="J88" i="3" s="1"/>
  <c r="J76" i="3"/>
  <c r="Q61" i="3"/>
  <c r="Q49" i="3"/>
  <c r="G26" i="1" l="1"/>
  <c r="I26" i="1" s="1"/>
  <c r="Q76" i="3"/>
  <c r="Q77" i="3" s="1"/>
  <c r="Q79" i="3" s="1"/>
  <c r="P157" i="3"/>
  <c r="P183" i="3"/>
  <c r="Q63" i="3"/>
  <c r="G30" i="1"/>
  <c r="I30" i="1" s="1"/>
  <c r="Q88" i="3"/>
  <c r="Q89" i="3" s="1"/>
  <c r="Q91" i="3" s="1"/>
  <c r="T133" i="3"/>
  <c r="T147" i="3"/>
  <c r="J147" i="3" s="1"/>
  <c r="J132" i="3"/>
  <c r="G38" i="1" l="1"/>
  <c r="I38" i="1" s="1"/>
  <c r="Q132" i="3"/>
  <c r="P159" i="3"/>
  <c r="S159" i="3"/>
  <c r="Q93" i="3"/>
  <c r="G45" i="1"/>
  <c r="I45" i="1" s="1"/>
  <c r="Q147" i="3"/>
  <c r="T148" i="3"/>
  <c r="J148" i="3" s="1"/>
  <c r="T134" i="3"/>
  <c r="J133" i="3"/>
  <c r="Q65" i="3"/>
  <c r="T65" i="3"/>
  <c r="Q133" i="3" l="1"/>
  <c r="G39" i="1"/>
  <c r="I39" i="1" s="1"/>
  <c r="T135" i="3"/>
  <c r="T149" i="3"/>
  <c r="J149" i="3" s="1"/>
  <c r="J134" i="3"/>
  <c r="Q95" i="3"/>
  <c r="T95" i="3"/>
  <c r="G46" i="1"/>
  <c r="I46" i="1" s="1"/>
  <c r="Q148" i="3"/>
  <c r="G47" i="1" l="1"/>
  <c r="I47" i="1" s="1"/>
  <c r="Q149" i="3"/>
  <c r="G40" i="1"/>
  <c r="I40" i="1" s="1"/>
  <c r="Q134" i="3"/>
  <c r="T150" i="3"/>
  <c r="J150" i="3" s="1"/>
  <c r="T136" i="3"/>
  <c r="J135" i="3"/>
  <c r="T137" i="3" l="1"/>
  <c r="T151" i="3"/>
  <c r="J151" i="3" s="1"/>
  <c r="J136" i="3"/>
  <c r="Q135" i="3"/>
  <c r="G41" i="1"/>
  <c r="I41" i="1" s="1"/>
  <c r="Q150" i="3"/>
  <c r="G48" i="1"/>
  <c r="I48" i="1" s="1"/>
  <c r="G42" i="1" l="1"/>
  <c r="I42" i="1" s="1"/>
  <c r="Q136" i="3"/>
  <c r="G49" i="1"/>
  <c r="I49" i="1" s="1"/>
  <c r="Q151" i="3"/>
  <c r="T152" i="3"/>
  <c r="J152" i="3" s="1"/>
  <c r="J137" i="3"/>
  <c r="Q137" i="3" l="1"/>
  <c r="G43" i="1"/>
  <c r="I43" i="1" s="1"/>
  <c r="Q138" i="3"/>
  <c r="Q140" i="3" s="1"/>
  <c r="G50" i="1"/>
  <c r="I50" i="1" s="1"/>
  <c r="Q152" i="3"/>
  <c r="Q153" i="3" s="1"/>
  <c r="Q155" i="3" s="1"/>
  <c r="Q157" i="3" l="1"/>
  <c r="Q183" i="3"/>
  <c r="Q159" i="3" l="1"/>
  <c r="T159" i="3"/>
</calcChain>
</file>

<file path=xl/sharedStrings.xml><?xml version="1.0" encoding="utf-8"?>
<sst xmlns="http://schemas.openxmlformats.org/spreadsheetml/2006/main" count="581" uniqueCount="195">
  <si>
    <t>Summary of Proposed Rate Design</t>
  </si>
  <si>
    <t>Line No.</t>
  </si>
  <si>
    <t>Customer Class</t>
  </si>
  <si>
    <t>Rate Schedule</t>
  </si>
  <si>
    <t>Delivery Charge</t>
  </si>
  <si>
    <t>Basic Charge</t>
  </si>
  <si>
    <t>Minimum Bill</t>
  </si>
  <si>
    <t>Procurement Charge</t>
  </si>
  <si>
    <t>Demand Charge</t>
  </si>
  <si>
    <t>Schedule 141DCARB</t>
  </si>
  <si>
    <t>Current</t>
  </si>
  <si>
    <t>Proposed Jan. 2025</t>
  </si>
  <si>
    <t>Proposed Jan. 2026</t>
  </si>
  <si>
    <t>% Change Jan. 2025</t>
  </si>
  <si>
    <t>% Change Jan. 2026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</si>
  <si>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</si>
  <si>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</si>
  <si>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</si>
  <si>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</si>
  <si>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</si>
  <si>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</si>
  <si>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</si>
  <si>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</si>
  <si>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</si>
  <si>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</si>
  <si>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</si>
  <si>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</si>
  <si>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</si>
  <si>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</si>
  <si>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</si>
  <si>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</si>
  <si>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</si>
  <si>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</si>
  <si>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</si>
  <si>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</si>
  <si>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</si>
  <si>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</si>
  <si>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</si>
  <si>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</si>
  <si>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</si>
  <si>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</si>
  <si>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</si>
  <si>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</si>
  <si>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</si>
  <si>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Residential</t>
  </si>
  <si>
    <t>Schedule 23</t>
  </si>
  <si>
    <t>Per therm</t>
  </si>
  <si>
    <t>Schedule 53</t>
  </si>
  <si>
    <t>Schedule 16</t>
  </si>
  <si>
    <t>Per Mantel</t>
  </si>
  <si>
    <t>na</t>
  </si>
  <si>
    <t>Commercial &amp; Industrial</t>
  </si>
  <si>
    <t>Schedule 31 - Sales</t>
  </si>
  <si>
    <t>Schedule 31 - Transportation</t>
  </si>
  <si>
    <t>Large Volume</t>
  </si>
  <si>
    <t>Schedule 41 - Sales</t>
  </si>
  <si>
    <t>First 900 therms</t>
  </si>
  <si>
    <t>Next 4,100 therms</t>
  </si>
  <si>
    <t>All over 5,000 therms</t>
  </si>
  <si>
    <t>Schedule 41 - Transportation</t>
  </si>
  <si>
    <t>Interruptible</t>
  </si>
  <si>
    <t>Schedule 85 - Sales</t>
  </si>
  <si>
    <t>First 25,000 Therms</t>
  </si>
  <si>
    <t>Next 25,000 Therms</t>
  </si>
  <si>
    <t>All over 50,000 Therms</t>
  </si>
  <si>
    <t>Schedule 85 - Transportation</t>
  </si>
  <si>
    <t>Limited Interruptible</t>
  </si>
  <si>
    <t>Schedule 86 - Sales</t>
  </si>
  <si>
    <t>First 1,000 therms</t>
  </si>
  <si>
    <t>All over 1,000 therms</t>
  </si>
  <si>
    <t>Schedule 86 - Transportation</t>
  </si>
  <si>
    <t>Non-Exclusive Interruptible</t>
  </si>
  <si>
    <t>Schedule 87 - Sales</t>
  </si>
  <si>
    <t>Next 50,000 Therms</t>
  </si>
  <si>
    <t>Next 100,000 therms</t>
  </si>
  <si>
    <t>Next 300,000 therms</t>
  </si>
  <si>
    <t>All over 500,000 therms</t>
  </si>
  <si>
    <t>Schedule 87 - Transportation</t>
  </si>
  <si>
    <t>Schedule 88 - Transportation</t>
  </si>
  <si>
    <t>Rate Spread</t>
  </si>
  <si>
    <t>Description</t>
  </si>
  <si>
    <t>Total</t>
  </si>
  <si>
    <t>Total Check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</si>
  <si>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</si>
  <si>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</si>
  <si>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</si>
  <si>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</si>
  <si>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</si>
  <si>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</si>
  <si>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Exclusive Interruptible (88T)</t>
  </si>
  <si>
    <t>Contracts</t>
  </si>
  <si>
    <t>GCOS Parity Ratio</t>
  </si>
  <si>
    <t>Targeted Multiple of System Increase</t>
  </si>
  <si>
    <t>Base Deficiency Allocation - Rate Year 1</t>
  </si>
  <si>
    <t>Revenue at Current Rates</t>
  </si>
  <si>
    <t>Base Deficiency</t>
  </si>
  <si>
    <t>Percent Increase Excluding Contracts &amp; Sch. 88T</t>
  </si>
  <si>
    <t>Targeted Percent Increase</t>
  </si>
  <si>
    <t>Targeted Revenue Increase</t>
  </si>
  <si>
    <t>Delta</t>
  </si>
  <si>
    <t>Allocation of Delta</t>
  </si>
  <si>
    <t>Targeted Revenue Increase Incl. Delta</t>
  </si>
  <si>
    <t>Total Proposed Revenue</t>
  </si>
  <si>
    <t>Percent Increase</t>
  </si>
  <si>
    <t>Multiple of System Increase</t>
  </si>
  <si>
    <t>Base Deficiency Allocation - Rate Year 2</t>
  </si>
  <si>
    <t>Note 1:  Contracts rate changes are governed by the contract between PSE and company</t>
  </si>
  <si>
    <t>Note 2:  PSE is proposing to set Schedule 88T rates to cost to serve indicated by cost of service study.</t>
  </si>
  <si>
    <t>Base Rate Design</t>
  </si>
  <si>
    <t>Bill Determinants</t>
  </si>
  <si>
    <t>Rates</t>
  </si>
  <si>
    <t>Revenues (Current Rates)</t>
  </si>
  <si>
    <t>Revenues (Proposed Rates)</t>
  </si>
  <si>
    <t>Targets</t>
  </si>
  <si>
    <t>Line No</t>
  </si>
  <si>
    <t>Tariff</t>
  </si>
  <si>
    <t xml:space="preserve"> Class Components</t>
  </si>
  <si>
    <t>Test Year</t>
  </si>
  <si>
    <t>RY1 (2025)</t>
  </si>
  <si>
    <t>RY2 (2026)</t>
  </si>
  <si>
    <t>Total Base Revenues</t>
  </si>
  <si>
    <t>Total Sch. 16/23/53 Revenue</t>
  </si>
  <si>
    <t>Revenue Target</t>
  </si>
  <si>
    <t>Check</t>
  </si>
  <si>
    <t>31T</t>
  </si>
  <si>
    <t>Total Sch. 31/31T Revenue</t>
  </si>
  <si>
    <t>Delivery Charge:</t>
  </si>
  <si>
    <t>In Minimum Bills</t>
  </si>
  <si>
    <t>Total Delivery Charges</t>
  </si>
  <si>
    <t>41T</t>
  </si>
  <si>
    <t>Total Sch. 41/41T Revenue</t>
  </si>
  <si>
    <t>Minimum Bills</t>
  </si>
  <si>
    <t>85T</t>
  </si>
  <si>
    <t>Total Sch. 85/85T Revenue</t>
  </si>
  <si>
    <t>86T</t>
  </si>
  <si>
    <t>Total Sch. 86/86T Revenue</t>
  </si>
  <si>
    <t>87T</t>
  </si>
  <si>
    <t>Total Sch. 87/87T Revenue</t>
  </si>
  <si>
    <t>88T</t>
  </si>
  <si>
    <t>Total Sch. 88T Revenue</t>
  </si>
  <si>
    <t>Total Revenues</t>
  </si>
  <si>
    <t>Total Bills</t>
  </si>
  <si>
    <t>Total Demand</t>
  </si>
  <si>
    <t>Total Therms</t>
  </si>
  <si>
    <t>Puget Sound Energy</t>
  </si>
  <si>
    <t>Development of Schedule 141DCARB Decarbonization Rates</t>
  </si>
  <si>
    <t>For Presentation Purpose Only*</t>
  </si>
  <si>
    <t>Sch. 141DCARB Proposed Rates Eff. January 2025</t>
  </si>
  <si>
    <t>Sch. 141DCARB Proposed Rates Eff. January 2026</t>
  </si>
  <si>
    <t>Jan. 2025 -</t>
  </si>
  <si>
    <t>Proposed</t>
  </si>
  <si>
    <t>Jan. 2026 -</t>
  </si>
  <si>
    <t>Decarbonization</t>
  </si>
  <si>
    <t>Allocated</t>
  </si>
  <si>
    <t>Dec. 2025</t>
  </si>
  <si>
    <t>Sch. 16</t>
  </si>
  <si>
    <t>Dec. 2026</t>
  </si>
  <si>
    <t>Line</t>
  </si>
  <si>
    <t>(DECARB_ALLOC)</t>
  </si>
  <si>
    <t>Revenue</t>
  </si>
  <si>
    <t>Forecasted</t>
  </si>
  <si>
    <t>Rate Per</t>
  </si>
  <si>
    <t>No.</t>
  </si>
  <si>
    <t>Rate Class</t>
  </si>
  <si>
    <t>Schedules</t>
  </si>
  <si>
    <r>
      <t xml:space="preserve">Allocator </t>
    </r>
    <r>
      <rPr>
        <b/>
        <vertAlign val="superscript"/>
        <sz val="10"/>
        <color theme="1"/>
        <rFont val="Arial"/>
        <family val="2"/>
      </rPr>
      <t>(1)</t>
    </r>
  </si>
  <si>
    <t>Requirement</t>
  </si>
  <si>
    <t>Therms</t>
  </si>
  <si>
    <t>Therm</t>
  </si>
  <si>
    <t>Mantle</t>
  </si>
  <si>
    <t>16, 23, 53</t>
  </si>
  <si>
    <t>31. 31T</t>
  </si>
  <si>
    <t>41, 41T</t>
  </si>
  <si>
    <t>85, 85T</t>
  </si>
  <si>
    <t>86, 86T</t>
  </si>
  <si>
    <t>Non-exclusive Interruptible</t>
  </si>
  <si>
    <t>87, 87T</t>
  </si>
  <si>
    <t>Exclusive interruptible</t>
  </si>
  <si>
    <t>Proposed Revenue Requirement</t>
  </si>
  <si>
    <r>
      <rPr>
        <vertAlign val="superscript"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Allocated based on 50% customer counts &amp; 50% margin revenue</t>
    </r>
  </si>
  <si>
    <t>* January 2026 Schedule 141DCARB rates will be set in a future filing</t>
  </si>
  <si>
    <t>Procurement Charge Calculation</t>
  </si>
  <si>
    <t>Total Gas Supply (Commodity $)</t>
  </si>
  <si>
    <t>Per Therm</t>
  </si>
  <si>
    <t>Total Storage Costs (Demand $)</t>
  </si>
  <si>
    <t>Total Gas Supply &amp; Storage</t>
  </si>
  <si>
    <t>Unit Cost (per therm)</t>
  </si>
  <si>
    <t>Test Year Sales Therms</t>
  </si>
  <si>
    <t>Current Procurement Charge</t>
  </si>
  <si>
    <t>Proposed Procurement Charge:</t>
  </si>
  <si>
    <t>Rate Year 1 (2025)</t>
  </si>
  <si>
    <t>Percentage Change</t>
  </si>
  <si>
    <t>Rate Year 2 (2026)</t>
  </si>
  <si>
    <t>2024 Gas General Rate Case (Dockets UE-240004 &amp; UG-240005)</t>
  </si>
  <si>
    <t>Gas Rate Spread &amp;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</si>
</sst>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_);[Red]\(&quot;$&quot;#,##0.00000\)"/>
    <numFmt numFmtId="165" formatCode="0.0%"/>
    <numFmt numFmtId="166" formatCode="&quot;$&quot;#,##0.00"/>
    <numFmt numFmtId="167" formatCode="&quot;$&quot;#,##0.0000000_);[Red]\(&quot;$&quot;#,##0.0000000\)"/>
    <numFmt numFmtId="168" formatCode="&quot;$&quot;#,##0.0000_);[Red]\(&quot;$&quot;#,##0.0000\)"/>
    <numFmt numFmtId="169" formatCode="_(&quot;$&quot;* #,##0_);_(&quot;$&quot;* \(#,##0\);_(&quot;$&quot;* &quot;-&quot;??_);_(@_)"/>
    <numFmt numFmtId="170" formatCode="_(&quot;$&quot;* #,##0.00000_);_(&quot;$&quot;* \(#,##0.00000\);_(&quot;$&quot;* &quot;-&quot;??_);_(@_)"/>
    <numFmt numFmtId="171" formatCode="_(* #,##0_);_(* \(#,##0\);_(* &quot;-&quot;??_);_(@_)"/>
    <numFmt numFmtId="172" formatCode="_(&quot;$&quot;* #,##0.000000_);_(&quot;$&quot;* \(#,##0.000000\);_(&quot;$&quot;* &quot;-&quot;??_);_(@_)"/>
    <numFmt numFmtId="173" formatCode="0.0000%"/>
    <numFmt numFmtId="174" formatCode="_(&quot;$&quot;* #,##0.0000_);_(&quot;$&quot;* \(#,##0.00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Times New Roman"/>
      <family val="1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98">
    <xf numFmtId="0" fontId="0" fillId="0" borderId="0" xfId="0"/>
    <xf numFmtId="0" fontId="2" fillId="0" borderId="2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2" xfId="0" quotePrefix="1" applyNumberFormat="1" applyFont="1" applyBorder="1" applyAlignment="1">
      <alignment horizontal="center" vertical="center"/>
    </xf>
    <xf numFmtId="0" fontId="2" fillId="0" borderId="11" xfId="0" quotePrefix="1" applyNumberFormat="1" applyFont="1" applyBorder="1" applyAlignment="1">
      <alignment horizontal="center" vertical="center"/>
    </xf>
    <xf numFmtId="0" fontId="2" fillId="0" borderId="11" xfId="0" quotePrefix="1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7" xfId="0" applyFont="1" applyBorder="1"/>
    <xf numFmtId="0" fontId="3" fillId="0" borderId="17" xfId="0" applyFont="1" applyBorder="1" applyAlignment="1">
      <alignment horizontal="center" wrapText="1"/>
    </xf>
    <xf numFmtId="37" fontId="3" fillId="0" borderId="17" xfId="0" applyNumberFormat="1" applyFont="1" applyBorder="1" applyAlignment="1">
      <alignment horizont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/>
    <xf numFmtId="43" fontId="2" fillId="0" borderId="0" xfId="1" applyFont="1" applyFill="1"/>
    <xf numFmtId="41" fontId="2" fillId="0" borderId="0" xfId="0" applyNumberFormat="1" applyFont="1" applyFill="1"/>
    <xf numFmtId="10" fontId="2" fillId="0" borderId="0" xfId="0" applyNumberFormat="1" applyFont="1" applyFill="1"/>
    <xf numFmtId="169" fontId="2" fillId="0" borderId="0" xfId="0" applyNumberFormat="1" applyFont="1" applyFill="1"/>
    <xf numFmtId="169" fontId="2" fillId="0" borderId="0" xfId="2" applyNumberFormat="1" applyFont="1" applyFill="1"/>
    <xf numFmtId="41" fontId="2" fillId="0" borderId="0" xfId="0" applyNumberFormat="1" applyFont="1"/>
    <xf numFmtId="10" fontId="2" fillId="0" borderId="0" xfId="3" applyNumberFormat="1" applyFont="1"/>
    <xf numFmtId="169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0" fontId="2" fillId="0" borderId="0" xfId="3" applyNumberFormat="1" applyFont="1" applyFill="1"/>
    <xf numFmtId="3" fontId="2" fillId="0" borderId="0" xfId="0" applyNumberFormat="1" applyFont="1"/>
    <xf numFmtId="0" fontId="2" fillId="0" borderId="0" xfId="0" quotePrefix="1" applyFont="1" applyAlignment="1">
      <alignment horizontal="center"/>
    </xf>
    <xf numFmtId="9" fontId="2" fillId="0" borderId="0" xfId="3" applyFont="1" applyFill="1"/>
    <xf numFmtId="0" fontId="2" fillId="0" borderId="0" xfId="0" applyFont="1" applyBorder="1"/>
    <xf numFmtId="171" fontId="2" fillId="0" borderId="11" xfId="0" applyNumberFormat="1" applyFont="1" applyBorder="1"/>
    <xf numFmtId="3" fontId="2" fillId="0" borderId="11" xfId="0" applyNumberFormat="1" applyFont="1" applyBorder="1"/>
    <xf numFmtId="169" fontId="2" fillId="0" borderId="11" xfId="0" applyNumberFormat="1" applyFont="1" applyBorder="1"/>
    <xf numFmtId="170" fontId="2" fillId="0" borderId="0" xfId="0" applyNumberFormat="1" applyFont="1"/>
    <xf numFmtId="42" fontId="2" fillId="0" borderId="0" xfId="0" applyNumberFormat="1" applyFont="1" applyFill="1"/>
    <xf numFmtId="0" fontId="2" fillId="0" borderId="0" xfId="0" applyFont="1" applyBorder="1" applyAlignment="1">
      <alignment horizontal="center"/>
    </xf>
    <xf numFmtId="0" fontId="2" fillId="0" borderId="5" xfId="0" applyFont="1" applyBorder="1"/>
    <xf numFmtId="169" fontId="2" fillId="0" borderId="5" xfId="0" applyNumberFormat="1" applyFont="1" applyBorder="1"/>
    <xf numFmtId="169" fontId="2" fillId="0" borderId="5" xfId="0" applyNumberFormat="1" applyFont="1" applyFill="1" applyBorder="1"/>
    <xf numFmtId="171" fontId="2" fillId="0" borderId="0" xfId="0" applyNumberFormat="1" applyFont="1"/>
    <xf numFmtId="0" fontId="2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70" fontId="2" fillId="0" borderId="0" xfId="2" applyNumberFormat="1" applyFont="1"/>
    <xf numFmtId="44" fontId="2" fillId="0" borderId="0" xfId="2" applyFont="1"/>
    <xf numFmtId="10" fontId="2" fillId="0" borderId="11" xfId="0" applyNumberFormat="1" applyFont="1" applyBorder="1" applyAlignment="1">
      <alignment horizontal="center"/>
    </xf>
    <xf numFmtId="169" fontId="2" fillId="0" borderId="11" xfId="0" applyNumberFormat="1" applyFont="1" applyFill="1" applyBorder="1"/>
    <xf numFmtId="171" fontId="2" fillId="0" borderId="11" xfId="1" applyNumberFormat="1" applyFont="1" applyFill="1" applyBorder="1"/>
    <xf numFmtId="165" fontId="2" fillId="0" borderId="0" xfId="0" applyNumberFormat="1" applyFont="1" applyFill="1"/>
    <xf numFmtId="0" fontId="2" fillId="0" borderId="0" xfId="0" applyFont="1" applyFill="1" applyAlignment="1"/>
    <xf numFmtId="170" fontId="2" fillId="0" borderId="0" xfId="0" applyNumberFormat="1" applyFont="1" applyFill="1"/>
    <xf numFmtId="174" fontId="2" fillId="0" borderId="0" xfId="0" applyNumberFormat="1" applyFont="1" applyFill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4" fontId="2" fillId="0" borderId="13" xfId="0" quotePrefix="1" applyNumberFormat="1" applyFont="1" applyBorder="1" applyAlignment="1">
      <alignment horizontal="center" vertical="center"/>
    </xf>
    <xf numFmtId="164" fontId="2" fillId="0" borderId="0" xfId="0" quotePrefix="1" applyNumberFormat="1" applyFont="1" applyBorder="1" applyAlignment="1">
      <alignment horizontal="center" vertical="center"/>
    </xf>
    <xf numFmtId="165" fontId="2" fillId="0" borderId="0" xfId="0" quotePrefix="1" applyNumberFormat="1" applyFont="1" applyFill="1" applyBorder="1" applyAlignment="1">
      <alignment horizontal="center" vertical="center"/>
    </xf>
    <xf numFmtId="166" fontId="2" fillId="0" borderId="13" xfId="0" quotePrefix="1" applyNumberFormat="1" applyFont="1" applyFill="1" applyBorder="1" applyAlignment="1">
      <alignment horizontal="center" vertical="center"/>
    </xf>
    <xf numFmtId="166" fontId="2" fillId="0" borderId="0" xfId="0" quotePrefix="1" applyNumberFormat="1" applyFont="1" applyFill="1" applyBorder="1" applyAlignment="1">
      <alignment horizontal="center" vertical="center"/>
    </xf>
    <xf numFmtId="166" fontId="2" fillId="0" borderId="13" xfId="0" quotePrefix="1" applyNumberFormat="1" applyFont="1" applyBorder="1" applyAlignment="1">
      <alignment horizontal="right" vertical="center"/>
    </xf>
    <xf numFmtId="166" fontId="2" fillId="0" borderId="0" xfId="0" quotePrefix="1" applyNumberFormat="1" applyFont="1" applyBorder="1" applyAlignment="1">
      <alignment horizontal="right" vertical="center"/>
    </xf>
    <xf numFmtId="167" fontId="2" fillId="0" borderId="0" xfId="0" quotePrefix="1" applyNumberFormat="1" applyFont="1" applyBorder="1" applyAlignment="1">
      <alignment horizontal="center" vertical="center"/>
    </xf>
    <xf numFmtId="166" fontId="2" fillId="0" borderId="13" xfId="0" quotePrefix="1" applyNumberFormat="1" applyFont="1" applyBorder="1" applyAlignment="1">
      <alignment horizontal="center" vertical="center"/>
    </xf>
    <xf numFmtId="165" fontId="2" fillId="0" borderId="14" xfId="0" quotePrefix="1" applyNumberFormat="1" applyFont="1" applyFill="1" applyBorder="1" applyAlignment="1">
      <alignment horizontal="center" vertical="center"/>
    </xf>
    <xf numFmtId="164" fontId="2" fillId="0" borderId="12" xfId="0" quotePrefix="1" applyNumberFormat="1" applyFont="1" applyBorder="1" applyAlignment="1">
      <alignment horizontal="center" vertical="center"/>
    </xf>
    <xf numFmtId="166" fontId="2" fillId="0" borderId="12" xfId="0" quotePrefix="1" applyNumberFormat="1" applyFont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/>
    </xf>
    <xf numFmtId="164" fontId="2" fillId="0" borderId="13" xfId="0" quotePrefix="1" applyNumberFormat="1" applyFont="1" applyFill="1" applyBorder="1" applyAlignment="1">
      <alignment horizontal="center" vertical="center"/>
    </xf>
    <xf numFmtId="164" fontId="2" fillId="0" borderId="0" xfId="0" quotePrefix="1" applyNumberFormat="1" applyFont="1" applyFill="1" applyBorder="1" applyAlignment="1">
      <alignment horizontal="center" vertical="center"/>
    </xf>
    <xf numFmtId="165" fontId="2" fillId="0" borderId="0" xfId="0" quotePrefix="1" applyNumberFormat="1" applyFont="1" applyFill="1" applyBorder="1" applyAlignment="1">
      <alignment horizontal="right" vertical="center"/>
    </xf>
    <xf numFmtId="0" fontId="2" fillId="0" borderId="0" xfId="0" applyFont="1" applyBorder="1" applyAlignment="1"/>
    <xf numFmtId="166" fontId="2" fillId="0" borderId="13" xfId="0" quotePrefix="1" applyNumberFormat="1" applyFont="1" applyFill="1" applyBorder="1" applyAlignment="1">
      <alignment horizontal="center" vertical="center"/>
    </xf>
    <xf numFmtId="166" fontId="2" fillId="0" borderId="0" xfId="0" quotePrefix="1" applyNumberFormat="1" applyFont="1" applyFill="1" applyBorder="1" applyAlignment="1">
      <alignment horizontal="center" vertical="center"/>
    </xf>
    <xf numFmtId="165" fontId="2" fillId="0" borderId="0" xfId="0" quotePrefix="1" applyNumberFormat="1" applyFont="1" applyFill="1" applyBorder="1" applyAlignment="1">
      <alignment horizontal="center" vertical="center"/>
    </xf>
    <xf numFmtId="166" fontId="2" fillId="0" borderId="13" xfId="0" quotePrefix="1" applyNumberFormat="1" applyFont="1" applyBorder="1" applyAlignment="1">
      <alignment horizontal="center" vertical="center"/>
    </xf>
    <xf numFmtId="166" fontId="2" fillId="0" borderId="0" xfId="0" quotePrefix="1" applyNumberFormat="1" applyFont="1" applyBorder="1" applyAlignment="1">
      <alignment horizontal="center" vertical="center"/>
    </xf>
    <xf numFmtId="164" fontId="2" fillId="0" borderId="13" xfId="0" quotePrefix="1" applyNumberFormat="1" applyFont="1" applyBorder="1" applyAlignment="1">
      <alignment horizontal="center" vertical="center"/>
    </xf>
    <xf numFmtId="164" fontId="2" fillId="0" borderId="0" xfId="0" quotePrefix="1" applyNumberFormat="1" applyFont="1" applyBorder="1" applyAlignment="1">
      <alignment horizontal="center" vertical="center"/>
    </xf>
    <xf numFmtId="165" fontId="2" fillId="0" borderId="14" xfId="0" quotePrefix="1" applyNumberFormat="1" applyFont="1" applyFill="1" applyBorder="1" applyAlignment="1">
      <alignment horizontal="center" vertical="center"/>
    </xf>
    <xf numFmtId="166" fontId="2" fillId="0" borderId="0" xfId="0" quotePrefix="1" applyNumberFormat="1" applyFont="1" applyBorder="1" applyAlignment="1">
      <alignment horizontal="center" vertical="center"/>
    </xf>
    <xf numFmtId="8" fontId="2" fillId="0" borderId="0" xfId="0" quotePrefix="1" applyNumberFormat="1" applyFont="1" applyBorder="1" applyAlignment="1">
      <alignment horizontal="center" vertical="center"/>
    </xf>
    <xf numFmtId="8" fontId="2" fillId="0" borderId="12" xfId="0" quotePrefix="1" applyNumberFormat="1" applyFont="1" applyBorder="1" applyAlignment="1">
      <alignment horizontal="center" vertical="center"/>
    </xf>
    <xf numFmtId="166" fontId="2" fillId="0" borderId="13" xfId="0" quotePrefix="1" applyNumberFormat="1" applyFont="1" applyFill="1" applyBorder="1" applyAlignment="1">
      <alignment horizontal="right" vertical="center"/>
    </xf>
    <xf numFmtId="166" fontId="2" fillId="0" borderId="0" xfId="0" quotePrefix="1" applyNumberFormat="1" applyFont="1" applyFill="1" applyBorder="1" applyAlignment="1">
      <alignment horizontal="right" vertical="center"/>
    </xf>
    <xf numFmtId="165" fontId="2" fillId="0" borderId="0" xfId="0" quotePrefix="1" applyNumberFormat="1" applyFont="1" applyFill="1" applyBorder="1" applyAlignment="1">
      <alignment horizontal="center" vertical="center" wrapText="1"/>
    </xf>
    <xf numFmtId="165" fontId="2" fillId="0" borderId="14" xfId="0" quotePrefix="1" applyNumberFormat="1" applyFont="1" applyFill="1" applyBorder="1" applyAlignment="1">
      <alignment horizontal="center" vertical="center" wrapText="1"/>
    </xf>
    <xf numFmtId="166" fontId="2" fillId="0" borderId="13" xfId="0" quotePrefix="1" applyNumberFormat="1" applyFont="1" applyFill="1" applyBorder="1" applyAlignment="1">
      <alignment horizontal="center" vertical="center" wrapText="1"/>
    </xf>
    <xf numFmtId="166" fontId="2" fillId="0" borderId="0" xfId="0" quotePrefix="1" applyNumberFormat="1" applyFont="1" applyFill="1" applyBorder="1" applyAlignment="1">
      <alignment horizontal="center" vertical="center" wrapText="1"/>
    </xf>
    <xf numFmtId="164" fontId="2" fillId="0" borderId="13" xfId="0" quotePrefix="1" applyNumberFormat="1" applyFont="1" applyBorder="1" applyAlignment="1">
      <alignment horizontal="center" vertical="center" wrapText="1"/>
    </xf>
    <xf numFmtId="164" fontId="2" fillId="0" borderId="0" xfId="0" quotePrefix="1" applyNumberFormat="1" applyFont="1" applyBorder="1" applyAlignment="1">
      <alignment horizontal="center" vertical="center" wrapText="1"/>
    </xf>
    <xf numFmtId="166" fontId="2" fillId="0" borderId="13" xfId="0" quotePrefix="1" applyNumberFormat="1" applyFont="1" applyBorder="1" applyAlignment="1">
      <alignment horizontal="center" vertical="center" wrapText="1"/>
    </xf>
    <xf numFmtId="166" fontId="2" fillId="0" borderId="0" xfId="0" quotePrefix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166" fontId="2" fillId="0" borderId="13" xfId="0" applyNumberFormat="1" applyFont="1" applyFill="1" applyBorder="1" applyAlignment="1">
      <alignment horizontal="center"/>
    </xf>
    <xf numFmtId="166" fontId="2" fillId="0" borderId="13" xfId="0" applyNumberFormat="1" applyFont="1" applyBorder="1" applyAlignment="1"/>
    <xf numFmtId="166" fontId="2" fillId="0" borderId="0" xfId="0" applyNumberFormat="1" applyFont="1" applyBorder="1" applyAlignment="1"/>
    <xf numFmtId="166" fontId="2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8" fontId="2" fillId="0" borderId="0" xfId="0" quotePrefix="1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/>
    <xf numFmtId="164" fontId="2" fillId="0" borderId="9" xfId="0" quotePrefix="1" applyNumberFormat="1" applyFont="1" applyBorder="1" applyAlignment="1">
      <alignment horizontal="center" vertical="center"/>
    </xf>
    <xf numFmtId="164" fontId="2" fillId="0" borderId="15" xfId="0" quotePrefix="1" applyNumberFormat="1" applyFont="1" applyBorder="1" applyAlignment="1">
      <alignment horizontal="center" vertical="center"/>
    </xf>
    <xf numFmtId="165" fontId="2" fillId="0" borderId="15" xfId="0" quotePrefix="1" applyNumberFormat="1" applyFont="1" applyFill="1" applyBorder="1" applyAlignment="1">
      <alignment horizontal="center" vertical="center"/>
    </xf>
    <xf numFmtId="166" fontId="2" fillId="0" borderId="9" xfId="0" quotePrefix="1" applyNumberFormat="1" applyFont="1" applyFill="1" applyBorder="1" applyAlignment="1">
      <alignment horizontal="center" vertical="center" wrapText="1"/>
    </xf>
    <xf numFmtId="166" fontId="2" fillId="0" borderId="15" xfId="0" quotePrefix="1" applyNumberFormat="1" applyFont="1" applyFill="1" applyBorder="1" applyAlignment="1">
      <alignment horizontal="center" vertical="center" wrapText="1"/>
    </xf>
    <xf numFmtId="165" fontId="2" fillId="0" borderId="15" xfId="0" quotePrefix="1" applyNumberFormat="1" applyFont="1" applyFill="1" applyBorder="1" applyAlignment="1">
      <alignment horizontal="center" vertical="center"/>
    </xf>
    <xf numFmtId="166" fontId="2" fillId="0" borderId="9" xfId="0" quotePrefix="1" applyNumberFormat="1" applyFont="1" applyFill="1" applyBorder="1" applyAlignment="1">
      <alignment horizontal="center" vertical="center"/>
    </xf>
    <xf numFmtId="166" fontId="2" fillId="0" borderId="15" xfId="0" quotePrefix="1" applyNumberFormat="1" applyFont="1" applyFill="1" applyBorder="1" applyAlignment="1">
      <alignment horizontal="center" vertical="center"/>
    </xf>
    <xf numFmtId="168" fontId="2" fillId="0" borderId="15" xfId="0" quotePrefix="1" applyNumberFormat="1" applyFont="1" applyFill="1" applyBorder="1" applyAlignment="1">
      <alignment horizontal="center" vertical="center"/>
    </xf>
    <xf numFmtId="164" fontId="2" fillId="0" borderId="9" xfId="0" quotePrefix="1" applyNumberFormat="1" applyFont="1" applyBorder="1" applyAlignment="1">
      <alignment horizontal="center" vertical="center" wrapText="1"/>
    </xf>
    <xf numFmtId="164" fontId="2" fillId="0" borderId="15" xfId="0" quotePrefix="1" applyNumberFormat="1" applyFont="1" applyBorder="1" applyAlignment="1">
      <alignment horizontal="center" vertical="center" wrapText="1"/>
    </xf>
    <xf numFmtId="166" fontId="2" fillId="0" borderId="9" xfId="0" quotePrefix="1" applyNumberFormat="1" applyFont="1" applyBorder="1" applyAlignment="1">
      <alignment horizontal="center" vertical="center" wrapText="1"/>
    </xf>
    <xf numFmtId="166" fontId="2" fillId="0" borderId="15" xfId="0" quotePrefix="1" applyNumberFormat="1" applyFont="1" applyBorder="1" applyAlignment="1">
      <alignment horizontal="center" vertical="center" wrapText="1"/>
    </xf>
    <xf numFmtId="165" fontId="2" fillId="0" borderId="10" xfId="0" quotePrefix="1" applyNumberFormat="1" applyFont="1" applyFill="1" applyBorder="1" applyAlignment="1">
      <alignment horizontal="center" vertical="center"/>
    </xf>
    <xf numFmtId="164" fontId="2" fillId="0" borderId="8" xfId="0" quotePrefix="1" applyNumberFormat="1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center" wrapText="1"/>
    </xf>
    <xf numFmtId="0" fontId="7" fillId="0" borderId="0" xfId="0" applyFont="1" applyFill="1"/>
    <xf numFmtId="17" fontId="3" fillId="0" borderId="17" xfId="0" quotePrefix="1" applyNumberFormat="1" applyFont="1" applyBorder="1" applyAlignment="1">
      <alignment horizontal="center" wrapText="1"/>
    </xf>
    <xf numFmtId="17" fontId="3" fillId="0" borderId="0" xfId="0" quotePrefix="1" applyNumberFormat="1" applyFont="1" applyBorder="1" applyAlignment="1">
      <alignment horizontal="center" wrapText="1"/>
    </xf>
    <xf numFmtId="17" fontId="2" fillId="0" borderId="0" xfId="0" quotePrefix="1" applyNumberFormat="1" applyFont="1" applyBorder="1" applyAlignment="1">
      <alignment horizontal="center" wrapText="1"/>
    </xf>
    <xf numFmtId="44" fontId="2" fillId="0" borderId="0" xfId="2" applyFont="1" applyFill="1"/>
    <xf numFmtId="44" fontId="2" fillId="0" borderId="0" xfId="4" applyNumberFormat="1" applyFont="1" applyFill="1"/>
    <xf numFmtId="169" fontId="2" fillId="0" borderId="0" xfId="0" applyNumberFormat="1" applyFont="1" applyFill="1" applyProtection="1"/>
    <xf numFmtId="170" fontId="2" fillId="0" borderId="0" xfId="2" applyNumberFormat="1" applyFont="1" applyFill="1"/>
    <xf numFmtId="170" fontId="2" fillId="0" borderId="0" xfId="4" applyNumberFormat="1" applyFont="1" applyFill="1"/>
    <xf numFmtId="0" fontId="2" fillId="0" borderId="0" xfId="4" applyFont="1" applyFill="1"/>
    <xf numFmtId="169" fontId="2" fillId="0" borderId="11" xfId="0" applyNumberFormat="1" applyFont="1" applyFill="1" applyBorder="1" applyProtection="1"/>
    <xf numFmtId="171" fontId="2" fillId="0" borderId="0" xfId="0" applyNumberFormat="1" applyFont="1" applyBorder="1"/>
    <xf numFmtId="172" fontId="2" fillId="0" borderId="0" xfId="4" applyNumberFormat="1" applyFont="1" applyFill="1"/>
    <xf numFmtId="10" fontId="2" fillId="0" borderId="0" xfId="4" applyNumberFormat="1" applyFont="1" applyFill="1" applyBorder="1"/>
    <xf numFmtId="173" fontId="2" fillId="0" borderId="0" xfId="4" applyNumberFormat="1" applyFont="1" applyFill="1" applyBorder="1"/>
    <xf numFmtId="44" fontId="2" fillId="0" borderId="0" xfId="2" applyFont="1" applyFill="1" applyBorder="1"/>
    <xf numFmtId="170" fontId="2" fillId="0" borderId="0" xfId="2" applyNumberFormat="1" applyFont="1" applyFill="1" applyBorder="1"/>
    <xf numFmtId="169" fontId="2" fillId="0" borderId="0" xfId="0" applyNumberFormat="1" applyFont="1" applyFill="1" applyBorder="1" applyProtection="1"/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/>
    <xf numFmtId="169" fontId="2" fillId="0" borderId="0" xfId="0" applyNumberFormat="1" applyFont="1" applyFill="1" applyAlignment="1" applyProtection="1">
      <alignment horizontal="centerContinuous"/>
    </xf>
    <xf numFmtId="0" fontId="2" fillId="0" borderId="0" xfId="0" applyFont="1" applyBorder="1" applyProtection="1">
      <protection locked="0"/>
    </xf>
    <xf numFmtId="8" fontId="2" fillId="0" borderId="0" xfId="2" applyNumberFormat="1" applyFont="1" applyFill="1" applyBorder="1"/>
    <xf numFmtId="42" fontId="2" fillId="0" borderId="0" xfId="0" applyNumberFormat="1" applyFont="1"/>
    <xf numFmtId="8" fontId="2" fillId="0" borderId="0" xfId="2" applyNumberFormat="1" applyFont="1" applyFill="1"/>
    <xf numFmtId="44" fontId="2" fillId="0" borderId="0" xfId="0" applyNumberFormat="1" applyFont="1"/>
    <xf numFmtId="43" fontId="2" fillId="0" borderId="0" xfId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0" fontId="2" fillId="0" borderId="0" xfId="3" applyNumberFormat="1" applyFont="1" applyAlignment="1">
      <alignment horizontal="center"/>
    </xf>
    <xf numFmtId="171" fontId="2" fillId="0" borderId="0" xfId="1" applyNumberFormat="1" applyFont="1"/>
    <xf numFmtId="0" fontId="2" fillId="0" borderId="0" xfId="0" applyNumberFormat="1" applyFont="1" applyAlignment="1"/>
    <xf numFmtId="0" fontId="2" fillId="0" borderId="0" xfId="0" applyNumberFormat="1" applyFont="1" applyAlignment="1">
      <alignment horizontal="centerContinuous"/>
    </xf>
    <xf numFmtId="41" fontId="3" fillId="0" borderId="17" xfId="0" applyNumberFormat="1" applyFont="1" applyBorder="1" applyAlignment="1">
      <alignment horizontal="center" wrapText="1"/>
    </xf>
    <xf numFmtId="0" fontId="3" fillId="0" borderId="17" xfId="0" applyNumberFormat="1" applyFont="1" applyBorder="1" applyAlignment="1">
      <alignment horizontal="center"/>
    </xf>
    <xf numFmtId="41" fontId="3" fillId="0" borderId="17" xfId="0" applyNumberFormat="1" applyFont="1" applyFill="1" applyBorder="1" applyAlignment="1">
      <alignment horizontal="center" wrapText="1"/>
    </xf>
    <xf numFmtId="0" fontId="2" fillId="0" borderId="0" xfId="0" applyNumberFormat="1" applyFont="1" applyAlignment="1">
      <alignment horizontal="center"/>
    </xf>
    <xf numFmtId="42" fontId="2" fillId="0" borderId="0" xfId="0" applyNumberFormat="1" applyFont="1" applyAlignment="1"/>
    <xf numFmtId="170" fontId="2" fillId="0" borderId="0" xfId="0" applyNumberFormat="1" applyFont="1" applyAlignment="1"/>
    <xf numFmtId="171" fontId="2" fillId="0" borderId="0" xfId="0" applyNumberFormat="1" applyFont="1" applyAlignment="1"/>
    <xf numFmtId="41" fontId="2" fillId="0" borderId="0" xfId="0" applyNumberFormat="1" applyFont="1" applyAlignment="1"/>
    <xf numFmtId="9" fontId="2" fillId="0" borderId="0" xfId="0" applyNumberFormat="1" applyFont="1" applyAlignment="1"/>
    <xf numFmtId="0" fontId="3" fillId="0" borderId="0" xfId="0" applyNumberFormat="1" applyFont="1" applyAlignment="1"/>
    <xf numFmtId="10" fontId="2" fillId="0" borderId="0" xfId="0" applyNumberFormat="1" applyFont="1" applyAlignment="1"/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2%20GRC/Compliance%20Filing%20for%20New%20Rates/220066-67-PSE-WP-REVREC-COS-22GRC-Compliance%20Revised-1-9-2023%20(C)/NEW-PSE-WP-SEF-4E-ELECTRIC-REV-REQ-MODEL-22GRC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Rollforward Other Schedules"/>
      <sheetName val="Def, COC, ConvF"/>
      <sheetName val="Compare"/>
      <sheetName val="Subject to Refund"/>
      <sheetName val="Summary"/>
      <sheetName val="W CCA"/>
      <sheetName val="Diff"/>
      <sheetName val="Detailed Summary"/>
      <sheetName val="Common Adj"/>
      <sheetName val="Electric Adj"/>
      <sheetName val="Settlement O&amp;M Changes"/>
      <sheetName val="Rev Exp change"/>
      <sheetName val="DEC13"/>
      <sheetName val="BDJ Exh Summary"/>
      <sheetName val="SEF-13 p 1 Elect wp"/>
      <sheetName val="SEF-13 p 2 Elect wp"/>
      <sheetName val="Adj List"/>
      <sheetName val="Final Rate Years"/>
      <sheetName val="SEF-21 Original E"/>
      <sheetName val="Named Ranges E"/>
      <sheetName val="Proofs=&gt;"/>
      <sheetName val="TBPI, ETR, Rev"/>
      <sheetName val="557 &amp; 555"/>
      <sheetName val="Prod O&amp;M"/>
      <sheetName val="Schedule 141A 2023"/>
      <sheetName val="Schedule 141A 2024"/>
      <sheetName val="GRC24-Variable Cost_TY (2)"/>
    </sheetNames>
    <sheetDataSet>
      <sheetData sheetId="0"/>
      <sheetData sheetId="1"/>
      <sheetData sheetId="2"/>
      <sheetData sheetId="3"/>
      <sheetData sheetId="4"/>
      <sheetData sheetId="5">
        <row r="65">
          <cell r="G65">
            <v>-41561778.390603453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31">
          <cell r="C31">
            <v>-29004336.642303798</v>
          </cell>
        </row>
      </sheetData>
      <sheetData sheetId="14"/>
      <sheetData sheetId="15"/>
      <sheetData sheetId="16"/>
      <sheetData sheetId="17"/>
      <sheetData sheetId="18">
        <row r="30">
          <cell r="C30">
            <v>95361604.0746582</v>
          </cell>
        </row>
      </sheetData>
      <sheetData sheetId="19"/>
      <sheetData sheetId="20">
        <row r="2">
          <cell r="B2" t="str">
            <v>PUGET SOUND ENERGY - ELECTRIC</v>
          </cell>
        </row>
        <row r="3">
          <cell r="B3" t="str">
            <v>12 MONTHS ENDED JUNE 30, 2021</v>
          </cell>
        </row>
        <row r="7">
          <cell r="B7" t="str">
            <v>2022 GENERAL RATE CASE</v>
          </cell>
        </row>
      </sheetData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"/>
  <sheetViews>
    <sheetView tabSelected="1" zoomScale="80" zoomScaleNormal="80" workbookViewId="0">
      <pane xSplit="4" ySplit="7" topLeftCell="E8" activePane="bottomRight" state="frozen"/>
      <selection activeCell="H4" sqref="H4"/>
      <selection pane="topRight" activeCell="H4" sqref="H4"/>
      <selection pane="bottomLeft" activeCell="H4" sqref="H4"/>
      <selection pane="bottomRight" activeCell="H3" sqref="H3"/>
    </sheetView>
  </sheetViews>
  <sheetFormatPr defaultColWidth="42.28515625" defaultRowHeight="12.75" x14ac:dyDescent="0.2"/>
  <cols>
    <col min="1" max="1" width="5.28515625" style="11" customWidth="1"/>
    <col min="2" max="2" width="24.5703125" style="69" customWidth="1"/>
    <col min="3" max="3" width="26.7109375" style="11" bestFit="1" customWidth="1"/>
    <col min="4" max="4" width="22.140625" style="11" bestFit="1" customWidth="1"/>
    <col min="5" max="7" width="12.85546875" style="11" customWidth="1"/>
    <col min="8" max="9" width="12.85546875" style="17" customWidth="1"/>
    <col min="10" max="11" width="12.85546875" style="11" customWidth="1"/>
    <col min="12" max="14" width="12.85546875" style="17" customWidth="1"/>
    <col min="15" max="27" width="12.85546875" style="11" customWidth="1"/>
    <col min="28" max="29" width="12.85546875" style="17" customWidth="1"/>
    <col min="30" max="30" width="14" style="11" customWidth="1"/>
    <col min="31" max="16384" width="42.28515625" style="11"/>
  </cols>
  <sheetData>
    <row r="1" spans="1:30" x14ac:dyDescent="0.2">
      <c r="A1" s="68" t="s">
        <v>144</v>
      </c>
      <c r="C1" s="51"/>
      <c r="D1" s="51"/>
      <c r="E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30" x14ac:dyDescent="0.2">
      <c r="A2" s="68" t="s">
        <v>193</v>
      </c>
      <c r="C2" s="51"/>
      <c r="D2" s="51"/>
      <c r="E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30" x14ac:dyDescent="0.2">
      <c r="A3" s="68" t="s">
        <v>194</v>
      </c>
      <c r="C3" s="70"/>
      <c r="D3" s="70"/>
      <c r="E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30" x14ac:dyDescent="0.2">
      <c r="A4" s="68" t="s">
        <v>0</v>
      </c>
      <c r="C4" s="70"/>
      <c r="D4" s="70"/>
      <c r="E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6" spans="1:30" s="78" customFormat="1" ht="27" customHeight="1" x14ac:dyDescent="0.25">
      <c r="A6" s="71" t="s">
        <v>1</v>
      </c>
      <c r="B6" s="71" t="s">
        <v>2</v>
      </c>
      <c r="C6" s="72" t="s">
        <v>3</v>
      </c>
      <c r="D6" s="73"/>
      <c r="E6" s="74" t="s">
        <v>4</v>
      </c>
      <c r="F6" s="75"/>
      <c r="G6" s="75"/>
      <c r="H6" s="75"/>
      <c r="I6" s="76"/>
      <c r="J6" s="74" t="s">
        <v>5</v>
      </c>
      <c r="K6" s="75"/>
      <c r="L6" s="75"/>
      <c r="M6" s="75"/>
      <c r="N6" s="76"/>
      <c r="O6" s="74" t="s">
        <v>6</v>
      </c>
      <c r="P6" s="75"/>
      <c r="Q6" s="75"/>
      <c r="R6" s="75"/>
      <c r="S6" s="76"/>
      <c r="T6" s="74" t="s">
        <v>7</v>
      </c>
      <c r="U6" s="75"/>
      <c r="V6" s="75"/>
      <c r="W6" s="75"/>
      <c r="X6" s="76"/>
      <c r="Y6" s="74" t="s">
        <v>8</v>
      </c>
      <c r="Z6" s="75"/>
      <c r="AA6" s="75"/>
      <c r="AB6" s="75"/>
      <c r="AC6" s="76"/>
      <c r="AD6" s="77" t="s">
        <v>9</v>
      </c>
    </row>
    <row r="7" spans="1:30" s="78" customFormat="1" ht="25.5" x14ac:dyDescent="0.25">
      <c r="A7" s="79"/>
      <c r="B7" s="79"/>
      <c r="C7" s="80"/>
      <c r="D7" s="81"/>
      <c r="E7" s="82" t="s">
        <v>10</v>
      </c>
      <c r="F7" s="82" t="s">
        <v>11</v>
      </c>
      <c r="G7" s="82" t="s">
        <v>12</v>
      </c>
      <c r="H7" s="82" t="s">
        <v>13</v>
      </c>
      <c r="I7" s="82" t="s">
        <v>14</v>
      </c>
      <c r="J7" s="82" t="s">
        <v>10</v>
      </c>
      <c r="K7" s="82" t="s">
        <v>11</v>
      </c>
      <c r="L7" s="82" t="s">
        <v>12</v>
      </c>
      <c r="M7" s="82" t="s">
        <v>13</v>
      </c>
      <c r="N7" s="82" t="s">
        <v>14</v>
      </c>
      <c r="O7" s="82" t="s">
        <v>10</v>
      </c>
      <c r="P7" s="82" t="s">
        <v>11</v>
      </c>
      <c r="Q7" s="82" t="s">
        <v>12</v>
      </c>
      <c r="R7" s="82" t="s">
        <v>13</v>
      </c>
      <c r="S7" s="82" t="s">
        <v>14</v>
      </c>
      <c r="T7" s="82" t="s">
        <v>10</v>
      </c>
      <c r="U7" s="82" t="s">
        <v>11</v>
      </c>
      <c r="V7" s="82" t="s">
        <v>12</v>
      </c>
      <c r="W7" s="82" t="s">
        <v>13</v>
      </c>
      <c r="X7" s="82" t="s">
        <v>14</v>
      </c>
      <c r="Y7" s="82" t="s">
        <v>10</v>
      </c>
      <c r="Z7" s="82" t="s">
        <v>11</v>
      </c>
      <c r="AA7" s="82" t="s">
        <v>12</v>
      </c>
      <c r="AB7" s="82" t="s">
        <v>13</v>
      </c>
      <c r="AC7" s="82" t="s">
        <v>14</v>
      </c>
      <c r="AD7" s="82" t="s">
        <v>11</v>
      </c>
    </row>
    <row r="8" spans="1:30" s="78" customFormat="1" x14ac:dyDescent="0.2">
      <c r="A8" s="83"/>
      <c r="B8" s="1" t="s">
        <v>15</v>
      </c>
      <c r="C8" s="2" t="s">
        <v>16</v>
      </c>
      <c r="D8" s="3" t="s">
        <v>17</v>
      </c>
      <c r="E8" s="1" t="s">
        <v>18</v>
      </c>
      <c r="F8" s="3" t="s">
        <v>19</v>
      </c>
      <c r="G8" s="2" t="s">
        <v>20</v>
      </c>
      <c r="H8" s="2" t="s">
        <v>21</v>
      </c>
      <c r="I8" s="2" t="s">
        <v>22</v>
      </c>
      <c r="J8" s="4" t="s">
        <v>23</v>
      </c>
      <c r="K8" s="5" t="s">
        <v>24</v>
      </c>
      <c r="L8" s="5" t="s">
        <v>25</v>
      </c>
      <c r="M8" s="5" t="s">
        <v>26</v>
      </c>
      <c r="N8" s="5" t="s">
        <v>27</v>
      </c>
      <c r="O8" s="6" t="s">
        <v>28</v>
      </c>
      <c r="P8" s="7" t="s">
        <v>29</v>
      </c>
      <c r="Q8" s="7" t="s">
        <v>30</v>
      </c>
      <c r="R8" s="8" t="s">
        <v>31</v>
      </c>
      <c r="S8" s="8" t="s">
        <v>32</v>
      </c>
      <c r="T8" s="1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1" t="s">
        <v>38</v>
      </c>
      <c r="Z8" s="2" t="s">
        <v>39</v>
      </c>
      <c r="AA8" s="2" t="s">
        <v>40</v>
      </c>
      <c r="AB8" s="2" t="s">
        <v>41</v>
      </c>
      <c r="AC8" s="9" t="s">
        <v>42</v>
      </c>
      <c r="AD8" s="10" t="s">
        <v>43</v>
      </c>
    </row>
    <row r="9" spans="1:30" s="51" customFormat="1" x14ac:dyDescent="0.2">
      <c r="A9" s="84">
        <v>1</v>
      </c>
      <c r="B9" s="85" t="s">
        <v>44</v>
      </c>
      <c r="C9" s="86" t="s">
        <v>45</v>
      </c>
      <c r="D9" s="86" t="s">
        <v>46</v>
      </c>
      <c r="E9" s="87">
        <f>ROUND('Exh JDT-5 (Rate Design)'!H10,5)</f>
        <v>0.45612999999999998</v>
      </c>
      <c r="F9" s="88">
        <f>ROUND('Exh JDT-5 (Rate Design)'!I10,5)</f>
        <v>0.69932000000000005</v>
      </c>
      <c r="G9" s="88">
        <f>ROUND('Exh JDT-5 (Rate Design)'!J10,5)</f>
        <v>0.67893000000000003</v>
      </c>
      <c r="H9" s="89">
        <f t="shared" ref="H9:I11" si="0">IFERROR((F9-E9)/E9,"na")</f>
        <v>0.5331594063096049</v>
      </c>
      <c r="I9" s="89">
        <f t="shared" si="0"/>
        <v>-2.9156895269690581E-2</v>
      </c>
      <c r="J9" s="90">
        <f>ROUND('Exh JDT-5 (Rate Design)'!H9,2)</f>
        <v>12.5</v>
      </c>
      <c r="K9" s="91">
        <f>ROUND('Exh JDT-5 (Rate Design)'!I9,2)</f>
        <v>14.86</v>
      </c>
      <c r="L9" s="91">
        <f>ROUND('Exh JDT-5 (Rate Design)'!J9,2)</f>
        <v>17.670000000000002</v>
      </c>
      <c r="M9" s="89">
        <f t="shared" ref="M9:N11" si="1">IFERROR((K9-J9)/J9,"na")</f>
        <v>0.18879999999999997</v>
      </c>
      <c r="N9" s="89">
        <f t="shared" si="1"/>
        <v>0.18909825033647393</v>
      </c>
      <c r="O9" s="92"/>
      <c r="P9" s="93"/>
      <c r="Q9" s="93"/>
      <c r="R9" s="89"/>
      <c r="S9" s="89"/>
      <c r="T9" s="87"/>
      <c r="U9" s="88"/>
      <c r="V9" s="88"/>
      <c r="W9" s="94"/>
      <c r="X9" s="94"/>
      <c r="Y9" s="95"/>
      <c r="Z9" s="88"/>
      <c r="AA9" s="88"/>
      <c r="AB9" s="89"/>
      <c r="AC9" s="96"/>
      <c r="AD9" s="97">
        <f>ROUND('Exh JDT-5 (141DCARB)'!$G$13,5)</f>
        <v>6.0800000000000003E-3</v>
      </c>
    </row>
    <row r="10" spans="1:30" s="51" customFormat="1" x14ac:dyDescent="0.2">
      <c r="A10" s="84">
        <f>A9+1</f>
        <v>2</v>
      </c>
      <c r="B10" s="85" t="s">
        <v>44</v>
      </c>
      <c r="C10" s="86" t="s">
        <v>47</v>
      </c>
      <c r="D10" s="86" t="s">
        <v>46</v>
      </c>
      <c r="E10" s="87">
        <f>ROUND('Exh JDT-5 (Rate Design)'!H16,5)</f>
        <v>0.45612999999999998</v>
      </c>
      <c r="F10" s="88">
        <f>ROUND('Exh JDT-5 (Rate Design)'!I16,5)</f>
        <v>0.69932000000000005</v>
      </c>
      <c r="G10" s="88">
        <f>ROUND('Exh JDT-5 (Rate Design)'!J16,5)</f>
        <v>0.67893000000000003</v>
      </c>
      <c r="H10" s="89">
        <f t="shared" si="0"/>
        <v>0.5331594063096049</v>
      </c>
      <c r="I10" s="89">
        <f t="shared" si="0"/>
        <v>-2.9156895269690581E-2</v>
      </c>
      <c r="J10" s="90">
        <f>ROUND('Exh JDT-5 (Rate Design)'!H15,2)</f>
        <v>12.5</v>
      </c>
      <c r="K10" s="91">
        <f>ROUND('Exh JDT-5 (Rate Design)'!I15,2)</f>
        <v>14.86</v>
      </c>
      <c r="L10" s="91">
        <f>ROUND('Exh JDT-5 (Rate Design)'!J15,2)</f>
        <v>17.670000000000002</v>
      </c>
      <c r="M10" s="89">
        <f t="shared" si="1"/>
        <v>0.18879999999999997</v>
      </c>
      <c r="N10" s="89">
        <f t="shared" si="1"/>
        <v>0.18909825033647393</v>
      </c>
      <c r="O10" s="92"/>
      <c r="P10" s="93"/>
      <c r="Q10" s="93"/>
      <c r="R10" s="89"/>
      <c r="S10" s="89"/>
      <c r="T10" s="87"/>
      <c r="U10" s="88"/>
      <c r="V10" s="88"/>
      <c r="W10" s="94"/>
      <c r="X10" s="94"/>
      <c r="Y10" s="95"/>
      <c r="Z10" s="88"/>
      <c r="AA10" s="88"/>
      <c r="AB10" s="89"/>
      <c r="AC10" s="96"/>
      <c r="AD10" s="97">
        <f>ROUND('Exh JDT-5 (141DCARB)'!$G$13,5)</f>
        <v>6.0800000000000003E-3</v>
      </c>
    </row>
    <row r="11" spans="1:30" s="51" customFormat="1" x14ac:dyDescent="0.2">
      <c r="A11" s="84">
        <f t="shared" ref="A11:A57" si="2">A10+1</f>
        <v>3</v>
      </c>
      <c r="B11" s="85" t="s">
        <v>44</v>
      </c>
      <c r="C11" s="86" t="s">
        <v>48</v>
      </c>
      <c r="D11" s="86" t="s">
        <v>49</v>
      </c>
      <c r="E11" s="87" t="s">
        <v>50</v>
      </c>
      <c r="F11" s="88" t="s">
        <v>50</v>
      </c>
      <c r="G11" s="88" t="s">
        <v>50</v>
      </c>
      <c r="H11" s="89" t="str">
        <f t="shared" si="0"/>
        <v>na</v>
      </c>
      <c r="I11" s="89" t="str">
        <f t="shared" si="0"/>
        <v>na</v>
      </c>
      <c r="J11" s="90">
        <f>ROUND('Exh JDT-5 (Rate Design)'!H13,2)</f>
        <v>12.14</v>
      </c>
      <c r="K11" s="91">
        <f>ROUND('Exh JDT-5 (Rate Design)'!I13,2)</f>
        <v>17.22</v>
      </c>
      <c r="L11" s="91">
        <f>ROUND('Exh JDT-5 (Rate Design)'!J13,2)</f>
        <v>17.989999999999998</v>
      </c>
      <c r="M11" s="89">
        <f t="shared" si="1"/>
        <v>0.41845140032948913</v>
      </c>
      <c r="N11" s="89">
        <f t="shared" si="1"/>
        <v>4.4715447154471524E-2</v>
      </c>
      <c r="O11" s="92"/>
      <c r="P11" s="93"/>
      <c r="Q11" s="93"/>
      <c r="R11" s="89"/>
      <c r="S11" s="89"/>
      <c r="T11" s="87"/>
      <c r="U11" s="88"/>
      <c r="V11" s="88"/>
      <c r="W11" s="94"/>
      <c r="X11" s="94"/>
      <c r="Y11" s="95"/>
      <c r="Z11" s="88"/>
      <c r="AA11" s="88"/>
      <c r="AB11" s="89"/>
      <c r="AC11" s="96"/>
      <c r="AD11" s="98">
        <f>ROUND('Exh JDT-5 (141DCARB)'!H13,2)</f>
        <v>0.12</v>
      </c>
    </row>
    <row r="12" spans="1:30" s="51" customFormat="1" x14ac:dyDescent="0.2">
      <c r="A12" s="84">
        <f t="shared" si="2"/>
        <v>4</v>
      </c>
      <c r="B12" s="85"/>
      <c r="C12" s="86"/>
      <c r="D12" s="86"/>
      <c r="E12" s="87"/>
      <c r="F12" s="88"/>
      <c r="G12" s="88"/>
      <c r="H12" s="89"/>
      <c r="I12" s="89"/>
      <c r="J12" s="90"/>
      <c r="K12" s="91"/>
      <c r="L12" s="99"/>
      <c r="M12" s="89"/>
      <c r="N12" s="89"/>
      <c r="O12" s="92"/>
      <c r="P12" s="93"/>
      <c r="Q12" s="93"/>
      <c r="R12" s="89"/>
      <c r="S12" s="89"/>
      <c r="T12" s="100"/>
      <c r="U12" s="101"/>
      <c r="V12" s="101"/>
      <c r="W12" s="102"/>
      <c r="X12" s="102"/>
      <c r="Y12" s="95"/>
      <c r="Z12" s="88"/>
      <c r="AA12" s="88"/>
      <c r="AB12" s="89"/>
      <c r="AC12" s="96"/>
      <c r="AD12" s="97"/>
    </row>
    <row r="13" spans="1:30" s="51" customFormat="1" x14ac:dyDescent="0.2">
      <c r="A13" s="84">
        <f t="shared" si="2"/>
        <v>5</v>
      </c>
      <c r="B13" s="85" t="s">
        <v>51</v>
      </c>
      <c r="C13" s="86" t="s">
        <v>52</v>
      </c>
      <c r="D13" s="103" t="s">
        <v>46</v>
      </c>
      <c r="E13" s="87">
        <f>ROUND('Exh JDT-5 (Rate Design)'!H25,5)</f>
        <v>0.41249000000000002</v>
      </c>
      <c r="F13" s="88">
        <f>ROUND('Exh JDT-5 (Rate Design)'!I25,5)</f>
        <v>0.69101999999999997</v>
      </c>
      <c r="G13" s="88">
        <f>ROUND('Exh JDT-5 (Rate Design)'!J25,5)</f>
        <v>0.67811999999999995</v>
      </c>
      <c r="H13" s="89">
        <f>IFERROR((F13-E13)/E13,"na")</f>
        <v>0.6752406118936215</v>
      </c>
      <c r="I13" s="89">
        <f>IFERROR((G13-F13)/F13,"na")</f>
        <v>-1.8668055917339617E-2</v>
      </c>
      <c r="J13" s="90">
        <f>ROUND('Exh JDT-5 (Rate Design)'!H24,2)</f>
        <v>38.89</v>
      </c>
      <c r="K13" s="91">
        <f>ROUND('Exh JDT-5 (Rate Design)'!I24,2)</f>
        <v>50.56</v>
      </c>
      <c r="L13" s="91">
        <f>ROUND('Exh JDT-5 (Rate Design)'!J24,2)</f>
        <v>65.72</v>
      </c>
      <c r="M13" s="89">
        <f>IFERROR((K13-J13)/J13,"na")</f>
        <v>0.30007714065312424</v>
      </c>
      <c r="N13" s="89">
        <f>IFERROR((L13-K13)/K13,"na")</f>
        <v>0.29984177215189867</v>
      </c>
      <c r="O13" s="92"/>
      <c r="P13" s="93"/>
      <c r="Q13" s="93"/>
      <c r="R13" s="89"/>
      <c r="S13" s="89"/>
      <c r="T13" s="87">
        <f>ROUND('Exh JDT-5 (Rate Design)'!H26,5)</f>
        <v>1.4919999999999999E-2</v>
      </c>
      <c r="U13" s="88">
        <f>ROUND('Exh JDT-5 (Rate Design)'!I26,5)</f>
        <v>1.8610000000000002E-2</v>
      </c>
      <c r="V13" s="88">
        <f>ROUND('Exh JDT-5 (Rate Design)'!J26,5)</f>
        <v>1.8610000000000002E-2</v>
      </c>
      <c r="W13" s="89">
        <f>IFERROR((U13-T13)/T13,"na")</f>
        <v>0.24731903485254708</v>
      </c>
      <c r="X13" s="89">
        <f>IFERROR((V13-U13)/U13,"na")</f>
        <v>0</v>
      </c>
      <c r="Y13" s="95"/>
      <c r="Z13" s="88"/>
      <c r="AA13" s="88"/>
      <c r="AB13" s="89"/>
      <c r="AC13" s="96"/>
      <c r="AD13" s="97">
        <f>ROUND('Exh JDT-5 (141DCARB)'!$G$14,5)</f>
        <v>2.6099999999999999E-3</v>
      </c>
    </row>
    <row r="14" spans="1:30" s="51" customFormat="1" x14ac:dyDescent="0.2">
      <c r="A14" s="84">
        <f t="shared" si="2"/>
        <v>6</v>
      </c>
      <c r="B14" s="85" t="s">
        <v>51</v>
      </c>
      <c r="C14" s="86" t="s">
        <v>53</v>
      </c>
      <c r="D14" s="103" t="s">
        <v>46</v>
      </c>
      <c r="E14" s="87">
        <f>ROUND('Exh JDT-5 (Rate Design)'!H30,5)</f>
        <v>0.41249000000000002</v>
      </c>
      <c r="F14" s="88">
        <f>ROUND('Exh JDT-5 (Rate Design)'!I30,5)</f>
        <v>0.69101999999999997</v>
      </c>
      <c r="G14" s="88">
        <f>ROUND('Exh JDT-5 (Rate Design)'!J30,5)</f>
        <v>0.67811999999999995</v>
      </c>
      <c r="H14" s="89">
        <f>IFERROR((F14-E14)/E14,"na")</f>
        <v>0.6752406118936215</v>
      </c>
      <c r="I14" s="89">
        <f>IFERROR((G14-F14)/F14,"na")</f>
        <v>-1.8668055917339617E-2</v>
      </c>
      <c r="J14" s="90">
        <f>ROUND('Exh JDT-5 (Rate Design)'!H29,2)</f>
        <v>364.04</v>
      </c>
      <c r="K14" s="91">
        <f>ROUND('Exh JDT-5 (Rate Design)'!I29,2)</f>
        <v>364.04</v>
      </c>
      <c r="L14" s="91">
        <f>ROUND('Exh JDT-5 (Rate Design)'!J29,2)</f>
        <v>364.04</v>
      </c>
      <c r="M14" s="89">
        <f>IFERROR((K14-J14)/J14,"na")</f>
        <v>0</v>
      </c>
      <c r="N14" s="89">
        <f>IFERROR((L14-K14)/K14,"na")</f>
        <v>0</v>
      </c>
      <c r="O14" s="92"/>
      <c r="P14" s="93"/>
      <c r="Q14" s="93"/>
      <c r="R14" s="89"/>
      <c r="S14" s="89"/>
      <c r="T14" s="87"/>
      <c r="U14" s="88"/>
      <c r="V14" s="88"/>
      <c r="W14" s="94"/>
      <c r="X14" s="94"/>
      <c r="Y14" s="95"/>
      <c r="Z14" s="88"/>
      <c r="AA14" s="88"/>
      <c r="AB14" s="89"/>
      <c r="AC14" s="96"/>
      <c r="AD14" s="97">
        <f>ROUND('Exh JDT-5 (141DCARB)'!$G$14,5)</f>
        <v>2.6099999999999999E-3</v>
      </c>
    </row>
    <row r="15" spans="1:30" s="51" customFormat="1" x14ac:dyDescent="0.2">
      <c r="A15" s="84">
        <f t="shared" si="2"/>
        <v>7</v>
      </c>
      <c r="B15" s="85"/>
      <c r="C15" s="86"/>
      <c r="D15" s="103"/>
      <c r="E15" s="87"/>
      <c r="F15" s="88"/>
      <c r="G15" s="88"/>
      <c r="H15" s="89"/>
      <c r="I15" s="89"/>
      <c r="J15" s="90"/>
      <c r="K15" s="91"/>
      <c r="L15" s="99"/>
      <c r="M15" s="89"/>
      <c r="N15" s="89"/>
      <c r="O15" s="92"/>
      <c r="P15" s="93"/>
      <c r="Q15" s="93"/>
      <c r="R15" s="102"/>
      <c r="S15" s="102"/>
      <c r="T15" s="100"/>
      <c r="U15" s="101"/>
      <c r="V15" s="101"/>
      <c r="W15" s="102"/>
      <c r="X15" s="102"/>
      <c r="Y15" s="95"/>
      <c r="Z15" s="88"/>
      <c r="AA15" s="88"/>
      <c r="AB15" s="89"/>
      <c r="AC15" s="96"/>
      <c r="AD15" s="97"/>
    </row>
    <row r="16" spans="1:30" s="51" customFormat="1" x14ac:dyDescent="0.2">
      <c r="A16" s="84">
        <f t="shared" si="2"/>
        <v>8</v>
      </c>
      <c r="B16" s="85" t="s">
        <v>54</v>
      </c>
      <c r="C16" s="86" t="s">
        <v>55</v>
      </c>
      <c r="D16" s="103" t="s">
        <v>56</v>
      </c>
      <c r="E16" s="87">
        <f>ROUND('Exh JDT-5 (Rate Design)'!H44,5)</f>
        <v>0.14030999999999999</v>
      </c>
      <c r="F16" s="88">
        <f>ROUND('Exh JDT-5 (Rate Design)'!I44,5)</f>
        <v>0.25609999999999999</v>
      </c>
      <c r="G16" s="88">
        <f>ROUND('Exh JDT-5 (Rate Design)'!J44,5)</f>
        <v>0.24009</v>
      </c>
      <c r="H16" s="89">
        <f t="shared" ref="H16:I18" si="3">IFERROR((F16-E16)/E16,"na")</f>
        <v>0.82524410234480805</v>
      </c>
      <c r="I16" s="89">
        <f t="shared" si="3"/>
        <v>-6.251464271768839E-2</v>
      </c>
      <c r="J16" s="104">
        <f>ROUND('Exh JDT-5 (Rate Design)'!H38,2)</f>
        <v>130.33000000000001</v>
      </c>
      <c r="K16" s="105">
        <f>ROUND('Exh JDT-5 (Rate Design)'!I38,2)</f>
        <v>169.43</v>
      </c>
      <c r="L16" s="105">
        <f>ROUND('Exh JDT-5 (Rate Design)'!J38,2)</f>
        <v>220.26</v>
      </c>
      <c r="M16" s="106">
        <f>IFERROR((K16-J16)/J16,"na")</f>
        <v>0.30000767283050711</v>
      </c>
      <c r="N16" s="106">
        <f>IFERROR((L16-K16)/K16,"na")</f>
        <v>0.30000590214247763</v>
      </c>
      <c r="O16" s="107">
        <f>ROUND('Exh JDT-5 (Rate Design)'!H41,2)</f>
        <v>126.28</v>
      </c>
      <c r="P16" s="108">
        <f>ROUND('Exh JDT-5 (Rate Design)'!I41,2)</f>
        <v>230.49</v>
      </c>
      <c r="Q16" s="108">
        <f>ROUND('Exh JDT-5 (Rate Design)'!J41,2)</f>
        <v>216.08</v>
      </c>
      <c r="R16" s="106">
        <f>IFERROR((P16-O16)/O16,"na")</f>
        <v>0.82522964840038016</v>
      </c>
      <c r="S16" s="106">
        <f>IFERROR((Q16-P16)/P16,"na")</f>
        <v>-6.2518981300707169E-2</v>
      </c>
      <c r="T16" s="109">
        <f>ROUND('Exh JDT-5 (Rate Design)'!H40,5)</f>
        <v>1.119E-2</v>
      </c>
      <c r="U16" s="110">
        <f>ROUND('Exh JDT-5 (Rate Design)'!I40,5)</f>
        <v>1.5089999999999999E-2</v>
      </c>
      <c r="V16" s="110">
        <f>ROUND('Exh JDT-5 (Rate Design)'!J40,5)</f>
        <v>1.5089999999999999E-2</v>
      </c>
      <c r="W16" s="106">
        <f>IFERROR((U16-T16)/T16,"na")</f>
        <v>0.3485254691689007</v>
      </c>
      <c r="X16" s="106">
        <f>IFERROR((V16-U16)/U16,"na")</f>
        <v>0</v>
      </c>
      <c r="Y16" s="107">
        <f>ROUND('Exh JDT-5 (Rate Design)'!H39,2)</f>
        <v>1.37</v>
      </c>
      <c r="Z16" s="108">
        <f>ROUND('Exh JDT-5 (Rate Design)'!I39,2)</f>
        <v>1.62</v>
      </c>
      <c r="AA16" s="108">
        <f>ROUND('Exh JDT-5 (Rate Design)'!J39,2)</f>
        <v>1.91</v>
      </c>
      <c r="AB16" s="106">
        <f>IFERROR((Z16-Y16)/Y16,"na")</f>
        <v>0.18248175182481752</v>
      </c>
      <c r="AC16" s="111">
        <f>IFERROR((AA16-Z16)/Z16,"na")</f>
        <v>0.17901234567901222</v>
      </c>
      <c r="AD16" s="97">
        <f>ROUND('Exh JDT-5 (141DCARB)'!$G$15,5)</f>
        <v>1.07E-3</v>
      </c>
    </row>
    <row r="17" spans="1:30" s="51" customFormat="1" x14ac:dyDescent="0.2">
      <c r="A17" s="84">
        <f t="shared" si="2"/>
        <v>9</v>
      </c>
      <c r="B17" s="85" t="s">
        <v>54</v>
      </c>
      <c r="C17" s="86" t="s">
        <v>55</v>
      </c>
      <c r="D17" s="103" t="s">
        <v>57</v>
      </c>
      <c r="E17" s="87">
        <f>ROUND('Exh JDT-5 (Rate Design)'!H45,5)</f>
        <v>0.14030999999999999</v>
      </c>
      <c r="F17" s="88">
        <f>ROUND('Exh JDT-5 (Rate Design)'!I45,5)</f>
        <v>0.25609999999999999</v>
      </c>
      <c r="G17" s="88">
        <f>ROUND('Exh JDT-5 (Rate Design)'!J45,5)</f>
        <v>0.24009</v>
      </c>
      <c r="H17" s="89">
        <f t="shared" si="3"/>
        <v>0.82524410234480805</v>
      </c>
      <c r="I17" s="89">
        <f t="shared" si="3"/>
        <v>-6.251464271768839E-2</v>
      </c>
      <c r="J17" s="104"/>
      <c r="K17" s="105"/>
      <c r="L17" s="105"/>
      <c r="M17" s="106"/>
      <c r="N17" s="106"/>
      <c r="O17" s="107"/>
      <c r="P17" s="108"/>
      <c r="Q17" s="108"/>
      <c r="R17" s="106"/>
      <c r="S17" s="106"/>
      <c r="T17" s="109"/>
      <c r="U17" s="110"/>
      <c r="V17" s="110"/>
      <c r="W17" s="106"/>
      <c r="X17" s="106"/>
      <c r="Y17" s="107"/>
      <c r="Z17" s="108"/>
      <c r="AA17" s="108"/>
      <c r="AB17" s="106"/>
      <c r="AC17" s="111"/>
      <c r="AD17" s="97">
        <f>ROUND('Exh JDT-5 (141DCARB)'!$G$15,5)</f>
        <v>1.07E-3</v>
      </c>
    </row>
    <row r="18" spans="1:30" s="51" customFormat="1" x14ac:dyDescent="0.2">
      <c r="A18" s="84">
        <f t="shared" si="2"/>
        <v>10</v>
      </c>
      <c r="B18" s="85" t="s">
        <v>54</v>
      </c>
      <c r="C18" s="86" t="s">
        <v>55</v>
      </c>
      <c r="D18" s="103" t="s">
        <v>58</v>
      </c>
      <c r="E18" s="87">
        <f>ROUND('Exh JDT-5 (Rate Design)'!H46,5)</f>
        <v>0.12131</v>
      </c>
      <c r="F18" s="88">
        <f>ROUND('Exh JDT-5 (Rate Design)'!I46,5)</f>
        <v>0.22142000000000001</v>
      </c>
      <c r="G18" s="88">
        <f>ROUND('Exh JDT-5 (Rate Design)'!J46,5)</f>
        <v>0.20757999999999999</v>
      </c>
      <c r="H18" s="89">
        <f t="shared" si="3"/>
        <v>0.82524111779737863</v>
      </c>
      <c r="I18" s="89">
        <f t="shared" si="3"/>
        <v>-6.2505645379821242E-2</v>
      </c>
      <c r="J18" s="104"/>
      <c r="K18" s="105"/>
      <c r="L18" s="105"/>
      <c r="M18" s="106"/>
      <c r="N18" s="106"/>
      <c r="O18" s="107"/>
      <c r="P18" s="108"/>
      <c r="Q18" s="108"/>
      <c r="R18" s="106"/>
      <c r="S18" s="106"/>
      <c r="T18" s="109"/>
      <c r="U18" s="110"/>
      <c r="V18" s="110"/>
      <c r="W18" s="106"/>
      <c r="X18" s="106"/>
      <c r="Y18" s="107"/>
      <c r="Z18" s="108"/>
      <c r="AA18" s="108"/>
      <c r="AB18" s="106"/>
      <c r="AC18" s="111"/>
      <c r="AD18" s="97">
        <f>ROUND('Exh JDT-5 (141DCARB)'!$G$15,5)</f>
        <v>1.07E-3</v>
      </c>
    </row>
    <row r="19" spans="1:30" s="51" customFormat="1" x14ac:dyDescent="0.2">
      <c r="A19" s="84">
        <f t="shared" si="2"/>
        <v>11</v>
      </c>
      <c r="B19" s="85"/>
      <c r="C19" s="86"/>
      <c r="D19" s="103"/>
      <c r="E19" s="87"/>
      <c r="F19" s="88"/>
      <c r="G19" s="88"/>
      <c r="H19" s="89"/>
      <c r="I19" s="89"/>
      <c r="J19" s="90"/>
      <c r="K19" s="91"/>
      <c r="L19" s="99"/>
      <c r="M19" s="89"/>
      <c r="N19" s="89"/>
      <c r="O19" s="95"/>
      <c r="P19" s="112"/>
      <c r="Q19" s="112"/>
      <c r="R19" s="89"/>
      <c r="S19" s="89"/>
      <c r="T19" s="87"/>
      <c r="U19" s="88"/>
      <c r="V19" s="88"/>
      <c r="W19" s="89"/>
      <c r="X19" s="89"/>
      <c r="Y19" s="95"/>
      <c r="Z19" s="113"/>
      <c r="AA19" s="113"/>
      <c r="AB19" s="89"/>
      <c r="AC19" s="96"/>
      <c r="AD19" s="97"/>
    </row>
    <row r="20" spans="1:30" s="51" customFormat="1" x14ac:dyDescent="0.2">
      <c r="A20" s="84">
        <f t="shared" si="2"/>
        <v>12</v>
      </c>
      <c r="B20" s="85" t="s">
        <v>54</v>
      </c>
      <c r="C20" s="86" t="s">
        <v>59</v>
      </c>
      <c r="D20" s="103" t="s">
        <v>56</v>
      </c>
      <c r="E20" s="87">
        <f>ROUND('Exh JDT-5 (Rate Design)'!H56,5)</f>
        <v>0.14030999999999999</v>
      </c>
      <c r="F20" s="88">
        <f>ROUND('Exh JDT-5 (Rate Design)'!I56,5)</f>
        <v>0.25609999999999999</v>
      </c>
      <c r="G20" s="88">
        <f>ROUND('Exh JDT-5 (Rate Design)'!J56,5)</f>
        <v>0.24009</v>
      </c>
      <c r="H20" s="89">
        <f t="shared" ref="H20:I22" si="4">IFERROR((F20-E20)/E20,"na")</f>
        <v>0.82524410234480805</v>
      </c>
      <c r="I20" s="89">
        <f t="shared" si="4"/>
        <v>-6.251464271768839E-2</v>
      </c>
      <c r="J20" s="104">
        <f>ROUND('Exh JDT-5 (Rate Design)'!H51,2)</f>
        <v>422.79</v>
      </c>
      <c r="K20" s="105">
        <f>ROUND('Exh JDT-5 (Rate Design)'!I51,2)</f>
        <v>422.79</v>
      </c>
      <c r="L20" s="105">
        <f>ROUND('Exh JDT-5 (Rate Design)'!J51,2)</f>
        <v>422.79</v>
      </c>
      <c r="M20" s="106">
        <f>IFERROR((K20-J20)/J20,"na")</f>
        <v>0</v>
      </c>
      <c r="N20" s="106">
        <f>IFERROR((L20-K20)/K20,"na")</f>
        <v>0</v>
      </c>
      <c r="O20" s="107">
        <f>ROUND('Exh JDT-5 (Rate Design)'!H53,2)</f>
        <v>126.28</v>
      </c>
      <c r="P20" s="108">
        <f>ROUND('Exh JDT-5 (Rate Design)'!I53,2)</f>
        <v>230.49</v>
      </c>
      <c r="Q20" s="108">
        <f>ROUND('Exh JDT-5 (Rate Design)'!J53,2)</f>
        <v>216.08</v>
      </c>
      <c r="R20" s="106">
        <f>IFERROR((P20-O20)/O20,"na")</f>
        <v>0.82522964840038016</v>
      </c>
      <c r="S20" s="106">
        <f>IFERROR((Q20-P20)/P20,"na")</f>
        <v>-6.2518981300707169E-2</v>
      </c>
      <c r="T20" s="109"/>
      <c r="U20" s="110"/>
      <c r="V20" s="110"/>
      <c r="W20" s="106"/>
      <c r="X20" s="106"/>
      <c r="Y20" s="107">
        <f>ROUND('Exh JDT-5 (Rate Design)'!H52,2)</f>
        <v>1.37</v>
      </c>
      <c r="Z20" s="108">
        <f>ROUND('Exh JDT-5 (Rate Design)'!I52,2)</f>
        <v>1.62</v>
      </c>
      <c r="AA20" s="108">
        <f>ROUND('Exh JDT-5 (Rate Design)'!J52,2)</f>
        <v>1.91</v>
      </c>
      <c r="AB20" s="106">
        <f>IFERROR((Z20-Y20)/Y20,"na")</f>
        <v>0.18248175182481752</v>
      </c>
      <c r="AC20" s="111">
        <f>IFERROR((AA20-Z20)/Z20,"na")</f>
        <v>0.17901234567901222</v>
      </c>
      <c r="AD20" s="97">
        <f>ROUND('Exh JDT-5 (141DCARB)'!$G$15,5)</f>
        <v>1.07E-3</v>
      </c>
    </row>
    <row r="21" spans="1:30" s="51" customFormat="1" x14ac:dyDescent="0.2">
      <c r="A21" s="84">
        <f t="shared" si="2"/>
        <v>13</v>
      </c>
      <c r="B21" s="85" t="s">
        <v>54</v>
      </c>
      <c r="C21" s="86" t="s">
        <v>59</v>
      </c>
      <c r="D21" s="103" t="s">
        <v>57</v>
      </c>
      <c r="E21" s="87">
        <f>ROUND('Exh JDT-5 (Rate Design)'!H57,5)</f>
        <v>0.14030999999999999</v>
      </c>
      <c r="F21" s="88">
        <f>ROUND('Exh JDT-5 (Rate Design)'!I57,5)</f>
        <v>0.25609999999999999</v>
      </c>
      <c r="G21" s="88">
        <f>ROUND('Exh JDT-5 (Rate Design)'!J57,5)</f>
        <v>0.24009</v>
      </c>
      <c r="H21" s="89">
        <f t="shared" si="4"/>
        <v>0.82524410234480805</v>
      </c>
      <c r="I21" s="89">
        <f t="shared" si="4"/>
        <v>-6.251464271768839E-2</v>
      </c>
      <c r="J21" s="104"/>
      <c r="K21" s="105"/>
      <c r="L21" s="105"/>
      <c r="M21" s="106"/>
      <c r="N21" s="106"/>
      <c r="O21" s="107"/>
      <c r="P21" s="108"/>
      <c r="Q21" s="108"/>
      <c r="R21" s="106"/>
      <c r="S21" s="106"/>
      <c r="T21" s="109"/>
      <c r="U21" s="110"/>
      <c r="V21" s="110"/>
      <c r="W21" s="106"/>
      <c r="X21" s="106"/>
      <c r="Y21" s="107"/>
      <c r="Z21" s="108"/>
      <c r="AA21" s="108"/>
      <c r="AB21" s="106"/>
      <c r="AC21" s="111"/>
      <c r="AD21" s="97">
        <f>ROUND('Exh JDT-5 (141DCARB)'!$G$15,5)</f>
        <v>1.07E-3</v>
      </c>
    </row>
    <row r="22" spans="1:30" s="51" customFormat="1" x14ac:dyDescent="0.2">
      <c r="A22" s="84">
        <f t="shared" si="2"/>
        <v>14</v>
      </c>
      <c r="B22" s="85" t="s">
        <v>54</v>
      </c>
      <c r="C22" s="86" t="s">
        <v>59</v>
      </c>
      <c r="D22" s="103" t="s">
        <v>58</v>
      </c>
      <c r="E22" s="87">
        <f>ROUND('Exh JDT-5 (Rate Design)'!H58,5)</f>
        <v>0.12131</v>
      </c>
      <c r="F22" s="88">
        <f>ROUND('Exh JDT-5 (Rate Design)'!I58,5)</f>
        <v>0.22142000000000001</v>
      </c>
      <c r="G22" s="88">
        <f>ROUND('Exh JDT-5 (Rate Design)'!J58,5)</f>
        <v>0.20757999999999999</v>
      </c>
      <c r="H22" s="89">
        <f t="shared" si="4"/>
        <v>0.82524111779737863</v>
      </c>
      <c r="I22" s="89">
        <f t="shared" si="4"/>
        <v>-6.2505645379821242E-2</v>
      </c>
      <c r="J22" s="104"/>
      <c r="K22" s="105"/>
      <c r="L22" s="105"/>
      <c r="M22" s="106"/>
      <c r="N22" s="106"/>
      <c r="O22" s="107"/>
      <c r="P22" s="108"/>
      <c r="Q22" s="108"/>
      <c r="R22" s="106"/>
      <c r="S22" s="106"/>
      <c r="T22" s="109"/>
      <c r="U22" s="110"/>
      <c r="V22" s="110"/>
      <c r="W22" s="106"/>
      <c r="X22" s="106"/>
      <c r="Y22" s="107"/>
      <c r="Z22" s="108"/>
      <c r="AA22" s="108"/>
      <c r="AB22" s="106"/>
      <c r="AC22" s="111"/>
      <c r="AD22" s="97">
        <f>ROUND('Exh JDT-5 (141DCARB)'!$G$15,5)</f>
        <v>1.07E-3</v>
      </c>
    </row>
    <row r="23" spans="1:30" s="51" customFormat="1" x14ac:dyDescent="0.2">
      <c r="A23" s="84">
        <f t="shared" si="2"/>
        <v>15</v>
      </c>
      <c r="B23" s="85"/>
      <c r="C23" s="86"/>
      <c r="D23" s="103"/>
      <c r="E23" s="87"/>
      <c r="F23" s="88"/>
      <c r="G23" s="88"/>
      <c r="H23" s="89"/>
      <c r="I23" s="89"/>
      <c r="J23" s="90"/>
      <c r="K23" s="91"/>
      <c r="L23" s="99"/>
      <c r="M23" s="89"/>
      <c r="N23" s="89"/>
      <c r="O23" s="92"/>
      <c r="P23" s="93"/>
      <c r="Q23" s="93"/>
      <c r="R23" s="102"/>
      <c r="S23" s="102"/>
      <c r="T23" s="100"/>
      <c r="U23" s="101"/>
      <c r="V23" s="101"/>
      <c r="W23" s="102"/>
      <c r="X23" s="102"/>
      <c r="Y23" s="95"/>
      <c r="Z23" s="113"/>
      <c r="AA23" s="113"/>
      <c r="AB23" s="89"/>
      <c r="AC23" s="96"/>
      <c r="AD23" s="114"/>
    </row>
    <row r="24" spans="1:30" s="51" customFormat="1" x14ac:dyDescent="0.2">
      <c r="A24" s="84">
        <f t="shared" si="2"/>
        <v>16</v>
      </c>
      <c r="B24" s="85" t="s">
        <v>60</v>
      </c>
      <c r="C24" s="86" t="s">
        <v>61</v>
      </c>
      <c r="D24" s="103" t="s">
        <v>62</v>
      </c>
      <c r="E24" s="87">
        <f>ROUND('Exh JDT-5 (Rate Design)'!H74,5)</f>
        <v>0.12488</v>
      </c>
      <c r="F24" s="88">
        <f>ROUND('Exh JDT-5 (Rate Design)'!I74,5)</f>
        <v>0.21365000000000001</v>
      </c>
      <c r="G24" s="88">
        <f>ROUND('Exh JDT-5 (Rate Design)'!J74,5)</f>
        <v>0.21548999999999999</v>
      </c>
      <c r="H24" s="89">
        <f t="shared" ref="H24:I26" si="5">IFERROR((F24-E24)/E24,"na")</f>
        <v>0.71084240871236382</v>
      </c>
      <c r="I24" s="89">
        <f t="shared" si="5"/>
        <v>8.6122162415164082E-3</v>
      </c>
      <c r="J24" s="104">
        <f>ROUND('Exh JDT-5 (Rate Design)'!H68,2)</f>
        <v>701.68</v>
      </c>
      <c r="K24" s="105">
        <f>ROUND('Exh JDT-5 (Rate Design)'!I68,2)</f>
        <v>912.18</v>
      </c>
      <c r="L24" s="105">
        <f>ROUND('Exh JDT-5 (Rate Design)'!J68,2)</f>
        <v>1185.8399999999999</v>
      </c>
      <c r="M24" s="106">
        <f>IFERROR((K24-J24)/J24,"na")</f>
        <v>0.29999429939573596</v>
      </c>
      <c r="N24" s="106">
        <f>IFERROR((L24-K24)/K24,"na")</f>
        <v>0.30000657764914818</v>
      </c>
      <c r="O24" s="104"/>
      <c r="P24" s="105"/>
      <c r="Q24" s="105"/>
      <c r="R24" s="106"/>
      <c r="S24" s="106"/>
      <c r="T24" s="109">
        <f>ROUND('Exh JDT-5 (Rate Design)'!H70,5)</f>
        <v>7.7999999999999996E-3</v>
      </c>
      <c r="U24" s="110">
        <f>ROUND('Exh JDT-5 (Rate Design)'!I70,5)</f>
        <v>1.214E-2</v>
      </c>
      <c r="V24" s="110">
        <f>ROUND('Exh JDT-5 (Rate Design)'!J70,5)</f>
        <v>1.214E-2</v>
      </c>
      <c r="W24" s="106">
        <f>IFERROR((U24-T24)/T24,"na")</f>
        <v>0.55641025641025643</v>
      </c>
      <c r="X24" s="106">
        <f>IFERROR((V24-U24)/U24,"na")</f>
        <v>0</v>
      </c>
      <c r="Y24" s="107">
        <f>ROUND('Exh JDT-5 (Rate Design)'!H69,2)</f>
        <v>1.44</v>
      </c>
      <c r="Z24" s="108">
        <f>ROUND('Exh JDT-5 (Rate Design)'!I69,2)</f>
        <v>1.7</v>
      </c>
      <c r="AA24" s="108">
        <f>ROUND('Exh JDT-5 (Rate Design)'!J69,2)</f>
        <v>2.0099999999999998</v>
      </c>
      <c r="AB24" s="106">
        <f>IFERROR((Z24-Y24)/Y24,"na")</f>
        <v>0.18055555555555558</v>
      </c>
      <c r="AC24" s="111">
        <f>IFERROR((AA24-Z24)/Z24,"na")</f>
        <v>0.1823529411764705</v>
      </c>
      <c r="AD24" s="97">
        <f>ROUND('Exh JDT-5 (141DCARB)'!$G$16,5)</f>
        <v>4.2999999999999999E-4</v>
      </c>
    </row>
    <row r="25" spans="1:30" s="51" customFormat="1" x14ac:dyDescent="0.2">
      <c r="A25" s="84">
        <f t="shared" si="2"/>
        <v>17</v>
      </c>
      <c r="B25" s="85" t="s">
        <v>60</v>
      </c>
      <c r="C25" s="86" t="s">
        <v>61</v>
      </c>
      <c r="D25" s="103" t="s">
        <v>63</v>
      </c>
      <c r="E25" s="87">
        <f>ROUND('Exh JDT-5 (Rate Design)'!H75,5)</f>
        <v>5.9339999999999997E-2</v>
      </c>
      <c r="F25" s="88">
        <f>ROUND('Exh JDT-5 (Rate Design)'!I75,5)</f>
        <v>0.10152</v>
      </c>
      <c r="G25" s="88">
        <f>ROUND('Exh JDT-5 (Rate Design)'!J75,5)</f>
        <v>0.1024</v>
      </c>
      <c r="H25" s="89">
        <f t="shared" si="5"/>
        <v>0.71081900910010121</v>
      </c>
      <c r="I25" s="89">
        <f t="shared" si="5"/>
        <v>8.6682427107959599E-3</v>
      </c>
      <c r="J25" s="104"/>
      <c r="K25" s="105"/>
      <c r="L25" s="105"/>
      <c r="M25" s="106"/>
      <c r="N25" s="106"/>
      <c r="O25" s="104"/>
      <c r="P25" s="105"/>
      <c r="Q25" s="105"/>
      <c r="R25" s="106"/>
      <c r="S25" s="106"/>
      <c r="T25" s="109"/>
      <c r="U25" s="110"/>
      <c r="V25" s="110"/>
      <c r="W25" s="106"/>
      <c r="X25" s="106"/>
      <c r="Y25" s="107"/>
      <c r="Z25" s="108"/>
      <c r="AA25" s="108"/>
      <c r="AB25" s="106"/>
      <c r="AC25" s="111"/>
      <c r="AD25" s="97">
        <f>ROUND('Exh JDT-5 (141DCARB)'!$G$16,5)</f>
        <v>4.2999999999999999E-4</v>
      </c>
    </row>
    <row r="26" spans="1:30" s="51" customFormat="1" x14ac:dyDescent="0.2">
      <c r="A26" s="84">
        <f t="shared" si="2"/>
        <v>18</v>
      </c>
      <c r="B26" s="85" t="s">
        <v>60</v>
      </c>
      <c r="C26" s="86" t="s">
        <v>61</v>
      </c>
      <c r="D26" s="103" t="s">
        <v>64</v>
      </c>
      <c r="E26" s="87">
        <f>ROUND('Exh JDT-5 (Rate Design)'!H76,5)</f>
        <v>5.6770000000000001E-2</v>
      </c>
      <c r="F26" s="88">
        <f>ROUND('Exh JDT-5 (Rate Design)'!I76,5)</f>
        <v>9.7129999999999994E-2</v>
      </c>
      <c r="G26" s="88">
        <f>ROUND('Exh JDT-5 (Rate Design)'!J76,5)</f>
        <v>9.7960000000000005E-2</v>
      </c>
      <c r="H26" s="89">
        <f t="shared" si="5"/>
        <v>0.71093887616698948</v>
      </c>
      <c r="I26" s="89">
        <f t="shared" si="5"/>
        <v>8.5452486358489795E-3</v>
      </c>
      <c r="J26" s="104"/>
      <c r="K26" s="105"/>
      <c r="L26" s="105"/>
      <c r="M26" s="106"/>
      <c r="N26" s="106"/>
      <c r="O26" s="104"/>
      <c r="P26" s="105"/>
      <c r="Q26" s="105"/>
      <c r="R26" s="106"/>
      <c r="S26" s="106"/>
      <c r="T26" s="109"/>
      <c r="U26" s="110"/>
      <c r="V26" s="110"/>
      <c r="W26" s="106"/>
      <c r="X26" s="106"/>
      <c r="Y26" s="107"/>
      <c r="Z26" s="108"/>
      <c r="AA26" s="108"/>
      <c r="AB26" s="106"/>
      <c r="AC26" s="111"/>
      <c r="AD26" s="97">
        <f>ROUND('Exh JDT-5 (141DCARB)'!$G$16,5)</f>
        <v>4.2999999999999999E-4</v>
      </c>
    </row>
    <row r="27" spans="1:30" s="51" customFormat="1" x14ac:dyDescent="0.2">
      <c r="A27" s="84">
        <f t="shared" si="2"/>
        <v>19</v>
      </c>
      <c r="B27" s="85"/>
      <c r="C27" s="86"/>
      <c r="D27" s="103"/>
      <c r="E27" s="87"/>
      <c r="F27" s="88"/>
      <c r="G27" s="88"/>
      <c r="H27" s="89"/>
      <c r="I27" s="89"/>
      <c r="J27" s="90"/>
      <c r="K27" s="91"/>
      <c r="L27" s="91"/>
      <c r="M27" s="89"/>
      <c r="N27" s="89"/>
      <c r="O27" s="115"/>
      <c r="P27" s="116"/>
      <c r="Q27" s="116"/>
      <c r="R27" s="102"/>
      <c r="S27" s="102"/>
      <c r="T27" s="100"/>
      <c r="U27" s="101"/>
      <c r="V27" s="101"/>
      <c r="W27" s="102"/>
      <c r="X27" s="102"/>
      <c r="Y27" s="95"/>
      <c r="Z27" s="113"/>
      <c r="AA27" s="113"/>
      <c r="AB27" s="89"/>
      <c r="AC27" s="96"/>
      <c r="AD27" s="97"/>
    </row>
    <row r="28" spans="1:30" s="51" customFormat="1" x14ac:dyDescent="0.2">
      <c r="A28" s="84">
        <f t="shared" si="2"/>
        <v>20</v>
      </c>
      <c r="B28" s="85" t="s">
        <v>60</v>
      </c>
      <c r="C28" s="86" t="s">
        <v>65</v>
      </c>
      <c r="D28" s="103" t="s">
        <v>62</v>
      </c>
      <c r="E28" s="87">
        <f>ROUND('Exh JDT-5 (Rate Design)'!H86,5)</f>
        <v>0.12488</v>
      </c>
      <c r="F28" s="88">
        <f>ROUND('Exh JDT-5 (Rate Design)'!I86,5)</f>
        <v>0.21365000000000001</v>
      </c>
      <c r="G28" s="88">
        <f>ROUND('Exh JDT-5 (Rate Design)'!J86,5)</f>
        <v>0.21548999999999999</v>
      </c>
      <c r="H28" s="89">
        <f t="shared" ref="H28:I30" si="6">IFERROR((F28-E28)/E28,"na")</f>
        <v>0.71084240871236382</v>
      </c>
      <c r="I28" s="89">
        <f t="shared" si="6"/>
        <v>8.6122162415164082E-3</v>
      </c>
      <c r="J28" s="104">
        <f>ROUND('Exh JDT-5 (Rate Design)'!H81,2)</f>
        <v>903.09</v>
      </c>
      <c r="K28" s="105">
        <f>ROUND('Exh JDT-5 (Rate Design)'!I81,2)</f>
        <v>1034.8499999999999</v>
      </c>
      <c r="L28" s="105">
        <f>ROUND('Exh JDT-5 (Rate Design)'!J81,2)</f>
        <v>1185.8399999999999</v>
      </c>
      <c r="M28" s="106">
        <f>IFERROR((K28-J28)/J28,"na")</f>
        <v>0.14589907982593084</v>
      </c>
      <c r="N28" s="106">
        <f>IFERROR((L28-K28)/K28,"na")</f>
        <v>0.14590520365270332</v>
      </c>
      <c r="O28" s="104"/>
      <c r="P28" s="105"/>
      <c r="Q28" s="105"/>
      <c r="R28" s="106"/>
      <c r="S28" s="106"/>
      <c r="T28" s="109"/>
      <c r="U28" s="110"/>
      <c r="V28" s="110"/>
      <c r="W28" s="106"/>
      <c r="X28" s="106"/>
      <c r="Y28" s="107">
        <f>ROUND('Exh JDT-5 (Rate Design)'!H82,2)</f>
        <v>1.44</v>
      </c>
      <c r="Z28" s="108">
        <f>ROUND('Exh JDT-5 (Rate Design)'!I82,2)</f>
        <v>1.7</v>
      </c>
      <c r="AA28" s="108">
        <f>ROUND('Exh JDT-5 (Rate Design)'!J82,2)</f>
        <v>2.0099999999999998</v>
      </c>
      <c r="AB28" s="106">
        <f>IFERROR((Z28-Y28)/Y28,"na")</f>
        <v>0.18055555555555558</v>
      </c>
      <c r="AC28" s="111">
        <f>IFERROR((AA28-Z28)/Z28,"na")</f>
        <v>0.1823529411764705</v>
      </c>
      <c r="AD28" s="97">
        <f>ROUND('Exh JDT-5 (141DCARB)'!$G$16,5)</f>
        <v>4.2999999999999999E-4</v>
      </c>
    </row>
    <row r="29" spans="1:30" s="51" customFormat="1" x14ac:dyDescent="0.2">
      <c r="A29" s="84">
        <f t="shared" si="2"/>
        <v>21</v>
      </c>
      <c r="B29" s="85" t="s">
        <v>60</v>
      </c>
      <c r="C29" s="86" t="s">
        <v>65</v>
      </c>
      <c r="D29" s="103" t="s">
        <v>63</v>
      </c>
      <c r="E29" s="87">
        <f>ROUND('Exh JDT-5 (Rate Design)'!H87,5)</f>
        <v>5.9339999999999997E-2</v>
      </c>
      <c r="F29" s="88">
        <f>ROUND('Exh JDT-5 (Rate Design)'!I87,5)</f>
        <v>0.10152</v>
      </c>
      <c r="G29" s="88">
        <f>ROUND('Exh JDT-5 (Rate Design)'!J87,5)</f>
        <v>0.1024</v>
      </c>
      <c r="H29" s="89">
        <f t="shared" si="6"/>
        <v>0.71081900910010121</v>
      </c>
      <c r="I29" s="89">
        <f t="shared" si="6"/>
        <v>8.6682427107959599E-3</v>
      </c>
      <c r="J29" s="104"/>
      <c r="K29" s="105"/>
      <c r="L29" s="105"/>
      <c r="M29" s="106"/>
      <c r="N29" s="106"/>
      <c r="O29" s="104"/>
      <c r="P29" s="105"/>
      <c r="Q29" s="105"/>
      <c r="R29" s="106"/>
      <c r="S29" s="106"/>
      <c r="T29" s="109"/>
      <c r="U29" s="110"/>
      <c r="V29" s="110"/>
      <c r="W29" s="106"/>
      <c r="X29" s="106"/>
      <c r="Y29" s="107"/>
      <c r="Z29" s="108"/>
      <c r="AA29" s="108"/>
      <c r="AB29" s="106"/>
      <c r="AC29" s="111"/>
      <c r="AD29" s="97">
        <f>ROUND('Exh JDT-5 (141DCARB)'!$G$16,5)</f>
        <v>4.2999999999999999E-4</v>
      </c>
    </row>
    <row r="30" spans="1:30" s="51" customFormat="1" x14ac:dyDescent="0.2">
      <c r="A30" s="84">
        <f t="shared" si="2"/>
        <v>22</v>
      </c>
      <c r="B30" s="85" t="s">
        <v>60</v>
      </c>
      <c r="C30" s="86" t="s">
        <v>65</v>
      </c>
      <c r="D30" s="103" t="s">
        <v>64</v>
      </c>
      <c r="E30" s="87">
        <f>ROUND('Exh JDT-5 (Rate Design)'!H88,5)</f>
        <v>5.6770000000000001E-2</v>
      </c>
      <c r="F30" s="88">
        <f>ROUND('Exh JDT-5 (Rate Design)'!I88,5)</f>
        <v>9.7129999999999994E-2</v>
      </c>
      <c r="G30" s="88">
        <f>ROUND('Exh JDT-5 (Rate Design)'!J88,5)</f>
        <v>9.7960000000000005E-2</v>
      </c>
      <c r="H30" s="89">
        <f t="shared" si="6"/>
        <v>0.71093887616698948</v>
      </c>
      <c r="I30" s="89">
        <f t="shared" si="6"/>
        <v>8.5452486358489795E-3</v>
      </c>
      <c r="J30" s="104"/>
      <c r="K30" s="105"/>
      <c r="L30" s="105"/>
      <c r="M30" s="106"/>
      <c r="N30" s="106"/>
      <c r="O30" s="104"/>
      <c r="P30" s="105"/>
      <c r="Q30" s="105"/>
      <c r="R30" s="106"/>
      <c r="S30" s="106"/>
      <c r="T30" s="109"/>
      <c r="U30" s="110"/>
      <c r="V30" s="110"/>
      <c r="W30" s="106"/>
      <c r="X30" s="106"/>
      <c r="Y30" s="107"/>
      <c r="Z30" s="108"/>
      <c r="AA30" s="108"/>
      <c r="AB30" s="106"/>
      <c r="AC30" s="111"/>
      <c r="AD30" s="97">
        <f>ROUND('Exh JDT-5 (141DCARB)'!$G$16,5)</f>
        <v>4.2999999999999999E-4</v>
      </c>
    </row>
    <row r="31" spans="1:30" s="51" customFormat="1" x14ac:dyDescent="0.2">
      <c r="A31" s="84">
        <f t="shared" si="2"/>
        <v>23</v>
      </c>
      <c r="B31" s="85"/>
      <c r="C31" s="86"/>
      <c r="D31" s="103"/>
      <c r="E31" s="87"/>
      <c r="F31" s="88"/>
      <c r="G31" s="88"/>
      <c r="H31" s="89"/>
      <c r="I31" s="89"/>
      <c r="J31" s="90"/>
      <c r="K31" s="91"/>
      <c r="L31" s="91"/>
      <c r="M31" s="89"/>
      <c r="N31" s="89"/>
      <c r="O31" s="115"/>
      <c r="P31" s="116"/>
      <c r="Q31" s="116"/>
      <c r="R31" s="102"/>
      <c r="S31" s="102"/>
      <c r="T31" s="100"/>
      <c r="U31" s="101"/>
      <c r="V31" s="101"/>
      <c r="W31" s="102"/>
      <c r="X31" s="102"/>
      <c r="Y31" s="95"/>
      <c r="Z31" s="113"/>
      <c r="AA31" s="113"/>
      <c r="AB31" s="89"/>
      <c r="AC31" s="96"/>
      <c r="AD31" s="114"/>
    </row>
    <row r="32" spans="1:30" s="51" customFormat="1" x14ac:dyDescent="0.2">
      <c r="A32" s="84">
        <f t="shared" si="2"/>
        <v>24</v>
      </c>
      <c r="B32" s="85" t="s">
        <v>66</v>
      </c>
      <c r="C32" s="86" t="s">
        <v>67</v>
      </c>
      <c r="D32" s="103" t="s">
        <v>68</v>
      </c>
      <c r="E32" s="87">
        <f>ROUND('Exh JDT-5 (Rate Design)'!H104,5)</f>
        <v>0.1951</v>
      </c>
      <c r="F32" s="88">
        <f>ROUND('Exh JDT-5 (Rate Design)'!I104,5)</f>
        <v>0.26989000000000002</v>
      </c>
      <c r="G32" s="88">
        <f>ROUND('Exh JDT-5 (Rate Design)'!J104,5)</f>
        <v>0.26223999999999997</v>
      </c>
      <c r="H32" s="89">
        <f>IFERROR((F32-E32)/E32,"na")</f>
        <v>0.38334187596104574</v>
      </c>
      <c r="I32" s="89">
        <f>IFERROR((G32-F32)/F32,"na")</f>
        <v>-2.8344881247915985E-2</v>
      </c>
      <c r="J32" s="104">
        <f>ROUND('Exh JDT-5 (Rate Design)'!H98,2)</f>
        <v>148.82</v>
      </c>
      <c r="K32" s="105">
        <f>ROUND('Exh JDT-5 (Rate Design)'!I98,2)</f>
        <v>193.41</v>
      </c>
      <c r="L32" s="105">
        <f>ROUND('Exh JDT-5 (Rate Design)'!J98,2)</f>
        <v>251.36</v>
      </c>
      <c r="M32" s="117">
        <f>IFERROR((K32-J32)/J32,"na")</f>
        <v>0.29962370649106307</v>
      </c>
      <c r="N32" s="117">
        <f>IFERROR((L32-K32)/K32,"na")</f>
        <v>0.29962256346621174</v>
      </c>
      <c r="O32" s="104"/>
      <c r="P32" s="105"/>
      <c r="Q32" s="105"/>
      <c r="R32" s="117"/>
      <c r="S32" s="117"/>
      <c r="T32" s="109">
        <f>ROUND('Exh JDT-5 (Rate Design)'!H100,5)</f>
        <v>1.222E-2</v>
      </c>
      <c r="U32" s="110">
        <f>ROUND('Exh JDT-5 (Rate Design)'!I100,5)</f>
        <v>1.6480000000000002E-2</v>
      </c>
      <c r="V32" s="110">
        <f>ROUND('Exh JDT-5 (Rate Design)'!J100,5)</f>
        <v>1.7100000000000001E-2</v>
      </c>
      <c r="W32" s="117">
        <f>IFERROR((U32-T32)/T32,"na")</f>
        <v>0.34860883797054021</v>
      </c>
      <c r="X32" s="117">
        <f>IFERROR((V32-U32)/U32,"na")</f>
        <v>3.7621359223300906E-2</v>
      </c>
      <c r="Y32" s="107">
        <f>ROUND('Exh JDT-5 (Rate Design)'!H99,2)</f>
        <v>1.35</v>
      </c>
      <c r="Z32" s="108">
        <f>ROUND('Exh JDT-5 (Rate Design)'!I99,2)</f>
        <v>1.59</v>
      </c>
      <c r="AA32" s="108">
        <f>ROUND('Exh JDT-5 (Rate Design)'!J99,2)</f>
        <v>1.88</v>
      </c>
      <c r="AB32" s="117">
        <f>IFERROR((Z32-Y32)/Y32,"na")</f>
        <v>0.17777777777777776</v>
      </c>
      <c r="AC32" s="118">
        <f>IFERROR((AA32-Z32)/Z32,"na")</f>
        <v>0.18238993710691812</v>
      </c>
      <c r="AD32" s="97">
        <f>ROUND('Exh JDT-5 (141DCARB)'!$G$17,5)</f>
        <v>9.7000000000000005E-4</v>
      </c>
    </row>
    <row r="33" spans="1:30" s="51" customFormat="1" x14ac:dyDescent="0.2">
      <c r="A33" s="84">
        <f t="shared" si="2"/>
        <v>25</v>
      </c>
      <c r="B33" s="85" t="s">
        <v>66</v>
      </c>
      <c r="C33" s="86" t="s">
        <v>67</v>
      </c>
      <c r="D33" s="103" t="s">
        <v>69</v>
      </c>
      <c r="E33" s="87">
        <f>ROUND('Exh JDT-5 (Rate Design)'!H105,5)</f>
        <v>0.13830999999999999</v>
      </c>
      <c r="F33" s="88">
        <f>ROUND('Exh JDT-5 (Rate Design)'!I105,5)</f>
        <v>0.19133</v>
      </c>
      <c r="G33" s="88">
        <f>ROUND('Exh JDT-5 (Rate Design)'!J105,5)</f>
        <v>0.18590000000000001</v>
      </c>
      <c r="H33" s="89">
        <f>IFERROR((F33-E33)/E33,"na")</f>
        <v>0.38334176849107088</v>
      </c>
      <c r="I33" s="89">
        <f>IFERROR((G33-F33)/F33,"na")</f>
        <v>-2.8380285370825226E-2</v>
      </c>
      <c r="J33" s="104"/>
      <c r="K33" s="105"/>
      <c r="L33" s="105"/>
      <c r="M33" s="117"/>
      <c r="N33" s="117"/>
      <c r="O33" s="104"/>
      <c r="P33" s="105"/>
      <c r="Q33" s="105"/>
      <c r="R33" s="117"/>
      <c r="S33" s="117"/>
      <c r="T33" s="109"/>
      <c r="U33" s="110"/>
      <c r="V33" s="110"/>
      <c r="W33" s="117"/>
      <c r="X33" s="117"/>
      <c r="Y33" s="107"/>
      <c r="Z33" s="108"/>
      <c r="AA33" s="108"/>
      <c r="AB33" s="117"/>
      <c r="AC33" s="118"/>
      <c r="AD33" s="97">
        <f>ROUND('Exh JDT-5 (141DCARB)'!$G$17,5)</f>
        <v>9.7000000000000005E-4</v>
      </c>
    </row>
    <row r="34" spans="1:30" s="51" customFormat="1" x14ac:dyDescent="0.2">
      <c r="A34" s="84">
        <f t="shared" si="2"/>
        <v>26</v>
      </c>
      <c r="B34" s="85"/>
      <c r="C34" s="86"/>
      <c r="D34" s="103"/>
      <c r="E34" s="87"/>
      <c r="F34" s="88"/>
      <c r="G34" s="88"/>
      <c r="H34" s="89"/>
      <c r="I34" s="89"/>
      <c r="J34" s="90"/>
      <c r="K34" s="91"/>
      <c r="L34" s="91"/>
      <c r="M34" s="89"/>
      <c r="N34" s="89"/>
      <c r="O34" s="115"/>
      <c r="P34" s="116"/>
      <c r="Q34" s="116"/>
      <c r="R34" s="102"/>
      <c r="S34" s="102"/>
      <c r="T34" s="100"/>
      <c r="U34" s="101"/>
      <c r="V34" s="101"/>
      <c r="W34" s="102"/>
      <c r="X34" s="102"/>
      <c r="Y34" s="95"/>
      <c r="Z34" s="113"/>
      <c r="AA34" s="113"/>
      <c r="AB34" s="89"/>
      <c r="AC34" s="96"/>
      <c r="AD34" s="97"/>
    </row>
    <row r="35" spans="1:30" s="51" customFormat="1" x14ac:dyDescent="0.2">
      <c r="A35" s="84">
        <f t="shared" si="2"/>
        <v>27</v>
      </c>
      <c r="B35" s="85" t="s">
        <v>66</v>
      </c>
      <c r="C35" s="86" t="s">
        <v>70</v>
      </c>
      <c r="D35" s="103" t="s">
        <v>68</v>
      </c>
      <c r="E35" s="87">
        <f>ROUND('Exh JDT-5 (Rate Design)'!H115,5)</f>
        <v>0.1951</v>
      </c>
      <c r="F35" s="88">
        <f>ROUND('Exh JDT-5 (Rate Design)'!I115,5)</f>
        <v>0.26989000000000002</v>
      </c>
      <c r="G35" s="88">
        <f>ROUND('Exh JDT-5 (Rate Design)'!J115,5)</f>
        <v>0.26223999999999997</v>
      </c>
      <c r="H35" s="89">
        <f>IFERROR((F35-E35)/E35,"na")</f>
        <v>0.38334187596104574</v>
      </c>
      <c r="I35" s="89">
        <f>IFERROR((G35-F35)/F35,"na")</f>
        <v>-2.8344881247915985E-2</v>
      </c>
      <c r="J35" s="104">
        <f>ROUND('Exh JDT-5 (Rate Design)'!H110,2)</f>
        <v>457.76</v>
      </c>
      <c r="K35" s="105">
        <f>ROUND('Exh JDT-5 (Rate Design)'!I110,2)</f>
        <v>457.76</v>
      </c>
      <c r="L35" s="105">
        <f>ROUND('Exh JDT-5 (Rate Design)'!J110,2)</f>
        <v>457.76</v>
      </c>
      <c r="M35" s="117">
        <f>IFERROR((K35-J35)/J35,"na")</f>
        <v>0</v>
      </c>
      <c r="N35" s="117">
        <f>IFERROR((L35-K35)/K35,"na")</f>
        <v>0</v>
      </c>
      <c r="O35" s="104"/>
      <c r="P35" s="105"/>
      <c r="Q35" s="105"/>
      <c r="R35" s="117"/>
      <c r="S35" s="117"/>
      <c r="T35" s="109"/>
      <c r="U35" s="110"/>
      <c r="V35" s="110"/>
      <c r="W35" s="117"/>
      <c r="X35" s="117"/>
      <c r="Y35" s="107">
        <f>ROUND('Exh JDT-5 (Rate Design)'!H111,2)</f>
        <v>1.35</v>
      </c>
      <c r="Z35" s="108">
        <f>ROUND('Exh JDT-5 (Rate Design)'!I111,2)</f>
        <v>1.59</v>
      </c>
      <c r="AA35" s="108">
        <f>ROUND('Exh JDT-5 (Rate Design)'!J111,2)</f>
        <v>1.88</v>
      </c>
      <c r="AB35" s="117">
        <f>IFERROR((Z35-Y35)/Y35,"na")</f>
        <v>0.17777777777777776</v>
      </c>
      <c r="AC35" s="118">
        <f>IFERROR((AA35-Z35)/Z35,"na")</f>
        <v>0.18238993710691812</v>
      </c>
      <c r="AD35" s="97">
        <f>ROUND('Exh JDT-5 (141DCARB)'!$G$17,5)</f>
        <v>9.7000000000000005E-4</v>
      </c>
    </row>
    <row r="36" spans="1:30" s="51" customFormat="1" x14ac:dyDescent="0.2">
      <c r="A36" s="84">
        <f t="shared" si="2"/>
        <v>28</v>
      </c>
      <c r="B36" s="85" t="s">
        <v>66</v>
      </c>
      <c r="C36" s="86" t="s">
        <v>70</v>
      </c>
      <c r="D36" s="103" t="s">
        <v>69</v>
      </c>
      <c r="E36" s="87">
        <f>ROUND('Exh JDT-5 (Rate Design)'!H116,5)</f>
        <v>0.13830999999999999</v>
      </c>
      <c r="F36" s="88">
        <f>ROUND('Exh JDT-5 (Rate Design)'!I116,5)</f>
        <v>0.19133</v>
      </c>
      <c r="G36" s="88">
        <f>ROUND('Exh JDT-5 (Rate Design)'!J116,5)</f>
        <v>0.18590000000000001</v>
      </c>
      <c r="H36" s="89">
        <f>IFERROR((F36-E36)/E36,"na")</f>
        <v>0.38334176849107088</v>
      </c>
      <c r="I36" s="89">
        <f>IFERROR((G36-F36)/F36,"na")</f>
        <v>-2.8380285370825226E-2</v>
      </c>
      <c r="J36" s="104"/>
      <c r="K36" s="105"/>
      <c r="L36" s="105"/>
      <c r="M36" s="117"/>
      <c r="N36" s="117"/>
      <c r="O36" s="104"/>
      <c r="P36" s="105"/>
      <c r="Q36" s="105"/>
      <c r="R36" s="117"/>
      <c r="S36" s="117"/>
      <c r="T36" s="109"/>
      <c r="U36" s="110"/>
      <c r="V36" s="110"/>
      <c r="W36" s="117"/>
      <c r="X36" s="117"/>
      <c r="Y36" s="107"/>
      <c r="Z36" s="108"/>
      <c r="AA36" s="108"/>
      <c r="AB36" s="117"/>
      <c r="AC36" s="118"/>
      <c r="AD36" s="97">
        <f>ROUND('Exh JDT-5 (141DCARB)'!$G$17,5)</f>
        <v>9.7000000000000005E-4</v>
      </c>
    </row>
    <row r="37" spans="1:30" s="51" customFormat="1" x14ac:dyDescent="0.2">
      <c r="A37" s="84">
        <f t="shared" si="2"/>
        <v>29</v>
      </c>
      <c r="B37" s="85"/>
      <c r="C37" s="86"/>
      <c r="D37" s="103"/>
      <c r="E37" s="87"/>
      <c r="F37" s="88"/>
      <c r="G37" s="88"/>
      <c r="H37" s="89"/>
      <c r="I37" s="89"/>
      <c r="J37" s="90"/>
      <c r="K37" s="91"/>
      <c r="L37" s="91"/>
      <c r="M37" s="89"/>
      <c r="N37" s="89"/>
      <c r="O37" s="115"/>
      <c r="P37" s="116"/>
      <c r="Q37" s="116"/>
      <c r="R37" s="102"/>
      <c r="S37" s="102"/>
      <c r="T37" s="100"/>
      <c r="U37" s="101"/>
      <c r="V37" s="101"/>
      <c r="W37" s="102"/>
      <c r="X37" s="102"/>
      <c r="Y37" s="95"/>
      <c r="Z37" s="113"/>
      <c r="AA37" s="113"/>
      <c r="AB37" s="89"/>
      <c r="AC37" s="96"/>
      <c r="AD37" s="114"/>
    </row>
    <row r="38" spans="1:30" s="51" customFormat="1" x14ac:dyDescent="0.2">
      <c r="A38" s="84">
        <f t="shared" si="2"/>
        <v>30</v>
      </c>
      <c r="B38" s="85" t="s">
        <v>71</v>
      </c>
      <c r="C38" s="86" t="s">
        <v>72</v>
      </c>
      <c r="D38" s="103" t="s">
        <v>62</v>
      </c>
      <c r="E38" s="87">
        <f>ROUND('Exh JDT-5 (Rate Design)'!H132,5)</f>
        <v>0.20754</v>
      </c>
      <c r="F38" s="88">
        <f>ROUND('Exh JDT-5 (Rate Design)'!I132,5)</f>
        <v>0.36913000000000001</v>
      </c>
      <c r="G38" s="88">
        <f>ROUND('Exh JDT-5 (Rate Design)'!J132,5)</f>
        <v>0.38275999999999999</v>
      </c>
      <c r="H38" s="89">
        <f t="shared" ref="H38:I43" si="7">IFERROR((F38-E38)/E38,"na")</f>
        <v>0.77859689698371404</v>
      </c>
      <c r="I38" s="89">
        <f t="shared" si="7"/>
        <v>3.6924660688646208E-2</v>
      </c>
      <c r="J38" s="119">
        <f>ROUND('Exh JDT-5 (Rate Design)'!H126,2)</f>
        <v>715.15</v>
      </c>
      <c r="K38" s="120">
        <f>ROUND('Exh JDT-5 (Rate Design)'!I126,2)</f>
        <v>929.7</v>
      </c>
      <c r="L38" s="120">
        <f>ROUND('Exh JDT-5 (Rate Design)'!J126,2)</f>
        <v>1208.5999999999999</v>
      </c>
      <c r="M38" s="106">
        <f>IFERROR((K38-J38)/J38,"na")</f>
        <v>0.30000699154023641</v>
      </c>
      <c r="N38" s="106">
        <f>IFERROR((L38-K38)/K38,"na")</f>
        <v>0.29998924384209946</v>
      </c>
      <c r="O38" s="104"/>
      <c r="P38" s="105"/>
      <c r="Q38" s="105"/>
      <c r="R38" s="106"/>
      <c r="S38" s="106"/>
      <c r="T38" s="121">
        <f>ROUND('Exh JDT-5 (Rate Design)'!H128,5)</f>
        <v>9.3200000000000002E-3</v>
      </c>
      <c r="U38" s="122">
        <f>ROUND('Exh JDT-5 (Rate Design)'!I128,5)</f>
        <v>1.298E-2</v>
      </c>
      <c r="V38" s="122">
        <f>ROUND('Exh JDT-5 (Rate Design)'!J128,5)</f>
        <v>1.298E-2</v>
      </c>
      <c r="W38" s="106">
        <f>IFERROR((U38-T38)/T38,"na")</f>
        <v>0.3927038626609442</v>
      </c>
      <c r="X38" s="106">
        <f>IFERROR((V38-U38)/U38,"na")</f>
        <v>0</v>
      </c>
      <c r="Y38" s="123">
        <f>ROUND('Exh JDT-5 (Rate Design)'!H127,2)</f>
        <v>1.45</v>
      </c>
      <c r="Z38" s="124">
        <f>ROUND('Exh JDT-5 (Rate Design)'!I127,2)</f>
        <v>1.71</v>
      </c>
      <c r="AA38" s="124">
        <f>ROUND('Exh JDT-5 (Rate Design)'!J127,2)</f>
        <v>2.02</v>
      </c>
      <c r="AB38" s="106">
        <f>IFERROR((Z38-Y38)/Y38,"na")</f>
        <v>0.17931034482758623</v>
      </c>
      <c r="AC38" s="111">
        <f>IFERROR((AA38-Z38)/Z38,"na")</f>
        <v>0.18128654970760238</v>
      </c>
      <c r="AD38" s="97">
        <f>ROUND('Exh JDT-5 (141DCARB)'!$G$18,5)</f>
        <v>2.2000000000000001E-4</v>
      </c>
    </row>
    <row r="39" spans="1:30" s="51" customFormat="1" x14ac:dyDescent="0.2">
      <c r="A39" s="84">
        <f t="shared" si="2"/>
        <v>31</v>
      </c>
      <c r="B39" s="85" t="s">
        <v>71</v>
      </c>
      <c r="C39" s="86" t="s">
        <v>72</v>
      </c>
      <c r="D39" s="103" t="s">
        <v>63</v>
      </c>
      <c r="E39" s="87">
        <f>ROUND('Exh JDT-5 (Rate Design)'!H133,5)</f>
        <v>0.12540999999999999</v>
      </c>
      <c r="F39" s="88">
        <f>ROUND('Exh JDT-5 (Rate Design)'!I133,5)</f>
        <v>0.22305</v>
      </c>
      <c r="G39" s="88">
        <f>ROUND('Exh JDT-5 (Rate Design)'!J133,5)</f>
        <v>0.23129</v>
      </c>
      <c r="H39" s="89">
        <f t="shared" si="7"/>
        <v>0.7785663025277092</v>
      </c>
      <c r="I39" s="89">
        <f t="shared" si="7"/>
        <v>3.6942389598744664E-2</v>
      </c>
      <c r="J39" s="119"/>
      <c r="K39" s="120"/>
      <c r="L39" s="120"/>
      <c r="M39" s="106"/>
      <c r="N39" s="106"/>
      <c r="O39" s="104"/>
      <c r="P39" s="105"/>
      <c r="Q39" s="105"/>
      <c r="R39" s="106"/>
      <c r="S39" s="106"/>
      <c r="T39" s="121"/>
      <c r="U39" s="122"/>
      <c r="V39" s="122"/>
      <c r="W39" s="106"/>
      <c r="X39" s="106"/>
      <c r="Y39" s="123"/>
      <c r="Z39" s="124"/>
      <c r="AA39" s="124"/>
      <c r="AB39" s="106"/>
      <c r="AC39" s="111"/>
      <c r="AD39" s="97">
        <f>ROUND('Exh JDT-5 (141DCARB)'!$G$18,5)</f>
        <v>2.2000000000000001E-4</v>
      </c>
    </row>
    <row r="40" spans="1:30" s="51" customFormat="1" x14ac:dyDescent="0.2">
      <c r="A40" s="84">
        <f t="shared" si="2"/>
        <v>32</v>
      </c>
      <c r="B40" s="85" t="s">
        <v>71</v>
      </c>
      <c r="C40" s="86" t="s">
        <v>72</v>
      </c>
      <c r="D40" s="103" t="s">
        <v>73</v>
      </c>
      <c r="E40" s="87">
        <f>ROUND('Exh JDT-5 (Rate Design)'!H134,5)</f>
        <v>7.9810000000000006E-2</v>
      </c>
      <c r="F40" s="88">
        <f>ROUND('Exh JDT-5 (Rate Design)'!I134,5)</f>
        <v>0.14194999999999999</v>
      </c>
      <c r="G40" s="88">
        <f>ROUND('Exh JDT-5 (Rate Design)'!J134,5)</f>
        <v>0.14718999999999999</v>
      </c>
      <c r="H40" s="89">
        <f t="shared" si="7"/>
        <v>0.77859917303596016</v>
      </c>
      <c r="I40" s="89">
        <f t="shared" si="7"/>
        <v>3.69144064811553E-2</v>
      </c>
      <c r="J40" s="119"/>
      <c r="K40" s="120"/>
      <c r="L40" s="120"/>
      <c r="M40" s="106"/>
      <c r="N40" s="106"/>
      <c r="O40" s="104"/>
      <c r="P40" s="105"/>
      <c r="Q40" s="105"/>
      <c r="R40" s="106"/>
      <c r="S40" s="106"/>
      <c r="T40" s="121"/>
      <c r="U40" s="122"/>
      <c r="V40" s="122"/>
      <c r="W40" s="106"/>
      <c r="X40" s="106"/>
      <c r="Y40" s="123"/>
      <c r="Z40" s="124"/>
      <c r="AA40" s="124"/>
      <c r="AB40" s="106"/>
      <c r="AC40" s="111"/>
      <c r="AD40" s="97">
        <f>ROUND('Exh JDT-5 (141DCARB)'!$G$18,5)</f>
        <v>2.2000000000000001E-4</v>
      </c>
    </row>
    <row r="41" spans="1:30" s="51" customFormat="1" x14ac:dyDescent="0.2">
      <c r="A41" s="84">
        <f t="shared" si="2"/>
        <v>33</v>
      </c>
      <c r="B41" s="85" t="s">
        <v>71</v>
      </c>
      <c r="C41" s="86" t="s">
        <v>72</v>
      </c>
      <c r="D41" s="103" t="s">
        <v>74</v>
      </c>
      <c r="E41" s="87">
        <f>ROUND('Exh JDT-5 (Rate Design)'!H135,5)</f>
        <v>5.117E-2</v>
      </c>
      <c r="F41" s="88">
        <f>ROUND('Exh JDT-5 (Rate Design)'!I135,5)</f>
        <v>9.1009999999999994E-2</v>
      </c>
      <c r="G41" s="88">
        <f>ROUND('Exh JDT-5 (Rate Design)'!J135,5)</f>
        <v>9.4369999999999996E-2</v>
      </c>
      <c r="H41" s="89">
        <f t="shared" si="7"/>
        <v>0.77858119992182906</v>
      </c>
      <c r="I41" s="89">
        <f t="shared" si="7"/>
        <v>3.6919019887924426E-2</v>
      </c>
      <c r="J41" s="119"/>
      <c r="K41" s="120"/>
      <c r="L41" s="120"/>
      <c r="M41" s="106"/>
      <c r="N41" s="106"/>
      <c r="O41" s="104"/>
      <c r="P41" s="105"/>
      <c r="Q41" s="105"/>
      <c r="R41" s="106"/>
      <c r="S41" s="106"/>
      <c r="T41" s="121"/>
      <c r="U41" s="122"/>
      <c r="V41" s="122"/>
      <c r="W41" s="106"/>
      <c r="X41" s="106"/>
      <c r="Y41" s="123"/>
      <c r="Z41" s="124"/>
      <c r="AA41" s="124"/>
      <c r="AB41" s="106"/>
      <c r="AC41" s="111"/>
      <c r="AD41" s="97">
        <f>ROUND('Exh JDT-5 (141DCARB)'!$G$18,5)</f>
        <v>2.2000000000000001E-4</v>
      </c>
    </row>
    <row r="42" spans="1:30" s="51" customFormat="1" x14ac:dyDescent="0.2">
      <c r="A42" s="84">
        <f t="shared" si="2"/>
        <v>34</v>
      </c>
      <c r="B42" s="85" t="s">
        <v>71</v>
      </c>
      <c r="C42" s="86" t="s">
        <v>72</v>
      </c>
      <c r="D42" s="103" t="s">
        <v>75</v>
      </c>
      <c r="E42" s="87">
        <f>ROUND('Exh JDT-5 (Rate Design)'!H136,5)</f>
        <v>3.6830000000000002E-2</v>
      </c>
      <c r="F42" s="88">
        <f>ROUND('Exh JDT-5 (Rate Design)'!I136,5)</f>
        <v>6.5509999999999999E-2</v>
      </c>
      <c r="G42" s="88">
        <f>ROUND('Exh JDT-5 (Rate Design)'!J136,5)</f>
        <v>6.7919999999999994E-2</v>
      </c>
      <c r="H42" s="89">
        <f t="shared" si="7"/>
        <v>0.77871300570187341</v>
      </c>
      <c r="I42" s="89">
        <f t="shared" si="7"/>
        <v>3.6788276598992455E-2</v>
      </c>
      <c r="J42" s="119"/>
      <c r="K42" s="120"/>
      <c r="L42" s="120"/>
      <c r="M42" s="106"/>
      <c r="N42" s="106"/>
      <c r="O42" s="104"/>
      <c r="P42" s="105"/>
      <c r="Q42" s="105"/>
      <c r="R42" s="106"/>
      <c r="S42" s="106"/>
      <c r="T42" s="121"/>
      <c r="U42" s="122"/>
      <c r="V42" s="122"/>
      <c r="W42" s="106"/>
      <c r="X42" s="106"/>
      <c r="Y42" s="123"/>
      <c r="Z42" s="124"/>
      <c r="AA42" s="124"/>
      <c r="AB42" s="106"/>
      <c r="AC42" s="111"/>
      <c r="AD42" s="97">
        <f>ROUND('Exh JDT-5 (141DCARB)'!$G$18,5)</f>
        <v>2.2000000000000001E-4</v>
      </c>
    </row>
    <row r="43" spans="1:30" s="51" customFormat="1" x14ac:dyDescent="0.2">
      <c r="A43" s="84">
        <f t="shared" si="2"/>
        <v>35</v>
      </c>
      <c r="B43" s="85" t="s">
        <v>71</v>
      </c>
      <c r="C43" s="86" t="s">
        <v>72</v>
      </c>
      <c r="D43" s="103" t="s">
        <v>76</v>
      </c>
      <c r="E43" s="87">
        <f>ROUND('Exh JDT-5 (Rate Design)'!H137,5)</f>
        <v>2.4830000000000001E-2</v>
      </c>
      <c r="F43" s="88">
        <f>ROUND('Exh JDT-5 (Rate Design)'!I137,5)</f>
        <v>4.4159999999999998E-2</v>
      </c>
      <c r="G43" s="88">
        <f>ROUND('Exh JDT-5 (Rate Design)'!J137,5)</f>
        <v>4.5789999999999997E-2</v>
      </c>
      <c r="H43" s="89">
        <f t="shared" si="7"/>
        <v>0.77849375755134897</v>
      </c>
      <c r="I43" s="89">
        <f t="shared" si="7"/>
        <v>3.6911231884057961E-2</v>
      </c>
      <c r="J43" s="119"/>
      <c r="K43" s="120"/>
      <c r="L43" s="120"/>
      <c r="M43" s="106"/>
      <c r="N43" s="106"/>
      <c r="O43" s="104"/>
      <c r="P43" s="105"/>
      <c r="Q43" s="105"/>
      <c r="R43" s="106"/>
      <c r="S43" s="106"/>
      <c r="T43" s="121"/>
      <c r="U43" s="122"/>
      <c r="V43" s="122"/>
      <c r="W43" s="106"/>
      <c r="X43" s="106"/>
      <c r="Y43" s="123"/>
      <c r="Z43" s="124"/>
      <c r="AA43" s="124"/>
      <c r="AB43" s="106"/>
      <c r="AC43" s="111"/>
      <c r="AD43" s="97">
        <f>ROUND('Exh JDT-5 (141DCARB)'!$G$18,5)</f>
        <v>2.2000000000000001E-4</v>
      </c>
    </row>
    <row r="44" spans="1:30" s="51" customFormat="1" x14ac:dyDescent="0.2">
      <c r="A44" s="84">
        <f t="shared" si="2"/>
        <v>36</v>
      </c>
      <c r="B44" s="85"/>
      <c r="C44" s="86"/>
      <c r="D44" s="103"/>
      <c r="E44" s="87"/>
      <c r="F44" s="88"/>
      <c r="G44" s="88"/>
      <c r="H44" s="89"/>
      <c r="I44" s="89"/>
      <c r="J44" s="90"/>
      <c r="K44" s="91"/>
      <c r="L44" s="91"/>
      <c r="M44" s="89"/>
      <c r="N44" s="89"/>
      <c r="O44" s="115"/>
      <c r="P44" s="116"/>
      <c r="Q44" s="116"/>
      <c r="R44" s="102"/>
      <c r="S44" s="102"/>
      <c r="T44" s="100"/>
      <c r="U44" s="101"/>
      <c r="V44" s="101"/>
      <c r="W44" s="102"/>
      <c r="X44" s="102"/>
      <c r="Y44" s="95"/>
      <c r="Z44" s="113"/>
      <c r="AA44" s="113"/>
      <c r="AB44" s="89"/>
      <c r="AC44" s="96"/>
      <c r="AD44" s="97"/>
    </row>
    <row r="45" spans="1:30" s="51" customFormat="1" x14ac:dyDescent="0.2">
      <c r="A45" s="84">
        <f t="shared" si="2"/>
        <v>37</v>
      </c>
      <c r="B45" s="85" t="s">
        <v>71</v>
      </c>
      <c r="C45" s="86" t="s">
        <v>77</v>
      </c>
      <c r="D45" s="103" t="s">
        <v>62</v>
      </c>
      <c r="E45" s="87">
        <f>ROUND('Exh JDT-5 (Rate Design)'!H147,5)</f>
        <v>0.20754</v>
      </c>
      <c r="F45" s="88">
        <f>ROUND('Exh JDT-5 (Rate Design)'!I147,5)</f>
        <v>0.36913000000000001</v>
      </c>
      <c r="G45" s="88">
        <f>ROUND('Exh JDT-5 (Rate Design)'!J147,5)</f>
        <v>0.38275999999999999</v>
      </c>
      <c r="H45" s="89">
        <f t="shared" ref="H45:I57" si="8">IFERROR((F45-E45)/E45,"na")</f>
        <v>0.77859689698371404</v>
      </c>
      <c r="I45" s="89">
        <f t="shared" si="8"/>
        <v>3.6924660688646208E-2</v>
      </c>
      <c r="J45" s="119">
        <f>ROUND('Exh JDT-5 (Rate Design)'!H142,2)</f>
        <v>1082.81</v>
      </c>
      <c r="K45" s="120">
        <f>ROUND('Exh JDT-5 (Rate Design)'!I142,2)</f>
        <v>1143.98</v>
      </c>
      <c r="L45" s="120">
        <f>ROUND('Exh JDT-5 (Rate Design)'!J142,2)</f>
        <v>1208.5999999999999</v>
      </c>
      <c r="M45" s="106">
        <f>IFERROR((K45-J45)/J45,"na")</f>
        <v>5.6491905320416397E-2</v>
      </c>
      <c r="N45" s="106">
        <f>IFERROR((L45-K45)/K45,"na")</f>
        <v>5.6487001521005518E-2</v>
      </c>
      <c r="O45" s="104"/>
      <c r="P45" s="105"/>
      <c r="Q45" s="105"/>
      <c r="R45" s="106"/>
      <c r="S45" s="106"/>
      <c r="T45" s="121"/>
      <c r="U45" s="122"/>
      <c r="V45" s="122"/>
      <c r="W45" s="106"/>
      <c r="X45" s="106"/>
      <c r="Y45" s="123">
        <f>ROUND('Exh JDT-5 (Rate Design)'!H143,2)</f>
        <v>1.45</v>
      </c>
      <c r="Z45" s="124">
        <f>ROUND('Exh JDT-5 (Rate Design)'!I143,2)</f>
        <v>1.71</v>
      </c>
      <c r="AA45" s="124">
        <f>ROUND('Exh JDT-5 (Rate Design)'!J143,2)</f>
        <v>2.02</v>
      </c>
      <c r="AB45" s="106">
        <f>IFERROR((Z45-Y45)/Y45,"na")</f>
        <v>0.17931034482758623</v>
      </c>
      <c r="AC45" s="111">
        <f>IFERROR((AA45-Z45)/Z45,"na")</f>
        <v>0.18128654970760238</v>
      </c>
      <c r="AD45" s="97">
        <f>ROUND('Exh JDT-5 (141DCARB)'!$G$18,5)</f>
        <v>2.2000000000000001E-4</v>
      </c>
    </row>
    <row r="46" spans="1:30" s="51" customFormat="1" x14ac:dyDescent="0.2">
      <c r="A46" s="84">
        <f t="shared" si="2"/>
        <v>38</v>
      </c>
      <c r="B46" s="85" t="s">
        <v>71</v>
      </c>
      <c r="C46" s="86" t="s">
        <v>77</v>
      </c>
      <c r="D46" s="103" t="s">
        <v>63</v>
      </c>
      <c r="E46" s="87">
        <f>ROUND('Exh JDT-5 (Rate Design)'!H148,5)</f>
        <v>0.12540999999999999</v>
      </c>
      <c r="F46" s="88">
        <f>ROUND('Exh JDT-5 (Rate Design)'!I148,5)</f>
        <v>0.22305</v>
      </c>
      <c r="G46" s="88">
        <f>ROUND('Exh JDT-5 (Rate Design)'!J148,5)</f>
        <v>0.23129</v>
      </c>
      <c r="H46" s="89">
        <f t="shared" si="8"/>
        <v>0.7785663025277092</v>
      </c>
      <c r="I46" s="89">
        <f t="shared" si="8"/>
        <v>3.6942389598744664E-2</v>
      </c>
      <c r="J46" s="119"/>
      <c r="K46" s="120"/>
      <c r="L46" s="120"/>
      <c r="M46" s="106"/>
      <c r="N46" s="106"/>
      <c r="O46" s="104"/>
      <c r="P46" s="105"/>
      <c r="Q46" s="105"/>
      <c r="R46" s="106"/>
      <c r="S46" s="106"/>
      <c r="T46" s="121"/>
      <c r="U46" s="122"/>
      <c r="V46" s="122"/>
      <c r="W46" s="106"/>
      <c r="X46" s="106"/>
      <c r="Y46" s="123"/>
      <c r="Z46" s="124"/>
      <c r="AA46" s="124"/>
      <c r="AB46" s="106"/>
      <c r="AC46" s="111"/>
      <c r="AD46" s="97">
        <f>ROUND('Exh JDT-5 (141DCARB)'!$G$18,5)</f>
        <v>2.2000000000000001E-4</v>
      </c>
    </row>
    <row r="47" spans="1:30" s="51" customFormat="1" x14ac:dyDescent="0.2">
      <c r="A47" s="84">
        <f t="shared" si="2"/>
        <v>39</v>
      </c>
      <c r="B47" s="85" t="s">
        <v>71</v>
      </c>
      <c r="C47" s="86" t="s">
        <v>77</v>
      </c>
      <c r="D47" s="103" t="s">
        <v>73</v>
      </c>
      <c r="E47" s="87">
        <f>ROUND('Exh JDT-5 (Rate Design)'!H149,5)</f>
        <v>7.9810000000000006E-2</v>
      </c>
      <c r="F47" s="88">
        <f>ROUND('Exh JDT-5 (Rate Design)'!I149,5)</f>
        <v>0.14194999999999999</v>
      </c>
      <c r="G47" s="88">
        <f>ROUND('Exh JDT-5 (Rate Design)'!J149,5)</f>
        <v>0.14718999999999999</v>
      </c>
      <c r="H47" s="89">
        <f t="shared" si="8"/>
        <v>0.77859917303596016</v>
      </c>
      <c r="I47" s="89">
        <f t="shared" si="8"/>
        <v>3.69144064811553E-2</v>
      </c>
      <c r="J47" s="119"/>
      <c r="K47" s="120"/>
      <c r="L47" s="120"/>
      <c r="M47" s="106"/>
      <c r="N47" s="106"/>
      <c r="O47" s="104"/>
      <c r="P47" s="105"/>
      <c r="Q47" s="105"/>
      <c r="R47" s="106"/>
      <c r="S47" s="106"/>
      <c r="T47" s="121"/>
      <c r="U47" s="122"/>
      <c r="V47" s="122"/>
      <c r="W47" s="106"/>
      <c r="X47" s="106"/>
      <c r="Y47" s="123"/>
      <c r="Z47" s="124"/>
      <c r="AA47" s="124"/>
      <c r="AB47" s="106"/>
      <c r="AC47" s="111"/>
      <c r="AD47" s="97">
        <f>ROUND('Exh JDT-5 (141DCARB)'!$G$18,5)</f>
        <v>2.2000000000000001E-4</v>
      </c>
    </row>
    <row r="48" spans="1:30" s="51" customFormat="1" x14ac:dyDescent="0.2">
      <c r="A48" s="84">
        <f t="shared" si="2"/>
        <v>40</v>
      </c>
      <c r="B48" s="85" t="s">
        <v>71</v>
      </c>
      <c r="C48" s="86" t="s">
        <v>77</v>
      </c>
      <c r="D48" s="103" t="s">
        <v>74</v>
      </c>
      <c r="E48" s="87">
        <f>ROUND('Exh JDT-5 (Rate Design)'!H150,5)</f>
        <v>5.117E-2</v>
      </c>
      <c r="F48" s="88">
        <f>ROUND('Exh JDT-5 (Rate Design)'!I150,5)</f>
        <v>9.1009999999999994E-2</v>
      </c>
      <c r="G48" s="88">
        <f>ROUND('Exh JDT-5 (Rate Design)'!J150,5)</f>
        <v>9.4369999999999996E-2</v>
      </c>
      <c r="H48" s="89">
        <f t="shared" si="8"/>
        <v>0.77858119992182906</v>
      </c>
      <c r="I48" s="89">
        <f t="shared" si="8"/>
        <v>3.6919019887924426E-2</v>
      </c>
      <c r="J48" s="119"/>
      <c r="K48" s="120"/>
      <c r="L48" s="120"/>
      <c r="M48" s="106"/>
      <c r="N48" s="106"/>
      <c r="O48" s="104"/>
      <c r="P48" s="105"/>
      <c r="Q48" s="105"/>
      <c r="R48" s="106"/>
      <c r="S48" s="106"/>
      <c r="T48" s="121"/>
      <c r="U48" s="122"/>
      <c r="V48" s="122"/>
      <c r="W48" s="106"/>
      <c r="X48" s="106"/>
      <c r="Y48" s="123"/>
      <c r="Z48" s="124"/>
      <c r="AA48" s="124"/>
      <c r="AB48" s="106"/>
      <c r="AC48" s="111"/>
      <c r="AD48" s="97">
        <f>ROUND('Exh JDT-5 (141DCARB)'!$G$18,5)</f>
        <v>2.2000000000000001E-4</v>
      </c>
    </row>
    <row r="49" spans="1:30" s="51" customFormat="1" x14ac:dyDescent="0.2">
      <c r="A49" s="84">
        <f t="shared" si="2"/>
        <v>41</v>
      </c>
      <c r="B49" s="85" t="s">
        <v>71</v>
      </c>
      <c r="C49" s="86" t="s">
        <v>77</v>
      </c>
      <c r="D49" s="103" t="s">
        <v>75</v>
      </c>
      <c r="E49" s="87">
        <f>ROUND('Exh JDT-5 (Rate Design)'!H151,5)</f>
        <v>3.6830000000000002E-2</v>
      </c>
      <c r="F49" s="88">
        <f>ROUND('Exh JDT-5 (Rate Design)'!I151,5)</f>
        <v>6.5509999999999999E-2</v>
      </c>
      <c r="G49" s="88">
        <f>ROUND('Exh JDT-5 (Rate Design)'!J151,5)</f>
        <v>6.7919999999999994E-2</v>
      </c>
      <c r="H49" s="89">
        <f t="shared" si="8"/>
        <v>0.77871300570187341</v>
      </c>
      <c r="I49" s="89">
        <f t="shared" si="8"/>
        <v>3.6788276598992455E-2</v>
      </c>
      <c r="J49" s="119"/>
      <c r="K49" s="120"/>
      <c r="L49" s="120"/>
      <c r="M49" s="106"/>
      <c r="N49" s="106"/>
      <c r="O49" s="104"/>
      <c r="P49" s="105"/>
      <c r="Q49" s="105"/>
      <c r="R49" s="106"/>
      <c r="S49" s="106"/>
      <c r="T49" s="121"/>
      <c r="U49" s="122"/>
      <c r="V49" s="122"/>
      <c r="W49" s="106"/>
      <c r="X49" s="106"/>
      <c r="Y49" s="123"/>
      <c r="Z49" s="124"/>
      <c r="AA49" s="124"/>
      <c r="AB49" s="106"/>
      <c r="AC49" s="111"/>
      <c r="AD49" s="97">
        <f>ROUND('Exh JDT-5 (141DCARB)'!$G$18,5)</f>
        <v>2.2000000000000001E-4</v>
      </c>
    </row>
    <row r="50" spans="1:30" s="51" customFormat="1" x14ac:dyDescent="0.2">
      <c r="A50" s="84">
        <f t="shared" si="2"/>
        <v>42</v>
      </c>
      <c r="B50" s="85" t="s">
        <v>71</v>
      </c>
      <c r="C50" s="86" t="s">
        <v>77</v>
      </c>
      <c r="D50" s="103" t="s">
        <v>76</v>
      </c>
      <c r="E50" s="87">
        <f>ROUND('Exh JDT-5 (Rate Design)'!H152,5)</f>
        <v>2.4830000000000001E-2</v>
      </c>
      <c r="F50" s="88">
        <f>ROUND('Exh JDT-5 (Rate Design)'!I152,5)</f>
        <v>4.4159999999999998E-2</v>
      </c>
      <c r="G50" s="88">
        <f>ROUND('Exh JDT-5 (Rate Design)'!J152,5)</f>
        <v>4.5789999999999997E-2</v>
      </c>
      <c r="H50" s="89">
        <f t="shared" si="8"/>
        <v>0.77849375755134897</v>
      </c>
      <c r="I50" s="89">
        <f t="shared" si="8"/>
        <v>3.6911231884057961E-2</v>
      </c>
      <c r="J50" s="119"/>
      <c r="K50" s="120"/>
      <c r="L50" s="120"/>
      <c r="M50" s="106"/>
      <c r="N50" s="106"/>
      <c r="O50" s="104"/>
      <c r="P50" s="105"/>
      <c r="Q50" s="105"/>
      <c r="R50" s="106"/>
      <c r="S50" s="106"/>
      <c r="T50" s="121"/>
      <c r="U50" s="122"/>
      <c r="V50" s="122"/>
      <c r="W50" s="106"/>
      <c r="X50" s="106"/>
      <c r="Y50" s="123"/>
      <c r="Z50" s="124"/>
      <c r="AA50" s="124"/>
      <c r="AB50" s="106"/>
      <c r="AC50" s="111"/>
      <c r="AD50" s="97">
        <f>ROUND('Exh JDT-5 (141DCARB)'!$G$18,5)</f>
        <v>2.2000000000000001E-4</v>
      </c>
    </row>
    <row r="51" spans="1:30" s="51" customFormat="1" x14ac:dyDescent="0.2">
      <c r="A51" s="84">
        <f t="shared" si="2"/>
        <v>43</v>
      </c>
      <c r="B51" s="125"/>
      <c r="C51" s="103"/>
      <c r="D51" s="103"/>
      <c r="E51" s="126"/>
      <c r="F51" s="46"/>
      <c r="G51" s="46"/>
      <c r="H51" s="46"/>
      <c r="I51" s="46"/>
      <c r="J51" s="127"/>
      <c r="K51" s="99"/>
      <c r="L51" s="99"/>
      <c r="M51" s="58"/>
      <c r="N51" s="58"/>
      <c r="O51" s="128"/>
      <c r="P51" s="129"/>
      <c r="Q51" s="129"/>
      <c r="R51" s="103"/>
      <c r="S51" s="103"/>
      <c r="T51" s="126"/>
      <c r="U51" s="46"/>
      <c r="V51" s="46"/>
      <c r="W51" s="103"/>
      <c r="X51" s="103"/>
      <c r="Y51" s="130"/>
      <c r="Z51" s="46"/>
      <c r="AA51" s="46"/>
      <c r="AB51" s="46"/>
      <c r="AC51" s="131"/>
      <c r="AD51" s="84"/>
    </row>
    <row r="52" spans="1:30" s="51" customFormat="1" x14ac:dyDescent="0.2">
      <c r="A52" s="84">
        <f t="shared" si="2"/>
        <v>44</v>
      </c>
      <c r="B52" s="85" t="s">
        <v>71</v>
      </c>
      <c r="C52" s="86" t="s">
        <v>78</v>
      </c>
      <c r="D52" s="103" t="s">
        <v>62</v>
      </c>
      <c r="E52" s="87">
        <f>ROUND('Exh JDT-5 (Rate Design)'!H167,5)</f>
        <v>0.20754</v>
      </c>
      <c r="F52" s="88">
        <f>ROUND('Exh JDT-5 (Rate Design)'!I167,5)</f>
        <v>7.1080000000000004E-2</v>
      </c>
      <c r="G52" s="88">
        <f>ROUND('Exh JDT-5 (Rate Design)'!J167,5)</f>
        <v>5.6250000000000001E-2</v>
      </c>
      <c r="H52" s="89">
        <f t="shared" si="8"/>
        <v>-0.657511804953262</v>
      </c>
      <c r="I52" s="89">
        <f t="shared" si="8"/>
        <v>-0.20863815419245924</v>
      </c>
      <c r="J52" s="119">
        <f>ROUND('Exh JDT-5 (Rate Design)'!H162,2)</f>
        <v>1082.81</v>
      </c>
      <c r="K52" s="120">
        <f>ROUND('Exh JDT-5 (Rate Design)'!I162,2)</f>
        <v>9717.09</v>
      </c>
      <c r="L52" s="120">
        <f>ROUND('Exh JDT-5 (Rate Design)'!J162,2)</f>
        <v>9717.09</v>
      </c>
      <c r="M52" s="106">
        <f>IFERROR((K52-J52)/J52,"na")</f>
        <v>7.9739566498277643</v>
      </c>
      <c r="N52" s="106">
        <f>IFERROR((L52-K52)/K52,"na")</f>
        <v>0</v>
      </c>
      <c r="O52" s="104"/>
      <c r="P52" s="105"/>
      <c r="Q52" s="105"/>
      <c r="R52" s="132"/>
      <c r="S52" s="132"/>
      <c r="T52" s="121"/>
      <c r="U52" s="122"/>
      <c r="V52" s="122"/>
      <c r="W52" s="122"/>
      <c r="X52" s="122"/>
      <c r="Y52" s="123">
        <f>ROUND('Exh JDT-5 (Rate Design)'!H163,2)</f>
        <v>1.45</v>
      </c>
      <c r="Z52" s="124">
        <f>ROUND('Exh JDT-5 (Rate Design)'!I163,2)</f>
        <v>1.71</v>
      </c>
      <c r="AA52" s="124">
        <f>ROUND('Exh JDT-5 (Rate Design)'!J163,2)</f>
        <v>2.02</v>
      </c>
      <c r="AB52" s="106">
        <f>IFERROR((Z52-Y52)/Y52,"na")</f>
        <v>0.17931034482758623</v>
      </c>
      <c r="AC52" s="111">
        <f>IFERROR((AA52-Z52)/Z52,"na")</f>
        <v>0.18128654970760238</v>
      </c>
      <c r="AD52" s="97">
        <f>ROUND('Exh JDT-5 (141DCARB)'!$G$19,5)</f>
        <v>5.0000000000000002E-5</v>
      </c>
    </row>
    <row r="53" spans="1:30" s="51" customFormat="1" x14ac:dyDescent="0.2">
      <c r="A53" s="84">
        <f t="shared" si="2"/>
        <v>45</v>
      </c>
      <c r="B53" s="85" t="s">
        <v>71</v>
      </c>
      <c r="C53" s="86" t="s">
        <v>78</v>
      </c>
      <c r="D53" s="103" t="s">
        <v>63</v>
      </c>
      <c r="E53" s="87">
        <f>ROUND('Exh JDT-5 (Rate Design)'!H168,5)</f>
        <v>0.12540999999999999</v>
      </c>
      <c r="F53" s="88">
        <f>ROUND('Exh JDT-5 (Rate Design)'!I168,5)</f>
        <v>4.2950000000000002E-2</v>
      </c>
      <c r="G53" s="88">
        <f>ROUND('Exh JDT-5 (Rate Design)'!J168,5)</f>
        <v>3.3989999999999999E-2</v>
      </c>
      <c r="H53" s="89">
        <f t="shared" si="8"/>
        <v>-0.65752332349892351</v>
      </c>
      <c r="I53" s="89">
        <f t="shared" si="8"/>
        <v>-0.20861466821885918</v>
      </c>
      <c r="J53" s="119"/>
      <c r="K53" s="120"/>
      <c r="L53" s="120"/>
      <c r="M53" s="106"/>
      <c r="N53" s="106"/>
      <c r="O53" s="104"/>
      <c r="P53" s="105"/>
      <c r="Q53" s="105"/>
      <c r="R53" s="132"/>
      <c r="S53" s="132"/>
      <c r="T53" s="121"/>
      <c r="U53" s="122"/>
      <c r="V53" s="122"/>
      <c r="W53" s="122"/>
      <c r="X53" s="122"/>
      <c r="Y53" s="123"/>
      <c r="Z53" s="124"/>
      <c r="AA53" s="124"/>
      <c r="AB53" s="106"/>
      <c r="AC53" s="111"/>
      <c r="AD53" s="97">
        <f>ROUND('Exh JDT-5 (141DCARB)'!$G$19,5)</f>
        <v>5.0000000000000002E-5</v>
      </c>
    </row>
    <row r="54" spans="1:30" x14ac:dyDescent="0.2">
      <c r="A54" s="84">
        <f t="shared" si="2"/>
        <v>46</v>
      </c>
      <c r="B54" s="85" t="s">
        <v>71</v>
      </c>
      <c r="C54" s="86" t="s">
        <v>78</v>
      </c>
      <c r="D54" s="103" t="s">
        <v>73</v>
      </c>
      <c r="E54" s="87">
        <f>ROUND('Exh JDT-5 (Rate Design)'!H169,5)</f>
        <v>7.9810000000000006E-2</v>
      </c>
      <c r="F54" s="88">
        <f>ROUND('Exh JDT-5 (Rate Design)'!I169,5)</f>
        <v>2.733E-2</v>
      </c>
      <c r="G54" s="88">
        <f>ROUND('Exh JDT-5 (Rate Design)'!J169,5)</f>
        <v>2.163E-2</v>
      </c>
      <c r="H54" s="89">
        <f t="shared" si="8"/>
        <v>-0.65756170905901523</v>
      </c>
      <c r="I54" s="89">
        <f t="shared" si="8"/>
        <v>-0.20856201975850713</v>
      </c>
      <c r="J54" s="119"/>
      <c r="K54" s="120"/>
      <c r="L54" s="120"/>
      <c r="M54" s="106"/>
      <c r="N54" s="106"/>
      <c r="O54" s="104"/>
      <c r="P54" s="105"/>
      <c r="Q54" s="105"/>
      <c r="R54" s="132"/>
      <c r="S54" s="132"/>
      <c r="T54" s="121"/>
      <c r="U54" s="122"/>
      <c r="V54" s="122"/>
      <c r="W54" s="122"/>
      <c r="X54" s="122"/>
      <c r="Y54" s="123"/>
      <c r="Z54" s="124"/>
      <c r="AA54" s="124"/>
      <c r="AB54" s="106"/>
      <c r="AC54" s="111"/>
      <c r="AD54" s="97">
        <f>ROUND('Exh JDT-5 (141DCARB)'!$G$19,5)</f>
        <v>5.0000000000000002E-5</v>
      </c>
    </row>
    <row r="55" spans="1:30" x14ac:dyDescent="0.2">
      <c r="A55" s="84">
        <f t="shared" si="2"/>
        <v>47</v>
      </c>
      <c r="B55" s="85" t="s">
        <v>71</v>
      </c>
      <c r="C55" s="86" t="s">
        <v>78</v>
      </c>
      <c r="D55" s="103" t="s">
        <v>74</v>
      </c>
      <c r="E55" s="87">
        <f>ROUND('Exh JDT-5 (Rate Design)'!H170,5)</f>
        <v>5.117E-2</v>
      </c>
      <c r="F55" s="88">
        <f>ROUND('Exh JDT-5 (Rate Design)'!I170,5)</f>
        <v>1.7520000000000001E-2</v>
      </c>
      <c r="G55" s="88">
        <f>ROUND('Exh JDT-5 (Rate Design)'!J170,5)</f>
        <v>1.387E-2</v>
      </c>
      <c r="H55" s="89">
        <f t="shared" si="8"/>
        <v>-0.6576118819620872</v>
      </c>
      <c r="I55" s="89">
        <f t="shared" si="8"/>
        <v>-0.20833333333333334</v>
      </c>
      <c r="J55" s="119"/>
      <c r="K55" s="120"/>
      <c r="L55" s="120"/>
      <c r="M55" s="106"/>
      <c r="N55" s="106"/>
      <c r="O55" s="104"/>
      <c r="P55" s="105"/>
      <c r="Q55" s="105"/>
      <c r="R55" s="132"/>
      <c r="S55" s="132"/>
      <c r="T55" s="121"/>
      <c r="U55" s="122"/>
      <c r="V55" s="122"/>
      <c r="W55" s="122"/>
      <c r="X55" s="122"/>
      <c r="Y55" s="123"/>
      <c r="Z55" s="124"/>
      <c r="AA55" s="124"/>
      <c r="AB55" s="106"/>
      <c r="AC55" s="111"/>
      <c r="AD55" s="97">
        <f>ROUND('Exh JDT-5 (141DCARB)'!$G$19,5)</f>
        <v>5.0000000000000002E-5</v>
      </c>
    </row>
    <row r="56" spans="1:30" x14ac:dyDescent="0.2">
      <c r="A56" s="84">
        <f t="shared" si="2"/>
        <v>48</v>
      </c>
      <c r="B56" s="85" t="s">
        <v>71</v>
      </c>
      <c r="C56" s="86" t="s">
        <v>78</v>
      </c>
      <c r="D56" s="103" t="s">
        <v>75</v>
      </c>
      <c r="E56" s="87">
        <f>ROUND('Exh JDT-5 (Rate Design)'!H171,5)</f>
        <v>3.6830000000000002E-2</v>
      </c>
      <c r="F56" s="88">
        <f>ROUND('Exh JDT-5 (Rate Design)'!I171,5)</f>
        <v>1.261E-2</v>
      </c>
      <c r="G56" s="88">
        <f>ROUND('Exh JDT-5 (Rate Design)'!J171,5)</f>
        <v>9.9799999999999993E-3</v>
      </c>
      <c r="H56" s="89">
        <f t="shared" si="8"/>
        <v>-0.65761607385283738</v>
      </c>
      <c r="I56" s="89">
        <f t="shared" si="8"/>
        <v>-0.20856463124504365</v>
      </c>
      <c r="J56" s="119"/>
      <c r="K56" s="120"/>
      <c r="L56" s="120"/>
      <c r="M56" s="106"/>
      <c r="N56" s="106"/>
      <c r="O56" s="104"/>
      <c r="P56" s="105"/>
      <c r="Q56" s="105"/>
      <c r="R56" s="132"/>
      <c r="S56" s="132"/>
      <c r="T56" s="121"/>
      <c r="U56" s="122"/>
      <c r="V56" s="122"/>
      <c r="W56" s="122"/>
      <c r="X56" s="122"/>
      <c r="Y56" s="123"/>
      <c r="Z56" s="124"/>
      <c r="AA56" s="124"/>
      <c r="AB56" s="106"/>
      <c r="AC56" s="111"/>
      <c r="AD56" s="97">
        <f>ROUND('Exh JDT-5 (141DCARB)'!$G$19,5)</f>
        <v>5.0000000000000002E-5</v>
      </c>
    </row>
    <row r="57" spans="1:30" x14ac:dyDescent="0.2">
      <c r="A57" s="133">
        <f t="shared" si="2"/>
        <v>49</v>
      </c>
      <c r="B57" s="134" t="s">
        <v>71</v>
      </c>
      <c r="C57" s="135" t="s">
        <v>78</v>
      </c>
      <c r="D57" s="136" t="s">
        <v>76</v>
      </c>
      <c r="E57" s="137">
        <f>ROUND('Exh JDT-5 (Rate Design)'!H172,5)</f>
        <v>2.4830000000000001E-2</v>
      </c>
      <c r="F57" s="138">
        <f>ROUND('Exh JDT-5 (Rate Design)'!I172,5)</f>
        <v>8.5000000000000006E-3</v>
      </c>
      <c r="G57" s="138">
        <f>ROUND('Exh JDT-5 (Rate Design)'!J172,5)</f>
        <v>6.7299999999999999E-3</v>
      </c>
      <c r="H57" s="139">
        <f t="shared" si="8"/>
        <v>-0.65767217076117601</v>
      </c>
      <c r="I57" s="139">
        <f t="shared" si="8"/>
        <v>-0.20823529411764713</v>
      </c>
      <c r="J57" s="140"/>
      <c r="K57" s="141"/>
      <c r="L57" s="141"/>
      <c r="M57" s="142"/>
      <c r="N57" s="142"/>
      <c r="O57" s="143"/>
      <c r="P57" s="144"/>
      <c r="Q57" s="144"/>
      <c r="R57" s="145"/>
      <c r="S57" s="145"/>
      <c r="T57" s="146"/>
      <c r="U57" s="147"/>
      <c r="V57" s="147"/>
      <c r="W57" s="147"/>
      <c r="X57" s="147"/>
      <c r="Y57" s="148"/>
      <c r="Z57" s="149"/>
      <c r="AA57" s="149"/>
      <c r="AB57" s="142"/>
      <c r="AC57" s="150"/>
      <c r="AD57" s="151">
        <f>ROUND('Exh JDT-5 (141DCARB)'!$G$19,5)</f>
        <v>5.0000000000000002E-5</v>
      </c>
    </row>
  </sheetData>
  <mergeCells count="188">
    <mergeCell ref="X52:X57"/>
    <mergeCell ref="Y52:Y57"/>
    <mergeCell ref="Z52:Z57"/>
    <mergeCell ref="AA52:AA57"/>
    <mergeCell ref="AB52:AB57"/>
    <mergeCell ref="AC52:AC57"/>
    <mergeCell ref="R52:R57"/>
    <mergeCell ref="S52:S57"/>
    <mergeCell ref="T52:T57"/>
    <mergeCell ref="U52:U57"/>
    <mergeCell ref="V52:V57"/>
    <mergeCell ref="W52:W57"/>
    <mergeCell ref="AB45:AB50"/>
    <mergeCell ref="AC45:AC50"/>
    <mergeCell ref="J52:J57"/>
    <mergeCell ref="K52:K57"/>
    <mergeCell ref="L52:L57"/>
    <mergeCell ref="M52:M57"/>
    <mergeCell ref="N52:N57"/>
    <mergeCell ref="O52:O57"/>
    <mergeCell ref="P52:P57"/>
    <mergeCell ref="Q52:Q57"/>
    <mergeCell ref="V45:V50"/>
    <mergeCell ref="W45:W50"/>
    <mergeCell ref="X45:X50"/>
    <mergeCell ref="Y45:Y50"/>
    <mergeCell ref="Z45:Z50"/>
    <mergeCell ref="AA45:AA50"/>
    <mergeCell ref="P45:P50"/>
    <mergeCell ref="Q45:Q50"/>
    <mergeCell ref="R45:R50"/>
    <mergeCell ref="S45:S50"/>
    <mergeCell ref="T45:T50"/>
    <mergeCell ref="U45:U50"/>
    <mergeCell ref="J45:J50"/>
    <mergeCell ref="K45:K50"/>
    <mergeCell ref="L45:L50"/>
    <mergeCell ref="M45:M50"/>
    <mergeCell ref="N45:N50"/>
    <mergeCell ref="O45:O50"/>
    <mergeCell ref="X38:X43"/>
    <mergeCell ref="Y38:Y43"/>
    <mergeCell ref="Z38:Z43"/>
    <mergeCell ref="AA38:AA43"/>
    <mergeCell ref="AB38:AB43"/>
    <mergeCell ref="AC38:AC43"/>
    <mergeCell ref="R38:R43"/>
    <mergeCell ref="S38:S43"/>
    <mergeCell ref="T38:T43"/>
    <mergeCell ref="U38:U43"/>
    <mergeCell ref="V38:V43"/>
    <mergeCell ref="W38:W43"/>
    <mergeCell ref="AB35:AB36"/>
    <mergeCell ref="AC35:AC36"/>
    <mergeCell ref="J38:J43"/>
    <mergeCell ref="K38:K43"/>
    <mergeCell ref="L38:L43"/>
    <mergeCell ref="M38:M43"/>
    <mergeCell ref="N38:N43"/>
    <mergeCell ref="O38:O43"/>
    <mergeCell ref="P38:P43"/>
    <mergeCell ref="Q38:Q43"/>
    <mergeCell ref="V35:V36"/>
    <mergeCell ref="W35:W36"/>
    <mergeCell ref="X35:X36"/>
    <mergeCell ref="Y35:Y36"/>
    <mergeCell ref="Z35:Z36"/>
    <mergeCell ref="AA35:AA36"/>
    <mergeCell ref="P35:P36"/>
    <mergeCell ref="Q35:Q36"/>
    <mergeCell ref="R35:R36"/>
    <mergeCell ref="S35:S36"/>
    <mergeCell ref="T35:T36"/>
    <mergeCell ref="U35:U36"/>
    <mergeCell ref="J35:J36"/>
    <mergeCell ref="K35:K36"/>
    <mergeCell ref="L35:L36"/>
    <mergeCell ref="M35:M36"/>
    <mergeCell ref="N35:N36"/>
    <mergeCell ref="O35:O36"/>
    <mergeCell ref="X32:X33"/>
    <mergeCell ref="Y32:Y33"/>
    <mergeCell ref="Z32:Z33"/>
    <mergeCell ref="AA32:AA33"/>
    <mergeCell ref="AB32:AB33"/>
    <mergeCell ref="AC32:AC33"/>
    <mergeCell ref="R32:R33"/>
    <mergeCell ref="S32:S33"/>
    <mergeCell ref="T32:T33"/>
    <mergeCell ref="U32:U33"/>
    <mergeCell ref="V32:V33"/>
    <mergeCell ref="W32:W33"/>
    <mergeCell ref="AB28:AB30"/>
    <mergeCell ref="AC28:AC30"/>
    <mergeCell ref="J32:J33"/>
    <mergeCell ref="K32:K33"/>
    <mergeCell ref="L32:L33"/>
    <mergeCell ref="M32:M33"/>
    <mergeCell ref="N32:N33"/>
    <mergeCell ref="O32:O33"/>
    <mergeCell ref="P32:P33"/>
    <mergeCell ref="Q32:Q33"/>
    <mergeCell ref="V28:V30"/>
    <mergeCell ref="W28:W30"/>
    <mergeCell ref="X28:X30"/>
    <mergeCell ref="Y28:Y30"/>
    <mergeCell ref="Z28:Z30"/>
    <mergeCell ref="AA28:AA30"/>
    <mergeCell ref="P28:P30"/>
    <mergeCell ref="Q28:Q30"/>
    <mergeCell ref="R28:R30"/>
    <mergeCell ref="S28:S30"/>
    <mergeCell ref="T28:T30"/>
    <mergeCell ref="U28:U30"/>
    <mergeCell ref="J28:J30"/>
    <mergeCell ref="K28:K30"/>
    <mergeCell ref="L28:L30"/>
    <mergeCell ref="M28:M30"/>
    <mergeCell ref="N28:N30"/>
    <mergeCell ref="O28:O30"/>
    <mergeCell ref="X24:X26"/>
    <mergeCell ref="Y24:Y26"/>
    <mergeCell ref="Z24:Z26"/>
    <mergeCell ref="AA24:AA26"/>
    <mergeCell ref="AB24:AB26"/>
    <mergeCell ref="AC24:AC26"/>
    <mergeCell ref="R24:R26"/>
    <mergeCell ref="S24:S26"/>
    <mergeCell ref="T24:T26"/>
    <mergeCell ref="U24:U26"/>
    <mergeCell ref="V24:V26"/>
    <mergeCell ref="W24:W26"/>
    <mergeCell ref="AB20:AB22"/>
    <mergeCell ref="AC20:AC22"/>
    <mergeCell ref="J24:J26"/>
    <mergeCell ref="K24:K26"/>
    <mergeCell ref="L24:L26"/>
    <mergeCell ref="M24:M26"/>
    <mergeCell ref="N24:N26"/>
    <mergeCell ref="O24:O26"/>
    <mergeCell ref="P24:P26"/>
    <mergeCell ref="Q24:Q26"/>
    <mergeCell ref="V20:V22"/>
    <mergeCell ref="W20:W22"/>
    <mergeCell ref="X20:X22"/>
    <mergeCell ref="Y20:Y22"/>
    <mergeCell ref="Z20:Z22"/>
    <mergeCell ref="AA20:AA22"/>
    <mergeCell ref="P20:P22"/>
    <mergeCell ref="Q20:Q22"/>
    <mergeCell ref="R20:R22"/>
    <mergeCell ref="S20:S22"/>
    <mergeCell ref="T20:T22"/>
    <mergeCell ref="U20:U22"/>
    <mergeCell ref="J20:J22"/>
    <mergeCell ref="K20:K22"/>
    <mergeCell ref="L20:L22"/>
    <mergeCell ref="M20:M22"/>
    <mergeCell ref="N20:N22"/>
    <mergeCell ref="O20:O22"/>
    <mergeCell ref="X16:X18"/>
    <mergeCell ref="Y16:Y18"/>
    <mergeCell ref="Z16:Z18"/>
    <mergeCell ref="AA16:AA18"/>
    <mergeCell ref="AB16:AB18"/>
    <mergeCell ref="AC16:AC18"/>
    <mergeCell ref="R16:R18"/>
    <mergeCell ref="S16:S18"/>
    <mergeCell ref="T16:T18"/>
    <mergeCell ref="U16:U18"/>
    <mergeCell ref="V16:V18"/>
    <mergeCell ref="W16:W18"/>
    <mergeCell ref="T6:X6"/>
    <mergeCell ref="Y6:AC6"/>
    <mergeCell ref="J16:J18"/>
    <mergeCell ref="K16:K18"/>
    <mergeCell ref="L16:L18"/>
    <mergeCell ref="M16:M18"/>
    <mergeCell ref="N16:N18"/>
    <mergeCell ref="O16:O18"/>
    <mergeCell ref="P16:P18"/>
    <mergeCell ref="Q16:Q18"/>
    <mergeCell ref="A6:A7"/>
    <mergeCell ref="B6:B7"/>
    <mergeCell ref="C6:D7"/>
    <mergeCell ref="E6:I6"/>
    <mergeCell ref="J6:N6"/>
    <mergeCell ref="O6:S6"/>
  </mergeCells>
  <conditionalFormatting sqref="H9:I50">
    <cfRule type="iconSet" priority="11">
      <iconSet iconSet="3Arrows">
        <cfvo type="percent" val="0"/>
        <cfvo type="percent" val="0"/>
        <cfvo type="num" val="0" gte="0"/>
      </iconSet>
    </cfRule>
  </conditionalFormatting>
  <conditionalFormatting sqref="M20:N22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M24:N26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M28:N30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M9:N50">
    <cfRule type="iconSet" priority="6">
      <iconSet iconSet="3Arrows">
        <cfvo type="percent" val="0"/>
        <cfvo type="percent" val="0"/>
        <cfvo type="num" val="0" gte="0"/>
      </iconSet>
    </cfRule>
  </conditionalFormatting>
  <conditionalFormatting sqref="R9:S50">
    <cfRule type="iconSet" priority="5">
      <iconSet iconSet="3Arrows">
        <cfvo type="percent" val="0"/>
        <cfvo type="percent" val="0"/>
        <cfvo type="num" val="0" gte="0"/>
      </iconSet>
    </cfRule>
  </conditionalFormatting>
  <conditionalFormatting sqref="W9:X13 W15:X50">
    <cfRule type="iconSet" priority="4">
      <iconSet iconSet="3Arrows">
        <cfvo type="percent" val="0"/>
        <cfvo type="percent" val="0"/>
        <cfvo type="num" val="0" gte="0"/>
      </iconSet>
    </cfRule>
  </conditionalFormatting>
  <conditionalFormatting sqref="AB9:AC500">
    <cfRule type="iconSet" priority="7">
      <iconSet iconSet="3Arrows">
        <cfvo type="percent" val="0"/>
        <cfvo type="percent" val="0"/>
        <cfvo type="num" val="0" gte="0"/>
      </iconSet>
    </cfRule>
  </conditionalFormatting>
  <conditionalFormatting sqref="W14:X14">
    <cfRule type="iconSet" priority="3">
      <iconSet iconSet="3Arrows">
        <cfvo type="percent" val="0"/>
        <cfvo type="percent" val="0"/>
        <cfvo type="num" val="0" gte="0"/>
      </iconSet>
    </cfRule>
  </conditionalFormatting>
  <conditionalFormatting sqref="H52:I57">
    <cfRule type="iconSet" priority="2">
      <iconSet iconSet="3Arrows">
        <cfvo type="percent" val="0"/>
        <cfvo type="percent" val="0"/>
        <cfvo type="num" val="0" gte="0"/>
      </iconSet>
    </cfRule>
  </conditionalFormatting>
  <conditionalFormatting sqref="M52:N57">
    <cfRule type="iconSet" priority="1">
      <iconSet iconSet="3Arrows">
        <cfvo type="percent" val="0"/>
        <cfvo type="percent" val="0"/>
        <cfvo type="num" val="0" gte="0"/>
      </iconSet>
    </cfRule>
  </conditionalFormatting>
  <printOptions horizontalCentered="1"/>
  <pageMargins left="0.45" right="0.45" top="0.75" bottom="0.83" header="0.3" footer="0.3"/>
  <pageSetup scale="60" fitToWidth="3" orientation="landscape" blackAndWhite="1" r:id="rId1"/>
  <headerFooter alignWithMargins="0">
    <oddFooter>&amp;R&amp;A
 Page &amp;P of &amp;N</oddFooter>
  </headerFooter>
  <colBreaks count="2" manualBreakCount="2">
    <brk id="14" max="1048575" man="1"/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zoomScale="90" zoomScaleNormal="90" zoomScaleSheetLayoutView="85" workbookViewId="0">
      <pane ySplit="6" topLeftCell="A7" activePane="bottomLeft" state="frozen"/>
      <selection activeCell="H4" sqref="H4"/>
      <selection pane="bottomLeft" activeCell="D45" sqref="D45"/>
    </sheetView>
  </sheetViews>
  <sheetFormatPr defaultRowHeight="12.75" x14ac:dyDescent="0.2"/>
  <cols>
    <col min="1" max="1" width="5.5703125" style="11" customWidth="1"/>
    <col min="2" max="2" width="44.5703125" style="11" bestFit="1" customWidth="1"/>
    <col min="3" max="3" width="16.42578125" style="11" customWidth="1"/>
    <col min="4" max="4" width="7.85546875" style="11" customWidth="1"/>
    <col min="5" max="6" width="16" style="11" customWidth="1"/>
    <col min="7" max="7" width="16.85546875" style="11" bestFit="1" customWidth="1"/>
    <col min="8" max="12" width="16" style="11" customWidth="1"/>
    <col min="13" max="13" width="9.140625" style="11"/>
    <col min="14" max="14" width="11.85546875" style="11" bestFit="1" customWidth="1"/>
    <col min="15" max="16384" width="9.140625" style="11"/>
  </cols>
  <sheetData>
    <row r="1" spans="1:12" x14ac:dyDescent="0.2">
      <c r="A1" s="68" t="s">
        <v>144</v>
      </c>
    </row>
    <row r="2" spans="1:12" x14ac:dyDescent="0.2">
      <c r="A2" s="68" t="s">
        <v>193</v>
      </c>
    </row>
    <row r="3" spans="1:12" x14ac:dyDescent="0.2">
      <c r="A3" s="68" t="s">
        <v>194</v>
      </c>
    </row>
    <row r="4" spans="1:12" x14ac:dyDescent="0.2">
      <c r="A4" s="68" t="s">
        <v>79</v>
      </c>
    </row>
    <row r="5" spans="1:12" x14ac:dyDescent="0.2">
      <c r="B5" s="68"/>
    </row>
    <row r="6" spans="1:12" ht="38.25" x14ac:dyDescent="0.2">
      <c r="A6" s="152" t="s">
        <v>1</v>
      </c>
      <c r="B6" s="12" t="s">
        <v>80</v>
      </c>
      <c r="C6" s="13" t="s">
        <v>81</v>
      </c>
      <c r="D6" s="14" t="s">
        <v>82</v>
      </c>
      <c r="E6" s="14" t="s">
        <v>83</v>
      </c>
      <c r="F6" s="14" t="s">
        <v>84</v>
      </c>
      <c r="G6" s="14" t="s">
        <v>85</v>
      </c>
      <c r="H6" s="14" t="s">
        <v>86</v>
      </c>
      <c r="I6" s="14" t="s">
        <v>87</v>
      </c>
      <c r="J6" s="14" t="s">
        <v>88</v>
      </c>
      <c r="K6" s="14" t="s">
        <v>89</v>
      </c>
      <c r="L6" s="14" t="s">
        <v>90</v>
      </c>
    </row>
    <row r="7" spans="1:12" s="15" customFormat="1" x14ac:dyDescent="0.2">
      <c r="B7" s="16" t="s">
        <v>15</v>
      </c>
      <c r="C7" s="16" t="s">
        <v>16</v>
      </c>
      <c r="D7" s="16" t="s">
        <v>17</v>
      </c>
      <c r="E7" s="16" t="s">
        <v>18</v>
      </c>
      <c r="F7" s="16" t="s">
        <v>19</v>
      </c>
      <c r="G7" s="16" t="s">
        <v>20</v>
      </c>
      <c r="H7" s="16" t="s">
        <v>21</v>
      </c>
      <c r="I7" s="16" t="s">
        <v>22</v>
      </c>
      <c r="J7" s="16" t="s">
        <v>23</v>
      </c>
      <c r="K7" s="16" t="s">
        <v>24</v>
      </c>
      <c r="L7" s="16" t="s">
        <v>25</v>
      </c>
    </row>
    <row r="8" spans="1:12" x14ac:dyDescent="0.2">
      <c r="A8" s="17">
        <f>IF(B8="","",MAX($A$1:A7)+1)</f>
        <v>1</v>
      </c>
      <c r="B8" s="18" t="s">
        <v>91</v>
      </c>
      <c r="C8" s="19">
        <v>1</v>
      </c>
      <c r="D8" s="20"/>
      <c r="E8" s="19">
        <v>1.0996278220765499</v>
      </c>
      <c r="F8" s="19">
        <v>0.81333193542837867</v>
      </c>
      <c r="G8" s="19">
        <v>0.94256588832489363</v>
      </c>
      <c r="H8" s="19">
        <v>0.84640824120734548</v>
      </c>
      <c r="I8" s="19">
        <v>1.3073934096738571</v>
      </c>
      <c r="J8" s="19">
        <v>0.56815700435697569</v>
      </c>
      <c r="K8" s="19">
        <v>1.1538165392707636</v>
      </c>
      <c r="L8" s="19">
        <v>2.264002773322157</v>
      </c>
    </row>
    <row r="9" spans="1:12" x14ac:dyDescent="0.2">
      <c r="A9" s="17">
        <f>IF(B9="","",MAX($A$1:A8)+1)</f>
        <v>2</v>
      </c>
      <c r="B9" s="18" t="s">
        <v>92</v>
      </c>
      <c r="C9" s="21"/>
      <c r="D9" s="20"/>
      <c r="E9" s="19">
        <v>0.9</v>
      </c>
      <c r="F9" s="19">
        <v>1.25</v>
      </c>
      <c r="G9" s="19">
        <v>1.1000000000000001</v>
      </c>
      <c r="H9" s="19">
        <v>1.25</v>
      </c>
      <c r="I9" s="19">
        <v>0.75</v>
      </c>
      <c r="J9" s="19">
        <v>1.5</v>
      </c>
      <c r="K9" s="19">
        <v>0</v>
      </c>
      <c r="L9" s="19">
        <v>0</v>
      </c>
    </row>
    <row r="10" spans="1:12" x14ac:dyDescent="0.2">
      <c r="A10" s="17" t="str">
        <f>IF(B10="","",MAX($A$1:A9)+1)</f>
        <v/>
      </c>
      <c r="B10" s="15"/>
      <c r="C10" s="21"/>
      <c r="D10" s="20"/>
      <c r="E10" s="21"/>
      <c r="F10" s="21"/>
      <c r="G10" s="21"/>
      <c r="H10" s="21"/>
      <c r="I10" s="21"/>
      <c r="J10" s="21"/>
      <c r="K10" s="21"/>
      <c r="L10" s="21"/>
    </row>
    <row r="11" spans="1:12" x14ac:dyDescent="0.2">
      <c r="A11" s="17">
        <f>IF(B11="","",MAX($A$1:A10)+1)</f>
        <v>3</v>
      </c>
      <c r="B11" s="18" t="s">
        <v>93</v>
      </c>
      <c r="C11" s="21"/>
      <c r="D11" s="20"/>
      <c r="E11" s="21"/>
      <c r="F11" s="21"/>
      <c r="G11" s="21"/>
      <c r="H11" s="21"/>
      <c r="I11" s="21"/>
      <c r="J11" s="21"/>
      <c r="K11" s="21"/>
      <c r="L11" s="21"/>
    </row>
    <row r="12" spans="1:12" x14ac:dyDescent="0.2">
      <c r="A12" s="17">
        <f>IF(B12="","",MAX($A$1:A11)+1)</f>
        <v>4</v>
      </c>
      <c r="B12" s="15" t="s">
        <v>94</v>
      </c>
      <c r="C12" s="22">
        <f>SUM(E12:L12)</f>
        <v>535878245.40789258</v>
      </c>
      <c r="D12" s="20">
        <f>IFERROR(IF(C12="","",IF(C12=0,0,IF(ABS(C12-SUM($E12:$L12))&lt;1,0,1))),1)</f>
        <v>0</v>
      </c>
      <c r="E12" s="26">
        <v>370022538.77474958</v>
      </c>
      <c r="F12" s="26">
        <v>125397647.04870008</v>
      </c>
      <c r="G12" s="26">
        <v>22475459.424130213</v>
      </c>
      <c r="H12" s="26">
        <v>8911456.255117368</v>
      </c>
      <c r="I12" s="26">
        <v>1175918.3296823071</v>
      </c>
      <c r="J12" s="26">
        <v>5147033.1319507034</v>
      </c>
      <c r="K12" s="26">
        <v>1181475.14552</v>
      </c>
      <c r="L12" s="26">
        <v>1566717.2980424243</v>
      </c>
    </row>
    <row r="13" spans="1:12" x14ac:dyDescent="0.2">
      <c r="A13" s="17">
        <f>IF(B13="","",MAX($A$1:A12)+1)</f>
        <v>5</v>
      </c>
      <c r="B13" s="15" t="s">
        <v>95</v>
      </c>
      <c r="C13" s="22">
        <v>247614954</v>
      </c>
      <c r="D13" s="20"/>
      <c r="E13" s="21"/>
      <c r="F13" s="21"/>
      <c r="G13" s="21"/>
      <c r="H13" s="21"/>
      <c r="I13" s="21"/>
      <c r="J13" s="21"/>
      <c r="K13" s="21"/>
      <c r="L13" s="21"/>
    </row>
    <row r="14" spans="1:12" x14ac:dyDescent="0.2">
      <c r="A14" s="17">
        <f>IF(B14="","",MAX($A$1:A13)+1)</f>
        <v>6</v>
      </c>
      <c r="B14" s="15" t="s">
        <v>96</v>
      </c>
      <c r="C14" s="21">
        <f>C13/SUM(E12:J12)</f>
        <v>0.46445506611979914</v>
      </c>
      <c r="D14" s="20"/>
      <c r="E14" s="21"/>
      <c r="F14" s="21"/>
      <c r="G14" s="21"/>
      <c r="H14" s="21"/>
      <c r="I14" s="21"/>
      <c r="J14" s="21"/>
      <c r="K14" s="21"/>
      <c r="L14" s="21"/>
    </row>
    <row r="15" spans="1:12" x14ac:dyDescent="0.2">
      <c r="A15" s="17">
        <f>IF(B15="","",MAX($A$1:A14)+1)</f>
        <v>7</v>
      </c>
      <c r="B15" s="15" t="s">
        <v>97</v>
      </c>
      <c r="C15" s="21"/>
      <c r="D15" s="20" t="str">
        <f t="shared" ref="D15:D36" si="0">IFERROR(IF(C15="","",IF(C15=0,0,IF(ABS(C15-SUM($E15:$L15))&lt;1,0,1))),1)</f>
        <v/>
      </c>
      <c r="E15" s="21">
        <f>$C14*E$9</f>
        <v>0.41800955950781926</v>
      </c>
      <c r="F15" s="21">
        <f t="shared" ref="F15:K15" si="1">$C14*F$9</f>
        <v>0.5805688326497489</v>
      </c>
      <c r="G15" s="21">
        <f t="shared" si="1"/>
        <v>0.51090057273177913</v>
      </c>
      <c r="H15" s="21">
        <f t="shared" si="1"/>
        <v>0.5805688326497489</v>
      </c>
      <c r="I15" s="21">
        <f t="shared" si="1"/>
        <v>0.34834129958984938</v>
      </c>
      <c r="J15" s="21">
        <f t="shared" si="1"/>
        <v>0.69668259917969877</v>
      </c>
      <c r="K15" s="21">
        <f t="shared" si="1"/>
        <v>0</v>
      </c>
      <c r="L15" s="21">
        <f>$C14*L$9</f>
        <v>0</v>
      </c>
    </row>
    <row r="16" spans="1:12" x14ac:dyDescent="0.2">
      <c r="A16" s="17">
        <f>IF(B16="","",MAX($A$1:A15)+1)</f>
        <v>8</v>
      </c>
      <c r="B16" s="15" t="s">
        <v>98</v>
      </c>
      <c r="C16" s="22">
        <f>SUM(E16:L16)</f>
        <v>247585382.36681235</v>
      </c>
      <c r="D16" s="20">
        <f t="shared" si="0"/>
        <v>0</v>
      </c>
      <c r="E16" s="23">
        <f>E12*E15</f>
        <v>154672958.44119805</v>
      </c>
      <c r="F16" s="23">
        <f t="shared" ref="F16:J16" si="2">F12*F15</f>
        <v>72801965.56408903</v>
      </c>
      <c r="G16" s="23">
        <f t="shared" si="2"/>
        <v>11482725.092197988</v>
      </c>
      <c r="H16" s="23">
        <f t="shared" si="2"/>
        <v>5173713.7552427929</v>
      </c>
      <c r="I16" s="23">
        <f t="shared" si="2"/>
        <v>409620.91917305981</v>
      </c>
      <c r="J16" s="23">
        <f t="shared" si="2"/>
        <v>3585848.4204314416</v>
      </c>
      <c r="K16" s="23">
        <v>-664691.14552000002</v>
      </c>
      <c r="L16" s="23">
        <v>123241.32000000037</v>
      </c>
    </row>
    <row r="17" spans="1:12" x14ac:dyDescent="0.2">
      <c r="A17" s="17">
        <f>IF(B17="","",MAX($A$1:A16)+1)</f>
        <v>9</v>
      </c>
      <c r="B17" s="15" t="s">
        <v>99</v>
      </c>
      <c r="C17" s="22">
        <f>C13-C16</f>
        <v>29571.633187651634</v>
      </c>
      <c r="D17" s="20"/>
      <c r="E17" s="21"/>
      <c r="F17" s="21"/>
      <c r="G17" s="21"/>
      <c r="H17" s="21"/>
      <c r="I17" s="21"/>
      <c r="J17" s="21"/>
      <c r="K17" s="21"/>
      <c r="L17" s="21"/>
    </row>
    <row r="18" spans="1:12" x14ac:dyDescent="0.2">
      <c r="A18" s="17">
        <f>IF(B18="","",MAX($A$1:A17)+1)</f>
        <v>10</v>
      </c>
      <c r="B18" s="15" t="s">
        <v>100</v>
      </c>
      <c r="C18" s="22">
        <f>SUM(E18:L18)</f>
        <v>29571.633187651638</v>
      </c>
      <c r="D18" s="20">
        <f t="shared" si="0"/>
        <v>0</v>
      </c>
      <c r="E18" s="22">
        <f>$C17*(E16/SUM($E16:$J16))</f>
        <v>18433.846717256958</v>
      </c>
      <c r="F18" s="22">
        <f t="shared" ref="F18:J18" si="3">$C17*(F16/SUM($E16:$J16))</f>
        <v>8676.5022628931747</v>
      </c>
      <c r="G18" s="22">
        <f t="shared" si="3"/>
        <v>1368.5054994693774</v>
      </c>
      <c r="H18" s="22">
        <f t="shared" si="3"/>
        <v>616.60064748400634</v>
      </c>
      <c r="I18" s="22">
        <f t="shared" si="3"/>
        <v>48.818418631907818</v>
      </c>
      <c r="J18" s="22">
        <f t="shared" si="3"/>
        <v>427.35964191620974</v>
      </c>
      <c r="K18" s="21"/>
      <c r="L18" s="21"/>
    </row>
    <row r="19" spans="1:12" x14ac:dyDescent="0.2">
      <c r="A19" s="17">
        <f>IF(B19="","",MAX($A$1:A18)+1)</f>
        <v>11</v>
      </c>
      <c r="B19" s="15" t="s">
        <v>101</v>
      </c>
      <c r="C19" s="22">
        <f>SUM(E19:L19)</f>
        <v>247614954</v>
      </c>
      <c r="D19" s="20">
        <f t="shared" si="0"/>
        <v>0</v>
      </c>
      <c r="E19" s="22">
        <f>SUM(E16,E18)</f>
        <v>154691392.28791532</v>
      </c>
      <c r="F19" s="22">
        <f t="shared" ref="F19:L19" si="4">SUM(F16,F18)</f>
        <v>72810642.06635192</v>
      </c>
      <c r="G19" s="22">
        <f t="shared" si="4"/>
        <v>11484093.597697457</v>
      </c>
      <c r="H19" s="22">
        <f t="shared" si="4"/>
        <v>5174330.3558902768</v>
      </c>
      <c r="I19" s="22">
        <f t="shared" si="4"/>
        <v>409669.73759169172</v>
      </c>
      <c r="J19" s="22">
        <f t="shared" si="4"/>
        <v>3586275.7800733577</v>
      </c>
      <c r="K19" s="22">
        <f t="shared" si="4"/>
        <v>-664691.14552000002</v>
      </c>
      <c r="L19" s="22">
        <f t="shared" si="4"/>
        <v>123241.32000000037</v>
      </c>
    </row>
    <row r="20" spans="1:12" x14ac:dyDescent="0.2">
      <c r="A20" s="17">
        <f>IF(B20="","",MAX($A$1:A19)+1)</f>
        <v>12</v>
      </c>
      <c r="B20" s="15" t="s">
        <v>102</v>
      </c>
      <c r="C20" s="22">
        <f>SUM(E20:L20)</f>
        <v>783493199.4078927</v>
      </c>
      <c r="D20" s="20">
        <f t="shared" si="0"/>
        <v>0</v>
      </c>
      <c r="E20" s="22">
        <f>E12+E19</f>
        <v>524713931.06266487</v>
      </c>
      <c r="F20" s="22">
        <f t="shared" ref="F20:L20" si="5">F12+F19</f>
        <v>198208289.11505198</v>
      </c>
      <c r="G20" s="22">
        <f t="shared" si="5"/>
        <v>33959553.021827668</v>
      </c>
      <c r="H20" s="22">
        <f t="shared" si="5"/>
        <v>14085786.611007646</v>
      </c>
      <c r="I20" s="22">
        <f t="shared" si="5"/>
        <v>1585588.0672739989</v>
      </c>
      <c r="J20" s="22">
        <f t="shared" si="5"/>
        <v>8733308.9120240621</v>
      </c>
      <c r="K20" s="22">
        <f t="shared" si="5"/>
        <v>516784</v>
      </c>
      <c r="L20" s="22">
        <f t="shared" si="5"/>
        <v>1689958.6180424246</v>
      </c>
    </row>
    <row r="21" spans="1:12" x14ac:dyDescent="0.2">
      <c r="A21" s="17">
        <f>IF(B21="","",MAX($A$1:A20)+1)</f>
        <v>13</v>
      </c>
      <c r="B21" s="15" t="s">
        <v>103</v>
      </c>
      <c r="C21" s="21"/>
      <c r="D21" s="20" t="str">
        <f t="shared" si="0"/>
        <v/>
      </c>
      <c r="E21" s="21">
        <f>E19/E12</f>
        <v>0.41805937768045898</v>
      </c>
      <c r="F21" s="21">
        <f t="shared" ref="F21:L21" si="6">F19/F12</f>
        <v>0.58063802455619284</v>
      </c>
      <c r="G21" s="21">
        <f t="shared" si="6"/>
        <v>0.51096146160944989</v>
      </c>
      <c r="H21" s="21">
        <f t="shared" si="6"/>
        <v>0.58063802455619284</v>
      </c>
      <c r="I21" s="21">
        <f t="shared" si="6"/>
        <v>0.3483828147337158</v>
      </c>
      <c r="J21" s="21">
        <f t="shared" si="6"/>
        <v>0.69676562946743159</v>
      </c>
      <c r="K21" s="21">
        <f t="shared" si="6"/>
        <v>-0.56259426873296681</v>
      </c>
      <c r="L21" s="21">
        <f t="shared" si="6"/>
        <v>7.8662130145615586E-2</v>
      </c>
    </row>
    <row r="22" spans="1:12" x14ac:dyDescent="0.2">
      <c r="A22" s="17">
        <f>IF(B22="","",MAX($A$1:A21)+1)</f>
        <v>14</v>
      </c>
      <c r="B22" s="15" t="s">
        <v>104</v>
      </c>
      <c r="C22" s="21"/>
      <c r="D22" s="20" t="str">
        <f t="shared" si="0"/>
        <v/>
      </c>
      <c r="E22" s="19">
        <f>E21/$C14</f>
        <v>0.90010726155504328</v>
      </c>
      <c r="F22" s="19">
        <f t="shared" ref="F22:L22" si="7">F21/$C14</f>
        <v>1.2501489743820042</v>
      </c>
      <c r="G22" s="19">
        <f t="shared" si="7"/>
        <v>1.100131097456164</v>
      </c>
      <c r="H22" s="19">
        <f t="shared" si="7"/>
        <v>1.2501489743820042</v>
      </c>
      <c r="I22" s="19">
        <f t="shared" si="7"/>
        <v>0.75008938462920272</v>
      </c>
      <c r="J22" s="19">
        <f t="shared" si="7"/>
        <v>1.5001787692584054</v>
      </c>
      <c r="K22" s="19">
        <f t="shared" si="7"/>
        <v>-1.2112996708875474</v>
      </c>
      <c r="L22" s="19">
        <f t="shared" si="7"/>
        <v>0.16936434950055188</v>
      </c>
    </row>
    <row r="23" spans="1:12" x14ac:dyDescent="0.2">
      <c r="A23" s="17" t="str">
        <f>IF(B23="","",MAX($A$1:A22)+1)</f>
        <v/>
      </c>
      <c r="B23" s="15"/>
      <c r="C23" s="21"/>
      <c r="D23" s="20" t="str">
        <f t="shared" si="0"/>
        <v/>
      </c>
      <c r="E23" s="21"/>
      <c r="F23" s="21"/>
      <c r="G23" s="21"/>
      <c r="H23" s="21"/>
      <c r="I23" s="21"/>
      <c r="J23" s="21"/>
      <c r="K23" s="21"/>
      <c r="L23" s="21"/>
    </row>
    <row r="24" spans="1:12" x14ac:dyDescent="0.2">
      <c r="A24" s="17">
        <f>IF(B24="","",MAX($A$1:A23)+1)</f>
        <v>15</v>
      </c>
      <c r="B24" s="18" t="s">
        <v>105</v>
      </c>
      <c r="C24" s="21"/>
      <c r="D24" s="20" t="str">
        <f t="shared" si="0"/>
        <v/>
      </c>
      <c r="E24" s="21"/>
      <c r="F24" s="21"/>
      <c r="G24" s="21"/>
      <c r="H24" s="21"/>
      <c r="I24" s="21"/>
      <c r="J24" s="21"/>
      <c r="K24" s="21"/>
      <c r="L24" s="21"/>
    </row>
    <row r="25" spans="1:12" x14ac:dyDescent="0.2">
      <c r="A25" s="17">
        <f>IF(B25="","",MAX($A$1:A24)+1)</f>
        <v>16</v>
      </c>
      <c r="B25" s="15" t="s">
        <v>94</v>
      </c>
      <c r="C25" s="22">
        <f>SUM(E25:L25)</f>
        <v>533404884.02733499</v>
      </c>
      <c r="D25" s="20">
        <f t="shared" si="0"/>
        <v>0</v>
      </c>
      <c r="E25" s="26">
        <v>367451224.49354959</v>
      </c>
      <c r="F25" s="26">
        <v>125457110.59214005</v>
      </c>
      <c r="G25" s="26">
        <v>22413643.787400968</v>
      </c>
      <c r="H25" s="26">
        <v>8804975.7697971314</v>
      </c>
      <c r="I25" s="26">
        <v>1143196.9147645847</v>
      </c>
      <c r="J25" s="26">
        <v>5087802.1085895998</v>
      </c>
      <c r="K25" s="26">
        <v>1489379.9081400002</v>
      </c>
      <c r="L25" s="26">
        <v>1557550.452953038</v>
      </c>
    </row>
    <row r="26" spans="1:12" x14ac:dyDescent="0.2">
      <c r="A26" s="17">
        <f>IF(B26="","",MAX($A$1:A25)+1)</f>
        <v>17</v>
      </c>
      <c r="B26" s="15" t="s">
        <v>95</v>
      </c>
      <c r="C26" s="26">
        <v>272965240</v>
      </c>
      <c r="D26" s="20"/>
      <c r="E26" s="21"/>
      <c r="F26" s="21"/>
      <c r="G26" s="21"/>
      <c r="H26" s="21"/>
      <c r="I26" s="21"/>
      <c r="J26" s="21"/>
      <c r="K26" s="21"/>
      <c r="L26" s="21"/>
    </row>
    <row r="27" spans="1:12" x14ac:dyDescent="0.2">
      <c r="A27" s="17">
        <f>IF(B27="","",MAX($A$1:A26)+1)</f>
        <v>18</v>
      </c>
      <c r="B27" s="15" t="s">
        <v>96</v>
      </c>
      <c r="C27" s="21">
        <f>C26/SUM(E25:J25)</f>
        <v>0.51468114716307056</v>
      </c>
      <c r="D27" s="20"/>
      <c r="E27" s="21"/>
      <c r="F27" s="21"/>
      <c r="G27" s="21"/>
      <c r="H27" s="21"/>
      <c r="I27" s="21"/>
      <c r="J27" s="21"/>
      <c r="K27" s="21"/>
      <c r="L27" s="21"/>
    </row>
    <row r="28" spans="1:12" x14ac:dyDescent="0.2">
      <c r="A28" s="17">
        <f>IF(B28="","",MAX($A$1:A27)+1)</f>
        <v>19</v>
      </c>
      <c r="B28" s="15" t="s">
        <v>97</v>
      </c>
      <c r="C28" s="21"/>
      <c r="D28" s="20" t="str">
        <f t="shared" si="0"/>
        <v/>
      </c>
      <c r="E28" s="21">
        <f>$C27*E$9</f>
        <v>0.46321303244676354</v>
      </c>
      <c r="F28" s="21">
        <f t="shared" ref="F28:L28" si="8">$C27*F$9</f>
        <v>0.6433514339538382</v>
      </c>
      <c r="G28" s="21">
        <f t="shared" si="8"/>
        <v>0.56614926187937764</v>
      </c>
      <c r="H28" s="21">
        <f t="shared" si="8"/>
        <v>0.6433514339538382</v>
      </c>
      <c r="I28" s="21">
        <f t="shared" si="8"/>
        <v>0.38601086037230292</v>
      </c>
      <c r="J28" s="21">
        <f t="shared" si="8"/>
        <v>0.77202172074460584</v>
      </c>
      <c r="K28" s="21">
        <f t="shared" si="8"/>
        <v>0</v>
      </c>
      <c r="L28" s="21">
        <f t="shared" si="8"/>
        <v>0</v>
      </c>
    </row>
    <row r="29" spans="1:12" x14ac:dyDescent="0.2">
      <c r="A29" s="17">
        <f>IF(B29="","",MAX($A$1:A28)+1)</f>
        <v>20</v>
      </c>
      <c r="B29" s="15" t="s">
        <v>98</v>
      </c>
      <c r="C29" s="22">
        <f>SUM(E29:L29)</f>
        <v>272941238.94196892</v>
      </c>
      <c r="D29" s="20">
        <f t="shared" si="0"/>
        <v>0</v>
      </c>
      <c r="E29" s="23">
        <f>E25*E28</f>
        <v>170208195.97393358</v>
      </c>
      <c r="F29" s="23">
        <f t="shared" ref="F29:J29" si="9">F25*F28</f>
        <v>80713011.999158561</v>
      </c>
      <c r="G29" s="23">
        <f t="shared" si="9"/>
        <v>12689467.886264356</v>
      </c>
      <c r="H29" s="23">
        <f t="shared" si="9"/>
        <v>5664693.7874277849</v>
      </c>
      <c r="I29" s="23">
        <f t="shared" si="9"/>
        <v>441286.42464323959</v>
      </c>
      <c r="J29" s="23">
        <f t="shared" si="9"/>
        <v>3927893.7386813769</v>
      </c>
      <c r="K29" s="23">
        <v>-972595.90814000019</v>
      </c>
      <c r="L29" s="23">
        <v>269285.04000000027</v>
      </c>
    </row>
    <row r="30" spans="1:12" x14ac:dyDescent="0.2">
      <c r="A30" s="17">
        <f>IF(B30="","",MAX($A$1:A29)+1)</f>
        <v>21</v>
      </c>
      <c r="B30" s="15" t="s">
        <v>99</v>
      </c>
      <c r="C30" s="22">
        <f>C26-C29</f>
        <v>24001.058031082153</v>
      </c>
      <c r="D30" s="20"/>
      <c r="E30" s="21"/>
      <c r="F30" s="21"/>
      <c r="G30" s="21"/>
      <c r="H30" s="21"/>
      <c r="I30" s="21"/>
      <c r="J30" s="21"/>
      <c r="K30" s="21"/>
      <c r="L30" s="21"/>
    </row>
    <row r="31" spans="1:12" x14ac:dyDescent="0.2">
      <c r="A31" s="17">
        <f>IF(B31="","",MAX($A$1:A30)+1)</f>
        <v>22</v>
      </c>
      <c r="B31" s="15" t="s">
        <v>100</v>
      </c>
      <c r="C31" s="22">
        <f>SUM(E31:L31)</f>
        <v>24001.05803108215</v>
      </c>
      <c r="D31" s="20">
        <f t="shared" si="0"/>
        <v>0</v>
      </c>
      <c r="E31" s="22">
        <f>$C30*(E29/SUM($E29:$J29))</f>
        <v>14928.770888260058</v>
      </c>
      <c r="F31" s="22">
        <f t="shared" ref="F31" si="10">$C30*(F29/SUM($E29:$J29))</f>
        <v>7079.2481933205727</v>
      </c>
      <c r="G31" s="22">
        <f t="shared" ref="G31:J31" si="11">$C30*(G29/SUM($E29:$J29))</f>
        <v>1112.9790647507104</v>
      </c>
      <c r="H31" s="22">
        <f t="shared" si="11"/>
        <v>496.84396935627285</v>
      </c>
      <c r="I31" s="22">
        <f t="shared" si="11"/>
        <v>38.704739756522983</v>
      </c>
      <c r="J31" s="22">
        <f t="shared" si="11"/>
        <v>344.511175638015</v>
      </c>
      <c r="K31" s="21"/>
      <c r="L31" s="21"/>
    </row>
    <row r="32" spans="1:12" x14ac:dyDescent="0.2">
      <c r="A32" s="17">
        <f>IF(B32="","",MAX($A$1:A31)+1)</f>
        <v>23</v>
      </c>
      <c r="B32" s="15" t="s">
        <v>101</v>
      </c>
      <c r="C32" s="22">
        <f>SUM(E32:L32)</f>
        <v>272965240</v>
      </c>
      <c r="D32" s="20">
        <f t="shared" si="0"/>
        <v>0</v>
      </c>
      <c r="E32" s="22">
        <f>SUM(E29,E31)</f>
        <v>170223124.74482185</v>
      </c>
      <c r="F32" s="22">
        <f t="shared" ref="F32:L32" si="12">SUM(F29,F31)</f>
        <v>80720091.247351885</v>
      </c>
      <c r="G32" s="22">
        <f t="shared" si="12"/>
        <v>12690580.865329107</v>
      </c>
      <c r="H32" s="22">
        <f t="shared" si="12"/>
        <v>5665190.6313971411</v>
      </c>
      <c r="I32" s="22">
        <f t="shared" si="12"/>
        <v>441325.12938299612</v>
      </c>
      <c r="J32" s="22">
        <f t="shared" si="12"/>
        <v>3928238.249857015</v>
      </c>
      <c r="K32" s="22">
        <f t="shared" si="12"/>
        <v>-972595.90814000019</v>
      </c>
      <c r="L32" s="22">
        <f t="shared" si="12"/>
        <v>269285.04000000027</v>
      </c>
    </row>
    <row r="33" spans="1:12" x14ac:dyDescent="0.2">
      <c r="A33" s="17">
        <f>IF(B33="","",MAX($A$1:A32)+1)</f>
        <v>24</v>
      </c>
      <c r="B33" s="15" t="s">
        <v>102</v>
      </c>
      <c r="C33" s="22">
        <f>SUM(E33:L33)</f>
        <v>806370124.02733493</v>
      </c>
      <c r="D33" s="20">
        <f t="shared" si="0"/>
        <v>0</v>
      </c>
      <c r="E33" s="22">
        <f>E25+E32</f>
        <v>537674349.23837137</v>
      </c>
      <c r="F33" s="22">
        <f t="shared" ref="F33:L33" si="13">F25+F32</f>
        <v>206177201.83949193</v>
      </c>
      <c r="G33" s="22">
        <f t="shared" si="13"/>
        <v>35104224.652730078</v>
      </c>
      <c r="H33" s="22">
        <f t="shared" si="13"/>
        <v>14470166.401194273</v>
      </c>
      <c r="I33" s="22">
        <f t="shared" si="13"/>
        <v>1584522.0441475809</v>
      </c>
      <c r="J33" s="22">
        <f t="shared" si="13"/>
        <v>9016040.3584466148</v>
      </c>
      <c r="K33" s="22">
        <f t="shared" si="13"/>
        <v>516784</v>
      </c>
      <c r="L33" s="22">
        <f t="shared" si="13"/>
        <v>1826835.4929530383</v>
      </c>
    </row>
    <row r="34" spans="1:12" x14ac:dyDescent="0.2">
      <c r="A34" s="17">
        <f>IF(B34="","",MAX($A$1:A33)+1)</f>
        <v>25</v>
      </c>
      <c r="B34" s="15" t="s">
        <v>103</v>
      </c>
      <c r="C34" s="21"/>
      <c r="D34" s="20" t="str">
        <f t="shared" si="0"/>
        <v/>
      </c>
      <c r="E34" s="21">
        <f>E32/E25</f>
        <v>0.4632536603448168</v>
      </c>
      <c r="F34" s="21">
        <f t="shared" ref="F34:L34" si="14">F32/F25</f>
        <v>0.64340786159002328</v>
      </c>
      <c r="G34" s="21">
        <f t="shared" si="14"/>
        <v>0.56619891819922052</v>
      </c>
      <c r="H34" s="21">
        <f t="shared" si="14"/>
        <v>0.64340786159002328</v>
      </c>
      <c r="I34" s="21">
        <f t="shared" si="14"/>
        <v>0.38604471695401393</v>
      </c>
      <c r="J34" s="21">
        <f t="shared" si="14"/>
        <v>0.77208943390802798</v>
      </c>
      <c r="K34" s="21">
        <f t="shared" si="14"/>
        <v>-0.65302069863062584</v>
      </c>
      <c r="L34" s="21">
        <f t="shared" si="14"/>
        <v>0.17289009129010829</v>
      </c>
    </row>
    <row r="35" spans="1:12" x14ac:dyDescent="0.2">
      <c r="A35" s="17">
        <f>IF(B35="","",MAX($A$1:A34)+1)</f>
        <v>26</v>
      </c>
      <c r="B35" s="15" t="s">
        <v>104</v>
      </c>
      <c r="C35" s="21"/>
      <c r="D35" s="20" t="str">
        <f t="shared" si="0"/>
        <v/>
      </c>
      <c r="E35" s="19">
        <f>E34/$C27</f>
        <v>0.90007893799545069</v>
      </c>
      <c r="F35" s="19">
        <f t="shared" ref="F35:L35" si="15">F34/$C27</f>
        <v>1.2501096361047925</v>
      </c>
      <c r="G35" s="19">
        <f t="shared" si="15"/>
        <v>1.1000964797722175</v>
      </c>
      <c r="H35" s="19">
        <f t="shared" si="15"/>
        <v>1.2501096361047925</v>
      </c>
      <c r="I35" s="19">
        <f t="shared" si="15"/>
        <v>0.75006578166287541</v>
      </c>
      <c r="J35" s="19">
        <f t="shared" si="15"/>
        <v>1.500131563325751</v>
      </c>
      <c r="K35" s="19">
        <f t="shared" si="15"/>
        <v>-1.2687869027845391</v>
      </c>
      <c r="L35" s="19">
        <f t="shared" si="15"/>
        <v>0.33591689193023838</v>
      </c>
    </row>
    <row r="36" spans="1:12" x14ac:dyDescent="0.2">
      <c r="A36" s="17" t="str">
        <f>IF(B36="","",MAX(A$1:A5)+1)</f>
        <v/>
      </c>
      <c r="B36" s="15"/>
      <c r="C36" s="21"/>
      <c r="D36" s="20" t="str">
        <f t="shared" si="0"/>
        <v/>
      </c>
      <c r="E36" s="21"/>
      <c r="F36" s="21"/>
      <c r="G36" s="21"/>
      <c r="H36" s="21"/>
      <c r="I36" s="21"/>
      <c r="J36" s="21"/>
      <c r="K36" s="21"/>
      <c r="L36" s="21"/>
    </row>
    <row r="37" spans="1:12" x14ac:dyDescent="0.2">
      <c r="A37" s="17"/>
      <c r="B37" s="15" t="s">
        <v>106</v>
      </c>
      <c r="C37" s="21"/>
      <c r="D37" s="20"/>
      <c r="E37" s="21"/>
      <c r="F37" s="21"/>
      <c r="G37" s="21"/>
      <c r="H37" s="21"/>
      <c r="I37" s="21"/>
      <c r="J37" s="21"/>
      <c r="K37" s="21"/>
      <c r="L37" s="21"/>
    </row>
    <row r="38" spans="1:12" x14ac:dyDescent="0.2">
      <c r="A38" s="17"/>
      <c r="B38" s="11" t="s">
        <v>107</v>
      </c>
      <c r="D38" s="20"/>
    </row>
    <row r="39" spans="1:12" x14ac:dyDescent="0.2">
      <c r="D39" s="24"/>
      <c r="E39" s="25"/>
      <c r="F39" s="25"/>
      <c r="G39" s="25"/>
      <c r="H39" s="25"/>
      <c r="I39" s="25"/>
      <c r="J39" s="25"/>
      <c r="K39" s="25"/>
      <c r="L39" s="25"/>
    </row>
    <row r="40" spans="1:12" x14ac:dyDescent="0.2">
      <c r="D40" s="24"/>
    </row>
    <row r="41" spans="1:12" x14ac:dyDescent="0.2">
      <c r="D41" s="24"/>
    </row>
    <row r="42" spans="1:12" x14ac:dyDescent="0.2">
      <c r="D42" s="24" t="str">
        <f>IFERROR(IF(C42="","",IF(C42=0,0,IF(ABS(C42-SUM($E42:$L42))&lt;1,0,1))),1)</f>
        <v/>
      </c>
    </row>
    <row r="43" spans="1:12" x14ac:dyDescent="0.2">
      <c r="B43" s="153"/>
      <c r="C43" s="26"/>
      <c r="D43" s="24"/>
    </row>
    <row r="45" spans="1:12" x14ac:dyDescent="0.2">
      <c r="C45" s="26"/>
    </row>
    <row r="48" spans="1:12" x14ac:dyDescent="0.2">
      <c r="C48" s="26"/>
    </row>
  </sheetData>
  <pageMargins left="0.7" right="0.7" top="0.75" bottom="0.75" header="0.3" footer="0.3"/>
  <pageSetup scale="61" fitToHeight="2" orientation="landscape" blackAndWhite="1" horizontalDpi="300" verticalDpi="300" r:id="rId1"/>
  <headerFooter>
    <oddFooter>&amp;R&amp;A
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1"/>
  <sheetViews>
    <sheetView zoomScale="90" zoomScaleNormal="90" workbookViewId="0">
      <pane xSplit="3" ySplit="7" topLeftCell="D8" activePane="bottomRight" state="frozen"/>
      <selection activeCell="H4" sqref="H4"/>
      <selection pane="topRight" activeCell="H4" sqref="H4"/>
      <selection pane="bottomLeft" activeCell="H4" sqref="H4"/>
      <selection pane="bottomRight" activeCell="M188" sqref="M188"/>
    </sheetView>
  </sheetViews>
  <sheetFormatPr defaultColWidth="9.140625" defaultRowHeight="12.75" x14ac:dyDescent="0.2"/>
  <cols>
    <col min="1" max="1" width="5.7109375" style="11" customWidth="1"/>
    <col min="2" max="2" width="6.42578125" style="17" bestFit="1" customWidth="1"/>
    <col min="3" max="3" width="24.5703125" style="11" bestFit="1" customWidth="1"/>
    <col min="4" max="6" width="13.42578125" style="11" bestFit="1" customWidth="1"/>
    <col min="7" max="7" width="2.5703125" style="11" customWidth="1"/>
    <col min="8" max="8" width="12.140625" style="11" customWidth="1"/>
    <col min="9" max="9" width="11.7109375" style="11" bestFit="1" customWidth="1"/>
    <col min="10" max="10" width="13.42578125" style="11" bestFit="1" customWidth="1"/>
    <col min="11" max="11" width="2.5703125" style="11" customWidth="1"/>
    <col min="12" max="14" width="14.5703125" style="11" bestFit="1" customWidth="1"/>
    <col min="15" max="15" width="2.5703125" style="11" customWidth="1"/>
    <col min="16" max="16" width="14.5703125" style="11" customWidth="1"/>
    <col min="17" max="17" width="17.28515625" style="11" bestFit="1" customWidth="1"/>
    <col min="18" max="18" width="2.5703125" style="11" customWidth="1"/>
    <col min="19" max="20" width="16.28515625" style="11" bestFit="1" customWidth="1"/>
    <col min="21" max="16384" width="9.140625" style="11"/>
  </cols>
  <sheetData>
    <row r="1" spans="1:20" s="29" customFormat="1" x14ac:dyDescent="0.2">
      <c r="A1" s="68" t="s">
        <v>144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s="29" customFormat="1" x14ac:dyDescent="0.2">
      <c r="A2" s="68" t="s">
        <v>193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s="29" customFormat="1" x14ac:dyDescent="0.2">
      <c r="A3" s="68" t="s">
        <v>194</v>
      </c>
      <c r="B3" s="27"/>
      <c r="C3" s="28"/>
      <c r="D3" s="27"/>
    </row>
    <row r="4" spans="1:20" s="29" customFormat="1" x14ac:dyDescent="0.2">
      <c r="A4" s="68" t="s">
        <v>108</v>
      </c>
      <c r="B4" s="27"/>
      <c r="C4" s="28"/>
      <c r="D4" s="27"/>
    </row>
    <row r="5" spans="1:20" s="29" customFormat="1" x14ac:dyDescent="0.2">
      <c r="A5" s="6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0" s="29" customFormat="1" x14ac:dyDescent="0.2">
      <c r="B6" s="27"/>
      <c r="D6" s="30" t="s">
        <v>109</v>
      </c>
      <c r="E6" s="30"/>
      <c r="F6" s="30"/>
      <c r="G6" s="31"/>
      <c r="H6" s="30" t="s">
        <v>110</v>
      </c>
      <c r="I6" s="30"/>
      <c r="J6" s="30"/>
      <c r="L6" s="30" t="s">
        <v>111</v>
      </c>
      <c r="M6" s="30"/>
      <c r="N6" s="30"/>
      <c r="P6" s="30" t="s">
        <v>112</v>
      </c>
      <c r="Q6" s="30"/>
      <c r="S6" s="30" t="s">
        <v>113</v>
      </c>
      <c r="T6" s="30"/>
    </row>
    <row r="7" spans="1:20" s="32" customFormat="1" ht="25.5" x14ac:dyDescent="0.2">
      <c r="A7" s="13" t="s">
        <v>114</v>
      </c>
      <c r="B7" s="13" t="s">
        <v>115</v>
      </c>
      <c r="C7" s="13" t="s">
        <v>116</v>
      </c>
      <c r="D7" s="154" t="s">
        <v>117</v>
      </c>
      <c r="E7" s="154" t="s">
        <v>118</v>
      </c>
      <c r="F7" s="154" t="s">
        <v>119</v>
      </c>
      <c r="G7" s="155"/>
      <c r="H7" s="154" t="s">
        <v>117</v>
      </c>
      <c r="I7" s="154" t="s">
        <v>118</v>
      </c>
      <c r="J7" s="154" t="s">
        <v>119</v>
      </c>
      <c r="L7" s="154" t="s">
        <v>117</v>
      </c>
      <c r="M7" s="154" t="s">
        <v>118</v>
      </c>
      <c r="N7" s="154" t="s">
        <v>119</v>
      </c>
      <c r="P7" s="154" t="s">
        <v>118</v>
      </c>
      <c r="Q7" s="154" t="s">
        <v>119</v>
      </c>
      <c r="S7" s="154" t="s">
        <v>118</v>
      </c>
      <c r="T7" s="154" t="s">
        <v>119</v>
      </c>
    </row>
    <row r="8" spans="1:20" s="32" customFormat="1" x14ac:dyDescent="0.2">
      <c r="A8" s="33"/>
      <c r="B8" s="34" t="s">
        <v>15</v>
      </c>
      <c r="C8" s="34" t="s">
        <v>16</v>
      </c>
      <c r="D8" s="156" t="s">
        <v>17</v>
      </c>
      <c r="E8" s="156" t="s">
        <v>18</v>
      </c>
      <c r="F8" s="156" t="s">
        <v>19</v>
      </c>
      <c r="G8" s="156"/>
      <c r="H8" s="156" t="s">
        <v>20</v>
      </c>
      <c r="I8" s="156" t="s">
        <v>21</v>
      </c>
      <c r="J8" s="156" t="s">
        <v>22</v>
      </c>
      <c r="K8" s="35"/>
      <c r="L8" s="156" t="s">
        <v>23</v>
      </c>
      <c r="M8" s="156" t="s">
        <v>24</v>
      </c>
      <c r="N8" s="156" t="s">
        <v>25</v>
      </c>
      <c r="O8" s="35"/>
      <c r="P8" s="156" t="s">
        <v>26</v>
      </c>
      <c r="Q8" s="156" t="s">
        <v>27</v>
      </c>
      <c r="R8" s="35"/>
      <c r="S8" s="156" t="s">
        <v>28</v>
      </c>
      <c r="T8" s="156" t="s">
        <v>29</v>
      </c>
    </row>
    <row r="9" spans="1:20" x14ac:dyDescent="0.2">
      <c r="A9" s="17">
        <v>1</v>
      </c>
      <c r="B9" s="17">
        <v>23</v>
      </c>
      <c r="C9" s="11" t="s">
        <v>5</v>
      </c>
      <c r="D9" s="37">
        <v>9826946.2076458335</v>
      </c>
      <c r="E9" s="37">
        <v>9898104</v>
      </c>
      <c r="F9" s="37">
        <v>9898104</v>
      </c>
      <c r="H9" s="157">
        <v>12.5</v>
      </c>
      <c r="I9" s="158">
        <f>H9*(1+S9)</f>
        <v>14.861999962975908</v>
      </c>
      <c r="J9" s="158">
        <f>I9*(1+T9)</f>
        <v>17.67032343195967</v>
      </c>
      <c r="L9" s="159">
        <f>D9*$H9</f>
        <v>122836827.59557292</v>
      </c>
      <c r="M9" s="159">
        <f t="shared" ref="M9:N10" si="0">E9*$H9</f>
        <v>123726300</v>
      </c>
      <c r="N9" s="159">
        <f t="shared" si="0"/>
        <v>123726300</v>
      </c>
      <c r="P9" s="159">
        <f>E9*I9</f>
        <v>147105621.28153169</v>
      </c>
      <c r="Q9" s="159">
        <f>F9*J9</f>
        <v>174902699.04317373</v>
      </c>
      <c r="S9" s="36">
        <v>0.1889599970380727</v>
      </c>
      <c r="T9" s="36">
        <f>S9</f>
        <v>0.1889599970380727</v>
      </c>
    </row>
    <row r="10" spans="1:20" x14ac:dyDescent="0.2">
      <c r="A10" s="17">
        <f>A9+1</f>
        <v>2</v>
      </c>
      <c r="B10" s="17">
        <f>B9</f>
        <v>23</v>
      </c>
      <c r="C10" s="11" t="s">
        <v>4</v>
      </c>
      <c r="D10" s="37">
        <v>576566861.3574605</v>
      </c>
      <c r="E10" s="37">
        <v>539959592</v>
      </c>
      <c r="F10" s="37">
        <v>534322352</v>
      </c>
      <c r="H10" s="160">
        <v>0.45612999999999998</v>
      </c>
      <c r="I10" s="161">
        <f>H10*(1+S10)</f>
        <v>0.69931523866371292</v>
      </c>
      <c r="J10" s="161">
        <f>I10*(1+T10)</f>
        <v>0.6789254155762886</v>
      </c>
      <c r="L10" s="159">
        <f>D10*$H10</f>
        <v>262989442.47097844</v>
      </c>
      <c r="M10" s="159">
        <f t="shared" si="0"/>
        <v>246291768.69895998</v>
      </c>
      <c r="N10" s="159">
        <f t="shared" si="0"/>
        <v>243720454.41775998</v>
      </c>
      <c r="P10" s="159">
        <f>E10*I10</f>
        <v>377601970.94824106</v>
      </c>
      <c r="Q10" s="159">
        <f>F10*J10</f>
        <v>362765024.88329995</v>
      </c>
      <c r="S10" s="36">
        <f>(S$20-(SUM(P9,P13,P15)-SUM(M9,M13,M15)))/(M19-SUM(M9,M13,M15))</f>
        <v>0.53314896775856213</v>
      </c>
      <c r="T10" s="36">
        <f>((Q20-SUM(Q9,Q13,Q15))/F10)/I10-1</f>
        <v>-2.9156840806709994E-2</v>
      </c>
    </row>
    <row r="11" spans="1:20" x14ac:dyDescent="0.2">
      <c r="A11" s="17">
        <f t="shared" ref="A11:A74" si="1">A10+1</f>
        <v>3</v>
      </c>
      <c r="B11" s="17">
        <f>B10</f>
        <v>23</v>
      </c>
      <c r="C11" s="11" t="s">
        <v>120</v>
      </c>
      <c r="D11" s="50"/>
      <c r="E11" s="50"/>
      <c r="F11" s="50"/>
      <c r="G11" s="50"/>
      <c r="H11" s="162"/>
      <c r="I11" s="162"/>
      <c r="J11" s="162"/>
      <c r="K11" s="37"/>
      <c r="L11" s="163">
        <f>SUM(L9:L10)</f>
        <v>385826270.06655133</v>
      </c>
      <c r="M11" s="163">
        <f t="shared" ref="M11:N11" si="2">SUM(M9:M10)</f>
        <v>370018068.69895995</v>
      </c>
      <c r="N11" s="163">
        <f t="shared" si="2"/>
        <v>367446754.41776001</v>
      </c>
      <c r="P11" s="163">
        <f>SUM(P9:P10)</f>
        <v>524707592.22977275</v>
      </c>
      <c r="Q11" s="163">
        <f>SUM(Q9:Q10)</f>
        <v>537667723.92647362</v>
      </c>
      <c r="S11" s="36"/>
      <c r="T11" s="36"/>
    </row>
    <row r="12" spans="1:20" x14ac:dyDescent="0.2">
      <c r="A12" s="17">
        <f t="shared" si="1"/>
        <v>4</v>
      </c>
      <c r="H12" s="158"/>
      <c r="I12" s="158"/>
      <c r="J12" s="158"/>
      <c r="L12" s="159"/>
      <c r="M12" s="159"/>
      <c r="N12" s="159"/>
      <c r="P12" s="159"/>
      <c r="S12" s="36"/>
      <c r="T12" s="36"/>
    </row>
    <row r="13" spans="1:20" x14ac:dyDescent="0.2">
      <c r="A13" s="17">
        <f t="shared" si="1"/>
        <v>5</v>
      </c>
      <c r="B13" s="38">
        <v>16</v>
      </c>
      <c r="C13" s="11" t="s">
        <v>4</v>
      </c>
      <c r="D13" s="37">
        <v>343.27700000000004</v>
      </c>
      <c r="E13" s="37">
        <v>368.21052631578942</v>
      </c>
      <c r="F13" s="37">
        <v>368.21052631578942</v>
      </c>
      <c r="H13" s="157">
        <v>12.14</v>
      </c>
      <c r="I13" s="158">
        <f>H13*(1+S13)</f>
        <v>17.215240845040778</v>
      </c>
      <c r="J13" s="158">
        <f>I13*(1+T13)</f>
        <v>17.993271305926548</v>
      </c>
      <c r="L13" s="159">
        <f>D13*$H13</f>
        <v>4167.3827800000008</v>
      </c>
      <c r="M13" s="159">
        <f t="shared" ref="M13:N13" si="3">E13*$H13</f>
        <v>4470.0757894736835</v>
      </c>
      <c r="N13" s="159">
        <f t="shared" si="3"/>
        <v>4470.0757894736835</v>
      </c>
      <c r="P13" s="159">
        <f>E13*I13</f>
        <v>6338.8328922055407</v>
      </c>
      <c r="Q13" s="159">
        <f>F13*J13</f>
        <v>6625.3118976980059</v>
      </c>
      <c r="S13" s="36">
        <f>S20/M19</f>
        <v>0.41805937768045959</v>
      </c>
      <c r="T13" s="21">
        <f>SUM(S20:T20)/N19-S13</f>
        <v>4.5194282664357543E-2</v>
      </c>
    </row>
    <row r="14" spans="1:20" x14ac:dyDescent="0.2">
      <c r="A14" s="17">
        <f t="shared" si="1"/>
        <v>6</v>
      </c>
      <c r="D14" s="50"/>
      <c r="E14" s="50"/>
      <c r="F14" s="50"/>
      <c r="G14" s="50"/>
      <c r="L14" s="159"/>
      <c r="M14" s="159"/>
      <c r="N14" s="159"/>
      <c r="P14" s="159"/>
      <c r="Q14" s="159"/>
      <c r="S14" s="36"/>
      <c r="T14" s="36"/>
    </row>
    <row r="15" spans="1:20" x14ac:dyDescent="0.2">
      <c r="A15" s="17">
        <f t="shared" si="1"/>
        <v>7</v>
      </c>
      <c r="B15" s="17">
        <v>53</v>
      </c>
      <c r="C15" s="11" t="s">
        <v>5</v>
      </c>
      <c r="D15" s="50">
        <v>0</v>
      </c>
      <c r="E15" s="50">
        <v>0</v>
      </c>
      <c r="F15" s="50">
        <v>0</v>
      </c>
      <c r="G15" s="50"/>
      <c r="H15" s="157">
        <v>12.5</v>
      </c>
      <c r="I15" s="158">
        <f>H15*(1+S15)</f>
        <v>14.861999962975908</v>
      </c>
      <c r="J15" s="158">
        <f>I15*(1+T15)</f>
        <v>17.67032343195967</v>
      </c>
      <c r="L15" s="159">
        <f>D15*$H15</f>
        <v>0</v>
      </c>
      <c r="M15" s="159">
        <f t="shared" ref="M15:N16" si="4">E15*$H15</f>
        <v>0</v>
      </c>
      <c r="N15" s="159">
        <f t="shared" si="4"/>
        <v>0</v>
      </c>
      <c r="P15" s="159">
        <f t="shared" ref="P15:Q16" si="5">E15*I15</f>
        <v>0</v>
      </c>
      <c r="Q15" s="159">
        <f t="shared" si="5"/>
        <v>0</v>
      </c>
      <c r="S15" s="36">
        <f>S9</f>
        <v>0.1889599970380727</v>
      </c>
      <c r="T15" s="36">
        <f>S15</f>
        <v>0.1889599970380727</v>
      </c>
    </row>
    <row r="16" spans="1:20" x14ac:dyDescent="0.2">
      <c r="A16" s="17">
        <f t="shared" si="1"/>
        <v>8</v>
      </c>
      <c r="B16" s="17">
        <f t="shared" ref="B16:B17" si="6">+B15</f>
        <v>53</v>
      </c>
      <c r="C16" s="11" t="s">
        <v>4</v>
      </c>
      <c r="D16" s="50">
        <v>0</v>
      </c>
      <c r="E16" s="50">
        <v>0</v>
      </c>
      <c r="F16" s="50">
        <v>0</v>
      </c>
      <c r="G16" s="50"/>
      <c r="H16" s="160">
        <v>0.45612999999999998</v>
      </c>
      <c r="I16" s="161">
        <f t="shared" ref="I16:J16" si="7">H16*(1+S16)</f>
        <v>0.69931523866371292</v>
      </c>
      <c r="J16" s="161">
        <f t="shared" si="7"/>
        <v>0.6789254155762886</v>
      </c>
      <c r="L16" s="159">
        <f>D16*$H16</f>
        <v>0</v>
      </c>
      <c r="M16" s="159">
        <f t="shared" si="4"/>
        <v>0</v>
      </c>
      <c r="N16" s="159">
        <f t="shared" si="4"/>
        <v>0</v>
      </c>
      <c r="P16" s="159">
        <f t="shared" si="5"/>
        <v>0</v>
      </c>
      <c r="Q16" s="159">
        <f t="shared" si="5"/>
        <v>0</v>
      </c>
      <c r="S16" s="36">
        <f>S10</f>
        <v>0.53314896775856213</v>
      </c>
      <c r="T16" s="36">
        <f>T10</f>
        <v>-2.9156840806709994E-2</v>
      </c>
    </row>
    <row r="17" spans="1:20" x14ac:dyDescent="0.2">
      <c r="A17" s="17">
        <f t="shared" si="1"/>
        <v>9</v>
      </c>
      <c r="B17" s="17">
        <f t="shared" si="6"/>
        <v>53</v>
      </c>
      <c r="C17" s="11" t="s">
        <v>120</v>
      </c>
      <c r="D17" s="164"/>
      <c r="E17" s="164"/>
      <c r="F17" s="164"/>
      <c r="G17" s="164"/>
      <c r="H17" s="165"/>
      <c r="I17" s="165"/>
      <c r="J17" s="165"/>
      <c r="L17" s="163">
        <f>SUM(L15:L16)</f>
        <v>0</v>
      </c>
      <c r="M17" s="163">
        <f t="shared" ref="M17:N17" si="8">SUM(M15:M16)</f>
        <v>0</v>
      </c>
      <c r="N17" s="163">
        <f t="shared" si="8"/>
        <v>0</v>
      </c>
      <c r="P17" s="163">
        <f>SUM(P15:P16)</f>
        <v>0</v>
      </c>
      <c r="Q17" s="163">
        <f>SUM(Q15:Q16)</f>
        <v>0</v>
      </c>
      <c r="S17" s="39"/>
      <c r="T17" s="39"/>
    </row>
    <row r="18" spans="1:20" x14ac:dyDescent="0.2">
      <c r="A18" s="17">
        <f t="shared" si="1"/>
        <v>10</v>
      </c>
      <c r="D18" s="50"/>
      <c r="E18" s="50"/>
      <c r="F18" s="50"/>
      <c r="G18" s="50"/>
      <c r="H18" s="158"/>
      <c r="I18" s="158"/>
      <c r="J18" s="158"/>
      <c r="L18" s="159"/>
      <c r="M18" s="159"/>
      <c r="N18" s="159"/>
      <c r="P18" s="159"/>
      <c r="S18" s="15"/>
      <c r="T18" s="15"/>
    </row>
    <row r="19" spans="1:20" x14ac:dyDescent="0.2">
      <c r="A19" s="17">
        <f t="shared" si="1"/>
        <v>11</v>
      </c>
      <c r="C19" s="11" t="s">
        <v>121</v>
      </c>
      <c r="D19" s="50"/>
      <c r="E19" s="50"/>
      <c r="F19" s="50"/>
      <c r="G19" s="50"/>
      <c r="H19" s="158"/>
      <c r="I19" s="158"/>
      <c r="J19" s="158"/>
      <c r="L19" s="159">
        <f>SUM(L11,L13,L17)</f>
        <v>385830437.44933134</v>
      </c>
      <c r="M19" s="159">
        <f t="shared" ref="M19:N19" si="9">SUM(M11,M13,M17)</f>
        <v>370022538.7747494</v>
      </c>
      <c r="N19" s="159">
        <f t="shared" si="9"/>
        <v>367451224.49354947</v>
      </c>
      <c r="P19" s="159">
        <f>SUM(P11,P13,P17)</f>
        <v>524713931.06266493</v>
      </c>
      <c r="Q19" s="159">
        <f>SUM(Q11,Q13,Q17)</f>
        <v>537674349.23837137</v>
      </c>
      <c r="S19" s="22">
        <f>'Exh JDT-5 (Rate Spread)'!E20</f>
        <v>524713931.06266487</v>
      </c>
      <c r="T19" s="22">
        <f>'Exh JDT-5 (Rate Spread)'!E33</f>
        <v>537674349.23837137</v>
      </c>
    </row>
    <row r="20" spans="1:20" x14ac:dyDescent="0.2">
      <c r="A20" s="17">
        <f t="shared" si="1"/>
        <v>12</v>
      </c>
      <c r="C20" s="11" t="s">
        <v>122</v>
      </c>
      <c r="D20" s="50"/>
      <c r="E20" s="50"/>
      <c r="F20" s="50"/>
      <c r="G20" s="50"/>
      <c r="H20" s="158"/>
      <c r="I20" s="158"/>
      <c r="J20" s="158"/>
      <c r="L20" s="159"/>
      <c r="M20" s="159"/>
      <c r="N20" s="159"/>
      <c r="P20" s="26">
        <f>'Exh JDT-5 (Rate Spread)'!$E$20</f>
        <v>524713931.06266487</v>
      </c>
      <c r="Q20" s="26">
        <f>'Exh JDT-5 (Rate Spread)'!$E$33</f>
        <v>537674349.23837137</v>
      </c>
      <c r="S20" s="23">
        <f>S19-M19</f>
        <v>154691392.28791547</v>
      </c>
      <c r="T20" s="23">
        <f>T19-N19-S20</f>
        <v>15531732.456906438</v>
      </c>
    </row>
    <row r="21" spans="1:20" x14ac:dyDescent="0.2">
      <c r="A21" s="17">
        <f t="shared" si="1"/>
        <v>13</v>
      </c>
      <c r="C21" s="11" t="s">
        <v>123</v>
      </c>
      <c r="D21" s="50"/>
      <c r="E21" s="50"/>
      <c r="F21" s="50"/>
      <c r="G21" s="50"/>
      <c r="H21" s="166"/>
      <c r="I21" s="167"/>
      <c r="J21" s="167"/>
      <c r="L21" s="159">
        <v>0</v>
      </c>
      <c r="M21" s="159">
        <f>M19-'Exh JDT-5 (Rate Spread)'!$E$12</f>
        <v>0</v>
      </c>
      <c r="N21" s="159">
        <f>N19-'Exh JDT-5 (Rate Spread)'!$E$25</f>
        <v>0</v>
      </c>
      <c r="P21" s="26">
        <f>P19-P20</f>
        <v>0</v>
      </c>
      <c r="Q21" s="26">
        <f>Q19-Q20</f>
        <v>0</v>
      </c>
      <c r="S21" s="22">
        <f>S19-P19</f>
        <v>0</v>
      </c>
      <c r="T21" s="22">
        <f>T19-Q19</f>
        <v>0</v>
      </c>
    </row>
    <row r="22" spans="1:20" x14ac:dyDescent="0.2">
      <c r="A22" s="17">
        <f t="shared" si="1"/>
        <v>14</v>
      </c>
      <c r="D22" s="50"/>
      <c r="E22" s="50"/>
      <c r="F22" s="50"/>
      <c r="G22" s="50"/>
      <c r="H22" s="167"/>
      <c r="I22" s="167"/>
      <c r="J22" s="167"/>
      <c r="L22" s="159"/>
      <c r="M22" s="159"/>
      <c r="N22" s="159"/>
      <c r="S22" s="21"/>
      <c r="T22" s="21"/>
    </row>
    <row r="23" spans="1:20" x14ac:dyDescent="0.2">
      <c r="A23" s="17">
        <f t="shared" si="1"/>
        <v>15</v>
      </c>
      <c r="D23" s="50"/>
      <c r="E23" s="50"/>
      <c r="F23" s="50"/>
      <c r="G23" s="50"/>
      <c r="H23" s="167"/>
      <c r="I23" s="167"/>
      <c r="J23" s="167"/>
      <c r="L23" s="159"/>
      <c r="M23" s="159"/>
      <c r="N23" s="159"/>
      <c r="S23" s="15"/>
      <c r="T23" s="15"/>
    </row>
    <row r="24" spans="1:20" x14ac:dyDescent="0.2">
      <c r="A24" s="17">
        <f t="shared" si="1"/>
        <v>16</v>
      </c>
      <c r="B24" s="17">
        <v>31</v>
      </c>
      <c r="C24" s="11" t="s">
        <v>5</v>
      </c>
      <c r="D24" s="50">
        <v>704963.44880883337</v>
      </c>
      <c r="E24" s="50">
        <v>712854</v>
      </c>
      <c r="F24" s="50">
        <v>715502</v>
      </c>
      <c r="G24" s="50"/>
      <c r="H24" s="168">
        <v>38.89</v>
      </c>
      <c r="I24" s="158">
        <f>H24*(1+S24)</f>
        <v>50.557000000000002</v>
      </c>
      <c r="J24" s="158">
        <f>I24*(1+T24)</f>
        <v>65.724100000000007</v>
      </c>
      <c r="L24" s="159">
        <f>D24*$H24</f>
        <v>27416028.524175532</v>
      </c>
      <c r="M24" s="159">
        <f t="shared" ref="M24:N26" si="10">E24*$H24</f>
        <v>27722892.059999999</v>
      </c>
      <c r="N24" s="159">
        <f t="shared" si="10"/>
        <v>27825872.780000001</v>
      </c>
      <c r="P24" s="159">
        <f>E24*I24</f>
        <v>36039759.678000003</v>
      </c>
      <c r="Q24" s="159">
        <f>F24*J24</f>
        <v>47025724.998200007</v>
      </c>
      <c r="S24" s="36">
        <v>0.3</v>
      </c>
      <c r="T24" s="36">
        <f>S24</f>
        <v>0.3</v>
      </c>
    </row>
    <row r="25" spans="1:20" x14ac:dyDescent="0.2">
      <c r="A25" s="17">
        <f t="shared" si="1"/>
        <v>17</v>
      </c>
      <c r="B25" s="17">
        <v>31</v>
      </c>
      <c r="C25" s="11" t="s">
        <v>4</v>
      </c>
      <c r="D25" s="50">
        <v>233381197.66869646</v>
      </c>
      <c r="E25" s="50">
        <v>228527070</v>
      </c>
      <c r="F25" s="50">
        <v>228425254</v>
      </c>
      <c r="G25" s="50"/>
      <c r="H25" s="169">
        <v>0.41249000000000002</v>
      </c>
      <c r="I25" s="161">
        <f t="shared" ref="I25:J26" si="11">H25*(1+S25)</f>
        <v>0.69101617412896732</v>
      </c>
      <c r="J25" s="161">
        <f t="shared" si="11"/>
        <v>0.67812442349325031</v>
      </c>
      <c r="L25" s="159">
        <f t="shared" ref="L25:L26" si="12">D25*$H25</f>
        <v>96267410.226360604</v>
      </c>
      <c r="M25" s="159">
        <f t="shared" si="10"/>
        <v>94265131.104300007</v>
      </c>
      <c r="N25" s="159">
        <f t="shared" si="10"/>
        <v>94223133.022459999</v>
      </c>
      <c r="P25" s="159">
        <f t="shared" ref="P25:Q30" si="13">E25*I25</f>
        <v>157915901.59630272</v>
      </c>
      <c r="Q25" s="159">
        <f t="shared" si="13"/>
        <v>154900743.68004927</v>
      </c>
      <c r="S25" s="36">
        <f>(S$34-(SUM(P24,P26,P29)-SUM(M24,M26,M29)))/(M33-SUM(M24,M26,M29))</f>
        <v>0.67523133682990466</v>
      </c>
      <c r="T25" s="36">
        <f>((Q34-SUM(Q24,Q26,Q29))/F25)/I25-1</f>
        <v>-1.8656221255554772E-2</v>
      </c>
    </row>
    <row r="26" spans="1:20" x14ac:dyDescent="0.2">
      <c r="A26" s="17">
        <f t="shared" si="1"/>
        <v>18</v>
      </c>
      <c r="B26" s="17">
        <v>31</v>
      </c>
      <c r="C26" s="11" t="s">
        <v>7</v>
      </c>
      <c r="D26" s="50">
        <v>233381197.66869646</v>
      </c>
      <c r="E26" s="50">
        <v>228527070</v>
      </c>
      <c r="F26" s="50">
        <v>228425254</v>
      </c>
      <c r="G26" s="50"/>
      <c r="H26" s="169">
        <v>1.4919999999999999E-2</v>
      </c>
      <c r="I26" s="161">
        <f>H26*(1+S26)</f>
        <v>1.8608858201128009E-2</v>
      </c>
      <c r="J26" s="161">
        <f t="shared" si="11"/>
        <v>1.8608858201128009E-2</v>
      </c>
      <c r="L26" s="159">
        <f t="shared" si="12"/>
        <v>3482047.4692169512</v>
      </c>
      <c r="M26" s="159">
        <f t="shared" si="10"/>
        <v>3409623.8843999999</v>
      </c>
      <c r="N26" s="159">
        <f t="shared" si="10"/>
        <v>3408104.7896799999</v>
      </c>
      <c r="O26" s="40"/>
      <c r="P26" s="159">
        <f t="shared" si="13"/>
        <v>4252627.8407492545</v>
      </c>
      <c r="Q26" s="159">
        <f t="shared" si="13"/>
        <v>4250733.161242649</v>
      </c>
      <c r="S26" s="36">
        <f>IF((1+S34/M33)*H26&gt;'Exh JDT-5 (Procmnt Chrg)'!$D$16,('Exh JDT-5 (Procmnt Chrg)'!$D$16-'Exh JDT-5 (Rate Design)'!H26)/'Exh JDT-5 (Rate Design)'!H26,S34/M33)</f>
        <v>0.24724250677801676</v>
      </c>
      <c r="T26" s="21">
        <f>IF((1+SUM(S34:T34)/N33-S26)*I26&gt;'Exh JDT-5 (Procmnt Chrg)'!$D$16,('Exh JDT-5 (Procmnt Chrg)'!$D$16-'Exh JDT-5 (Rate Design)'!I26)/'Exh JDT-5 (Rate Design)'!I26,SUM(S34:T34)/N33-S26)</f>
        <v>0</v>
      </c>
    </row>
    <row r="27" spans="1:20" x14ac:dyDescent="0.2">
      <c r="A27" s="17">
        <f t="shared" si="1"/>
        <v>19</v>
      </c>
      <c r="B27" s="17">
        <v>31</v>
      </c>
      <c r="C27" s="11" t="s">
        <v>120</v>
      </c>
      <c r="D27" s="50"/>
      <c r="E27" s="50"/>
      <c r="F27" s="50"/>
      <c r="G27" s="50"/>
      <c r="H27" s="168"/>
      <c r="I27" s="158"/>
      <c r="J27" s="158"/>
      <c r="L27" s="163">
        <f>SUM(L24:L26)</f>
        <v>127165486.2197531</v>
      </c>
      <c r="M27" s="163">
        <f t="shared" ref="M27:N27" si="14">SUM(M24:M26)</f>
        <v>125397647.0487</v>
      </c>
      <c r="N27" s="163">
        <f t="shared" si="14"/>
        <v>125457110.59214</v>
      </c>
      <c r="O27" s="170"/>
      <c r="P27" s="163">
        <f t="shared" ref="P27:Q27" si="15">SUM(P24:P26)</f>
        <v>198208289.11505198</v>
      </c>
      <c r="Q27" s="163">
        <f t="shared" si="15"/>
        <v>206177201.8394919</v>
      </c>
      <c r="S27" s="36"/>
      <c r="T27" s="36"/>
    </row>
    <row r="28" spans="1:20" x14ac:dyDescent="0.2">
      <c r="A28" s="17">
        <f t="shared" si="1"/>
        <v>20</v>
      </c>
      <c r="D28" s="50"/>
      <c r="E28" s="50"/>
      <c r="F28" s="50"/>
      <c r="G28" s="50"/>
      <c r="H28" s="168"/>
      <c r="I28" s="158"/>
      <c r="J28" s="158"/>
      <c r="L28" s="159"/>
      <c r="M28" s="159"/>
      <c r="N28" s="159"/>
      <c r="O28" s="40"/>
      <c r="P28" s="159"/>
      <c r="Q28" s="159"/>
      <c r="S28" s="36"/>
      <c r="T28" s="36"/>
    </row>
    <row r="29" spans="1:20" x14ac:dyDescent="0.2">
      <c r="A29" s="17">
        <f t="shared" si="1"/>
        <v>21</v>
      </c>
      <c r="B29" s="17" t="s">
        <v>124</v>
      </c>
      <c r="C29" s="11" t="s">
        <v>5</v>
      </c>
      <c r="D29" s="50">
        <v>12</v>
      </c>
      <c r="E29" s="50">
        <v>0</v>
      </c>
      <c r="F29" s="50">
        <v>0</v>
      </c>
      <c r="G29" s="50"/>
      <c r="H29" s="168">
        <v>364.04</v>
      </c>
      <c r="I29" s="158">
        <f t="shared" ref="I29:J30" si="16">H29*(1+S29)</f>
        <v>364.04</v>
      </c>
      <c r="J29" s="158">
        <f t="shared" si="16"/>
        <v>364.04</v>
      </c>
      <c r="L29" s="159">
        <f t="shared" ref="L29:N30" si="17">D29*$H29</f>
        <v>4368.4800000000005</v>
      </c>
      <c r="M29" s="159">
        <f t="shared" si="17"/>
        <v>0</v>
      </c>
      <c r="N29" s="159">
        <f t="shared" si="17"/>
        <v>0</v>
      </c>
      <c r="O29" s="40"/>
      <c r="P29" s="159">
        <f t="shared" si="13"/>
        <v>0</v>
      </c>
      <c r="Q29" s="159">
        <f t="shared" si="13"/>
        <v>0</v>
      </c>
      <c r="S29" s="36">
        <v>0</v>
      </c>
      <c r="T29" s="36">
        <v>0</v>
      </c>
    </row>
    <row r="30" spans="1:20" x14ac:dyDescent="0.2">
      <c r="A30" s="17">
        <f t="shared" si="1"/>
        <v>22</v>
      </c>
      <c r="B30" s="17" t="s">
        <v>124</v>
      </c>
      <c r="C30" s="11" t="s">
        <v>4</v>
      </c>
      <c r="D30" s="50">
        <v>1047.2599999999998</v>
      </c>
      <c r="E30" s="50">
        <v>0</v>
      </c>
      <c r="F30" s="50">
        <v>0</v>
      </c>
      <c r="G30" s="50"/>
      <c r="H30" s="169">
        <v>0.41249000000000002</v>
      </c>
      <c r="I30" s="161">
        <f t="shared" si="16"/>
        <v>0.69101617412896732</v>
      </c>
      <c r="J30" s="161">
        <f t="shared" si="16"/>
        <v>0.67812442349325031</v>
      </c>
      <c r="L30" s="159">
        <f t="shared" si="17"/>
        <v>431.98427739999994</v>
      </c>
      <c r="M30" s="159">
        <f t="shared" si="17"/>
        <v>0</v>
      </c>
      <c r="N30" s="159">
        <f t="shared" si="17"/>
        <v>0</v>
      </c>
      <c r="O30" s="40"/>
      <c r="P30" s="159">
        <f t="shared" si="13"/>
        <v>0</v>
      </c>
      <c r="Q30" s="159">
        <f t="shared" si="13"/>
        <v>0</v>
      </c>
      <c r="S30" s="36">
        <f>S25</f>
        <v>0.67523133682990466</v>
      </c>
      <c r="T30" s="36">
        <f>T25</f>
        <v>-1.8656221255554772E-2</v>
      </c>
    </row>
    <row r="31" spans="1:20" x14ac:dyDescent="0.2">
      <c r="A31" s="17">
        <f t="shared" si="1"/>
        <v>23</v>
      </c>
      <c r="B31" s="17" t="s">
        <v>124</v>
      </c>
      <c r="C31" s="11" t="s">
        <v>120</v>
      </c>
      <c r="D31" s="50"/>
      <c r="E31" s="50"/>
      <c r="F31" s="50"/>
      <c r="G31" s="50"/>
      <c r="H31" s="167"/>
      <c r="I31" s="167"/>
      <c r="J31" s="167"/>
      <c r="L31" s="163">
        <f>SUM(L29:L30)</f>
        <v>4800.4642774000004</v>
      </c>
      <c r="M31" s="163">
        <f t="shared" ref="M31:N31" si="18">SUM(M29:M30)</f>
        <v>0</v>
      </c>
      <c r="N31" s="163">
        <f t="shared" si="18"/>
        <v>0</v>
      </c>
      <c r="O31" s="170"/>
      <c r="P31" s="163">
        <f t="shared" ref="P31:Q31" si="19">SUM(P29:P30)</f>
        <v>0</v>
      </c>
      <c r="Q31" s="163">
        <f t="shared" si="19"/>
        <v>0</v>
      </c>
      <c r="S31" s="15"/>
      <c r="T31" s="15"/>
    </row>
    <row r="32" spans="1:20" x14ac:dyDescent="0.2">
      <c r="A32" s="17">
        <f t="shared" si="1"/>
        <v>24</v>
      </c>
      <c r="D32" s="50"/>
      <c r="E32" s="50"/>
      <c r="F32" s="50"/>
      <c r="G32" s="50"/>
      <c r="H32" s="167"/>
      <c r="I32" s="167"/>
      <c r="J32" s="167"/>
      <c r="L32" s="159"/>
      <c r="M32" s="159"/>
      <c r="N32" s="159"/>
      <c r="S32" s="15"/>
      <c r="T32" s="15"/>
    </row>
    <row r="33" spans="1:20" x14ac:dyDescent="0.2">
      <c r="A33" s="17">
        <f t="shared" si="1"/>
        <v>25</v>
      </c>
      <c r="C33" s="11" t="s">
        <v>125</v>
      </c>
      <c r="D33" s="50"/>
      <c r="E33" s="50"/>
      <c r="F33" s="50"/>
      <c r="G33" s="50"/>
      <c r="H33" s="167"/>
      <c r="I33" s="167"/>
      <c r="J33" s="167"/>
      <c r="L33" s="159">
        <f>SUM(L27,L31)</f>
        <v>127170286.6840305</v>
      </c>
      <c r="M33" s="159">
        <f t="shared" ref="M33:Q33" si="20">SUM(M27,M31)</f>
        <v>125397647.0487</v>
      </c>
      <c r="N33" s="159">
        <f t="shared" si="20"/>
        <v>125457110.59214</v>
      </c>
      <c r="O33" s="159"/>
      <c r="P33" s="159">
        <f t="shared" si="20"/>
        <v>198208289.11505198</v>
      </c>
      <c r="Q33" s="159">
        <f t="shared" si="20"/>
        <v>206177201.8394919</v>
      </c>
      <c r="S33" s="22">
        <f>'Exh JDT-5 (Rate Spread)'!F20</f>
        <v>198208289.11505198</v>
      </c>
      <c r="T33" s="22">
        <f>'Exh JDT-5 (Rate Spread)'!F33</f>
        <v>206177201.83949193</v>
      </c>
    </row>
    <row r="34" spans="1:20" x14ac:dyDescent="0.2">
      <c r="A34" s="17">
        <f t="shared" si="1"/>
        <v>26</v>
      </c>
      <c r="C34" s="11" t="s">
        <v>122</v>
      </c>
      <c r="D34" s="50"/>
      <c r="E34" s="50"/>
      <c r="F34" s="50"/>
      <c r="G34" s="50"/>
      <c r="H34" s="167"/>
      <c r="I34" s="167"/>
      <c r="J34" s="167"/>
      <c r="L34" s="159"/>
      <c r="M34" s="159"/>
      <c r="N34" s="159"/>
      <c r="P34" s="26">
        <f>'Exh JDT-5 (Rate Spread)'!$F$20</f>
        <v>198208289.11505198</v>
      </c>
      <c r="Q34" s="26">
        <f>'Exh JDT-5 (Rate Spread)'!$F$33</f>
        <v>206177201.83949193</v>
      </c>
      <c r="S34" s="23">
        <f>S33-M33</f>
        <v>72810642.06635198</v>
      </c>
      <c r="T34" s="23">
        <f>T33-N33-S34</f>
        <v>7909449.1809999496</v>
      </c>
    </row>
    <row r="35" spans="1:20" x14ac:dyDescent="0.2">
      <c r="A35" s="17">
        <f t="shared" si="1"/>
        <v>27</v>
      </c>
      <c r="C35" s="11" t="s">
        <v>123</v>
      </c>
      <c r="D35" s="50"/>
      <c r="E35" s="50"/>
      <c r="F35" s="50"/>
      <c r="G35" s="50"/>
      <c r="H35" s="167"/>
      <c r="I35" s="167"/>
      <c r="J35" s="167"/>
      <c r="L35" s="159">
        <v>0</v>
      </c>
      <c r="M35" s="159">
        <f>M33-'Exh JDT-5 (Rate Spread)'!$F$12</f>
        <v>0</v>
      </c>
      <c r="N35" s="159">
        <f>N33-'Exh JDT-5 (Rate Spread)'!$F$25</f>
        <v>0</v>
      </c>
      <c r="P35" s="26">
        <f>P33-P34</f>
        <v>0</v>
      </c>
      <c r="Q35" s="26">
        <f>Q33-Q34</f>
        <v>0</v>
      </c>
      <c r="S35" s="22">
        <f>S33-P33</f>
        <v>0</v>
      </c>
      <c r="T35" s="22">
        <f>T33-Q33</f>
        <v>0</v>
      </c>
    </row>
    <row r="36" spans="1:20" x14ac:dyDescent="0.2">
      <c r="A36" s="17">
        <f t="shared" si="1"/>
        <v>28</v>
      </c>
      <c r="D36" s="50"/>
      <c r="E36" s="50"/>
      <c r="F36" s="50"/>
      <c r="G36" s="50"/>
      <c r="H36" s="167"/>
      <c r="I36" s="167"/>
      <c r="J36" s="167"/>
      <c r="L36" s="159"/>
      <c r="M36" s="159"/>
      <c r="N36" s="159"/>
      <c r="S36" s="15"/>
      <c r="T36" s="15"/>
    </row>
    <row r="37" spans="1:20" x14ac:dyDescent="0.2">
      <c r="A37" s="17">
        <f t="shared" si="1"/>
        <v>29</v>
      </c>
      <c r="D37" s="50"/>
      <c r="E37" s="50"/>
      <c r="F37" s="50"/>
      <c r="G37" s="50"/>
      <c r="H37" s="167"/>
      <c r="I37" s="167"/>
      <c r="J37" s="167"/>
      <c r="L37" s="159"/>
      <c r="M37" s="159"/>
      <c r="N37" s="159"/>
      <c r="S37" s="15"/>
      <c r="T37" s="15"/>
    </row>
    <row r="38" spans="1:20" x14ac:dyDescent="0.2">
      <c r="A38" s="17">
        <f t="shared" si="1"/>
        <v>30</v>
      </c>
      <c r="B38" s="17">
        <v>41</v>
      </c>
      <c r="C38" s="171" t="s">
        <v>5</v>
      </c>
      <c r="D38" s="50">
        <v>15038.317323823621</v>
      </c>
      <c r="E38" s="50">
        <v>15068</v>
      </c>
      <c r="F38" s="50">
        <v>15045</v>
      </c>
      <c r="G38" s="50"/>
      <c r="H38" s="168">
        <v>130.33000000000001</v>
      </c>
      <c r="I38" s="158">
        <f>H38*(1+S38)</f>
        <v>169.42900000000003</v>
      </c>
      <c r="J38" s="158">
        <f>I38*(1+T38)</f>
        <v>220.25770000000006</v>
      </c>
      <c r="L38" s="159">
        <f>D38*$H38</f>
        <v>1959943.8968139328</v>
      </c>
      <c r="M38" s="159">
        <f t="shared" ref="M38:N46" si="21">E38*$H38</f>
        <v>1963812.4400000002</v>
      </c>
      <c r="N38" s="159">
        <f t="shared" si="21"/>
        <v>1960814.85</v>
      </c>
      <c r="P38" s="159">
        <f>E38*I38</f>
        <v>2552956.1720000003</v>
      </c>
      <c r="Q38" s="159">
        <f>F38*J38</f>
        <v>3313777.0965000009</v>
      </c>
      <c r="S38" s="36">
        <v>0.3</v>
      </c>
      <c r="T38" s="36">
        <f>S38</f>
        <v>0.3</v>
      </c>
    </row>
    <row r="39" spans="1:20" x14ac:dyDescent="0.2">
      <c r="A39" s="17">
        <f t="shared" si="1"/>
        <v>31</v>
      </c>
      <c r="B39" s="17">
        <v>41</v>
      </c>
      <c r="C39" s="172" t="s">
        <v>8</v>
      </c>
      <c r="D39" s="50">
        <v>4963628.5204616161</v>
      </c>
      <c r="E39" s="50">
        <v>4954236</v>
      </c>
      <c r="F39" s="50">
        <v>4954236</v>
      </c>
      <c r="G39" s="50"/>
      <c r="H39" s="168">
        <v>1.37</v>
      </c>
      <c r="I39" s="158">
        <f>H39*(1+S39)</f>
        <v>1.6166</v>
      </c>
      <c r="J39" s="158">
        <f>I39*(1+T39)</f>
        <v>1.9075879999999998</v>
      </c>
      <c r="L39" s="159">
        <f t="shared" ref="L39:L46" si="22">D39*$H39</f>
        <v>6800171.0730324145</v>
      </c>
      <c r="M39" s="159">
        <f t="shared" si="21"/>
        <v>6787303.3200000003</v>
      </c>
      <c r="N39" s="159">
        <f t="shared" si="21"/>
        <v>6787303.3200000003</v>
      </c>
      <c r="P39" s="159">
        <f t="shared" ref="P39:Q46" si="23">E39*I39</f>
        <v>8009017.9176000003</v>
      </c>
      <c r="Q39" s="159">
        <f t="shared" si="23"/>
        <v>9450641.1427679993</v>
      </c>
      <c r="S39" s="36">
        <v>0.18</v>
      </c>
      <c r="T39" s="36">
        <f>S39</f>
        <v>0.18</v>
      </c>
    </row>
    <row r="40" spans="1:20" x14ac:dyDescent="0.2">
      <c r="A40" s="17">
        <f t="shared" si="1"/>
        <v>32</v>
      </c>
      <c r="B40" s="17">
        <v>41</v>
      </c>
      <c r="C40" s="171" t="s">
        <v>7</v>
      </c>
      <c r="D40" s="50">
        <v>66864863.353552669</v>
      </c>
      <c r="E40" s="50">
        <v>60329188.999999993</v>
      </c>
      <c r="F40" s="50">
        <v>59497852</v>
      </c>
      <c r="G40" s="50"/>
      <c r="H40" s="169">
        <v>1.119E-2</v>
      </c>
      <c r="I40" s="161">
        <f t="shared" ref="I40:J41" si="24">H40*(1+S40)</f>
        <v>1.5086241778645527E-2</v>
      </c>
      <c r="J40" s="161">
        <f t="shared" si="24"/>
        <v>1.5086241778645527E-2</v>
      </c>
      <c r="L40" s="159">
        <f t="shared" si="22"/>
        <v>748217.82092625438</v>
      </c>
      <c r="M40" s="159">
        <f t="shared" si="21"/>
        <v>675083.6249099999</v>
      </c>
      <c r="N40" s="159">
        <f t="shared" si="21"/>
        <v>665780.96388000005</v>
      </c>
      <c r="P40" s="159">
        <f t="shared" si="23"/>
        <v>910140.73156360199</v>
      </c>
      <c r="Q40" s="159">
        <f t="shared" si="23"/>
        <v>897598.98058206833</v>
      </c>
      <c r="S40" s="36">
        <f>IF((1+S64/M63)*H40&gt;'Exh JDT-5 (Procmnt Chrg)'!$E$16,('Exh JDT-5 (Procmnt Chrg)'!$E$16-'Exh JDT-5 (Rate Design)'!H40)/'Exh JDT-5 (Rate Design)'!H40,S64/M63)</f>
        <v>0.34818961381997554</v>
      </c>
      <c r="T40" s="21">
        <f>IF((1+SUM(S64:T64)/N63-S40)*I40&gt;'Exh JDT-5 (Procmnt Chrg)'!$E$16,('Exh JDT-5 (Procmnt Chrg)'!$E$16-'Exh JDT-5 (Rate Design)'!I40)/'Exh JDT-5 (Rate Design)'!I40,SUM(S64:T64)/N63-S40)</f>
        <v>0</v>
      </c>
    </row>
    <row r="41" spans="1:20" x14ac:dyDescent="0.2">
      <c r="A41" s="17">
        <f t="shared" si="1"/>
        <v>33</v>
      </c>
      <c r="B41" s="17">
        <v>41</v>
      </c>
      <c r="C41" s="172" t="s">
        <v>6</v>
      </c>
      <c r="D41" s="50">
        <v>15038.317323823621</v>
      </c>
      <c r="E41" s="50">
        <v>15068</v>
      </c>
      <c r="F41" s="50">
        <v>15045</v>
      </c>
      <c r="G41" s="50"/>
      <c r="H41" s="168">
        <v>126.28</v>
      </c>
      <c r="I41" s="158">
        <f t="shared" si="24"/>
        <v>230.49136223068783</v>
      </c>
      <c r="J41" s="158">
        <f t="shared" si="24"/>
        <v>216.08110587009023</v>
      </c>
      <c r="L41" s="159">
        <f t="shared" si="22"/>
        <v>1899038.711652447</v>
      </c>
      <c r="M41" s="159">
        <f t="shared" si="21"/>
        <v>1902787.04</v>
      </c>
      <c r="N41" s="159">
        <f t="shared" si="21"/>
        <v>1899882.6</v>
      </c>
      <c r="P41" s="159">
        <f t="shared" si="23"/>
        <v>3473043.8460920043</v>
      </c>
      <c r="Q41" s="159">
        <f t="shared" si="23"/>
        <v>3250940.2378155077</v>
      </c>
      <c r="S41" s="36">
        <f>S45</f>
        <v>0.82524043578308393</v>
      </c>
      <c r="T41" s="36">
        <f>T45</f>
        <v>-6.2519724041437463E-2</v>
      </c>
    </row>
    <row r="42" spans="1:20" x14ac:dyDescent="0.2">
      <c r="A42" s="17">
        <f t="shared" si="1"/>
        <v>34</v>
      </c>
      <c r="D42" s="50"/>
      <c r="E42" s="50"/>
      <c r="F42" s="50"/>
      <c r="G42" s="50"/>
      <c r="H42" s="168"/>
      <c r="I42" s="168"/>
      <c r="J42" s="168"/>
      <c r="L42" s="159"/>
      <c r="M42" s="159"/>
      <c r="N42" s="159"/>
      <c r="P42" s="159"/>
      <c r="Q42" s="159"/>
      <c r="S42" s="36"/>
      <c r="T42" s="36"/>
    </row>
    <row r="43" spans="1:20" x14ac:dyDescent="0.2">
      <c r="A43" s="17">
        <f t="shared" si="1"/>
        <v>35</v>
      </c>
      <c r="B43" s="17">
        <v>41</v>
      </c>
      <c r="C43" s="172" t="s">
        <v>126</v>
      </c>
      <c r="D43" s="50"/>
      <c r="E43" s="50"/>
      <c r="F43" s="50"/>
      <c r="G43" s="50"/>
      <c r="H43" s="168"/>
      <c r="I43" s="168"/>
      <c r="J43" s="168"/>
      <c r="L43" s="159"/>
      <c r="M43" s="159"/>
      <c r="N43" s="159"/>
      <c r="P43" s="159"/>
      <c r="Q43" s="159"/>
      <c r="S43" s="36"/>
      <c r="T43" s="36"/>
    </row>
    <row r="44" spans="1:20" x14ac:dyDescent="0.2">
      <c r="A44" s="17">
        <f t="shared" si="1"/>
        <v>36</v>
      </c>
      <c r="B44" s="17">
        <v>41</v>
      </c>
      <c r="C44" s="172" t="s">
        <v>56</v>
      </c>
      <c r="D44" s="50">
        <v>12370998.835000003</v>
      </c>
      <c r="E44" s="50">
        <v>11140115.685099758</v>
      </c>
      <c r="F44" s="50">
        <v>11000787.386478601</v>
      </c>
      <c r="G44" s="50"/>
      <c r="H44" s="169">
        <v>0.14030999999999999</v>
      </c>
      <c r="I44" s="161">
        <f t="shared" ref="I44:J46" si="25">H44*(1+S44)</f>
        <v>0.25609948554472445</v>
      </c>
      <c r="J44" s="161">
        <f t="shared" si="25"/>
        <v>0.24008821638131417</v>
      </c>
      <c r="L44" s="173" t="s">
        <v>127</v>
      </c>
      <c r="M44" s="173"/>
      <c r="N44" s="173"/>
      <c r="P44" s="173" t="s">
        <v>127</v>
      </c>
      <c r="Q44" s="173"/>
      <c r="S44" s="36">
        <f>S45</f>
        <v>0.82524043578308393</v>
      </c>
      <c r="T44" s="36">
        <f>T45</f>
        <v>-6.2519724041437463E-2</v>
      </c>
    </row>
    <row r="45" spans="1:20" x14ac:dyDescent="0.2">
      <c r="A45" s="17">
        <f t="shared" si="1"/>
        <v>37</v>
      </c>
      <c r="B45" s="17">
        <v>41</v>
      </c>
      <c r="C45" s="172" t="s">
        <v>57</v>
      </c>
      <c r="D45" s="50">
        <v>30224223.691999998</v>
      </c>
      <c r="E45" s="50">
        <v>27234497.836222988</v>
      </c>
      <c r="F45" s="50">
        <v>26882406.013379473</v>
      </c>
      <c r="G45" s="50"/>
      <c r="H45" s="169">
        <v>0.14030999999999999</v>
      </c>
      <c r="I45" s="161">
        <f t="shared" si="25"/>
        <v>0.25609948554472445</v>
      </c>
      <c r="J45" s="161">
        <f t="shared" si="25"/>
        <v>0.24008821638131417</v>
      </c>
      <c r="L45" s="159">
        <f t="shared" si="22"/>
        <v>4240760.8262245199</v>
      </c>
      <c r="M45" s="159">
        <f t="shared" si="21"/>
        <v>3821272.3914004471</v>
      </c>
      <c r="N45" s="159">
        <f t="shared" si="21"/>
        <v>3771870.3877372737</v>
      </c>
      <c r="P45" s="159">
        <f t="shared" si="23"/>
        <v>6974740.8849256178</v>
      </c>
      <c r="Q45" s="159">
        <f t="shared" si="23"/>
        <v>6454148.9117905926</v>
      </c>
      <c r="S45" s="36">
        <f>(S$64-(SUM(P38,P39,P40,P51,P52)-SUM(M38,M39,M40,M51,M52)))/(M63-SUM(M38,M39,M40,M51,M52))</f>
        <v>0.82524043578308393</v>
      </c>
      <c r="T45" s="36">
        <f>((Q64-SUM(Q38:Q40,Q51:Q52)))/((I41*SUM(F41,F53))+(I45*SUM(F45,F57))+(I46*SUM(F46,F58)))-1</f>
        <v>-6.2519724041437463E-2</v>
      </c>
    </row>
    <row r="46" spans="1:20" x14ac:dyDescent="0.2">
      <c r="A46" s="17">
        <f t="shared" si="1"/>
        <v>38</v>
      </c>
      <c r="B46" s="17">
        <v>41</v>
      </c>
      <c r="C46" s="172" t="s">
        <v>58</v>
      </c>
      <c r="D46" s="50">
        <v>24269640.826552667</v>
      </c>
      <c r="E46" s="50">
        <v>21954575.478677247</v>
      </c>
      <c r="F46" s="50">
        <v>21614658.600141924</v>
      </c>
      <c r="G46" s="50"/>
      <c r="H46" s="169">
        <v>0.12131</v>
      </c>
      <c r="I46" s="161">
        <f t="shared" si="25"/>
        <v>0.22141991726484589</v>
      </c>
      <c r="J46" s="161">
        <f t="shared" si="25"/>
        <v>0.20757680514016982</v>
      </c>
      <c r="L46" s="159">
        <f t="shared" si="22"/>
        <v>2944150.1286691041</v>
      </c>
      <c r="M46" s="159">
        <f t="shared" si="21"/>
        <v>2663309.5513183367</v>
      </c>
      <c r="N46" s="159">
        <f t="shared" si="21"/>
        <v>2622074.2347832168</v>
      </c>
      <c r="P46" s="159">
        <f t="shared" si="23"/>
        <v>4861180.2860735301</v>
      </c>
      <c r="Q46" s="159">
        <f t="shared" si="23"/>
        <v>4486701.7764129564</v>
      </c>
      <c r="S46" s="36">
        <f>S45</f>
        <v>0.82524043578308393</v>
      </c>
      <c r="T46" s="36">
        <f>T45</f>
        <v>-6.2519724041437463E-2</v>
      </c>
    </row>
    <row r="47" spans="1:20" x14ac:dyDescent="0.2">
      <c r="A47" s="17">
        <f t="shared" si="1"/>
        <v>39</v>
      </c>
      <c r="B47" s="17">
        <v>41</v>
      </c>
      <c r="C47" s="174" t="s">
        <v>128</v>
      </c>
      <c r="D47" s="41">
        <f>SUM(D44:D46)</f>
        <v>66864863.353552669</v>
      </c>
      <c r="E47" s="41">
        <f t="shared" ref="E47:F47" si="26">SUM(E44:E46)</f>
        <v>60329188.999999985</v>
      </c>
      <c r="F47" s="41">
        <f t="shared" si="26"/>
        <v>59497852</v>
      </c>
      <c r="G47" s="50"/>
      <c r="H47" s="167"/>
      <c r="I47" s="167"/>
      <c r="J47" s="167"/>
      <c r="L47" s="163">
        <f>SUM(L45:L46)</f>
        <v>7184910.9548936244</v>
      </c>
      <c r="M47" s="163">
        <f t="shared" ref="M47:N47" si="27">SUM(M45:M46)</f>
        <v>6484581.9427187834</v>
      </c>
      <c r="N47" s="163">
        <f t="shared" si="27"/>
        <v>6393944.6225204905</v>
      </c>
      <c r="O47" s="170"/>
      <c r="P47" s="163">
        <f>SUM(P45:P46)</f>
        <v>11835921.170999147</v>
      </c>
      <c r="Q47" s="163">
        <f>SUM(Q45:Q46)</f>
        <v>10940850.688203549</v>
      </c>
      <c r="S47" s="36"/>
      <c r="T47" s="36"/>
    </row>
    <row r="48" spans="1:20" x14ac:dyDescent="0.2">
      <c r="A48" s="17">
        <f t="shared" si="1"/>
        <v>40</v>
      </c>
      <c r="D48" s="50"/>
      <c r="E48" s="50"/>
      <c r="F48" s="50"/>
      <c r="G48" s="50"/>
      <c r="H48" s="167"/>
      <c r="I48" s="167"/>
      <c r="J48" s="167"/>
      <c r="L48" s="159"/>
      <c r="M48" s="159"/>
      <c r="N48" s="159"/>
      <c r="S48" s="36"/>
      <c r="T48" s="36"/>
    </row>
    <row r="49" spans="1:20" x14ac:dyDescent="0.2">
      <c r="A49" s="17">
        <f t="shared" si="1"/>
        <v>41</v>
      </c>
      <c r="B49" s="17">
        <v>41</v>
      </c>
      <c r="C49" s="171" t="s">
        <v>120</v>
      </c>
      <c r="D49" s="50"/>
      <c r="E49" s="50"/>
      <c r="F49" s="50"/>
      <c r="G49" s="50"/>
      <c r="H49" s="167"/>
      <c r="I49" s="167"/>
      <c r="J49" s="167"/>
      <c r="L49" s="159">
        <f>SUM(L38:L41,L47)</f>
        <v>18592282.457318671</v>
      </c>
      <c r="M49" s="159">
        <f t="shared" ref="M49:Q49" si="28">SUM(M38:M41,M47)</f>
        <v>17813568.367628783</v>
      </c>
      <c r="N49" s="159">
        <f t="shared" si="28"/>
        <v>17707726.35640049</v>
      </c>
      <c r="O49" s="159"/>
      <c r="P49" s="159">
        <f t="shared" si="28"/>
        <v>26781079.838254754</v>
      </c>
      <c r="Q49" s="159">
        <f t="shared" si="28"/>
        <v>27853808.145869128</v>
      </c>
      <c r="S49" s="36"/>
      <c r="T49" s="36"/>
    </row>
    <row r="50" spans="1:20" x14ac:dyDescent="0.2">
      <c r="A50" s="17">
        <f t="shared" si="1"/>
        <v>42</v>
      </c>
      <c r="C50" s="171"/>
      <c r="D50" s="50"/>
      <c r="E50" s="50"/>
      <c r="F50" s="50"/>
      <c r="G50" s="50"/>
      <c r="H50" s="167"/>
      <c r="I50" s="167"/>
      <c r="J50" s="167"/>
      <c r="L50" s="159"/>
      <c r="M50" s="159"/>
      <c r="N50" s="159"/>
      <c r="S50" s="36"/>
      <c r="T50" s="36"/>
    </row>
    <row r="51" spans="1:20" x14ac:dyDescent="0.2">
      <c r="A51" s="17">
        <f t="shared" si="1"/>
        <v>43</v>
      </c>
      <c r="B51" s="17" t="s">
        <v>129</v>
      </c>
      <c r="C51" s="171" t="s">
        <v>5</v>
      </c>
      <c r="D51" s="50">
        <v>1128</v>
      </c>
      <c r="E51" s="50">
        <v>1128</v>
      </c>
      <c r="F51" s="50">
        <v>1128</v>
      </c>
      <c r="G51" s="50"/>
      <c r="H51" s="168">
        <v>422.79</v>
      </c>
      <c r="I51" s="158">
        <f t="shared" ref="I51:J53" si="29">H51*(1+S51)</f>
        <v>422.79</v>
      </c>
      <c r="J51" s="158">
        <f t="shared" si="29"/>
        <v>422.79</v>
      </c>
      <c r="L51" s="159">
        <f>D51*$H51</f>
        <v>476907.12</v>
      </c>
      <c r="M51" s="159">
        <f t="shared" ref="M51:N53" si="30">E51*$H51</f>
        <v>476907.12</v>
      </c>
      <c r="N51" s="159">
        <f t="shared" si="30"/>
        <v>476907.12</v>
      </c>
      <c r="P51" s="159">
        <f>E51*I51</f>
        <v>476907.12</v>
      </c>
      <c r="Q51" s="159">
        <f>F51*J51</f>
        <v>476907.12</v>
      </c>
      <c r="S51" s="36">
        <v>0</v>
      </c>
      <c r="T51" s="36">
        <v>0</v>
      </c>
    </row>
    <row r="52" spans="1:20" x14ac:dyDescent="0.2">
      <c r="A52" s="17">
        <f t="shared" si="1"/>
        <v>44</v>
      </c>
      <c r="B52" s="17" t="s">
        <v>129</v>
      </c>
      <c r="C52" s="172" t="s">
        <v>8</v>
      </c>
      <c r="D52" s="50">
        <v>1086180.1828917051</v>
      </c>
      <c r="E52" s="50">
        <v>1060020</v>
      </c>
      <c r="F52" s="50">
        <v>1060020</v>
      </c>
      <c r="G52" s="50"/>
      <c r="H52" s="168">
        <v>1.37</v>
      </c>
      <c r="I52" s="158">
        <f t="shared" si="29"/>
        <v>1.6166</v>
      </c>
      <c r="J52" s="158">
        <f t="shared" si="29"/>
        <v>1.9075879999999998</v>
      </c>
      <c r="L52" s="159">
        <f t="shared" ref="L52:L53" si="31">D52*$H52</f>
        <v>1488066.850561636</v>
      </c>
      <c r="M52" s="159">
        <f t="shared" si="30"/>
        <v>1452227.4000000001</v>
      </c>
      <c r="N52" s="159">
        <f t="shared" si="30"/>
        <v>1452227.4000000001</v>
      </c>
      <c r="P52" s="159">
        <f t="shared" ref="P52:Q53" si="32">E52*I52</f>
        <v>1713628.3319999999</v>
      </c>
      <c r="Q52" s="159">
        <f t="shared" si="32"/>
        <v>2022081.4317599998</v>
      </c>
      <c r="S52" s="36">
        <f>S39</f>
        <v>0.18</v>
      </c>
      <c r="T52" s="36">
        <f>T39</f>
        <v>0.18</v>
      </c>
    </row>
    <row r="53" spans="1:20" x14ac:dyDescent="0.2">
      <c r="A53" s="17">
        <f t="shared" si="1"/>
        <v>45</v>
      </c>
      <c r="B53" s="17" t="s">
        <v>129</v>
      </c>
      <c r="C53" s="172" t="s">
        <v>6</v>
      </c>
      <c r="D53" s="50">
        <v>1128</v>
      </c>
      <c r="E53" s="50">
        <v>1128</v>
      </c>
      <c r="F53" s="50">
        <v>1128</v>
      </c>
      <c r="G53" s="50"/>
      <c r="H53" s="168">
        <v>126.28</v>
      </c>
      <c r="I53" s="158">
        <f t="shared" si="29"/>
        <v>230.49136223068783</v>
      </c>
      <c r="J53" s="158">
        <f t="shared" si="29"/>
        <v>216.08110587009023</v>
      </c>
      <c r="L53" s="159">
        <f t="shared" si="31"/>
        <v>142443.84</v>
      </c>
      <c r="M53" s="159">
        <f t="shared" si="30"/>
        <v>142443.84</v>
      </c>
      <c r="N53" s="159">
        <f t="shared" si="30"/>
        <v>142443.84</v>
      </c>
      <c r="P53" s="159">
        <f t="shared" si="32"/>
        <v>259994.25659621586</v>
      </c>
      <c r="Q53" s="159">
        <f t="shared" si="32"/>
        <v>243739.48742146179</v>
      </c>
      <c r="S53" s="36">
        <f>S41</f>
        <v>0.82524043578308393</v>
      </c>
      <c r="T53" s="36">
        <f>T41</f>
        <v>-6.2519724041437463E-2</v>
      </c>
    </row>
    <row r="54" spans="1:20" x14ac:dyDescent="0.2">
      <c r="A54" s="17">
        <f t="shared" si="1"/>
        <v>46</v>
      </c>
      <c r="D54" s="50"/>
      <c r="E54" s="50"/>
      <c r="F54" s="50"/>
      <c r="G54" s="50"/>
      <c r="H54" s="168"/>
      <c r="I54" s="168"/>
      <c r="J54" s="168"/>
      <c r="L54" s="159"/>
      <c r="M54" s="159"/>
      <c r="N54" s="159"/>
      <c r="S54" s="36"/>
      <c r="T54" s="36"/>
    </row>
    <row r="55" spans="1:20" x14ac:dyDescent="0.2">
      <c r="A55" s="17">
        <f t="shared" si="1"/>
        <v>47</v>
      </c>
      <c r="B55" s="17" t="s">
        <v>129</v>
      </c>
      <c r="C55" s="172" t="s">
        <v>126</v>
      </c>
      <c r="D55" s="50"/>
      <c r="E55" s="50"/>
      <c r="F55" s="50"/>
      <c r="G55" s="50"/>
      <c r="H55" s="168"/>
      <c r="I55" s="168"/>
      <c r="J55" s="168"/>
      <c r="L55" s="159"/>
      <c r="M55" s="159"/>
      <c r="N55" s="159"/>
      <c r="S55" s="36"/>
      <c r="T55" s="36"/>
    </row>
    <row r="56" spans="1:20" x14ac:dyDescent="0.2">
      <c r="A56" s="17">
        <f t="shared" si="1"/>
        <v>48</v>
      </c>
      <c r="B56" s="17" t="s">
        <v>129</v>
      </c>
      <c r="C56" s="172" t="s">
        <v>56</v>
      </c>
      <c r="D56" s="50">
        <v>990691.57</v>
      </c>
      <c r="E56" s="50">
        <v>1061947.325190783</v>
      </c>
      <c r="F56" s="50">
        <v>1084136.17659234</v>
      </c>
      <c r="G56" s="50"/>
      <c r="H56" s="169">
        <v>0.14030999999999999</v>
      </c>
      <c r="I56" s="161">
        <f t="shared" ref="I56:J58" si="33">H56*(1+S56)</f>
        <v>0.25609948554472445</v>
      </c>
      <c r="J56" s="161">
        <f t="shared" si="33"/>
        <v>0.24008821638131417</v>
      </c>
      <c r="L56" s="173" t="s">
        <v>127</v>
      </c>
      <c r="M56" s="173"/>
      <c r="N56" s="173"/>
      <c r="P56" s="173" t="s">
        <v>127</v>
      </c>
      <c r="Q56" s="173"/>
      <c r="S56" s="36">
        <f>S44</f>
        <v>0.82524043578308393</v>
      </c>
      <c r="T56" s="36">
        <f>T44</f>
        <v>-6.2519724041437463E-2</v>
      </c>
    </row>
    <row r="57" spans="1:20" x14ac:dyDescent="0.2">
      <c r="A57" s="17">
        <f t="shared" si="1"/>
        <v>49</v>
      </c>
      <c r="B57" s="17" t="s">
        <v>129</v>
      </c>
      <c r="C57" s="172" t="s">
        <v>57</v>
      </c>
      <c r="D57" s="50">
        <v>3934422.7599999993</v>
      </c>
      <c r="E57" s="50">
        <v>4195510.5331741115</v>
      </c>
      <c r="F57" s="50">
        <v>4279893.6380464053</v>
      </c>
      <c r="G57" s="50"/>
      <c r="H57" s="169">
        <v>0.14030999999999999</v>
      </c>
      <c r="I57" s="161">
        <f t="shared" si="33"/>
        <v>0.25609948554472445</v>
      </c>
      <c r="J57" s="161">
        <f t="shared" si="33"/>
        <v>0.24008821638131417</v>
      </c>
      <c r="L57" s="159">
        <f t="shared" ref="L57:N58" si="34">D57*$H57</f>
        <v>552038.85745559982</v>
      </c>
      <c r="M57" s="159">
        <f t="shared" si="34"/>
        <v>588672.0829096596</v>
      </c>
      <c r="N57" s="159">
        <f t="shared" si="34"/>
        <v>600511.8763542911</v>
      </c>
      <c r="P57" s="159">
        <f t="shared" ref="P57:Q58" si="35">E57*I57</f>
        <v>1074468.0891433626</v>
      </c>
      <c r="Q57" s="159">
        <f t="shared" si="35"/>
        <v>1027552.0298602952</v>
      </c>
      <c r="S57" s="36">
        <f t="shared" ref="S57:T58" si="36">S45</f>
        <v>0.82524043578308393</v>
      </c>
      <c r="T57" s="36">
        <f t="shared" si="36"/>
        <v>-6.2519724041437463E-2</v>
      </c>
    </row>
    <row r="58" spans="1:20" x14ac:dyDescent="0.2">
      <c r="A58" s="17">
        <f t="shared" si="1"/>
        <v>50</v>
      </c>
      <c r="B58" s="17" t="s">
        <v>129</v>
      </c>
      <c r="C58" s="172" t="s">
        <v>58</v>
      </c>
      <c r="D58" s="50">
        <v>15887798.862595599</v>
      </c>
      <c r="E58" s="50">
        <v>16500211.141635105</v>
      </c>
      <c r="F58" s="50">
        <v>16765536.185361255</v>
      </c>
      <c r="G58" s="50"/>
      <c r="H58" s="169">
        <v>0.12131</v>
      </c>
      <c r="I58" s="161">
        <f t="shared" si="33"/>
        <v>0.22141991726484589</v>
      </c>
      <c r="J58" s="161">
        <f t="shared" si="33"/>
        <v>0.20757680514016982</v>
      </c>
      <c r="L58" s="159">
        <f t="shared" si="34"/>
        <v>1927348.8800214722</v>
      </c>
      <c r="M58" s="159">
        <f t="shared" si="34"/>
        <v>2001640.6135917546</v>
      </c>
      <c r="N58" s="159">
        <f t="shared" si="34"/>
        <v>2033827.1946461739</v>
      </c>
      <c r="P58" s="159">
        <f t="shared" si="35"/>
        <v>3653475.3858333332</v>
      </c>
      <c r="Q58" s="159">
        <f t="shared" si="35"/>
        <v>3480136.4378191992</v>
      </c>
      <c r="S58" s="36">
        <f t="shared" si="36"/>
        <v>0.82524043578308393</v>
      </c>
      <c r="T58" s="36">
        <f t="shared" si="36"/>
        <v>-6.2519724041437463E-2</v>
      </c>
    </row>
    <row r="59" spans="1:20" x14ac:dyDescent="0.2">
      <c r="A59" s="17">
        <f t="shared" si="1"/>
        <v>51</v>
      </c>
      <c r="B59" s="17" t="s">
        <v>129</v>
      </c>
      <c r="C59" s="174" t="s">
        <v>128</v>
      </c>
      <c r="D59" s="41">
        <f>SUM(D56:D58)</f>
        <v>20812913.192595597</v>
      </c>
      <c r="E59" s="41">
        <f t="shared" ref="E59:F59" si="37">SUM(E56:E58)</f>
        <v>21757669</v>
      </c>
      <c r="F59" s="41">
        <f t="shared" si="37"/>
        <v>22129566</v>
      </c>
      <c r="G59" s="50"/>
      <c r="H59" s="167"/>
      <c r="I59" s="167"/>
      <c r="J59" s="167"/>
      <c r="L59" s="163">
        <f>SUM(L57:L58)</f>
        <v>2479387.737477072</v>
      </c>
      <c r="M59" s="163">
        <f t="shared" ref="M59:Q59" si="38">SUM(M57:M58)</f>
        <v>2590312.6965014143</v>
      </c>
      <c r="N59" s="163">
        <f t="shared" si="38"/>
        <v>2634339.0710004652</v>
      </c>
      <c r="O59" s="170"/>
      <c r="P59" s="163">
        <f t="shared" si="38"/>
        <v>4727943.4749766961</v>
      </c>
      <c r="Q59" s="163">
        <f t="shared" si="38"/>
        <v>4507688.4676794941</v>
      </c>
      <c r="S59" s="15"/>
      <c r="T59" s="15"/>
    </row>
    <row r="60" spans="1:20" x14ac:dyDescent="0.2">
      <c r="A60" s="17">
        <f t="shared" si="1"/>
        <v>52</v>
      </c>
      <c r="D60" s="50"/>
      <c r="E60" s="50"/>
      <c r="F60" s="50"/>
      <c r="G60" s="50"/>
      <c r="H60" s="167"/>
      <c r="I60" s="167"/>
      <c r="J60" s="167"/>
      <c r="L60" s="159"/>
      <c r="M60" s="159"/>
      <c r="N60" s="159"/>
      <c r="S60" s="15"/>
      <c r="T60" s="15"/>
    </row>
    <row r="61" spans="1:20" x14ac:dyDescent="0.2">
      <c r="A61" s="17">
        <f t="shared" si="1"/>
        <v>53</v>
      </c>
      <c r="B61" s="17" t="s">
        <v>129</v>
      </c>
      <c r="C61" s="171" t="s">
        <v>120</v>
      </c>
      <c r="D61" s="50"/>
      <c r="E61" s="50"/>
      <c r="F61" s="50"/>
      <c r="G61" s="50"/>
      <c r="H61" s="167"/>
      <c r="I61" s="167"/>
      <c r="J61" s="167"/>
      <c r="L61" s="159">
        <f>SUM(L51:L53,L59)</f>
        <v>4586805.548038708</v>
      </c>
      <c r="M61" s="159">
        <f t="shared" ref="M61:Q61" si="39">SUM(M51:M53,M59)</f>
        <v>4661891.0565014146</v>
      </c>
      <c r="N61" s="159">
        <f t="shared" si="39"/>
        <v>4705917.4310004655</v>
      </c>
      <c r="O61" s="159"/>
      <c r="P61" s="159">
        <f t="shared" si="39"/>
        <v>7178473.1835729126</v>
      </c>
      <c r="Q61" s="159">
        <f t="shared" si="39"/>
        <v>7250416.5068609556</v>
      </c>
      <c r="S61" s="15"/>
      <c r="T61" s="15"/>
    </row>
    <row r="62" spans="1:20" x14ac:dyDescent="0.2">
      <c r="A62" s="17">
        <f t="shared" si="1"/>
        <v>54</v>
      </c>
      <c r="D62" s="50"/>
      <c r="E62" s="50"/>
      <c r="F62" s="50"/>
      <c r="G62" s="50"/>
      <c r="H62" s="167"/>
      <c r="I62" s="167"/>
      <c r="J62" s="167"/>
      <c r="L62" s="159"/>
      <c r="M62" s="159"/>
      <c r="N62" s="159"/>
      <c r="S62" s="15"/>
      <c r="T62" s="15"/>
    </row>
    <row r="63" spans="1:20" x14ac:dyDescent="0.2">
      <c r="A63" s="17">
        <f t="shared" si="1"/>
        <v>55</v>
      </c>
      <c r="C63" s="11" t="s">
        <v>130</v>
      </c>
      <c r="D63" s="50"/>
      <c r="E63" s="50"/>
      <c r="F63" s="50"/>
      <c r="G63" s="50"/>
      <c r="H63" s="167"/>
      <c r="I63" s="167"/>
      <c r="J63" s="167"/>
      <c r="L63" s="159">
        <f>SUM(L49,L61)</f>
        <v>23179088.005357377</v>
      </c>
      <c r="M63" s="159">
        <f t="shared" ref="M63:Q63" si="40">SUM(M49,M61)</f>
        <v>22475459.424130198</v>
      </c>
      <c r="N63" s="159">
        <f t="shared" si="40"/>
        <v>22413643.787400953</v>
      </c>
      <c r="O63" s="159"/>
      <c r="P63" s="159">
        <f t="shared" si="40"/>
        <v>33959553.021827668</v>
      </c>
      <c r="Q63" s="159">
        <f t="shared" si="40"/>
        <v>35104224.652730085</v>
      </c>
      <c r="S63" s="22">
        <f>'Exh JDT-5 (Rate Spread)'!G20</f>
        <v>33959553.021827668</v>
      </c>
      <c r="T63" s="22">
        <f>'Exh JDT-5 (Rate Spread)'!G33</f>
        <v>35104224.652730078</v>
      </c>
    </row>
    <row r="64" spans="1:20" x14ac:dyDescent="0.2">
      <c r="A64" s="17">
        <f t="shared" si="1"/>
        <v>56</v>
      </c>
      <c r="C64" s="11" t="s">
        <v>122</v>
      </c>
      <c r="D64" s="50"/>
      <c r="E64" s="50"/>
      <c r="F64" s="50"/>
      <c r="G64" s="50"/>
      <c r="H64" s="167"/>
      <c r="I64" s="167"/>
      <c r="J64" s="167"/>
      <c r="L64" s="159"/>
      <c r="M64" s="159"/>
      <c r="N64" s="159"/>
      <c r="P64" s="26">
        <f>'Exh JDT-5 (Rate Spread)'!$G$20</f>
        <v>33959553.021827668</v>
      </c>
      <c r="Q64" s="26">
        <f>'Exh JDT-5 (Rate Spread)'!$G$33</f>
        <v>35104224.652730078</v>
      </c>
      <c r="S64" s="23">
        <f>S63-M63</f>
        <v>11484093.59769747</v>
      </c>
      <c r="T64" s="23">
        <f>T63-N63-S64</f>
        <v>1206487.2676316537</v>
      </c>
    </row>
    <row r="65" spans="1:20" x14ac:dyDescent="0.2">
      <c r="A65" s="17">
        <f t="shared" si="1"/>
        <v>57</v>
      </c>
      <c r="C65" s="11" t="s">
        <v>123</v>
      </c>
      <c r="D65" s="50"/>
      <c r="E65" s="50"/>
      <c r="F65" s="50"/>
      <c r="G65" s="50"/>
      <c r="H65" s="167"/>
      <c r="I65" s="168">
        <f>I44*900-I41</f>
        <v>-1.825240435834985E-3</v>
      </c>
      <c r="J65" s="168">
        <f>J44*900-J41</f>
        <v>-1.7111269074803204E-3</v>
      </c>
      <c r="L65" s="159">
        <v>0</v>
      </c>
      <c r="M65" s="159">
        <f>M63-'Exh JDT-5 (Rate Spread)'!$G$12</f>
        <v>0</v>
      </c>
      <c r="N65" s="159">
        <f>N63-'Exh JDT-5 (Rate Spread)'!$G$25</f>
        <v>0</v>
      </c>
      <c r="P65" s="26">
        <f>P63-P64</f>
        <v>0</v>
      </c>
      <c r="Q65" s="26">
        <f>Q63-Q64</f>
        <v>0</v>
      </c>
      <c r="S65" s="22">
        <f>S63-P63</f>
        <v>0</v>
      </c>
      <c r="T65" s="22">
        <f>T63-Q63</f>
        <v>0</v>
      </c>
    </row>
    <row r="66" spans="1:20" x14ac:dyDescent="0.2">
      <c r="A66" s="17">
        <f t="shared" si="1"/>
        <v>58</v>
      </c>
      <c r="D66" s="50"/>
      <c r="E66" s="50"/>
      <c r="F66" s="50"/>
      <c r="G66" s="50"/>
      <c r="H66" s="167"/>
      <c r="I66" s="167"/>
      <c r="J66" s="167"/>
      <c r="L66" s="159"/>
      <c r="M66" s="159"/>
      <c r="N66" s="159"/>
      <c r="S66" s="15"/>
      <c r="T66" s="15"/>
    </row>
    <row r="67" spans="1:20" x14ac:dyDescent="0.2">
      <c r="A67" s="17">
        <f t="shared" si="1"/>
        <v>59</v>
      </c>
      <c r="D67" s="50"/>
      <c r="E67" s="50"/>
      <c r="F67" s="50"/>
      <c r="G67" s="50"/>
      <c r="H67" s="167"/>
      <c r="I67" s="167"/>
      <c r="J67" s="167"/>
      <c r="L67" s="159"/>
      <c r="M67" s="159"/>
      <c r="N67" s="159"/>
      <c r="S67" s="15"/>
      <c r="T67" s="15"/>
    </row>
    <row r="68" spans="1:20" x14ac:dyDescent="0.2">
      <c r="A68" s="17">
        <f t="shared" si="1"/>
        <v>60</v>
      </c>
      <c r="B68" s="17">
        <v>85</v>
      </c>
      <c r="C68" s="174" t="s">
        <v>5</v>
      </c>
      <c r="D68" s="50">
        <v>397.58159058346774</v>
      </c>
      <c r="E68" s="50">
        <v>408</v>
      </c>
      <c r="F68" s="50">
        <v>408</v>
      </c>
      <c r="G68" s="50"/>
      <c r="H68" s="168">
        <v>701.68</v>
      </c>
      <c r="I68" s="158">
        <f t="shared" ref="I68:J76" si="41">H68*(1+S68)</f>
        <v>912.18399999999997</v>
      </c>
      <c r="J68" s="158">
        <f t="shared" si="41"/>
        <v>1185.8391999999999</v>
      </c>
      <c r="L68" s="159">
        <f>D68*$H68</f>
        <v>278975.05048060761</v>
      </c>
      <c r="M68" s="159">
        <f t="shared" ref="M68:N76" si="42">E68*$H68</f>
        <v>286285.44</v>
      </c>
      <c r="N68" s="159">
        <f t="shared" si="42"/>
        <v>286285.44</v>
      </c>
      <c r="P68" s="159">
        <f>E68*I68</f>
        <v>372171.07199999999</v>
      </c>
      <c r="Q68" s="159">
        <f>F68*J68</f>
        <v>483822.39359999995</v>
      </c>
      <c r="S68" s="36">
        <v>0.3</v>
      </c>
      <c r="T68" s="36">
        <f>S68</f>
        <v>0.3</v>
      </c>
    </row>
    <row r="69" spans="1:20" x14ac:dyDescent="0.2">
      <c r="A69" s="17">
        <f t="shared" si="1"/>
        <v>61</v>
      </c>
      <c r="B69" s="17">
        <v>85</v>
      </c>
      <c r="C69" s="40" t="s">
        <v>8</v>
      </c>
      <c r="D69" s="50">
        <v>118691.95641025642</v>
      </c>
      <c r="E69" s="50">
        <v>132036</v>
      </c>
      <c r="F69" s="50">
        <v>132036</v>
      </c>
      <c r="G69" s="50"/>
      <c r="H69" s="168">
        <v>1.44</v>
      </c>
      <c r="I69" s="158">
        <f t="shared" si="41"/>
        <v>1.6991999999999998</v>
      </c>
      <c r="J69" s="158">
        <f t="shared" si="41"/>
        <v>2.0050559999999997</v>
      </c>
      <c r="L69" s="159">
        <f t="shared" ref="L69:L76" si="43">D69*$H69</f>
        <v>170916.41723076924</v>
      </c>
      <c r="M69" s="159">
        <f t="shared" si="42"/>
        <v>190131.84</v>
      </c>
      <c r="N69" s="159">
        <f t="shared" si="42"/>
        <v>190131.84</v>
      </c>
      <c r="P69" s="159">
        <f t="shared" ref="P69:Q76" si="44">E69*I69</f>
        <v>224355.57119999998</v>
      </c>
      <c r="Q69" s="159">
        <f t="shared" si="44"/>
        <v>264739.57401599997</v>
      </c>
      <c r="S69" s="36">
        <v>0.18</v>
      </c>
      <c r="T69" s="36">
        <f>S69</f>
        <v>0.18</v>
      </c>
    </row>
    <row r="70" spans="1:20" x14ac:dyDescent="0.2">
      <c r="A70" s="17">
        <f t="shared" si="1"/>
        <v>62</v>
      </c>
      <c r="B70" s="17">
        <v>85</v>
      </c>
      <c r="C70" s="40" t="s">
        <v>7</v>
      </c>
      <c r="D70" s="50">
        <v>22333251.165872499</v>
      </c>
      <c r="E70" s="50">
        <v>16668227</v>
      </c>
      <c r="F70" s="50">
        <v>16254749.000000002</v>
      </c>
      <c r="G70" s="50"/>
      <c r="H70" s="169">
        <v>7.7999999999999996E-3</v>
      </c>
      <c r="I70" s="161">
        <f t="shared" si="41"/>
        <v>1.2141543568498482E-2</v>
      </c>
      <c r="J70" s="161">
        <f t="shared" si="41"/>
        <v>1.2141543568498482E-2</v>
      </c>
      <c r="L70" s="159">
        <f t="shared" si="43"/>
        <v>174199.35909380548</v>
      </c>
      <c r="M70" s="159">
        <f t="shared" si="42"/>
        <v>130012.1706</v>
      </c>
      <c r="N70" s="159">
        <f t="shared" si="42"/>
        <v>126787.04220000001</v>
      </c>
      <c r="P70" s="159">
        <f t="shared" si="44"/>
        <v>202378.00433012276</v>
      </c>
      <c r="Q70" s="159">
        <f t="shared" si="44"/>
        <v>197357.74317850717</v>
      </c>
      <c r="S70" s="36">
        <f>IF((1+S94/M93)*H70&gt;'Exh JDT-5 (Procmnt Chrg)'!$F$16,('Exh JDT-5 (Procmnt Chrg)'!$F$16-'Exh JDT-5 (Rate Design)'!H70)/'Exh JDT-5 (Rate Design)'!H70,S94/M93)</f>
        <v>0.55660814980749773</v>
      </c>
      <c r="T70" s="21">
        <f>IF((1+SUM(S94:T94)/N93-S70)*I70&gt;'Exh JDT-5 (Procmnt Chrg)'!$F$16,('Exh JDT-5 (Procmnt Chrg)'!$F$16-'Exh JDT-5 (Rate Design)'!I70)/'Exh JDT-5 (Rate Design)'!I70,SUM(S94:T94)/N93-S70)</f>
        <v>0</v>
      </c>
    </row>
    <row r="71" spans="1:20" x14ac:dyDescent="0.2">
      <c r="A71" s="17">
        <f t="shared" si="1"/>
        <v>63</v>
      </c>
      <c r="B71" s="17">
        <v>85</v>
      </c>
      <c r="C71" s="40" t="s">
        <v>131</v>
      </c>
      <c r="D71" s="50"/>
      <c r="E71" s="50"/>
      <c r="F71" s="50"/>
      <c r="G71" s="50"/>
      <c r="H71" s="168"/>
      <c r="I71" s="158"/>
      <c r="J71" s="158"/>
      <c r="L71" s="159">
        <v>0</v>
      </c>
      <c r="M71" s="159">
        <v>0</v>
      </c>
      <c r="N71" s="159">
        <v>0</v>
      </c>
      <c r="P71" s="159">
        <f>M71</f>
        <v>0</v>
      </c>
      <c r="Q71" s="159">
        <f>N71</f>
        <v>0</v>
      </c>
      <c r="S71" s="36"/>
      <c r="T71" s="36"/>
    </row>
    <row r="72" spans="1:20" x14ac:dyDescent="0.2">
      <c r="A72" s="17">
        <f t="shared" si="1"/>
        <v>64</v>
      </c>
      <c r="C72" s="40"/>
      <c r="D72" s="50"/>
      <c r="E72" s="50"/>
      <c r="F72" s="50"/>
      <c r="G72" s="50"/>
      <c r="H72" s="168"/>
      <c r="I72" s="158"/>
      <c r="J72" s="158"/>
      <c r="L72" s="159"/>
      <c r="M72" s="159"/>
      <c r="N72" s="159"/>
      <c r="P72" s="159"/>
      <c r="Q72" s="159"/>
      <c r="S72" s="36"/>
      <c r="T72" s="36"/>
    </row>
    <row r="73" spans="1:20" x14ac:dyDescent="0.2">
      <c r="A73" s="17">
        <f t="shared" si="1"/>
        <v>65</v>
      </c>
      <c r="B73" s="17">
        <v>85</v>
      </c>
      <c r="C73" s="40" t="s">
        <v>126</v>
      </c>
      <c r="D73" s="50"/>
      <c r="E73" s="50"/>
      <c r="F73" s="50"/>
      <c r="G73" s="50"/>
      <c r="H73" s="168"/>
      <c r="I73" s="158"/>
      <c r="J73" s="158"/>
      <c r="L73" s="159"/>
      <c r="M73" s="159"/>
      <c r="N73" s="159"/>
      <c r="P73" s="159"/>
      <c r="Q73" s="159"/>
      <c r="S73" s="36"/>
      <c r="T73" s="36"/>
    </row>
    <row r="74" spans="1:20" x14ac:dyDescent="0.2">
      <c r="A74" s="17">
        <f t="shared" si="1"/>
        <v>66</v>
      </c>
      <c r="B74" s="17">
        <v>85</v>
      </c>
      <c r="C74" s="40" t="s">
        <v>62</v>
      </c>
      <c r="D74" s="50">
        <v>9096108.9690000005</v>
      </c>
      <c r="E74" s="50">
        <v>6774073.2879818697</v>
      </c>
      <c r="F74" s="50">
        <v>6600825.8049050467</v>
      </c>
      <c r="G74" s="50"/>
      <c r="H74" s="169">
        <v>0.12488</v>
      </c>
      <c r="I74" s="161">
        <f t="shared" si="41"/>
        <v>0.21365339585404611</v>
      </c>
      <c r="J74" s="161">
        <f t="shared" si="41"/>
        <v>0.21549474365357485</v>
      </c>
      <c r="L74" s="159">
        <f t="shared" si="43"/>
        <v>1135922.08804872</v>
      </c>
      <c r="M74" s="159">
        <f t="shared" si="42"/>
        <v>845946.27220317593</v>
      </c>
      <c r="N74" s="159">
        <f t="shared" si="42"/>
        <v>824311.12651654228</v>
      </c>
      <c r="P74" s="159">
        <f t="shared" si="44"/>
        <v>1447303.7617415101</v>
      </c>
      <c r="Q74" s="159">
        <f t="shared" si="44"/>
        <v>1422443.264729915</v>
      </c>
      <c r="S74" s="36">
        <f>(S$94-(SUM(P68,P69,P70, P71, P81,P82,P83)-SUM(M68,M69,M70, M71,M81,M82,M83)))/(M93-SUM(M68,M69,M70, M71, M81,M82,M83))</f>
        <v>0.71086960164995261</v>
      </c>
      <c r="T74" s="36">
        <f>((Q94-SUM(Q68:Q71,Q81:Q83)))/((I74*SUM(F74,F86))+(I75*SUM(F75,F87))+(I76*SUM(F76,F88)))-1</f>
        <v>8.6183877029815115E-3</v>
      </c>
    </row>
    <row r="75" spans="1:20" x14ac:dyDescent="0.2">
      <c r="A75" s="17">
        <f t="shared" ref="A75:A138" si="45">A74+1</f>
        <v>67</v>
      </c>
      <c r="B75" s="17">
        <v>85</v>
      </c>
      <c r="C75" s="40" t="s">
        <v>63</v>
      </c>
      <c r="D75" s="50">
        <v>5272798.7510000002</v>
      </c>
      <c r="E75" s="50">
        <v>3922815.2360674441</v>
      </c>
      <c r="F75" s="50">
        <v>3821087.7051352365</v>
      </c>
      <c r="G75" s="50"/>
      <c r="H75" s="169">
        <v>5.9339999999999997E-2</v>
      </c>
      <c r="I75" s="161">
        <f t="shared" si="41"/>
        <v>0.10152300216190818</v>
      </c>
      <c r="J75" s="161">
        <f t="shared" si="41"/>
        <v>0.10239796675531014</v>
      </c>
      <c r="L75" s="159">
        <f t="shared" si="43"/>
        <v>312887.87788434001</v>
      </c>
      <c r="M75" s="159">
        <f t="shared" si="42"/>
        <v>232779.85610824212</v>
      </c>
      <c r="N75" s="159">
        <f t="shared" si="42"/>
        <v>226743.34442272491</v>
      </c>
      <c r="P75" s="159">
        <f t="shared" si="44"/>
        <v>398255.97969204147</v>
      </c>
      <c r="Q75" s="159">
        <f t="shared" si="44"/>
        <v>391271.61179956229</v>
      </c>
      <c r="S75" s="36">
        <f>S74</f>
        <v>0.71086960164995261</v>
      </c>
      <c r="T75" s="36">
        <f>T74</f>
        <v>8.6183877029815115E-3</v>
      </c>
    </row>
    <row r="76" spans="1:20" x14ac:dyDescent="0.2">
      <c r="A76" s="17">
        <f t="shared" si="45"/>
        <v>68</v>
      </c>
      <c r="B76" s="17">
        <v>85</v>
      </c>
      <c r="C76" s="40" t="s">
        <v>64</v>
      </c>
      <c r="D76" s="50">
        <v>7964343.4458725024</v>
      </c>
      <c r="E76" s="50">
        <v>5971338.4759506863</v>
      </c>
      <c r="F76" s="50">
        <v>5832835.4899597187</v>
      </c>
      <c r="G76" s="50"/>
      <c r="H76" s="169">
        <v>5.6770000000000001E-2</v>
      </c>
      <c r="I76" s="161">
        <f t="shared" si="41"/>
        <v>9.7126067285667819E-2</v>
      </c>
      <c r="J76" s="161">
        <f t="shared" si="41"/>
        <v>9.7963137389601579E-2</v>
      </c>
      <c r="L76" s="159">
        <f t="shared" si="43"/>
        <v>452135.77742218197</v>
      </c>
      <c r="M76" s="159">
        <f t="shared" si="42"/>
        <v>338992.88527972047</v>
      </c>
      <c r="N76" s="159">
        <f t="shared" si="42"/>
        <v>331130.07076501322</v>
      </c>
      <c r="O76" s="40"/>
      <c r="P76" s="159">
        <f t="shared" si="44"/>
        <v>579972.62260068348</v>
      </c>
      <c r="Q76" s="159">
        <f t="shared" si="44"/>
        <v>571402.86447386793</v>
      </c>
      <c r="S76" s="36">
        <f>S75</f>
        <v>0.71086960164995261</v>
      </c>
      <c r="T76" s="36">
        <f>T75</f>
        <v>8.6183877029815115E-3</v>
      </c>
    </row>
    <row r="77" spans="1:20" x14ac:dyDescent="0.2">
      <c r="A77" s="17">
        <f t="shared" si="45"/>
        <v>69</v>
      </c>
      <c r="B77" s="17">
        <v>85</v>
      </c>
      <c r="C77" s="174" t="s">
        <v>128</v>
      </c>
      <c r="D77" s="41">
        <f>SUM(D74:D76)</f>
        <v>22333251.165872503</v>
      </c>
      <c r="E77" s="41">
        <f t="shared" ref="E77:F77" si="46">SUM(E74:E76)</f>
        <v>16668227</v>
      </c>
      <c r="F77" s="41">
        <f t="shared" si="46"/>
        <v>16254749.000000002</v>
      </c>
      <c r="G77" s="50"/>
      <c r="H77" s="167"/>
      <c r="I77" s="167"/>
      <c r="J77" s="167"/>
      <c r="L77" s="163">
        <f>SUM(L74:L76)</f>
        <v>1900945.7433552421</v>
      </c>
      <c r="M77" s="163">
        <f t="shared" ref="M77:Q77" si="47">SUM(M74:M76)</f>
        <v>1417719.0135911384</v>
      </c>
      <c r="N77" s="163">
        <f t="shared" si="47"/>
        <v>1382184.5417042803</v>
      </c>
      <c r="O77" s="170"/>
      <c r="P77" s="163">
        <f t="shared" si="47"/>
        <v>2425532.364034235</v>
      </c>
      <c r="Q77" s="163">
        <f t="shared" si="47"/>
        <v>2385117.7410033452</v>
      </c>
      <c r="S77" s="36"/>
      <c r="T77" s="36"/>
    </row>
    <row r="78" spans="1:20" x14ac:dyDescent="0.2">
      <c r="A78" s="17">
        <f t="shared" si="45"/>
        <v>70</v>
      </c>
      <c r="C78" s="174"/>
      <c r="D78" s="50"/>
      <c r="E78" s="50"/>
      <c r="F78" s="50"/>
      <c r="G78" s="50"/>
      <c r="H78" s="167"/>
      <c r="I78" s="167"/>
      <c r="J78" s="167"/>
      <c r="L78" s="159"/>
      <c r="M78" s="159"/>
      <c r="N78" s="159"/>
      <c r="S78" s="36"/>
      <c r="T78" s="36"/>
    </row>
    <row r="79" spans="1:20" x14ac:dyDescent="0.2">
      <c r="A79" s="17">
        <f t="shared" si="45"/>
        <v>71</v>
      </c>
      <c r="B79" s="17">
        <v>85</v>
      </c>
      <c r="C79" s="40" t="s">
        <v>120</v>
      </c>
      <c r="D79" s="50"/>
      <c r="E79" s="50"/>
      <c r="F79" s="50"/>
      <c r="G79" s="50"/>
      <c r="H79" s="167"/>
      <c r="I79" s="167"/>
      <c r="J79" s="167"/>
      <c r="L79" s="159">
        <f>SUM(L68:L71,L77)</f>
        <v>2525036.5701604243</v>
      </c>
      <c r="M79" s="159">
        <f t="shared" ref="M79:Q79" si="48">SUM(M68:M71,M77)</f>
        <v>2024148.4641911383</v>
      </c>
      <c r="N79" s="159">
        <f t="shared" si="48"/>
        <v>1985388.8639042804</v>
      </c>
      <c r="O79" s="159"/>
      <c r="P79" s="159">
        <f t="shared" si="48"/>
        <v>3224437.0115643577</v>
      </c>
      <c r="Q79" s="159">
        <f t="shared" si="48"/>
        <v>3331037.4517978523</v>
      </c>
      <c r="S79" s="36"/>
      <c r="T79" s="36"/>
    </row>
    <row r="80" spans="1:20" x14ac:dyDescent="0.2">
      <c r="A80" s="17">
        <f t="shared" si="45"/>
        <v>72</v>
      </c>
      <c r="D80" s="50"/>
      <c r="E80" s="50"/>
      <c r="F80" s="50"/>
      <c r="G80" s="50"/>
      <c r="H80" s="167"/>
      <c r="I80" s="167"/>
      <c r="J80" s="167"/>
      <c r="L80" s="159"/>
      <c r="M80" s="159"/>
      <c r="N80" s="159"/>
      <c r="S80" s="36"/>
      <c r="T80" s="36"/>
    </row>
    <row r="81" spans="1:20" x14ac:dyDescent="0.2">
      <c r="A81" s="17">
        <f t="shared" si="45"/>
        <v>73</v>
      </c>
      <c r="B81" s="17" t="s">
        <v>132</v>
      </c>
      <c r="C81" s="174" t="s">
        <v>5</v>
      </c>
      <c r="D81" s="50">
        <v>830</v>
      </c>
      <c r="E81" s="50">
        <v>840</v>
      </c>
      <c r="F81" s="50">
        <v>840</v>
      </c>
      <c r="G81" s="50"/>
      <c r="H81" s="168">
        <v>903.09</v>
      </c>
      <c r="I81" s="158">
        <f t="shared" ref="I81:J82" si="49">H81*(1+S81)</f>
        <v>1034.8527320281512</v>
      </c>
      <c r="J81" s="158">
        <f t="shared" si="49"/>
        <v>1185.8399240232186</v>
      </c>
      <c r="L81" s="159">
        <f>D81*$H81</f>
        <v>749564.70000000007</v>
      </c>
      <c r="M81" s="159">
        <f t="shared" ref="M81:N82" si="50">E81*$H81</f>
        <v>758595.6</v>
      </c>
      <c r="N81" s="159">
        <f t="shared" si="50"/>
        <v>758595.6</v>
      </c>
      <c r="P81" s="159">
        <f>E81*I81</f>
        <v>869276.29490364704</v>
      </c>
      <c r="Q81" s="159">
        <f>F81*J81</f>
        <v>996105.53617950366</v>
      </c>
      <c r="S81" s="36">
        <v>0.14590210502624468</v>
      </c>
      <c r="T81" s="36">
        <f>S81</f>
        <v>0.14590210502624468</v>
      </c>
    </row>
    <row r="82" spans="1:20" x14ac:dyDescent="0.2">
      <c r="A82" s="17">
        <f t="shared" si="45"/>
        <v>74</v>
      </c>
      <c r="B82" s="17" t="s">
        <v>132</v>
      </c>
      <c r="C82" s="40" t="s">
        <v>8</v>
      </c>
      <c r="D82" s="50">
        <v>630994.90042735043</v>
      </c>
      <c r="E82" s="50">
        <v>624588</v>
      </c>
      <c r="F82" s="50">
        <v>624588</v>
      </c>
      <c r="G82" s="50"/>
      <c r="H82" s="168">
        <v>1.44</v>
      </c>
      <c r="I82" s="158">
        <f t="shared" si="49"/>
        <v>1.6991999999999998</v>
      </c>
      <c r="J82" s="158">
        <f t="shared" si="49"/>
        <v>2.0050559999999997</v>
      </c>
      <c r="L82" s="159">
        <f t="shared" ref="L82" si="51">D82*$H82</f>
        <v>908632.65661538462</v>
      </c>
      <c r="M82" s="159">
        <f t="shared" si="50"/>
        <v>899406.72</v>
      </c>
      <c r="N82" s="159">
        <f t="shared" si="50"/>
        <v>899406.72</v>
      </c>
      <c r="P82" s="159">
        <f t="shared" ref="P82:Q82" si="52">E82*I82</f>
        <v>1061299.9295999999</v>
      </c>
      <c r="Q82" s="159">
        <f t="shared" si="52"/>
        <v>1252333.9169279998</v>
      </c>
      <c r="S82" s="36">
        <f>S69</f>
        <v>0.18</v>
      </c>
      <c r="T82" s="36">
        <f>T69</f>
        <v>0.18</v>
      </c>
    </row>
    <row r="83" spans="1:20" x14ac:dyDescent="0.2">
      <c r="A83" s="17">
        <f t="shared" si="45"/>
        <v>75</v>
      </c>
      <c r="B83" s="17" t="s">
        <v>132</v>
      </c>
      <c r="C83" s="40" t="s">
        <v>131</v>
      </c>
      <c r="D83" s="50"/>
      <c r="E83" s="50"/>
      <c r="F83" s="50"/>
      <c r="G83" s="50"/>
      <c r="H83" s="168"/>
      <c r="I83" s="158"/>
      <c r="J83" s="158"/>
      <c r="L83" s="159">
        <v>22347.83</v>
      </c>
      <c r="M83" s="159">
        <v>22347.83</v>
      </c>
      <c r="N83" s="159">
        <v>22347.83</v>
      </c>
      <c r="P83" s="159">
        <f>M83</f>
        <v>22347.83</v>
      </c>
      <c r="Q83" s="159">
        <f>N83</f>
        <v>22347.83</v>
      </c>
      <c r="S83" s="36">
        <f>S71</f>
        <v>0</v>
      </c>
      <c r="T83" s="36">
        <f>T71</f>
        <v>0</v>
      </c>
    </row>
    <row r="84" spans="1:20" x14ac:dyDescent="0.2">
      <c r="A84" s="17">
        <f t="shared" si="45"/>
        <v>76</v>
      </c>
      <c r="C84" s="40"/>
      <c r="D84" s="50"/>
      <c r="E84" s="50"/>
      <c r="F84" s="50"/>
      <c r="G84" s="50"/>
      <c r="H84" s="168"/>
      <c r="I84" s="158"/>
      <c r="J84" s="158"/>
      <c r="L84" s="159"/>
      <c r="M84" s="159"/>
      <c r="N84" s="159"/>
      <c r="P84" s="159"/>
      <c r="Q84" s="159"/>
      <c r="S84" s="36"/>
      <c r="T84" s="36"/>
    </row>
    <row r="85" spans="1:20" x14ac:dyDescent="0.2">
      <c r="A85" s="17">
        <f t="shared" si="45"/>
        <v>77</v>
      </c>
      <c r="B85" s="17" t="s">
        <v>132</v>
      </c>
      <c r="C85" s="40" t="s">
        <v>126</v>
      </c>
      <c r="D85" s="50"/>
      <c r="E85" s="50"/>
      <c r="F85" s="50"/>
      <c r="G85" s="50"/>
      <c r="H85" s="168"/>
      <c r="I85" s="158"/>
      <c r="J85" s="158"/>
      <c r="L85" s="159"/>
      <c r="M85" s="159"/>
      <c r="N85" s="159"/>
      <c r="P85" s="159"/>
      <c r="Q85" s="159"/>
      <c r="S85" s="36"/>
      <c r="T85" s="36"/>
    </row>
    <row r="86" spans="1:20" x14ac:dyDescent="0.2">
      <c r="A86" s="17">
        <f t="shared" si="45"/>
        <v>78</v>
      </c>
      <c r="B86" s="17" t="s">
        <v>132</v>
      </c>
      <c r="C86" s="40" t="s">
        <v>62</v>
      </c>
      <c r="D86" s="50">
        <v>22639905.379999995</v>
      </c>
      <c r="E86" s="50">
        <v>23553163.399398196</v>
      </c>
      <c r="F86" s="50">
        <v>23242817.962335769</v>
      </c>
      <c r="G86" s="50"/>
      <c r="H86" s="169">
        <v>0.12488</v>
      </c>
      <c r="I86" s="161">
        <f>H86*(1+S86)</f>
        <v>0.21365339585404611</v>
      </c>
      <c r="J86" s="161">
        <f>I86*(1+T86)</f>
        <v>0.21549474365357485</v>
      </c>
      <c r="L86" s="159">
        <f t="shared" ref="L86:N88" si="53">D86*$H86</f>
        <v>2827271.3838543994</v>
      </c>
      <c r="M86" s="159">
        <f t="shared" si="53"/>
        <v>2941319.045316847</v>
      </c>
      <c r="N86" s="159">
        <f t="shared" si="53"/>
        <v>2902563.1071364908</v>
      </c>
      <c r="P86" s="159">
        <f t="shared" ref="P86:Q88" si="54">E86*I86</f>
        <v>5032213.3433866529</v>
      </c>
      <c r="Q86" s="159">
        <f t="shared" si="54"/>
        <v>5008705.0985802514</v>
      </c>
      <c r="S86" s="36">
        <f>S74</f>
        <v>0.71086960164995261</v>
      </c>
      <c r="T86" s="36">
        <f>T74</f>
        <v>8.6183877029815115E-3</v>
      </c>
    </row>
    <row r="87" spans="1:20" x14ac:dyDescent="0.2">
      <c r="A87" s="17">
        <f t="shared" si="45"/>
        <v>79</v>
      </c>
      <c r="B87" s="17" t="s">
        <v>132</v>
      </c>
      <c r="C87" s="40" t="s">
        <v>63</v>
      </c>
      <c r="D87" s="50">
        <v>15233925.730000004</v>
      </c>
      <c r="E87" s="50">
        <v>15856050.612148412</v>
      </c>
      <c r="F87" s="50">
        <v>15647963.940920169</v>
      </c>
      <c r="G87" s="50"/>
      <c r="H87" s="169">
        <v>5.9339999999999997E-2</v>
      </c>
      <c r="I87" s="161">
        <f>H87*(1+S87)</f>
        <v>0.10152300216190818</v>
      </c>
      <c r="J87" s="161">
        <f>I87*(1+T87)</f>
        <v>0.10239796675531014</v>
      </c>
      <c r="L87" s="159">
        <f t="shared" si="53"/>
        <v>903981.15281820018</v>
      </c>
      <c r="M87" s="159">
        <f t="shared" si="53"/>
        <v>940898.0433248867</v>
      </c>
      <c r="N87" s="159">
        <f t="shared" si="53"/>
        <v>928550.1802542028</v>
      </c>
      <c r="P87" s="159">
        <f t="shared" si="54"/>
        <v>1609753.8605764688</v>
      </c>
      <c r="Q87" s="159">
        <f t="shared" si="54"/>
        <v>1602319.6914106354</v>
      </c>
      <c r="S87" s="36">
        <f t="shared" ref="S87:T88" si="55">S75</f>
        <v>0.71086960164995261</v>
      </c>
      <c r="T87" s="36">
        <f t="shared" si="55"/>
        <v>8.6183877029815115E-3</v>
      </c>
    </row>
    <row r="88" spans="1:20" x14ac:dyDescent="0.2">
      <c r="A88" s="17">
        <f t="shared" si="45"/>
        <v>80</v>
      </c>
      <c r="B88" s="17" t="s">
        <v>132</v>
      </c>
      <c r="C88" s="40" t="s">
        <v>64</v>
      </c>
      <c r="D88" s="50">
        <v>22301595.849774666</v>
      </c>
      <c r="E88" s="50">
        <v>23335221.988453388</v>
      </c>
      <c r="F88" s="50">
        <v>23042513.096744049</v>
      </c>
      <c r="G88" s="50"/>
      <c r="H88" s="169">
        <v>5.6770000000000001E-2</v>
      </c>
      <c r="I88" s="161">
        <f t="shared" ref="I88:J88" si="56">H88*(1+S88)</f>
        <v>9.7126067285667819E-2</v>
      </c>
      <c r="J88" s="161">
        <f t="shared" si="56"/>
        <v>9.7963137389601579E-2</v>
      </c>
      <c r="L88" s="159">
        <f t="shared" si="53"/>
        <v>1266061.5963917079</v>
      </c>
      <c r="M88" s="159">
        <f t="shared" si="53"/>
        <v>1324740.5522844989</v>
      </c>
      <c r="N88" s="159">
        <f t="shared" si="53"/>
        <v>1308123.4685021597</v>
      </c>
      <c r="O88" s="40"/>
      <c r="P88" s="159">
        <f t="shared" si="54"/>
        <v>2266458.340976519</v>
      </c>
      <c r="Q88" s="159">
        <f t="shared" si="54"/>
        <v>2257316.8762980308</v>
      </c>
      <c r="S88" s="36">
        <f t="shared" si="55"/>
        <v>0.71086960164995261</v>
      </c>
      <c r="T88" s="36">
        <f t="shared" si="55"/>
        <v>8.6183877029815115E-3</v>
      </c>
    </row>
    <row r="89" spans="1:20" x14ac:dyDescent="0.2">
      <c r="A89" s="17">
        <f t="shared" si="45"/>
        <v>81</v>
      </c>
      <c r="B89" s="17" t="s">
        <v>132</v>
      </c>
      <c r="C89" s="174" t="s">
        <v>128</v>
      </c>
      <c r="D89" s="41">
        <f>SUM(D86:D88)</f>
        <v>60175426.959774666</v>
      </c>
      <c r="E89" s="41">
        <f t="shared" ref="E89:F89" si="57">SUM(E86:E88)</f>
        <v>62744436</v>
      </c>
      <c r="F89" s="41">
        <f t="shared" si="57"/>
        <v>61933294.999999985</v>
      </c>
      <c r="G89" s="50"/>
      <c r="H89" s="167"/>
      <c r="I89" s="167"/>
      <c r="J89" s="167"/>
      <c r="L89" s="163">
        <f>SUM(L86:L88)</f>
        <v>4997314.1330643073</v>
      </c>
      <c r="M89" s="163">
        <f t="shared" ref="M89:N89" si="58">SUM(M86:M88)</f>
        <v>5206957.6409262326</v>
      </c>
      <c r="N89" s="163">
        <f t="shared" si="58"/>
        <v>5139236.7558928533</v>
      </c>
      <c r="O89" s="170"/>
      <c r="P89" s="163">
        <f t="shared" ref="P89:Q89" si="59">SUM(P86:P88)</f>
        <v>8908425.5449396409</v>
      </c>
      <c r="Q89" s="163">
        <f t="shared" si="59"/>
        <v>8868341.6662889179</v>
      </c>
      <c r="S89" s="15"/>
      <c r="T89" s="15"/>
    </row>
    <row r="90" spans="1:20" x14ac:dyDescent="0.2">
      <c r="A90" s="17">
        <f t="shared" si="45"/>
        <v>82</v>
      </c>
      <c r="C90" s="174"/>
      <c r="D90" s="50"/>
      <c r="E90" s="50"/>
      <c r="F90" s="50"/>
      <c r="G90" s="50"/>
      <c r="H90" s="167"/>
      <c r="I90" s="167"/>
      <c r="J90" s="167"/>
      <c r="L90" s="159"/>
      <c r="M90" s="159"/>
      <c r="N90" s="159"/>
      <c r="S90" s="15"/>
      <c r="T90" s="15"/>
    </row>
    <row r="91" spans="1:20" x14ac:dyDescent="0.2">
      <c r="A91" s="17">
        <f t="shared" si="45"/>
        <v>83</v>
      </c>
      <c r="B91" s="17" t="s">
        <v>132</v>
      </c>
      <c r="C91" s="40" t="s">
        <v>120</v>
      </c>
      <c r="D91" s="50"/>
      <c r="E91" s="50"/>
      <c r="F91" s="50"/>
      <c r="G91" s="50"/>
      <c r="H91" s="167"/>
      <c r="I91" s="167"/>
      <c r="J91" s="167"/>
      <c r="L91" s="159">
        <f>SUM(L81:L83,L89)</f>
        <v>6677859.3196796924</v>
      </c>
      <c r="M91" s="159">
        <f t="shared" ref="M91:Q91" si="60">SUM(M81:M83,M89)</f>
        <v>6887307.7909262329</v>
      </c>
      <c r="N91" s="159">
        <f t="shared" si="60"/>
        <v>6819586.9058928527</v>
      </c>
      <c r="O91" s="159"/>
      <c r="P91" s="159">
        <f t="shared" si="60"/>
        <v>10861349.599443289</v>
      </c>
      <c r="Q91" s="159">
        <f t="shared" si="60"/>
        <v>11139128.94939642</v>
      </c>
      <c r="S91" s="15"/>
      <c r="T91" s="15"/>
    </row>
    <row r="92" spans="1:20" x14ac:dyDescent="0.2">
      <c r="A92" s="17">
        <f t="shared" si="45"/>
        <v>84</v>
      </c>
      <c r="D92" s="50"/>
      <c r="E92" s="50"/>
      <c r="F92" s="50"/>
      <c r="G92" s="50"/>
      <c r="H92" s="167"/>
      <c r="I92" s="167"/>
      <c r="J92" s="167"/>
      <c r="L92" s="159"/>
      <c r="M92" s="159"/>
      <c r="N92" s="159"/>
      <c r="S92" s="15"/>
      <c r="T92" s="15"/>
    </row>
    <row r="93" spans="1:20" x14ac:dyDescent="0.2">
      <c r="A93" s="17">
        <f t="shared" si="45"/>
        <v>85</v>
      </c>
      <c r="C93" s="11" t="s">
        <v>133</v>
      </c>
      <c r="D93" s="50"/>
      <c r="E93" s="50"/>
      <c r="F93" s="50"/>
      <c r="G93" s="50"/>
      <c r="H93" s="167"/>
      <c r="I93" s="167"/>
      <c r="J93" s="167"/>
      <c r="L93" s="159">
        <f>SUM(L79,L91)</f>
        <v>9202895.8898401167</v>
      </c>
      <c r="M93" s="159">
        <f t="shared" ref="M93:N93" si="61">SUM(M79,M91)</f>
        <v>8911456.2551173717</v>
      </c>
      <c r="N93" s="159">
        <f t="shared" si="61"/>
        <v>8804975.7697971333</v>
      </c>
      <c r="O93" s="159"/>
      <c r="P93" s="159">
        <f t="shared" ref="P93:Q93" si="62">SUM(P79,P91)</f>
        <v>14085786.611007646</v>
      </c>
      <c r="Q93" s="159">
        <f t="shared" si="62"/>
        <v>14470166.401194273</v>
      </c>
      <c r="S93" s="22">
        <f>'Exh JDT-5 (Rate Spread)'!H20</f>
        <v>14085786.611007646</v>
      </c>
      <c r="T93" s="22">
        <f>'Exh JDT-5 (Rate Spread)'!H33</f>
        <v>14470166.401194273</v>
      </c>
    </row>
    <row r="94" spans="1:20" x14ac:dyDescent="0.2">
      <c r="A94" s="17">
        <f t="shared" si="45"/>
        <v>86</v>
      </c>
      <c r="C94" s="11" t="s">
        <v>122</v>
      </c>
      <c r="D94" s="50"/>
      <c r="E94" s="50"/>
      <c r="F94" s="50"/>
      <c r="G94" s="50"/>
      <c r="H94" s="167"/>
      <c r="I94" s="167"/>
      <c r="J94" s="167"/>
      <c r="L94" s="159"/>
      <c r="M94" s="159"/>
      <c r="N94" s="159"/>
      <c r="P94" s="26">
        <f>'Exh JDT-5 (Rate Spread)'!$H$20</f>
        <v>14085786.611007646</v>
      </c>
      <c r="Q94" s="26">
        <f>'Exh JDT-5 (Rate Spread)'!$H$33</f>
        <v>14470166.401194273</v>
      </c>
      <c r="S94" s="23">
        <f>S93-M93</f>
        <v>5174330.355890274</v>
      </c>
      <c r="T94" s="23">
        <f>T93-N93-S94</f>
        <v>490860.27550686523</v>
      </c>
    </row>
    <row r="95" spans="1:20" x14ac:dyDescent="0.2">
      <c r="A95" s="17">
        <f t="shared" si="45"/>
        <v>87</v>
      </c>
      <c r="C95" s="11" t="s">
        <v>123</v>
      </c>
      <c r="D95" s="50"/>
      <c r="E95" s="50"/>
      <c r="F95" s="50"/>
      <c r="G95" s="50"/>
      <c r="H95" s="167"/>
      <c r="I95" s="167"/>
      <c r="J95" s="167"/>
      <c r="L95" s="159">
        <v>0</v>
      </c>
      <c r="M95" s="159">
        <f>M93-'Exh JDT-5 (Rate Spread)'!$H$12</f>
        <v>0</v>
      </c>
      <c r="N95" s="159">
        <f>N93-'Exh JDT-5 (Rate Spread)'!$H$25</f>
        <v>0</v>
      </c>
      <c r="P95" s="26">
        <f>P93-P94</f>
        <v>0</v>
      </c>
      <c r="Q95" s="26">
        <f>Q93-Q94</f>
        <v>0</v>
      </c>
      <c r="S95" s="22">
        <f>S93-P93</f>
        <v>0</v>
      </c>
      <c r="T95" s="22">
        <f>T93-Q93</f>
        <v>0</v>
      </c>
    </row>
    <row r="96" spans="1:20" x14ac:dyDescent="0.2">
      <c r="A96" s="17">
        <f t="shared" si="45"/>
        <v>88</v>
      </c>
      <c r="D96" s="50"/>
      <c r="E96" s="50"/>
      <c r="F96" s="50"/>
      <c r="G96" s="50"/>
      <c r="H96" s="167"/>
      <c r="I96" s="167"/>
      <c r="J96" s="167"/>
      <c r="L96" s="159"/>
      <c r="M96" s="159"/>
      <c r="N96" s="159"/>
      <c r="S96" s="15"/>
      <c r="T96" s="15"/>
    </row>
    <row r="97" spans="1:20" x14ac:dyDescent="0.2">
      <c r="A97" s="17">
        <f t="shared" si="45"/>
        <v>89</v>
      </c>
      <c r="D97" s="50"/>
      <c r="E97" s="50"/>
      <c r="F97" s="50"/>
      <c r="G97" s="50"/>
      <c r="H97" s="167"/>
      <c r="I97" s="167"/>
      <c r="J97" s="167"/>
      <c r="L97" s="159"/>
      <c r="M97" s="159"/>
      <c r="N97" s="159"/>
      <c r="S97" s="15"/>
      <c r="T97" s="15"/>
    </row>
    <row r="98" spans="1:20" x14ac:dyDescent="0.2">
      <c r="A98" s="17">
        <f t="shared" si="45"/>
        <v>90</v>
      </c>
      <c r="B98" s="17">
        <v>86</v>
      </c>
      <c r="C98" s="174" t="s">
        <v>5</v>
      </c>
      <c r="D98" s="50">
        <v>1233.7356538099718</v>
      </c>
      <c r="E98" s="50">
        <v>1102</v>
      </c>
      <c r="F98" s="50">
        <v>1056</v>
      </c>
      <c r="G98" s="50"/>
      <c r="H98" s="168">
        <v>148.82</v>
      </c>
      <c r="I98" s="157">
        <f>H98*(1+S98)</f>
        <v>193.40985829803617</v>
      </c>
      <c r="J98" s="157">
        <f>I98*(1+T98)</f>
        <v>251.35985275410854</v>
      </c>
      <c r="L98" s="159">
        <f>D98*$H98</f>
        <v>183604.54</v>
      </c>
      <c r="M98" s="159">
        <f t="shared" ref="M98:N105" si="63">E98*$H98</f>
        <v>163999.63999999998</v>
      </c>
      <c r="N98" s="159">
        <f t="shared" si="63"/>
        <v>157153.91999999998</v>
      </c>
      <c r="P98" s="159">
        <f>E98*I98</f>
        <v>213137.66384443585</v>
      </c>
      <c r="Q98" s="159">
        <f>F98*J98</f>
        <v>265436.00450833864</v>
      </c>
      <c r="S98" s="36">
        <v>0.29962275432089902</v>
      </c>
      <c r="T98" s="36">
        <f>S98</f>
        <v>0.29962275432089902</v>
      </c>
    </row>
    <row r="99" spans="1:20" x14ac:dyDescent="0.2">
      <c r="A99" s="17">
        <f t="shared" si="45"/>
        <v>91</v>
      </c>
      <c r="B99" s="17">
        <v>86</v>
      </c>
      <c r="C99" s="40" t="s">
        <v>8</v>
      </c>
      <c r="D99" s="50">
        <v>34232.126266618754</v>
      </c>
      <c r="E99" s="50">
        <v>34152</v>
      </c>
      <c r="F99" s="50">
        <v>34152</v>
      </c>
      <c r="G99" s="50"/>
      <c r="H99" s="168">
        <v>1.35</v>
      </c>
      <c r="I99" s="157">
        <f t="shared" ref="I99:J105" si="64">H99*(1+S99)</f>
        <v>1.593</v>
      </c>
      <c r="J99" s="157">
        <f t="shared" si="64"/>
        <v>1.87974</v>
      </c>
      <c r="L99" s="159">
        <f t="shared" ref="L99:L105" si="65">D99*$H99</f>
        <v>46213.370459935322</v>
      </c>
      <c r="M99" s="159">
        <f t="shared" si="63"/>
        <v>46105.200000000004</v>
      </c>
      <c r="N99" s="159">
        <f t="shared" si="63"/>
        <v>46105.200000000004</v>
      </c>
      <c r="P99" s="159">
        <f t="shared" ref="P99:Q105" si="66">E99*I99</f>
        <v>54404.135999999999</v>
      </c>
      <c r="Q99" s="159">
        <f t="shared" si="66"/>
        <v>64196.88048</v>
      </c>
      <c r="S99" s="36">
        <v>0.18</v>
      </c>
      <c r="T99" s="36">
        <f>S99</f>
        <v>0.18</v>
      </c>
    </row>
    <row r="100" spans="1:20" x14ac:dyDescent="0.2">
      <c r="A100" s="17">
        <f t="shared" si="45"/>
        <v>92</v>
      </c>
      <c r="B100" s="17">
        <v>86</v>
      </c>
      <c r="C100" s="40" t="s">
        <v>7</v>
      </c>
      <c r="D100" s="50">
        <v>5709710.4526319839</v>
      </c>
      <c r="E100" s="50">
        <v>4684519.0000000009</v>
      </c>
      <c r="F100" s="50">
        <v>4539643.0000000009</v>
      </c>
      <c r="G100" s="50"/>
      <c r="H100" s="169">
        <v>1.222E-2</v>
      </c>
      <c r="I100" s="160">
        <f t="shared" si="64"/>
        <v>1.6477237996046008E-2</v>
      </c>
      <c r="J100" s="160">
        <f t="shared" si="64"/>
        <v>1.7097802122313668E-2</v>
      </c>
      <c r="L100" s="159">
        <f t="shared" si="65"/>
        <v>69772.661731162836</v>
      </c>
      <c r="M100" s="159">
        <f t="shared" si="63"/>
        <v>57244.82218000001</v>
      </c>
      <c r="N100" s="159">
        <f t="shared" si="63"/>
        <v>55474.437460000008</v>
      </c>
      <c r="P100" s="159">
        <f t="shared" si="66"/>
        <v>77187.934459999466</v>
      </c>
      <c r="Q100" s="159">
        <f t="shared" si="66"/>
        <v>77617.917719946403</v>
      </c>
      <c r="S100" s="36">
        <f>IF((1+S122/M121)*H100&gt;'Exh JDT-5 (Procmnt Chrg)'!$G$16,('Exh JDT-5 (Procmnt Chrg)'!$G$16-'Exh JDT-5 (Rate Design)'!H100)/'Exh JDT-5 (Rate Design)'!H100,S122/M121)</f>
        <v>0.34838281473371613</v>
      </c>
      <c r="T100" s="21">
        <f>IF((1+SUM(S122:T122)/N121-S100)*I100&gt;'Exh JDT-5 (Procmnt Chrg)'!$G$16,('Exh JDT-5 (Procmnt Chrg)'!$G$16-'Exh JDT-5 (Rate Design)'!I100)/'Exh JDT-5 (Rate Design)'!I100,SUM(S122:T122)/N121-S100)</f>
        <v>3.7661902220297805E-2</v>
      </c>
    </row>
    <row r="101" spans="1:20" x14ac:dyDescent="0.2">
      <c r="A101" s="17">
        <f t="shared" si="45"/>
        <v>93</v>
      </c>
      <c r="B101" s="17">
        <v>86</v>
      </c>
      <c r="C101" s="40" t="s">
        <v>131</v>
      </c>
      <c r="D101" s="50"/>
      <c r="E101" s="50"/>
      <c r="F101" s="50"/>
      <c r="G101" s="50"/>
      <c r="H101" s="169"/>
      <c r="I101" s="157"/>
      <c r="J101" s="157"/>
      <c r="L101" s="159">
        <v>2294.1099999999997</v>
      </c>
      <c r="M101" s="159">
        <v>2294.1099999999997</v>
      </c>
      <c r="N101" s="159">
        <v>2294.1099999999997</v>
      </c>
      <c r="P101" s="159">
        <f>M101</f>
        <v>2294.1099999999997</v>
      </c>
      <c r="Q101" s="159">
        <f>N101</f>
        <v>2294.1099999999997</v>
      </c>
      <c r="S101" s="36"/>
      <c r="T101" s="36"/>
    </row>
    <row r="102" spans="1:20" x14ac:dyDescent="0.2">
      <c r="A102" s="17">
        <f t="shared" si="45"/>
        <v>94</v>
      </c>
      <c r="C102" s="40"/>
      <c r="D102" s="50"/>
      <c r="E102" s="50"/>
      <c r="F102" s="50"/>
      <c r="G102" s="50"/>
      <c r="H102" s="169"/>
      <c r="I102" s="157"/>
      <c r="J102" s="157"/>
      <c r="L102" s="159"/>
      <c r="M102" s="159"/>
      <c r="N102" s="159"/>
      <c r="P102" s="159"/>
      <c r="Q102" s="159"/>
      <c r="S102" s="36"/>
      <c r="T102" s="36"/>
    </row>
    <row r="103" spans="1:20" x14ac:dyDescent="0.2">
      <c r="A103" s="17">
        <f t="shared" si="45"/>
        <v>95</v>
      </c>
      <c r="B103" s="17">
        <v>86</v>
      </c>
      <c r="C103" s="40" t="s">
        <v>126</v>
      </c>
      <c r="D103" s="50"/>
      <c r="E103" s="50"/>
      <c r="F103" s="50"/>
      <c r="G103" s="50"/>
      <c r="H103" s="169"/>
      <c r="I103" s="157"/>
      <c r="J103" s="157"/>
      <c r="L103" s="159"/>
      <c r="M103" s="159"/>
      <c r="N103" s="159"/>
      <c r="P103" s="159"/>
      <c r="Q103" s="159"/>
      <c r="S103" s="36"/>
      <c r="T103" s="36"/>
    </row>
    <row r="104" spans="1:20" x14ac:dyDescent="0.2">
      <c r="A104" s="17">
        <f t="shared" si="45"/>
        <v>96</v>
      </c>
      <c r="B104" s="17">
        <v>86</v>
      </c>
      <c r="C104" s="172" t="s">
        <v>68</v>
      </c>
      <c r="D104" s="50">
        <v>1016784.1</v>
      </c>
      <c r="E104" s="50">
        <v>837636.37749550154</v>
      </c>
      <c r="F104" s="50">
        <v>811601.45215734933</v>
      </c>
      <c r="G104" s="50"/>
      <c r="H104" s="169">
        <v>0.1951</v>
      </c>
      <c r="I104" s="160">
        <f t="shared" si="64"/>
        <v>0.269885862638785</v>
      </c>
      <c r="J104" s="160">
        <f t="shared" si="64"/>
        <v>0.26223570392530715</v>
      </c>
      <c r="L104" s="159">
        <f t="shared" si="65"/>
        <v>198374.57790999999</v>
      </c>
      <c r="M104" s="159">
        <f t="shared" si="63"/>
        <v>163422.85724937235</v>
      </c>
      <c r="N104" s="159">
        <f t="shared" si="63"/>
        <v>158343.44331589885</v>
      </c>
      <c r="P104" s="159">
        <f t="shared" si="66"/>
        <v>226066.2163180004</v>
      </c>
      <c r="Q104" s="159">
        <f t="shared" si="66"/>
        <v>212830.87811328401</v>
      </c>
      <c r="S104" s="36">
        <f>(S$122-(SUM(P98,P99,P100, P101, P110,P111,P112)-SUM(M98,M99,M100, M101,M110,M111,M112)))/(M121-SUM(M98,M99,M100, M101, M110,M111,M112))</f>
        <v>0.3833206695991031</v>
      </c>
      <c r="T104" s="36">
        <f>((Q122-SUM(Q98:Q101,Q110:Q112)))/((I104*SUM(F104,F115))+(I105*SUM(F105,F116)))-1</f>
        <v>-2.834590385238811E-2</v>
      </c>
    </row>
    <row r="105" spans="1:20" x14ac:dyDescent="0.2">
      <c r="A105" s="17">
        <f t="shared" si="45"/>
        <v>97</v>
      </c>
      <c r="B105" s="17">
        <v>86</v>
      </c>
      <c r="C105" s="172" t="s">
        <v>69</v>
      </c>
      <c r="D105" s="50">
        <v>4692926.3526319843</v>
      </c>
      <c r="E105" s="50">
        <v>3846882.6225044997</v>
      </c>
      <c r="F105" s="50">
        <v>3728041.5478426516</v>
      </c>
      <c r="G105" s="50"/>
      <c r="H105" s="169">
        <v>0.13830999999999999</v>
      </c>
      <c r="I105" s="160">
        <f t="shared" si="64"/>
        <v>0.19132708181225194</v>
      </c>
      <c r="J105" s="160">
        <f t="shared" si="64"/>
        <v>0.18590374274684385</v>
      </c>
      <c r="L105" s="159">
        <f t="shared" si="65"/>
        <v>649078.64383252966</v>
      </c>
      <c r="M105" s="159">
        <f t="shared" si="63"/>
        <v>532062.33551859728</v>
      </c>
      <c r="N105" s="159">
        <f t="shared" si="63"/>
        <v>515625.42648211709</v>
      </c>
      <c r="P105" s="159">
        <f t="shared" si="66"/>
        <v>736012.82623804873</v>
      </c>
      <c r="Q105" s="159">
        <f t="shared" si="66"/>
        <v>693056.87685968587</v>
      </c>
      <c r="S105" s="36">
        <f>S104</f>
        <v>0.3833206695991031</v>
      </c>
      <c r="T105" s="36">
        <f>T104</f>
        <v>-2.834590385238811E-2</v>
      </c>
    </row>
    <row r="106" spans="1:20" x14ac:dyDescent="0.2">
      <c r="A106" s="17">
        <f t="shared" si="45"/>
        <v>98</v>
      </c>
      <c r="B106" s="17">
        <v>86</v>
      </c>
      <c r="C106" s="174" t="s">
        <v>128</v>
      </c>
      <c r="D106" s="41">
        <f>SUM(D104:D105)</f>
        <v>5709710.4526319839</v>
      </c>
      <c r="E106" s="41">
        <f t="shared" ref="E106:F106" si="67">SUM(E104:E105)</f>
        <v>4684519.0000000009</v>
      </c>
      <c r="F106" s="41">
        <f t="shared" si="67"/>
        <v>4539643.0000000009</v>
      </c>
      <c r="G106" s="50"/>
      <c r="H106" s="167"/>
      <c r="I106" s="167"/>
      <c r="J106" s="167"/>
      <c r="L106" s="163">
        <f>SUM(L104:L105)</f>
        <v>847453.22174252965</v>
      </c>
      <c r="M106" s="163">
        <f t="shared" ref="M106:Q106" si="68">SUM(M104:M105)</f>
        <v>695485.19276796957</v>
      </c>
      <c r="N106" s="163">
        <f t="shared" si="68"/>
        <v>673968.86979801592</v>
      </c>
      <c r="O106" s="170"/>
      <c r="P106" s="163">
        <f t="shared" si="68"/>
        <v>962079.04255604907</v>
      </c>
      <c r="Q106" s="163">
        <f t="shared" si="68"/>
        <v>905887.75497296988</v>
      </c>
      <c r="S106" s="36"/>
      <c r="T106" s="36"/>
    </row>
    <row r="107" spans="1:20" x14ac:dyDescent="0.2">
      <c r="A107" s="17">
        <f t="shared" si="45"/>
        <v>99</v>
      </c>
      <c r="C107" s="174"/>
      <c r="D107" s="50"/>
      <c r="E107" s="50"/>
      <c r="F107" s="50"/>
      <c r="G107" s="50"/>
      <c r="H107" s="167"/>
      <c r="I107" s="167"/>
      <c r="J107" s="167"/>
      <c r="L107" s="159"/>
      <c r="M107" s="159"/>
      <c r="N107" s="159"/>
      <c r="S107" s="36"/>
      <c r="T107" s="36"/>
    </row>
    <row r="108" spans="1:20" x14ac:dyDescent="0.2">
      <c r="A108" s="17">
        <f t="shared" si="45"/>
        <v>100</v>
      </c>
      <c r="B108" s="17">
        <v>86</v>
      </c>
      <c r="C108" s="40" t="s">
        <v>120</v>
      </c>
      <c r="D108" s="50"/>
      <c r="E108" s="50"/>
      <c r="F108" s="50"/>
      <c r="G108" s="50"/>
      <c r="H108" s="167"/>
      <c r="I108" s="167"/>
      <c r="J108" s="167"/>
      <c r="L108" s="159">
        <f>SUM(L98:L101,L106)</f>
        <v>1149337.9039336278</v>
      </c>
      <c r="M108" s="159">
        <f t="shared" ref="M108:Q108" si="69">SUM(M98:M101,M106)</f>
        <v>965128.96494796954</v>
      </c>
      <c r="N108" s="159">
        <f t="shared" si="69"/>
        <v>934996.53725801595</v>
      </c>
      <c r="O108" s="159"/>
      <c r="P108" s="159">
        <f t="shared" si="69"/>
        <v>1309102.8868604843</v>
      </c>
      <c r="Q108" s="159">
        <f t="shared" si="69"/>
        <v>1315432.6676812549</v>
      </c>
      <c r="S108" s="36"/>
      <c r="T108" s="36"/>
    </row>
    <row r="109" spans="1:20" x14ac:dyDescent="0.2">
      <c r="A109" s="17">
        <f t="shared" si="45"/>
        <v>101</v>
      </c>
      <c r="D109" s="50"/>
      <c r="E109" s="50"/>
      <c r="F109" s="50"/>
      <c r="G109" s="50"/>
      <c r="H109" s="167"/>
      <c r="I109" s="167"/>
      <c r="J109" s="167"/>
      <c r="L109" s="159"/>
      <c r="M109" s="159"/>
      <c r="N109" s="159"/>
      <c r="S109" s="36"/>
      <c r="T109" s="36"/>
    </row>
    <row r="110" spans="1:20" x14ac:dyDescent="0.2">
      <c r="A110" s="17">
        <f t="shared" si="45"/>
        <v>102</v>
      </c>
      <c r="B110" s="17" t="s">
        <v>134</v>
      </c>
      <c r="C110" s="174" t="s">
        <v>5</v>
      </c>
      <c r="D110" s="50">
        <v>63</v>
      </c>
      <c r="E110" s="50">
        <v>72</v>
      </c>
      <c r="F110" s="50">
        <v>72</v>
      </c>
      <c r="G110" s="50"/>
      <c r="H110" s="175">
        <v>457.76</v>
      </c>
      <c r="I110" s="157">
        <f>H110*(1+S110)</f>
        <v>457.76</v>
      </c>
      <c r="J110" s="157">
        <f>I110*(1+T110)</f>
        <v>457.76</v>
      </c>
      <c r="L110" s="159">
        <f>D110*$H110</f>
        <v>28838.880000000001</v>
      </c>
      <c r="M110" s="159">
        <f t="shared" ref="M110:N111" si="70">E110*$H110</f>
        <v>32958.720000000001</v>
      </c>
      <c r="N110" s="159">
        <f t="shared" si="70"/>
        <v>32958.720000000001</v>
      </c>
      <c r="P110" s="159">
        <f>E110*I110</f>
        <v>32958.720000000001</v>
      </c>
      <c r="Q110" s="159">
        <f>F110*J110</f>
        <v>32958.720000000001</v>
      </c>
      <c r="S110" s="36">
        <v>0</v>
      </c>
      <c r="T110" s="36">
        <v>0</v>
      </c>
    </row>
    <row r="111" spans="1:20" x14ac:dyDescent="0.2">
      <c r="A111" s="17">
        <f t="shared" si="45"/>
        <v>103</v>
      </c>
      <c r="B111" s="17" t="s">
        <v>134</v>
      </c>
      <c r="C111" s="40" t="s">
        <v>8</v>
      </c>
      <c r="D111" s="50">
        <v>9006</v>
      </c>
      <c r="E111" s="50">
        <v>9000</v>
      </c>
      <c r="F111" s="50">
        <v>9000</v>
      </c>
      <c r="G111" s="50"/>
      <c r="H111" s="175">
        <v>1.35</v>
      </c>
      <c r="I111" s="157">
        <f t="shared" ref="I111:J111" si="71">H111*(1+S111)</f>
        <v>1.593</v>
      </c>
      <c r="J111" s="157">
        <f t="shared" si="71"/>
        <v>1.87974</v>
      </c>
      <c r="L111" s="159">
        <f t="shared" ref="L111" si="72">D111*$H111</f>
        <v>12158.1</v>
      </c>
      <c r="M111" s="159">
        <f t="shared" si="70"/>
        <v>12150</v>
      </c>
      <c r="N111" s="159">
        <f t="shared" si="70"/>
        <v>12150</v>
      </c>
      <c r="P111" s="159">
        <f t="shared" ref="P111:Q111" si="73">E111*I111</f>
        <v>14337</v>
      </c>
      <c r="Q111" s="159">
        <f t="shared" si="73"/>
        <v>16917.66</v>
      </c>
      <c r="S111" s="36">
        <f>S99</f>
        <v>0.18</v>
      </c>
      <c r="T111" s="36">
        <f>T99</f>
        <v>0.18</v>
      </c>
    </row>
    <row r="112" spans="1:20" x14ac:dyDescent="0.2">
      <c r="A112" s="17">
        <f t="shared" si="45"/>
        <v>104</v>
      </c>
      <c r="B112" s="17" t="s">
        <v>134</v>
      </c>
      <c r="C112" s="40" t="s">
        <v>131</v>
      </c>
      <c r="D112" s="50"/>
      <c r="E112" s="50"/>
      <c r="F112" s="50"/>
      <c r="G112" s="50"/>
      <c r="H112" s="169"/>
      <c r="I112" s="157"/>
      <c r="J112" s="157"/>
      <c r="L112" s="159">
        <v>0</v>
      </c>
      <c r="M112" s="159">
        <v>0</v>
      </c>
      <c r="N112" s="159">
        <v>0</v>
      </c>
      <c r="P112" s="159">
        <f>M112</f>
        <v>0</v>
      </c>
      <c r="Q112" s="159">
        <f>N112</f>
        <v>0</v>
      </c>
      <c r="S112" s="36"/>
      <c r="T112" s="36"/>
    </row>
    <row r="113" spans="1:20" x14ac:dyDescent="0.2">
      <c r="A113" s="17">
        <f t="shared" si="45"/>
        <v>105</v>
      </c>
      <c r="C113" s="40"/>
      <c r="D113" s="50"/>
      <c r="E113" s="50"/>
      <c r="F113" s="50"/>
      <c r="G113" s="50"/>
      <c r="H113" s="169"/>
      <c r="I113" s="157"/>
      <c r="J113" s="157"/>
      <c r="L113" s="159"/>
      <c r="M113" s="159"/>
      <c r="N113" s="159"/>
      <c r="P113" s="159"/>
      <c r="Q113" s="159"/>
      <c r="S113" s="36"/>
      <c r="T113" s="36"/>
    </row>
    <row r="114" spans="1:20" x14ac:dyDescent="0.2">
      <c r="A114" s="17">
        <f t="shared" si="45"/>
        <v>106</v>
      </c>
      <c r="B114" s="17" t="s">
        <v>134</v>
      </c>
      <c r="C114" s="40" t="s">
        <v>126</v>
      </c>
      <c r="D114" s="50"/>
      <c r="E114" s="50"/>
      <c r="F114" s="50"/>
      <c r="G114" s="50"/>
      <c r="H114" s="169"/>
      <c r="I114" s="157"/>
      <c r="J114" s="157"/>
      <c r="L114" s="159"/>
      <c r="M114" s="159"/>
      <c r="N114" s="159"/>
      <c r="P114" s="159"/>
      <c r="Q114" s="159"/>
      <c r="S114" s="36"/>
      <c r="T114" s="36"/>
    </row>
    <row r="115" spans="1:20" x14ac:dyDescent="0.2">
      <c r="A115" s="17">
        <f t="shared" si="45"/>
        <v>107</v>
      </c>
      <c r="B115" s="17" t="s">
        <v>134</v>
      </c>
      <c r="C115" s="172" t="s">
        <v>68</v>
      </c>
      <c r="D115" s="50">
        <v>68000</v>
      </c>
      <c r="E115" s="50">
        <v>52037.248887784684</v>
      </c>
      <c r="F115" s="50">
        <v>51404.691434564244</v>
      </c>
      <c r="G115" s="50"/>
      <c r="H115" s="169">
        <v>0.1951</v>
      </c>
      <c r="I115" s="160">
        <f t="shared" ref="I115:J116" si="74">H115*(1+S115)</f>
        <v>0.269885862638785</v>
      </c>
      <c r="J115" s="160">
        <f t="shared" si="74"/>
        <v>0.26223570392530715</v>
      </c>
      <c r="L115" s="159">
        <f t="shared" ref="L115:N116" si="75">D115*$H115</f>
        <v>13266.8</v>
      </c>
      <c r="M115" s="159">
        <f t="shared" si="75"/>
        <v>10152.467258006791</v>
      </c>
      <c r="N115" s="159">
        <f t="shared" si="75"/>
        <v>10029.055298883484</v>
      </c>
      <c r="P115" s="159">
        <f t="shared" ref="P115:Q116" si="76">E115*I115</f>
        <v>14044.117805428925</v>
      </c>
      <c r="Q115" s="159">
        <f t="shared" si="76"/>
        <v>13480.145443406162</v>
      </c>
      <c r="S115" s="36">
        <f>S104</f>
        <v>0.3833206695991031</v>
      </c>
      <c r="T115" s="36">
        <f>T104</f>
        <v>-2.834590385238811E-2</v>
      </c>
    </row>
    <row r="116" spans="1:20" x14ac:dyDescent="0.2">
      <c r="A116" s="17">
        <f t="shared" si="45"/>
        <v>108</v>
      </c>
      <c r="B116" s="17" t="s">
        <v>134</v>
      </c>
      <c r="C116" s="172" t="s">
        <v>69</v>
      </c>
      <c r="D116" s="50">
        <v>2067002.5300000003</v>
      </c>
      <c r="E116" s="50">
        <v>1124489.7511122152</v>
      </c>
      <c r="F116" s="50">
        <v>1106663.3085654357</v>
      </c>
      <c r="G116" s="50"/>
      <c r="H116" s="169">
        <v>0.13830999999999999</v>
      </c>
      <c r="I116" s="160">
        <f t="shared" si="74"/>
        <v>0.19132708181225194</v>
      </c>
      <c r="J116" s="160">
        <f t="shared" si="74"/>
        <v>0.18590374274684385</v>
      </c>
      <c r="L116" s="159">
        <f t="shared" si="75"/>
        <v>285887.1199243</v>
      </c>
      <c r="M116" s="159">
        <f t="shared" si="75"/>
        <v>155528.17747633049</v>
      </c>
      <c r="N116" s="159">
        <f t="shared" si="75"/>
        <v>153062.60220768538</v>
      </c>
      <c r="P116" s="159">
        <f t="shared" si="76"/>
        <v>215145.34260808563</v>
      </c>
      <c r="Q116" s="159">
        <f t="shared" si="76"/>
        <v>205732.85102291984</v>
      </c>
      <c r="S116" s="36">
        <f>S105</f>
        <v>0.3833206695991031</v>
      </c>
      <c r="T116" s="36">
        <f>T105</f>
        <v>-2.834590385238811E-2</v>
      </c>
    </row>
    <row r="117" spans="1:20" x14ac:dyDescent="0.2">
      <c r="A117" s="17">
        <f t="shared" si="45"/>
        <v>109</v>
      </c>
      <c r="B117" s="17" t="s">
        <v>134</v>
      </c>
      <c r="C117" s="174" t="s">
        <v>128</v>
      </c>
      <c r="D117" s="41">
        <f>SUM(D115:D116)</f>
        <v>2135002.5300000003</v>
      </c>
      <c r="E117" s="41">
        <f t="shared" ref="E117:F117" si="77">SUM(E115:E116)</f>
        <v>1176527</v>
      </c>
      <c r="F117" s="41">
        <f t="shared" si="77"/>
        <v>1158068</v>
      </c>
      <c r="G117" s="50"/>
      <c r="H117" s="167"/>
      <c r="I117" s="167"/>
      <c r="J117" s="167"/>
      <c r="L117" s="163">
        <f>SUM(L115:L116)</f>
        <v>299153.91992429999</v>
      </c>
      <c r="M117" s="163">
        <f t="shared" ref="M117:N117" si="78">SUM(M115:M116)</f>
        <v>165680.64473433729</v>
      </c>
      <c r="N117" s="163">
        <f t="shared" si="78"/>
        <v>163091.65750656888</v>
      </c>
      <c r="O117" s="170"/>
      <c r="P117" s="163">
        <f t="shared" ref="P117:Q117" si="79">SUM(P115:P116)</f>
        <v>229189.46041351455</v>
      </c>
      <c r="Q117" s="163">
        <f t="shared" si="79"/>
        <v>219212.996466326</v>
      </c>
      <c r="S117" s="15"/>
      <c r="T117" s="15"/>
    </row>
    <row r="118" spans="1:20" x14ac:dyDescent="0.2">
      <c r="A118" s="17">
        <f t="shared" si="45"/>
        <v>110</v>
      </c>
      <c r="C118" s="174"/>
      <c r="D118" s="50"/>
      <c r="E118" s="50"/>
      <c r="F118" s="50"/>
      <c r="G118" s="50"/>
      <c r="H118" s="167"/>
      <c r="I118" s="167"/>
      <c r="J118" s="167"/>
      <c r="L118" s="159"/>
      <c r="M118" s="159"/>
      <c r="N118" s="159"/>
      <c r="S118" s="15"/>
      <c r="T118" s="15"/>
    </row>
    <row r="119" spans="1:20" x14ac:dyDescent="0.2">
      <c r="A119" s="17">
        <f t="shared" si="45"/>
        <v>111</v>
      </c>
      <c r="B119" s="17" t="s">
        <v>134</v>
      </c>
      <c r="C119" s="40" t="s">
        <v>120</v>
      </c>
      <c r="D119" s="50"/>
      <c r="E119" s="50"/>
      <c r="F119" s="50"/>
      <c r="G119" s="50"/>
      <c r="H119" s="167"/>
      <c r="I119" s="167"/>
      <c r="J119" s="167"/>
      <c r="L119" s="159">
        <f>SUM(L110:L112,L117)</f>
        <v>340150.89992429997</v>
      </c>
      <c r="M119" s="159">
        <f>SUM(M110:M112,M117)</f>
        <v>210789.36473433729</v>
      </c>
      <c r="N119" s="159">
        <f>SUM(N110:N112,N117)</f>
        <v>208200.37750656888</v>
      </c>
      <c r="O119" s="159"/>
      <c r="P119" s="159">
        <f>SUM(P110:P112,P117)</f>
        <v>276485.18041351455</v>
      </c>
      <c r="Q119" s="159">
        <f>SUM(Q110:Q112,Q117)</f>
        <v>269089.37646632601</v>
      </c>
      <c r="S119" s="15"/>
      <c r="T119" s="15"/>
    </row>
    <row r="120" spans="1:20" x14ac:dyDescent="0.2">
      <c r="A120" s="17">
        <f t="shared" si="45"/>
        <v>112</v>
      </c>
      <c r="D120" s="50"/>
      <c r="E120" s="50"/>
      <c r="F120" s="50"/>
      <c r="G120" s="50"/>
      <c r="H120" s="167"/>
      <c r="I120" s="167"/>
      <c r="J120" s="167"/>
      <c r="L120" s="159"/>
      <c r="M120" s="159"/>
      <c r="N120" s="159"/>
      <c r="S120" s="15"/>
      <c r="T120" s="15"/>
    </row>
    <row r="121" spans="1:20" x14ac:dyDescent="0.2">
      <c r="A121" s="17">
        <f t="shared" si="45"/>
        <v>113</v>
      </c>
      <c r="C121" s="11" t="s">
        <v>135</v>
      </c>
      <c r="D121" s="50"/>
      <c r="E121" s="50"/>
      <c r="F121" s="50"/>
      <c r="G121" s="50"/>
      <c r="H121" s="167"/>
      <c r="I121" s="167"/>
      <c r="J121" s="167"/>
      <c r="L121" s="159">
        <f>SUM(L108,L119)</f>
        <v>1489488.8038579277</v>
      </c>
      <c r="M121" s="159">
        <f t="shared" ref="M121:Q121" si="80">SUM(M108,M119)</f>
        <v>1175918.3296823069</v>
      </c>
      <c r="N121" s="159">
        <f t="shared" si="80"/>
        <v>1143196.9147645847</v>
      </c>
      <c r="O121" s="159"/>
      <c r="P121" s="159">
        <f t="shared" si="80"/>
        <v>1585588.0672739989</v>
      </c>
      <c r="Q121" s="159">
        <f t="shared" si="80"/>
        <v>1584522.0441475809</v>
      </c>
      <c r="S121" s="22">
        <f>'Exh JDT-5 (Rate Spread)'!I20</f>
        <v>1585588.0672739989</v>
      </c>
      <c r="T121" s="22">
        <f>'Exh JDT-5 (Rate Spread)'!I33</f>
        <v>1584522.0441475809</v>
      </c>
    </row>
    <row r="122" spans="1:20" x14ac:dyDescent="0.2">
      <c r="A122" s="17">
        <f t="shared" si="45"/>
        <v>114</v>
      </c>
      <c r="C122" s="11" t="s">
        <v>122</v>
      </c>
      <c r="D122" s="50"/>
      <c r="E122" s="50"/>
      <c r="F122" s="50"/>
      <c r="G122" s="50"/>
      <c r="H122" s="167"/>
      <c r="I122" s="167"/>
      <c r="J122" s="167"/>
      <c r="L122" s="159"/>
      <c r="M122" s="159"/>
      <c r="N122" s="159"/>
      <c r="P122" s="26">
        <f>'Exh JDT-5 (Rate Spread)'!$I$20</f>
        <v>1585588.0672739989</v>
      </c>
      <c r="Q122" s="26">
        <f>'Exh JDT-5 (Rate Spread)'!$I$33</f>
        <v>1584522.0441475809</v>
      </c>
      <c r="S122" s="23">
        <f>S121-M121</f>
        <v>409669.73759169201</v>
      </c>
      <c r="T122" s="23">
        <f>T121-N121-S122</f>
        <v>31655.391791304108</v>
      </c>
    </row>
    <row r="123" spans="1:20" x14ac:dyDescent="0.2">
      <c r="A123" s="17">
        <f t="shared" si="45"/>
        <v>115</v>
      </c>
      <c r="C123" s="11" t="s">
        <v>123</v>
      </c>
      <c r="D123" s="50"/>
      <c r="E123" s="50"/>
      <c r="F123" s="50"/>
      <c r="G123" s="50"/>
      <c r="H123" s="167"/>
      <c r="I123" s="167"/>
      <c r="J123" s="167"/>
      <c r="L123" s="159">
        <v>0</v>
      </c>
      <c r="M123" s="159">
        <f>M121-'Exh JDT-5 (Rate Spread)'!$I$12</f>
        <v>0</v>
      </c>
      <c r="N123" s="159">
        <f>N121-'Exh JDT-5 (Rate Spread)'!$I$25</f>
        <v>0</v>
      </c>
      <c r="P123" s="26">
        <f>P121-P122</f>
        <v>0</v>
      </c>
      <c r="Q123" s="26">
        <f>Q121-Q122</f>
        <v>0</v>
      </c>
      <c r="S123" s="22">
        <f>S121-P121</f>
        <v>0</v>
      </c>
      <c r="T123" s="22">
        <f>T121-Q121</f>
        <v>0</v>
      </c>
    </row>
    <row r="124" spans="1:20" x14ac:dyDescent="0.2">
      <c r="A124" s="17">
        <f t="shared" si="45"/>
        <v>116</v>
      </c>
      <c r="D124" s="50"/>
      <c r="E124" s="50"/>
      <c r="F124" s="50"/>
      <c r="G124" s="50"/>
      <c r="H124" s="167"/>
      <c r="I124" s="167"/>
      <c r="J124" s="167"/>
      <c r="L124" s="159"/>
      <c r="M124" s="159"/>
      <c r="N124" s="159"/>
      <c r="S124" s="15"/>
      <c r="T124" s="15"/>
    </row>
    <row r="125" spans="1:20" x14ac:dyDescent="0.2">
      <c r="A125" s="17">
        <f t="shared" si="45"/>
        <v>117</v>
      </c>
      <c r="D125" s="50"/>
      <c r="E125" s="50"/>
      <c r="F125" s="50"/>
      <c r="G125" s="50"/>
      <c r="H125" s="167"/>
      <c r="I125" s="167"/>
      <c r="J125" s="167"/>
      <c r="L125" s="159"/>
      <c r="M125" s="159"/>
      <c r="N125" s="159"/>
      <c r="S125" s="15"/>
      <c r="T125" s="15"/>
    </row>
    <row r="126" spans="1:20" x14ac:dyDescent="0.2">
      <c r="A126" s="17">
        <f t="shared" si="45"/>
        <v>118</v>
      </c>
      <c r="B126" s="17">
        <v>87</v>
      </c>
      <c r="C126" s="174" t="s">
        <v>5</v>
      </c>
      <c r="D126" s="37">
        <v>48.270756991295279</v>
      </c>
      <c r="E126" s="37">
        <v>48</v>
      </c>
      <c r="F126" s="37">
        <v>48</v>
      </c>
      <c r="G126" s="50"/>
      <c r="H126" s="158">
        <v>715.15</v>
      </c>
      <c r="I126" s="158">
        <f t="shared" ref="I126:J127" si="81">H126*(1+S126)</f>
        <v>929.69500000000005</v>
      </c>
      <c r="J126" s="158">
        <f t="shared" si="81"/>
        <v>1208.6035000000002</v>
      </c>
      <c r="L126" s="159">
        <f>D126*$H126</f>
        <v>34520.83186232482</v>
      </c>
      <c r="M126" s="159">
        <f t="shared" ref="M126:N128" si="82">E126*$H126</f>
        <v>34327.199999999997</v>
      </c>
      <c r="N126" s="159">
        <f t="shared" si="82"/>
        <v>34327.199999999997</v>
      </c>
      <c r="P126" s="159">
        <f t="shared" ref="P126:Q128" si="83">E126*I126</f>
        <v>44625.36</v>
      </c>
      <c r="Q126" s="159">
        <f t="shared" si="83"/>
        <v>58012.968000000008</v>
      </c>
      <c r="S126" s="36">
        <v>0.3</v>
      </c>
      <c r="T126" s="36">
        <f>S126</f>
        <v>0.3</v>
      </c>
    </row>
    <row r="127" spans="1:20" x14ac:dyDescent="0.2">
      <c r="A127" s="17">
        <f t="shared" si="45"/>
        <v>119</v>
      </c>
      <c r="B127" s="17">
        <v>87</v>
      </c>
      <c r="C127" s="40" t="s">
        <v>8</v>
      </c>
      <c r="D127" s="37">
        <v>0</v>
      </c>
      <c r="E127" s="37">
        <v>0</v>
      </c>
      <c r="F127" s="37">
        <v>0</v>
      </c>
      <c r="G127" s="50"/>
      <c r="H127" s="158">
        <v>1.45</v>
      </c>
      <c r="I127" s="158">
        <f t="shared" si="81"/>
        <v>1.7109999999999999</v>
      </c>
      <c r="J127" s="158">
        <f t="shared" si="81"/>
        <v>2.0189799999999996</v>
      </c>
      <c r="L127" s="159">
        <f t="shared" ref="L127:N137" si="84">D127*$H127</f>
        <v>0</v>
      </c>
      <c r="M127" s="159">
        <f t="shared" si="82"/>
        <v>0</v>
      </c>
      <c r="N127" s="159">
        <f t="shared" si="82"/>
        <v>0</v>
      </c>
      <c r="P127" s="159">
        <f t="shared" si="83"/>
        <v>0</v>
      </c>
      <c r="Q127" s="159">
        <f t="shared" si="83"/>
        <v>0</v>
      </c>
      <c r="S127" s="36">
        <v>0.18</v>
      </c>
      <c r="T127" s="36">
        <f>S127</f>
        <v>0.18</v>
      </c>
    </row>
    <row r="128" spans="1:20" x14ac:dyDescent="0.2">
      <c r="A128" s="17">
        <f t="shared" si="45"/>
        <v>120</v>
      </c>
      <c r="B128" s="17">
        <v>87</v>
      </c>
      <c r="C128" s="40" t="s">
        <v>7</v>
      </c>
      <c r="D128" s="37">
        <v>19551189.13520667</v>
      </c>
      <c r="E128" s="37">
        <v>20007657</v>
      </c>
      <c r="F128" s="37">
        <v>19433452</v>
      </c>
      <c r="G128" s="50"/>
      <c r="H128" s="161">
        <v>9.3200000000000002E-3</v>
      </c>
      <c r="I128" s="161">
        <f>H128*(1+S128)</f>
        <v>1.2979789905789092E-2</v>
      </c>
      <c r="J128" s="161">
        <f>I128*(1+T128)</f>
        <v>1.2979789905789092E-2</v>
      </c>
      <c r="L128" s="159">
        <f t="shared" si="84"/>
        <v>182217.08274012618</v>
      </c>
      <c r="M128" s="159">
        <f t="shared" si="82"/>
        <v>186471.36324000001</v>
      </c>
      <c r="N128" s="159">
        <f t="shared" si="82"/>
        <v>181119.77264000001</v>
      </c>
      <c r="P128" s="159">
        <f t="shared" si="83"/>
        <v>259695.18436709046</v>
      </c>
      <c r="Q128" s="159">
        <f t="shared" si="83"/>
        <v>252242.12410423683</v>
      </c>
      <c r="S128" s="36">
        <f>IF((1+S158/M157)*H128&gt;'Exh JDT-5 (Procmnt Chrg)'!$H$16,('Exh JDT-5 (Procmnt Chrg)'!$H$16-'Exh JDT-5 (Rate Design)'!H128)/'Exh JDT-5 (Rate Design)'!H128,S158/M157)</f>
        <v>0.3926813203636364</v>
      </c>
      <c r="T128" s="21">
        <f>IF((1+SUM(S158:T158)/N157-S128)*I128&gt;'Exh JDT-5 (Procmnt Chrg)'!$H$16,('Exh JDT-5 (Procmnt Chrg)'!$H$16-'Exh JDT-5 (Rate Design)'!I128)/'Exh JDT-5 (Rate Design)'!I128,SUM(S158:T158)/N157-S128)</f>
        <v>0</v>
      </c>
    </row>
    <row r="129" spans="1:20" x14ac:dyDescent="0.2">
      <c r="A129" s="17">
        <f t="shared" si="45"/>
        <v>121</v>
      </c>
      <c r="B129" s="17">
        <v>87</v>
      </c>
      <c r="C129" s="172" t="s">
        <v>131</v>
      </c>
      <c r="G129" s="50"/>
      <c r="H129" s="162"/>
      <c r="I129" s="162"/>
      <c r="J129" s="162"/>
      <c r="L129" s="159">
        <v>4588.369999999999</v>
      </c>
      <c r="M129" s="159">
        <v>4588.369999999999</v>
      </c>
      <c r="N129" s="159">
        <v>4588.369999999999</v>
      </c>
      <c r="P129" s="26">
        <f>M129</f>
        <v>4588.369999999999</v>
      </c>
      <c r="Q129" s="26">
        <f>N129</f>
        <v>4588.369999999999</v>
      </c>
      <c r="S129" s="15"/>
      <c r="T129" s="15"/>
    </row>
    <row r="130" spans="1:20" x14ac:dyDescent="0.2">
      <c r="A130" s="17">
        <f t="shared" si="45"/>
        <v>122</v>
      </c>
      <c r="C130" s="40"/>
      <c r="G130" s="50"/>
      <c r="H130" s="162"/>
      <c r="I130" s="162"/>
      <c r="J130" s="162"/>
      <c r="L130" s="159"/>
      <c r="M130" s="159"/>
      <c r="N130" s="159"/>
      <c r="S130" s="15"/>
      <c r="T130" s="15"/>
    </row>
    <row r="131" spans="1:20" x14ac:dyDescent="0.2">
      <c r="A131" s="17">
        <f t="shared" si="45"/>
        <v>123</v>
      </c>
      <c r="B131" s="17">
        <v>87</v>
      </c>
      <c r="C131" s="40" t="s">
        <v>126</v>
      </c>
      <c r="G131" s="50"/>
      <c r="H131" s="165"/>
      <c r="I131" s="165"/>
      <c r="J131" s="165"/>
      <c r="L131" s="159"/>
      <c r="M131" s="159"/>
      <c r="N131" s="159"/>
      <c r="S131" s="15"/>
      <c r="T131" s="15"/>
    </row>
    <row r="132" spans="1:20" x14ac:dyDescent="0.2">
      <c r="A132" s="17">
        <f t="shared" si="45"/>
        <v>124</v>
      </c>
      <c r="B132" s="17">
        <v>87</v>
      </c>
      <c r="C132" s="40" t="s">
        <v>62</v>
      </c>
      <c r="D132" s="37">
        <v>1194651.9719999998</v>
      </c>
      <c r="E132" s="37">
        <v>1200000</v>
      </c>
      <c r="F132" s="37">
        <v>1200000</v>
      </c>
      <c r="G132" s="50"/>
      <c r="H132" s="160">
        <v>0.20754</v>
      </c>
      <c r="I132" s="161">
        <f t="shared" ref="I132:J137" si="85">H132*(1+S132)</f>
        <v>0.36912631903057541</v>
      </c>
      <c r="J132" s="161">
        <f t="shared" si="85"/>
        <v>0.38276160177395707</v>
      </c>
      <c r="L132" s="159">
        <f t="shared" si="84"/>
        <v>247938.07026887996</v>
      </c>
      <c r="M132" s="159">
        <f t="shared" si="84"/>
        <v>249048</v>
      </c>
      <c r="N132" s="159">
        <f t="shared" si="84"/>
        <v>249048</v>
      </c>
      <c r="P132" s="159">
        <f>E132*I132</f>
        <v>442951.58283669048</v>
      </c>
      <c r="Q132" s="159">
        <f>F132*J132</f>
        <v>459313.9221287485</v>
      </c>
      <c r="S132" s="36">
        <f>(S$158-(SUM(P126,P127,P128, P129, P142,P143,P144)-SUM(M126,M127,M128, M129,M142,M143,M144)))/(M157-SUM(M126,M127,M128, M129, M142,M143,M144))</f>
        <v>0.77857916079105438</v>
      </c>
      <c r="T132" s="36">
        <f>((Q158-SUM(Q126:Q129,Q142:Q144)))/((I132*SUM(F132,F147))+(I133*SUM(F133,F148))+(I134*SUM(F134,F149))+(I135*SUM(F135,F150))+(I136*SUM(F136,F151))+(I137*SUM(F137,F152)))-1</f>
        <v>3.6939340384049446E-2</v>
      </c>
    </row>
    <row r="133" spans="1:20" x14ac:dyDescent="0.2">
      <c r="A133" s="17">
        <f t="shared" si="45"/>
        <v>125</v>
      </c>
      <c r="B133" s="17">
        <v>87</v>
      </c>
      <c r="C133" s="40" t="s">
        <v>63</v>
      </c>
      <c r="D133" s="37">
        <v>1194643.9719999998</v>
      </c>
      <c r="E133" s="37">
        <v>1200000</v>
      </c>
      <c r="F133" s="37">
        <v>1200000</v>
      </c>
      <c r="G133" s="50"/>
      <c r="H133" s="160">
        <v>0.12540999999999999</v>
      </c>
      <c r="I133" s="161">
        <f t="shared" si="85"/>
        <v>0.22305161255480613</v>
      </c>
      <c r="J133" s="161">
        <f t="shared" si="85"/>
        <v>0.23129099199417924</v>
      </c>
      <c r="L133" s="159">
        <f t="shared" si="84"/>
        <v>149820.30052851996</v>
      </c>
      <c r="M133" s="159">
        <f t="shared" si="84"/>
        <v>150492</v>
      </c>
      <c r="N133" s="159">
        <f t="shared" si="84"/>
        <v>150492</v>
      </c>
      <c r="P133" s="159">
        <f t="shared" ref="P133:Q137" si="86">E133*I133</f>
        <v>267661.93506576738</v>
      </c>
      <c r="Q133" s="159">
        <f t="shared" si="86"/>
        <v>277549.1903930151</v>
      </c>
      <c r="S133" s="36">
        <f>S132</f>
        <v>0.77857916079105438</v>
      </c>
      <c r="T133" s="36">
        <f>T132</f>
        <v>3.6939340384049446E-2</v>
      </c>
    </row>
    <row r="134" spans="1:20" x14ac:dyDescent="0.2">
      <c r="A134" s="17">
        <f t="shared" si="45"/>
        <v>126</v>
      </c>
      <c r="B134" s="17">
        <v>87</v>
      </c>
      <c r="C134" s="40" t="s">
        <v>73</v>
      </c>
      <c r="D134" s="37">
        <v>2194527.5929999999</v>
      </c>
      <c r="E134" s="37">
        <v>2400000</v>
      </c>
      <c r="F134" s="37">
        <v>2400000</v>
      </c>
      <c r="G134" s="50"/>
      <c r="H134" s="160">
        <v>7.9810000000000006E-2</v>
      </c>
      <c r="I134" s="161">
        <f t="shared" si="85"/>
        <v>0.14194840282273405</v>
      </c>
      <c r="J134" s="161">
        <f t="shared" si="85"/>
        <v>0.1471918831915752</v>
      </c>
      <c r="L134" s="159">
        <f t="shared" si="84"/>
        <v>175145.24719733</v>
      </c>
      <c r="M134" s="159">
        <f t="shared" si="84"/>
        <v>191544</v>
      </c>
      <c r="N134" s="159">
        <f t="shared" si="84"/>
        <v>191544</v>
      </c>
      <c r="P134" s="159">
        <f t="shared" si="86"/>
        <v>340676.16677456175</v>
      </c>
      <c r="Q134" s="159">
        <f t="shared" si="86"/>
        <v>353260.51965978049</v>
      </c>
      <c r="S134" s="36">
        <f t="shared" ref="S134:T137" si="87">S133</f>
        <v>0.77857916079105438</v>
      </c>
      <c r="T134" s="36">
        <f t="shared" si="87"/>
        <v>3.6939340384049446E-2</v>
      </c>
    </row>
    <row r="135" spans="1:20" x14ac:dyDescent="0.2">
      <c r="A135" s="17">
        <f t="shared" si="45"/>
        <v>127</v>
      </c>
      <c r="B135" s="17">
        <v>87</v>
      </c>
      <c r="C135" s="40" t="s">
        <v>74</v>
      </c>
      <c r="D135" s="37">
        <v>3078129.3010000004</v>
      </c>
      <c r="E135" s="37">
        <v>3127546.681753166</v>
      </c>
      <c r="F135" s="37">
        <v>3009457.9490577825</v>
      </c>
      <c r="G135" s="50"/>
      <c r="H135" s="160">
        <v>5.117E-2</v>
      </c>
      <c r="I135" s="161">
        <f t="shared" si="85"/>
        <v>9.1009895657678253E-2</v>
      </c>
      <c r="J135" s="161">
        <f t="shared" si="85"/>
        <v>9.4371741171694057E-2</v>
      </c>
      <c r="L135" s="159">
        <f t="shared" si="84"/>
        <v>157507.87633217001</v>
      </c>
      <c r="M135" s="159">
        <f t="shared" si="84"/>
        <v>160036.5637053095</v>
      </c>
      <c r="N135" s="159">
        <f t="shared" si="84"/>
        <v>153993.96325328673</v>
      </c>
      <c r="P135" s="159">
        <f t="shared" si="86"/>
        <v>284637.69717087346</v>
      </c>
      <c r="Q135" s="159">
        <f t="shared" si="86"/>
        <v>284007.78663557832</v>
      </c>
      <c r="S135" s="36">
        <f t="shared" si="87"/>
        <v>0.77857916079105438</v>
      </c>
      <c r="T135" s="36">
        <f t="shared" si="87"/>
        <v>3.6939340384049446E-2</v>
      </c>
    </row>
    <row r="136" spans="1:20" x14ac:dyDescent="0.2">
      <c r="A136" s="17">
        <f t="shared" si="45"/>
        <v>128</v>
      </c>
      <c r="B136" s="17">
        <v>87</v>
      </c>
      <c r="C136" s="40" t="s">
        <v>75</v>
      </c>
      <c r="D136" s="37">
        <v>3885647.2050000001</v>
      </c>
      <c r="E136" s="37">
        <v>3948028.7649102928</v>
      </c>
      <c r="F136" s="37">
        <v>3798960.5779466261</v>
      </c>
      <c r="G136" s="50"/>
      <c r="H136" s="160">
        <v>3.6830000000000002E-2</v>
      </c>
      <c r="I136" s="161">
        <f t="shared" si="85"/>
        <v>6.5505070491934533E-2</v>
      </c>
      <c r="J136" s="161">
        <f t="shared" si="85"/>
        <v>6.7924784587717252E-2</v>
      </c>
      <c r="L136" s="159">
        <f t="shared" si="84"/>
        <v>143108.38656015001</v>
      </c>
      <c r="M136" s="159">
        <f t="shared" si="84"/>
        <v>145405.8994116461</v>
      </c>
      <c r="N136" s="159">
        <f t="shared" si="84"/>
        <v>139915.71808577425</v>
      </c>
      <c r="P136" s="159">
        <f t="shared" si="86"/>
        <v>258615.90254963396</v>
      </c>
      <c r="Q136" s="159">
        <f t="shared" si="86"/>
        <v>258043.57891425441</v>
      </c>
      <c r="S136" s="36">
        <f t="shared" si="87"/>
        <v>0.77857916079105438</v>
      </c>
      <c r="T136" s="36">
        <f t="shared" si="87"/>
        <v>3.6939340384049446E-2</v>
      </c>
    </row>
    <row r="137" spans="1:20" x14ac:dyDescent="0.2">
      <c r="A137" s="17">
        <f t="shared" si="45"/>
        <v>129</v>
      </c>
      <c r="B137" s="17">
        <v>87</v>
      </c>
      <c r="C137" s="40" t="s">
        <v>76</v>
      </c>
      <c r="D137" s="37">
        <v>8003589.0922066681</v>
      </c>
      <c r="E137" s="37">
        <v>8132081.5533365402</v>
      </c>
      <c r="F137" s="37">
        <v>7825033.4729955904</v>
      </c>
      <c r="G137" s="50"/>
      <c r="H137" s="160">
        <v>2.4830000000000001E-2</v>
      </c>
      <c r="I137" s="161">
        <f t="shared" si="85"/>
        <v>4.4162120562441884E-2</v>
      </c>
      <c r="J137" s="161">
        <f t="shared" si="85"/>
        <v>4.5793440165979353E-2</v>
      </c>
      <c r="L137" s="159">
        <f t="shared" si="84"/>
        <v>198729.11715949158</v>
      </c>
      <c r="M137" s="159">
        <f t="shared" si="84"/>
        <v>201919.5849693463</v>
      </c>
      <c r="N137" s="159">
        <f t="shared" si="84"/>
        <v>194295.58113448051</v>
      </c>
      <c r="P137" s="159">
        <f t="shared" si="86"/>
        <v>359129.96598205797</v>
      </c>
      <c r="Q137" s="159">
        <f t="shared" si="86"/>
        <v>358335.20214240917</v>
      </c>
      <c r="S137" s="36">
        <f t="shared" si="87"/>
        <v>0.77857916079105438</v>
      </c>
      <c r="T137" s="36">
        <f t="shared" si="87"/>
        <v>3.6939340384049446E-2</v>
      </c>
    </row>
    <row r="138" spans="1:20" x14ac:dyDescent="0.2">
      <c r="A138" s="17">
        <f t="shared" si="45"/>
        <v>130</v>
      </c>
      <c r="B138" s="17">
        <v>87</v>
      </c>
      <c r="C138" s="174" t="s">
        <v>128</v>
      </c>
      <c r="D138" s="42">
        <f>SUM(D132:D137)</f>
        <v>19551189.13520667</v>
      </c>
      <c r="E138" s="42">
        <f t="shared" ref="E138:F138" si="88">SUM(E132:E137)</f>
        <v>20007657</v>
      </c>
      <c r="F138" s="42">
        <f t="shared" si="88"/>
        <v>19433452</v>
      </c>
      <c r="G138" s="50"/>
      <c r="H138" s="162"/>
      <c r="I138" s="162"/>
      <c r="J138" s="162"/>
      <c r="L138" s="43">
        <f>SUM(L132:L137)</f>
        <v>1072248.9980465416</v>
      </c>
      <c r="M138" s="43">
        <f t="shared" ref="M138:N138" si="89">SUM(M132:M137)</f>
        <v>1098446.0480863019</v>
      </c>
      <c r="N138" s="43">
        <f t="shared" si="89"/>
        <v>1079289.2624735413</v>
      </c>
      <c r="P138" s="43">
        <f>SUM(P132:P137)</f>
        <v>1953673.2503795852</v>
      </c>
      <c r="Q138" s="43">
        <f>SUM(Q132:Q137)</f>
        <v>1990510.199873786</v>
      </c>
      <c r="S138" s="15"/>
      <c r="T138" s="15"/>
    </row>
    <row r="139" spans="1:20" x14ac:dyDescent="0.2">
      <c r="A139" s="17">
        <f t="shared" ref="A139:A191" si="90">A138+1</f>
        <v>131</v>
      </c>
      <c r="C139" s="174"/>
      <c r="H139" s="165"/>
      <c r="I139" s="165"/>
      <c r="J139" s="165"/>
      <c r="S139" s="15"/>
      <c r="T139" s="15"/>
    </row>
    <row r="140" spans="1:20" x14ac:dyDescent="0.2">
      <c r="A140" s="17">
        <f t="shared" si="90"/>
        <v>132</v>
      </c>
      <c r="B140" s="17">
        <v>87</v>
      </c>
      <c r="C140" s="40" t="s">
        <v>120</v>
      </c>
      <c r="H140" s="162"/>
      <c r="I140" s="162"/>
      <c r="J140" s="162"/>
      <c r="L140" s="26">
        <f>SUM(L126:L129,L138)</f>
        <v>1293575.2826489925</v>
      </c>
      <c r="M140" s="26">
        <f t="shared" ref="M140:Q140" si="91">SUM(M126:M129,M138)</f>
        <v>1323832.9813263018</v>
      </c>
      <c r="N140" s="26">
        <f t="shared" si="91"/>
        <v>1299324.6051135412</v>
      </c>
      <c r="P140" s="26">
        <f t="shared" si="91"/>
        <v>2262582.1647466756</v>
      </c>
      <c r="Q140" s="26">
        <f t="shared" si="91"/>
        <v>2305353.6619780227</v>
      </c>
      <c r="S140" s="15"/>
      <c r="T140" s="15"/>
    </row>
    <row r="141" spans="1:20" x14ac:dyDescent="0.2">
      <c r="A141" s="17">
        <f t="shared" si="90"/>
        <v>133</v>
      </c>
      <c r="H141" s="158"/>
      <c r="I141" s="158"/>
      <c r="J141" s="158"/>
      <c r="S141" s="15"/>
      <c r="T141" s="15"/>
    </row>
    <row r="142" spans="1:20" x14ac:dyDescent="0.2">
      <c r="A142" s="17">
        <f t="shared" si="90"/>
        <v>134</v>
      </c>
      <c r="B142" s="17" t="s">
        <v>136</v>
      </c>
      <c r="C142" s="174" t="s">
        <v>5</v>
      </c>
      <c r="D142" s="37">
        <v>107.99999770585009</v>
      </c>
      <c r="E142" s="37">
        <v>108</v>
      </c>
      <c r="F142" s="37">
        <v>108</v>
      </c>
      <c r="H142" s="157">
        <v>1082.81</v>
      </c>
      <c r="I142" s="158">
        <f t="shared" ref="I142:J143" si="92">H142*(1+S142)</f>
        <v>1143.9773436278883</v>
      </c>
      <c r="J142" s="158">
        <f t="shared" si="92"/>
        <v>1208.5999969836994</v>
      </c>
      <c r="L142" s="159">
        <f>D142*$H142</f>
        <v>116943.47751587153</v>
      </c>
      <c r="M142" s="159">
        <f t="shared" ref="M142:N143" si="93">E142*$H142</f>
        <v>116943.48</v>
      </c>
      <c r="N142" s="159">
        <f t="shared" si="93"/>
        <v>116943.48</v>
      </c>
      <c r="P142" s="159">
        <f>E142*I142</f>
        <v>123549.55311181194</v>
      </c>
      <c r="Q142" s="159">
        <f>F142*J142</f>
        <v>130528.79967423953</v>
      </c>
      <c r="S142" s="36">
        <v>5.6489452099526542E-2</v>
      </c>
      <c r="T142" s="36">
        <f>S142</f>
        <v>5.6489452099526542E-2</v>
      </c>
    </row>
    <row r="143" spans="1:20" x14ac:dyDescent="0.2">
      <c r="A143" s="17">
        <f t="shared" si="90"/>
        <v>135</v>
      </c>
      <c r="B143" s="17" t="s">
        <v>136</v>
      </c>
      <c r="C143" s="40" t="s">
        <v>8</v>
      </c>
      <c r="D143" s="37">
        <v>259368</v>
      </c>
      <c r="E143" s="37">
        <v>259368</v>
      </c>
      <c r="F143" s="37">
        <v>259368</v>
      </c>
      <c r="H143" s="157">
        <v>1.45</v>
      </c>
      <c r="I143" s="158">
        <f t="shared" si="92"/>
        <v>1.7109999999999999</v>
      </c>
      <c r="J143" s="158">
        <f t="shared" si="92"/>
        <v>2.0189799999999996</v>
      </c>
      <c r="L143" s="159">
        <f t="shared" ref="L143" si="94">D143*$H143</f>
        <v>376083.6</v>
      </c>
      <c r="M143" s="159">
        <f t="shared" si="93"/>
        <v>376083.6</v>
      </c>
      <c r="N143" s="159">
        <f t="shared" si="93"/>
        <v>376083.6</v>
      </c>
      <c r="P143" s="159">
        <f t="shared" ref="P143:Q143" si="95">E143*I143</f>
        <v>443778.64799999999</v>
      </c>
      <c r="Q143" s="159">
        <f t="shared" si="95"/>
        <v>523658.80463999987</v>
      </c>
      <c r="S143" s="36">
        <f>S127</f>
        <v>0.18</v>
      </c>
      <c r="T143" s="36">
        <f>T127</f>
        <v>0.18</v>
      </c>
    </row>
    <row r="144" spans="1:20" x14ac:dyDescent="0.2">
      <c r="A144" s="17">
        <f t="shared" si="90"/>
        <v>136</v>
      </c>
      <c r="B144" s="17" t="s">
        <v>136</v>
      </c>
      <c r="C144" s="40" t="s">
        <v>131</v>
      </c>
      <c r="H144" s="158"/>
      <c r="I144" s="158"/>
      <c r="J144" s="158"/>
      <c r="L144" s="176">
        <v>25145.649999999998</v>
      </c>
      <c r="M144" s="176">
        <v>25145.649999999998</v>
      </c>
      <c r="N144" s="176">
        <v>25145.649999999998</v>
      </c>
      <c r="P144" s="159">
        <f>M144</f>
        <v>25145.649999999998</v>
      </c>
      <c r="Q144" s="159">
        <f>N144</f>
        <v>25145.649999999998</v>
      </c>
      <c r="S144" s="15"/>
      <c r="T144" s="15"/>
    </row>
    <row r="145" spans="1:20" x14ac:dyDescent="0.2">
      <c r="A145" s="17">
        <f t="shared" si="90"/>
        <v>137</v>
      </c>
      <c r="C145" s="172"/>
      <c r="H145" s="158"/>
      <c r="I145" s="158"/>
      <c r="J145" s="158"/>
      <c r="S145" s="15"/>
      <c r="T145" s="15"/>
    </row>
    <row r="146" spans="1:20" x14ac:dyDescent="0.2">
      <c r="A146" s="17">
        <f t="shared" si="90"/>
        <v>138</v>
      </c>
      <c r="B146" s="17" t="s">
        <v>136</v>
      </c>
      <c r="C146" s="40" t="s">
        <v>126</v>
      </c>
      <c r="H146" s="162"/>
      <c r="I146" s="162"/>
      <c r="J146" s="162"/>
      <c r="S146" s="15"/>
      <c r="T146" s="15"/>
    </row>
    <row r="147" spans="1:20" x14ac:dyDescent="0.2">
      <c r="A147" s="17">
        <f t="shared" si="90"/>
        <v>139</v>
      </c>
      <c r="B147" s="17" t="s">
        <v>136</v>
      </c>
      <c r="C147" s="40" t="s">
        <v>62</v>
      </c>
      <c r="D147" s="37">
        <v>2725000</v>
      </c>
      <c r="E147" s="37">
        <v>3000000</v>
      </c>
      <c r="F147" s="37">
        <v>3000000</v>
      </c>
      <c r="H147" s="160">
        <v>0.20754</v>
      </c>
      <c r="I147" s="161">
        <f>H147*(1+S147)</f>
        <v>0.36912631903057541</v>
      </c>
      <c r="J147" s="161">
        <f>I147*(1+T147)</f>
        <v>0.38276160177395707</v>
      </c>
      <c r="L147" s="159">
        <f t="shared" ref="L147:N152" si="96">D147*$H147</f>
        <v>565546.5</v>
      </c>
      <c r="M147" s="159">
        <f t="shared" si="96"/>
        <v>622620</v>
      </c>
      <c r="N147" s="159">
        <f t="shared" si="96"/>
        <v>622620</v>
      </c>
      <c r="P147" s="159">
        <f>E147*I147</f>
        <v>1107378.9570917261</v>
      </c>
      <c r="Q147" s="159">
        <f>F147*J147</f>
        <v>1148284.8053218713</v>
      </c>
      <c r="S147" s="36">
        <f>S132</f>
        <v>0.77857916079105438</v>
      </c>
      <c r="T147" s="36">
        <f>T132</f>
        <v>3.6939340384049446E-2</v>
      </c>
    </row>
    <row r="148" spans="1:20" x14ac:dyDescent="0.2">
      <c r="A148" s="17">
        <f t="shared" si="90"/>
        <v>140</v>
      </c>
      <c r="B148" s="17" t="s">
        <v>136</v>
      </c>
      <c r="C148" s="40" t="s">
        <v>63</v>
      </c>
      <c r="D148" s="37">
        <v>2725000</v>
      </c>
      <c r="E148" s="37">
        <v>3000000</v>
      </c>
      <c r="F148" s="37">
        <v>3000000</v>
      </c>
      <c r="H148" s="160">
        <v>0.12540999999999999</v>
      </c>
      <c r="I148" s="161">
        <f t="shared" ref="I148:J152" si="97">H148*(1+S148)</f>
        <v>0.22305161255480613</v>
      </c>
      <c r="J148" s="161">
        <f t="shared" si="97"/>
        <v>0.23129099199417924</v>
      </c>
      <c r="L148" s="159">
        <f t="shared" si="96"/>
        <v>341742.25</v>
      </c>
      <c r="M148" s="159">
        <f t="shared" si="96"/>
        <v>376230</v>
      </c>
      <c r="N148" s="159">
        <f t="shared" si="96"/>
        <v>376230</v>
      </c>
      <c r="P148" s="159">
        <f t="shared" ref="P148:Q152" si="98">E148*I148</f>
        <v>669154.83766441839</v>
      </c>
      <c r="Q148" s="159">
        <f t="shared" si="98"/>
        <v>693872.97598253773</v>
      </c>
      <c r="S148" s="36">
        <f t="shared" ref="S148:T152" si="99">S133</f>
        <v>0.77857916079105438</v>
      </c>
      <c r="T148" s="36">
        <f t="shared" si="99"/>
        <v>3.6939340384049446E-2</v>
      </c>
    </row>
    <row r="149" spans="1:20" x14ac:dyDescent="0.2">
      <c r="A149" s="17">
        <f t="shared" si="90"/>
        <v>141</v>
      </c>
      <c r="B149" s="17" t="s">
        <v>136</v>
      </c>
      <c r="C149" s="40" t="s">
        <v>73</v>
      </c>
      <c r="D149" s="37">
        <v>5450000</v>
      </c>
      <c r="E149" s="37">
        <v>6000000</v>
      </c>
      <c r="F149" s="37">
        <v>6000000</v>
      </c>
      <c r="H149" s="160">
        <v>7.9810000000000006E-2</v>
      </c>
      <c r="I149" s="161">
        <f t="shared" si="97"/>
        <v>0.14194840282273405</v>
      </c>
      <c r="J149" s="161">
        <f t="shared" si="97"/>
        <v>0.1471918831915752</v>
      </c>
      <c r="L149" s="159">
        <f t="shared" si="96"/>
        <v>434964.50000000006</v>
      </c>
      <c r="M149" s="159">
        <f t="shared" si="96"/>
        <v>478860.00000000006</v>
      </c>
      <c r="N149" s="159">
        <f t="shared" si="96"/>
        <v>478860.00000000006</v>
      </c>
      <c r="P149" s="159">
        <f t="shared" si="98"/>
        <v>851690.4169364043</v>
      </c>
      <c r="Q149" s="159">
        <f t="shared" si="98"/>
        <v>883151.2991494512</v>
      </c>
      <c r="S149" s="36">
        <f t="shared" si="99"/>
        <v>0.77857916079105438</v>
      </c>
      <c r="T149" s="36">
        <f t="shared" si="99"/>
        <v>3.6939340384049446E-2</v>
      </c>
    </row>
    <row r="150" spans="1:20" x14ac:dyDescent="0.2">
      <c r="A150" s="17">
        <f t="shared" si="90"/>
        <v>142</v>
      </c>
      <c r="B150" s="17" t="s">
        <v>136</v>
      </c>
      <c r="C150" s="40" t="s">
        <v>74</v>
      </c>
      <c r="D150" s="37">
        <v>10192995.1</v>
      </c>
      <c r="E150" s="37">
        <v>8824772.2542880289</v>
      </c>
      <c r="F150" s="37">
        <v>8650700.5627074353</v>
      </c>
      <c r="H150" s="160">
        <v>5.117E-2</v>
      </c>
      <c r="I150" s="161">
        <f t="shared" si="97"/>
        <v>9.1009895657678253E-2</v>
      </c>
      <c r="J150" s="161">
        <f t="shared" si="97"/>
        <v>9.4371741171694057E-2</v>
      </c>
      <c r="L150" s="159">
        <f t="shared" si="96"/>
        <v>521575.559267</v>
      </c>
      <c r="M150" s="159">
        <f t="shared" si="96"/>
        <v>451563.59625191847</v>
      </c>
      <c r="N150" s="159">
        <f t="shared" si="96"/>
        <v>442656.34779373946</v>
      </c>
      <c r="P150" s="159">
        <f t="shared" si="98"/>
        <v>803141.60206552758</v>
      </c>
      <c r="Q150" s="159">
        <f t="shared" si="98"/>
        <v>816381.67445765424</v>
      </c>
      <c r="S150" s="36">
        <f t="shared" si="99"/>
        <v>0.77857916079105438</v>
      </c>
      <c r="T150" s="36">
        <f t="shared" si="99"/>
        <v>3.6939340384049446E-2</v>
      </c>
    </row>
    <row r="151" spans="1:20" x14ac:dyDescent="0.2">
      <c r="A151" s="17">
        <f t="shared" si="90"/>
        <v>143</v>
      </c>
      <c r="B151" s="17" t="s">
        <v>136</v>
      </c>
      <c r="C151" s="40" t="s">
        <v>75</v>
      </c>
      <c r="D151" s="37">
        <v>22340145.929999996</v>
      </c>
      <c r="E151" s="37">
        <v>19735102.432404663</v>
      </c>
      <c r="F151" s="37">
        <v>19366549.702228826</v>
      </c>
      <c r="H151" s="160">
        <v>3.6830000000000002E-2</v>
      </c>
      <c r="I151" s="161">
        <f t="shared" si="97"/>
        <v>6.5505070491934533E-2</v>
      </c>
      <c r="J151" s="161">
        <f t="shared" si="97"/>
        <v>6.7924784587717252E-2</v>
      </c>
      <c r="L151" s="159">
        <f t="shared" si="96"/>
        <v>822787.57460189983</v>
      </c>
      <c r="M151" s="159">
        <f t="shared" si="96"/>
        <v>726843.82258546376</v>
      </c>
      <c r="N151" s="159">
        <f t="shared" si="96"/>
        <v>713270.02553308767</v>
      </c>
      <c r="P151" s="159">
        <f t="shared" si="98"/>
        <v>1292749.2760002161</v>
      </c>
      <c r="Q151" s="159">
        <f t="shared" si="98"/>
        <v>1315468.7167312126</v>
      </c>
      <c r="S151" s="36">
        <f t="shared" si="99"/>
        <v>0.77857916079105438</v>
      </c>
      <c r="T151" s="36">
        <f t="shared" si="99"/>
        <v>3.6939340384049446E-2</v>
      </c>
    </row>
    <row r="152" spans="1:20" x14ac:dyDescent="0.2">
      <c r="A152" s="17">
        <f t="shared" si="90"/>
        <v>144</v>
      </c>
      <c r="B152" s="17" t="s">
        <v>136</v>
      </c>
      <c r="C152" s="40" t="s">
        <v>76</v>
      </c>
      <c r="D152" s="37">
        <v>29692694.428342499</v>
      </c>
      <c r="E152" s="37">
        <v>26134112.033307314</v>
      </c>
      <c r="F152" s="37">
        <v>25641095.455063742</v>
      </c>
      <c r="H152" s="160">
        <v>2.4830000000000001E-2</v>
      </c>
      <c r="I152" s="161">
        <f t="shared" si="97"/>
        <v>4.4162120562441884E-2</v>
      </c>
      <c r="J152" s="161">
        <f t="shared" si="97"/>
        <v>4.5793440165979353E-2</v>
      </c>
      <c r="L152" s="159">
        <f t="shared" si="96"/>
        <v>737269.6026557443</v>
      </c>
      <c r="M152" s="159">
        <f t="shared" si="96"/>
        <v>648910.00178702059</v>
      </c>
      <c r="N152" s="159">
        <f t="shared" si="96"/>
        <v>636668.40014923271</v>
      </c>
      <c r="P152" s="159">
        <f t="shared" si="98"/>
        <v>1154137.8064072807</v>
      </c>
      <c r="Q152" s="159">
        <f t="shared" si="98"/>
        <v>1174193.9705116267</v>
      </c>
      <c r="S152" s="36">
        <f t="shared" si="99"/>
        <v>0.77857916079105438</v>
      </c>
      <c r="T152" s="36">
        <f t="shared" si="99"/>
        <v>3.6939340384049446E-2</v>
      </c>
    </row>
    <row r="153" spans="1:20" x14ac:dyDescent="0.2">
      <c r="A153" s="17">
        <f t="shared" si="90"/>
        <v>145</v>
      </c>
      <c r="B153" s="17" t="s">
        <v>136</v>
      </c>
      <c r="C153" s="174" t="s">
        <v>128</v>
      </c>
      <c r="D153" s="42">
        <f>SUM(D147:D152)</f>
        <v>73125835.458342493</v>
      </c>
      <c r="E153" s="42">
        <f t="shared" ref="E153:F153" si="100">SUM(E147:E152)</f>
        <v>66693986.720000006</v>
      </c>
      <c r="F153" s="42">
        <f t="shared" si="100"/>
        <v>65658345.719999999</v>
      </c>
      <c r="L153" s="43">
        <f>SUM(L147:L152)</f>
        <v>3423885.9865246443</v>
      </c>
      <c r="M153" s="43">
        <f t="shared" ref="M153:Q153" si="101">SUM(M147:M152)</f>
        <v>3305027.4206244033</v>
      </c>
      <c r="N153" s="43">
        <f t="shared" si="101"/>
        <v>3270304.77347606</v>
      </c>
      <c r="P153" s="43">
        <f t="shared" si="101"/>
        <v>5878252.8961655721</v>
      </c>
      <c r="Q153" s="43">
        <f t="shared" si="101"/>
        <v>6031353.4421543535</v>
      </c>
      <c r="S153" s="15"/>
      <c r="T153" s="15"/>
    </row>
    <row r="154" spans="1:20" x14ac:dyDescent="0.2">
      <c r="A154" s="17">
        <f t="shared" si="90"/>
        <v>146</v>
      </c>
      <c r="C154" s="40"/>
      <c r="S154" s="15"/>
      <c r="T154" s="15"/>
    </row>
    <row r="155" spans="1:20" x14ac:dyDescent="0.2">
      <c r="A155" s="17">
        <f t="shared" si="90"/>
        <v>147</v>
      </c>
      <c r="B155" s="17" t="s">
        <v>136</v>
      </c>
      <c r="C155" s="40" t="s">
        <v>120</v>
      </c>
      <c r="L155" s="26">
        <f>SUM(L142:L144,L153)</f>
        <v>3942058.7140405159</v>
      </c>
      <c r="M155" s="26">
        <f t="shared" ref="M155:N155" si="102">SUM(M142:M144,M153)</f>
        <v>3823200.1506244033</v>
      </c>
      <c r="N155" s="26">
        <f t="shared" si="102"/>
        <v>3788477.50347606</v>
      </c>
      <c r="P155" s="26">
        <f t="shared" ref="P155:Q155" si="103">SUM(P142:P144,P153)</f>
        <v>6470726.7472773837</v>
      </c>
      <c r="Q155" s="26">
        <f t="shared" si="103"/>
        <v>6710686.6964685926</v>
      </c>
      <c r="S155" s="15"/>
      <c r="T155" s="15"/>
    </row>
    <row r="156" spans="1:20" x14ac:dyDescent="0.2">
      <c r="A156" s="17">
        <f t="shared" si="90"/>
        <v>148</v>
      </c>
      <c r="S156" s="15"/>
      <c r="T156" s="15"/>
    </row>
    <row r="157" spans="1:20" x14ac:dyDescent="0.2">
      <c r="A157" s="17">
        <f t="shared" si="90"/>
        <v>149</v>
      </c>
      <c r="C157" s="11" t="s">
        <v>137</v>
      </c>
      <c r="L157" s="26">
        <f>SUM(L140,L155)</f>
        <v>5235633.9966895087</v>
      </c>
      <c r="M157" s="26">
        <f t="shared" ref="M157:Q157" si="104">SUM(M140,M155)</f>
        <v>5147033.1319507053</v>
      </c>
      <c r="N157" s="26">
        <f t="shared" si="104"/>
        <v>5087802.1085896008</v>
      </c>
      <c r="P157" s="26">
        <f>SUM(P140,P155)</f>
        <v>8733308.9120240584</v>
      </c>
      <c r="Q157" s="26">
        <f t="shared" si="104"/>
        <v>9016040.3584466148</v>
      </c>
      <c r="S157" s="22">
        <f>'Exh JDT-5 (Rate Spread)'!J20</f>
        <v>8733308.9120240621</v>
      </c>
      <c r="T157" s="22">
        <f>'Exh JDT-5 (Rate Spread)'!J33</f>
        <v>9016040.3584466148</v>
      </c>
    </row>
    <row r="158" spans="1:20" x14ac:dyDescent="0.2">
      <c r="A158" s="17">
        <f t="shared" si="90"/>
        <v>150</v>
      </c>
      <c r="C158" s="11" t="s">
        <v>122</v>
      </c>
      <c r="P158" s="26">
        <f>'Exh JDT-5 (Rate Spread)'!$J$20</f>
        <v>8733308.9120240621</v>
      </c>
      <c r="Q158" s="26">
        <f>'Exh JDT-5 (Rate Spread)'!$J$33</f>
        <v>9016040.3584466148</v>
      </c>
      <c r="S158" s="23">
        <f>S157-M157</f>
        <v>3586275.7800733568</v>
      </c>
      <c r="T158" s="23">
        <f>T157-N157-S158</f>
        <v>341962.46978365723</v>
      </c>
    </row>
    <row r="159" spans="1:20" x14ac:dyDescent="0.2">
      <c r="A159" s="17">
        <f t="shared" si="90"/>
        <v>151</v>
      </c>
      <c r="C159" s="11" t="s">
        <v>123</v>
      </c>
      <c r="L159" s="26">
        <v>0</v>
      </c>
      <c r="M159" s="159">
        <f>M157-'Exh JDT-5 (Rate Spread)'!$J$12</f>
        <v>0</v>
      </c>
      <c r="N159" s="159">
        <f>N157-'Exh JDT-5 (Rate Spread)'!$J$25</f>
        <v>0</v>
      </c>
      <c r="P159" s="26">
        <f>P157-P158</f>
        <v>0</v>
      </c>
      <c r="Q159" s="26">
        <f>Q157-Q158</f>
        <v>0</v>
      </c>
      <c r="S159" s="22">
        <f>S157-P157</f>
        <v>0</v>
      </c>
      <c r="T159" s="22">
        <f>T157-Q157</f>
        <v>0</v>
      </c>
    </row>
    <row r="160" spans="1:20" x14ac:dyDescent="0.2">
      <c r="A160" s="17">
        <f t="shared" si="90"/>
        <v>152</v>
      </c>
      <c r="S160" s="15"/>
      <c r="T160" s="15"/>
    </row>
    <row r="161" spans="1:20" x14ac:dyDescent="0.2">
      <c r="A161" s="17">
        <f t="shared" si="90"/>
        <v>153</v>
      </c>
      <c r="S161" s="15"/>
      <c r="T161" s="15"/>
    </row>
    <row r="162" spans="1:20" x14ac:dyDescent="0.2">
      <c r="A162" s="17">
        <f t="shared" si="90"/>
        <v>154</v>
      </c>
      <c r="B162" s="17" t="s">
        <v>138</v>
      </c>
      <c r="C162" s="174" t="s">
        <v>5</v>
      </c>
      <c r="D162" s="37">
        <v>12</v>
      </c>
      <c r="E162" s="37">
        <v>12</v>
      </c>
      <c r="F162" s="37">
        <v>12</v>
      </c>
      <c r="H162" s="157">
        <v>1082.81</v>
      </c>
      <c r="I162" s="158">
        <f t="shared" ref="I162:J163" si="105">H162*(1+S162)</f>
        <v>9717.0899999999983</v>
      </c>
      <c r="J162" s="158">
        <f t="shared" si="105"/>
        <v>9717.0899999999983</v>
      </c>
      <c r="L162" s="159">
        <f>D162*$H162</f>
        <v>12993.72</v>
      </c>
      <c r="M162" s="159">
        <f t="shared" ref="M162:N163" si="106">E162*$H162</f>
        <v>12993.72</v>
      </c>
      <c r="N162" s="159">
        <f t="shared" si="106"/>
        <v>12993.72</v>
      </c>
      <c r="P162" s="159">
        <f>E162*I162</f>
        <v>116605.07999999999</v>
      </c>
      <c r="Q162" s="159">
        <f>F162*J162</f>
        <v>116605.07999999999</v>
      </c>
      <c r="S162" s="36">
        <v>7.9739566498277625</v>
      </c>
      <c r="T162" s="36">
        <v>0</v>
      </c>
    </row>
    <row r="163" spans="1:20" x14ac:dyDescent="0.2">
      <c r="A163" s="17">
        <f t="shared" si="90"/>
        <v>155</v>
      </c>
      <c r="B163" s="17" t="s">
        <v>138</v>
      </c>
      <c r="C163" s="40" t="s">
        <v>8</v>
      </c>
      <c r="D163" s="37">
        <v>0</v>
      </c>
      <c r="E163" s="37">
        <v>0</v>
      </c>
      <c r="F163" s="37">
        <v>0</v>
      </c>
      <c r="H163" s="177">
        <v>1.45</v>
      </c>
      <c r="I163" s="158">
        <f t="shared" si="105"/>
        <v>1.7109999999999999</v>
      </c>
      <c r="J163" s="158">
        <f t="shared" si="105"/>
        <v>2.0189799999999996</v>
      </c>
      <c r="L163" s="159">
        <f t="shared" ref="L163" si="107">D163*$H163</f>
        <v>0</v>
      </c>
      <c r="M163" s="159">
        <f t="shared" si="106"/>
        <v>0</v>
      </c>
      <c r="N163" s="159">
        <f t="shared" si="106"/>
        <v>0</v>
      </c>
      <c r="P163" s="159">
        <f t="shared" ref="P163:Q163" si="108">E163*I163</f>
        <v>0</v>
      </c>
      <c r="Q163" s="159">
        <f t="shared" si="108"/>
        <v>0</v>
      </c>
      <c r="S163" s="36">
        <v>0.18</v>
      </c>
      <c r="T163" s="36">
        <f>S163</f>
        <v>0.18</v>
      </c>
    </row>
    <row r="164" spans="1:20" x14ac:dyDescent="0.2">
      <c r="A164" s="17">
        <f t="shared" si="90"/>
        <v>156</v>
      </c>
      <c r="B164" s="17" t="s">
        <v>138</v>
      </c>
      <c r="C164" s="40" t="s">
        <v>131</v>
      </c>
      <c r="H164" s="158"/>
      <c r="I164" s="158"/>
      <c r="J164" s="158"/>
      <c r="L164" s="60">
        <v>0</v>
      </c>
      <c r="M164" s="176">
        <v>0</v>
      </c>
      <c r="N164" s="176">
        <v>0</v>
      </c>
      <c r="P164" s="159">
        <f>M164</f>
        <v>0</v>
      </c>
      <c r="Q164" s="159">
        <f>N164</f>
        <v>0</v>
      </c>
      <c r="S164" s="36"/>
      <c r="T164" s="36"/>
    </row>
    <row r="165" spans="1:20" x14ac:dyDescent="0.2">
      <c r="A165" s="17">
        <f t="shared" si="90"/>
        <v>157</v>
      </c>
      <c r="C165" s="172"/>
      <c r="H165" s="158"/>
      <c r="I165" s="158"/>
      <c r="J165" s="158"/>
      <c r="S165" s="36"/>
      <c r="T165" s="36"/>
    </row>
    <row r="166" spans="1:20" x14ac:dyDescent="0.2">
      <c r="A166" s="17">
        <f t="shared" si="90"/>
        <v>158</v>
      </c>
      <c r="B166" s="17" t="s">
        <v>138</v>
      </c>
      <c r="C166" s="40" t="s">
        <v>126</v>
      </c>
      <c r="H166" s="162"/>
      <c r="I166" s="162"/>
      <c r="J166" s="162"/>
      <c r="S166" s="36"/>
      <c r="T166" s="36"/>
    </row>
    <row r="167" spans="1:20" x14ac:dyDescent="0.2">
      <c r="A167" s="17">
        <f t="shared" si="90"/>
        <v>159</v>
      </c>
      <c r="B167" s="17" t="s">
        <v>138</v>
      </c>
      <c r="C167" s="40" t="s">
        <v>62</v>
      </c>
      <c r="D167" s="37">
        <v>252308.87295246124</v>
      </c>
      <c r="E167" s="37">
        <v>300000</v>
      </c>
      <c r="F167" s="37">
        <v>300000</v>
      </c>
      <c r="H167" s="160">
        <v>0.20754</v>
      </c>
      <c r="I167" s="161">
        <f>H167*(1+S167)</f>
        <v>7.1077837647132061E-2</v>
      </c>
      <c r="J167" s="161">
        <f>I167*(1+T167)</f>
        <v>5.6254341664786961E-2</v>
      </c>
      <c r="L167" s="159">
        <f t="shared" ref="L167:N172" si="109">D167*$H167</f>
        <v>52364.183492553806</v>
      </c>
      <c r="M167" s="159">
        <f t="shared" si="109"/>
        <v>62262</v>
      </c>
      <c r="N167" s="159">
        <f t="shared" si="109"/>
        <v>62262</v>
      </c>
      <c r="P167" s="159">
        <f>E167*I167</f>
        <v>21323.351294139618</v>
      </c>
      <c r="Q167" s="159">
        <f>F167*J167</f>
        <v>16876.302499436089</v>
      </c>
      <c r="S167" s="36">
        <f>(S$178-(SUM(P162,P163, P164)-SUM(M162,M163, M164)))/(M177-SUM(M162,M163, M164))</f>
        <v>-0.65752222392246285</v>
      </c>
      <c r="T167" s="36">
        <f>((Q178-SUM(Q162:Q164)))/((I167*F167)+(I168*F168)+(I169*F169)+(I170*F170)+(I171*F171)+(I172*F172))-1</f>
        <v>-0.20855299588511356</v>
      </c>
    </row>
    <row r="168" spans="1:20" x14ac:dyDescent="0.2">
      <c r="A168" s="17">
        <f t="shared" si="90"/>
        <v>160</v>
      </c>
      <c r="B168" s="17" t="s">
        <v>138</v>
      </c>
      <c r="C168" s="40" t="s">
        <v>63</v>
      </c>
      <c r="D168" s="37">
        <v>250000</v>
      </c>
      <c r="E168" s="37">
        <v>300000</v>
      </c>
      <c r="F168" s="37">
        <v>300000</v>
      </c>
      <c r="H168" s="160">
        <v>0.12540999999999999</v>
      </c>
      <c r="I168" s="161">
        <f t="shared" ref="I168:J172" si="110">H168*(1+S168)</f>
        <v>4.2950137897883933E-2</v>
      </c>
      <c r="J168" s="161">
        <f t="shared" si="110"/>
        <v>3.3992757965601486E-2</v>
      </c>
      <c r="L168" s="159">
        <f t="shared" si="109"/>
        <v>31352.5</v>
      </c>
      <c r="M168" s="159">
        <f t="shared" si="109"/>
        <v>37623</v>
      </c>
      <c r="N168" s="159">
        <f t="shared" si="109"/>
        <v>37623</v>
      </c>
      <c r="P168" s="159">
        <f t="shared" ref="P168:Q172" si="111">E168*I168</f>
        <v>12885.041369365181</v>
      </c>
      <c r="Q168" s="159">
        <f t="shared" si="111"/>
        <v>10197.827389680446</v>
      </c>
      <c r="S168" s="36">
        <f>S167</f>
        <v>-0.65752222392246285</v>
      </c>
      <c r="T168" s="36">
        <f>T167</f>
        <v>-0.20855299588511356</v>
      </c>
    </row>
    <row r="169" spans="1:20" x14ac:dyDescent="0.2">
      <c r="A169" s="17">
        <f t="shared" si="90"/>
        <v>161</v>
      </c>
      <c r="B169" s="17" t="s">
        <v>138</v>
      </c>
      <c r="C169" s="40" t="s">
        <v>73</v>
      </c>
      <c r="D169" s="37">
        <v>500000</v>
      </c>
      <c r="E169" s="37">
        <v>600000</v>
      </c>
      <c r="F169" s="37">
        <v>600000</v>
      </c>
      <c r="H169" s="160">
        <v>7.9810000000000006E-2</v>
      </c>
      <c r="I169" s="161">
        <f t="shared" si="110"/>
        <v>2.7333151308748242E-2</v>
      </c>
      <c r="J169" s="161">
        <f t="shared" si="110"/>
        <v>2.1632740716327682E-2</v>
      </c>
      <c r="L169" s="159">
        <f t="shared" si="109"/>
        <v>39905</v>
      </c>
      <c r="M169" s="159">
        <f t="shared" si="109"/>
        <v>47886</v>
      </c>
      <c r="N169" s="159">
        <f t="shared" si="109"/>
        <v>47886</v>
      </c>
      <c r="P169" s="159">
        <f t="shared" si="111"/>
        <v>16399.890785248946</v>
      </c>
      <c r="Q169" s="159">
        <f>F169*J169</f>
        <v>12979.64442979661</v>
      </c>
      <c r="S169" s="36">
        <f t="shared" ref="S169:T172" si="112">S168</f>
        <v>-0.65752222392246285</v>
      </c>
      <c r="T169" s="36">
        <f t="shared" si="112"/>
        <v>-0.20855299588511356</v>
      </c>
    </row>
    <row r="170" spans="1:20" x14ac:dyDescent="0.2">
      <c r="A170" s="17">
        <f t="shared" si="90"/>
        <v>162</v>
      </c>
      <c r="B170" s="17" t="s">
        <v>138</v>
      </c>
      <c r="C170" s="40" t="s">
        <v>74</v>
      </c>
      <c r="D170" s="37">
        <v>1000000</v>
      </c>
      <c r="E170" s="37">
        <v>1200000</v>
      </c>
      <c r="F170" s="37">
        <v>1200000</v>
      </c>
      <c r="H170" s="160">
        <v>5.117E-2</v>
      </c>
      <c r="I170" s="161">
        <f t="shared" si="110"/>
        <v>1.7524587801887575E-2</v>
      </c>
      <c r="J170" s="161">
        <f t="shared" si="110"/>
        <v>1.3869782514152204E-2</v>
      </c>
      <c r="L170" s="159">
        <f t="shared" si="109"/>
        <v>51170</v>
      </c>
      <c r="M170" s="159">
        <f t="shared" si="109"/>
        <v>61404</v>
      </c>
      <c r="N170" s="159">
        <f t="shared" si="109"/>
        <v>61404</v>
      </c>
      <c r="P170" s="159">
        <f t="shared" si="111"/>
        <v>21029.505362265088</v>
      </c>
      <c r="Q170" s="159">
        <f t="shared" si="111"/>
        <v>16643.739016982647</v>
      </c>
      <c r="S170" s="36">
        <f t="shared" si="112"/>
        <v>-0.65752222392246285</v>
      </c>
      <c r="T170" s="36">
        <f t="shared" si="112"/>
        <v>-0.20855299588511356</v>
      </c>
    </row>
    <row r="171" spans="1:20" x14ac:dyDescent="0.2">
      <c r="A171" s="17">
        <f t="shared" si="90"/>
        <v>163</v>
      </c>
      <c r="B171" s="17" t="s">
        <v>138</v>
      </c>
      <c r="C171" s="40" t="s">
        <v>75</v>
      </c>
      <c r="D171" s="37">
        <v>2867124.9308776855</v>
      </c>
      <c r="E171" s="37">
        <v>3600000</v>
      </c>
      <c r="F171" s="37">
        <v>3600000</v>
      </c>
      <c r="H171" s="160">
        <v>3.6830000000000002E-2</v>
      </c>
      <c r="I171" s="161">
        <f t="shared" si="110"/>
        <v>1.2613456492935694E-2</v>
      </c>
      <c r="J171" s="161">
        <f t="shared" si="110"/>
        <v>9.9828823528674178E-3</v>
      </c>
      <c r="L171" s="159">
        <f t="shared" si="109"/>
        <v>105596.21120422517</v>
      </c>
      <c r="M171" s="159">
        <f t="shared" si="109"/>
        <v>132588</v>
      </c>
      <c r="N171" s="159">
        <f t="shared" si="109"/>
        <v>132588</v>
      </c>
      <c r="P171" s="159">
        <f t="shared" si="111"/>
        <v>45408.443374568502</v>
      </c>
      <c r="Q171" s="159">
        <f t="shared" si="111"/>
        <v>35938.376470322706</v>
      </c>
      <c r="S171" s="36">
        <f t="shared" si="112"/>
        <v>-0.65752222392246285</v>
      </c>
      <c r="T171" s="36">
        <f t="shared" si="112"/>
        <v>-0.20855299588511356</v>
      </c>
    </row>
    <row r="172" spans="1:20" x14ac:dyDescent="0.2">
      <c r="A172" s="17">
        <f t="shared" si="90"/>
        <v>164</v>
      </c>
      <c r="B172" s="17" t="s">
        <v>138</v>
      </c>
      <c r="C172" s="40" t="s">
        <v>76</v>
      </c>
      <c r="D172" s="37">
        <v>8354387.7878570519</v>
      </c>
      <c r="E172" s="37">
        <v>33295144</v>
      </c>
      <c r="F172" s="37">
        <v>45695658</v>
      </c>
      <c r="H172" s="160">
        <v>2.4830000000000001E-2</v>
      </c>
      <c r="I172" s="161">
        <f t="shared" si="110"/>
        <v>8.503723180005248E-3</v>
      </c>
      <c r="J172" s="161">
        <f t="shared" si="110"/>
        <v>6.7302462346374688E-3</v>
      </c>
      <c r="L172" s="159">
        <f t="shared" si="109"/>
        <v>207439.44877249061</v>
      </c>
      <c r="M172" s="159">
        <f t="shared" si="109"/>
        <v>826718.42552000005</v>
      </c>
      <c r="N172" s="159">
        <f t="shared" si="109"/>
        <v>1134623.18814</v>
      </c>
      <c r="P172" s="159">
        <f t="shared" si="111"/>
        <v>283132.68781441264</v>
      </c>
      <c r="Q172" s="159">
        <f t="shared" si="111"/>
        <v>307543.03019378154</v>
      </c>
      <c r="S172" s="36">
        <f t="shared" si="112"/>
        <v>-0.65752222392246285</v>
      </c>
      <c r="T172" s="36">
        <f t="shared" si="112"/>
        <v>-0.20855299588511356</v>
      </c>
    </row>
    <row r="173" spans="1:20" x14ac:dyDescent="0.2">
      <c r="A173" s="17">
        <f t="shared" si="90"/>
        <v>165</v>
      </c>
      <c r="B173" s="17" t="s">
        <v>138</v>
      </c>
      <c r="C173" s="174" t="s">
        <v>128</v>
      </c>
      <c r="D173" s="42">
        <f>SUM(D167:D172)</f>
        <v>13223821.591687199</v>
      </c>
      <c r="E173" s="42">
        <f t="shared" ref="E173:F173" si="113">SUM(E167:E172)</f>
        <v>39295144</v>
      </c>
      <c r="F173" s="42">
        <f t="shared" si="113"/>
        <v>51695658</v>
      </c>
      <c r="L173" s="43">
        <f>SUM(L167:L172)</f>
        <v>487827.34346926957</v>
      </c>
      <c r="M173" s="43">
        <f t="shared" ref="M173:N173" si="114">SUM(M167:M172)</f>
        <v>1168481.42552</v>
      </c>
      <c r="N173" s="43">
        <f t="shared" si="114"/>
        <v>1476386.18814</v>
      </c>
      <c r="P173" s="43">
        <f t="shared" ref="P173:Q173" si="115">SUM(P167:P172)</f>
        <v>400178.92</v>
      </c>
      <c r="Q173" s="43">
        <f t="shared" si="115"/>
        <v>400178.92000000004</v>
      </c>
      <c r="S173" s="15"/>
      <c r="T173" s="15"/>
    </row>
    <row r="174" spans="1:20" x14ac:dyDescent="0.2">
      <c r="A174" s="17">
        <f t="shared" si="90"/>
        <v>166</v>
      </c>
      <c r="C174" s="40"/>
      <c r="S174" s="15"/>
      <c r="T174" s="15"/>
    </row>
    <row r="175" spans="1:20" x14ac:dyDescent="0.2">
      <c r="A175" s="17">
        <f t="shared" si="90"/>
        <v>167</v>
      </c>
      <c r="B175" s="17" t="s">
        <v>138</v>
      </c>
      <c r="C175" s="40" t="s">
        <v>120</v>
      </c>
      <c r="I175" s="44"/>
      <c r="J175" s="44"/>
      <c r="L175" s="26">
        <f>SUM(L162:L164,L173)</f>
        <v>500821.06346926955</v>
      </c>
      <c r="M175" s="26">
        <f t="shared" ref="M175:N175" si="116">SUM(M162:M164,M173)</f>
        <v>1181475.14552</v>
      </c>
      <c r="N175" s="26">
        <f t="shared" si="116"/>
        <v>1489379.90814</v>
      </c>
      <c r="P175" s="26">
        <f t="shared" ref="P175:Q175" si="117">SUM(P162:P164,P173)</f>
        <v>516784</v>
      </c>
      <c r="Q175" s="26">
        <f t="shared" si="117"/>
        <v>516784</v>
      </c>
      <c r="S175" s="15"/>
      <c r="T175" s="15"/>
    </row>
    <row r="176" spans="1:20" x14ac:dyDescent="0.2">
      <c r="A176" s="17">
        <f t="shared" si="90"/>
        <v>168</v>
      </c>
      <c r="S176" s="15"/>
      <c r="T176" s="15"/>
    </row>
    <row r="177" spans="1:20" x14ac:dyDescent="0.2">
      <c r="A177" s="17">
        <f t="shared" si="90"/>
        <v>169</v>
      </c>
      <c r="C177" s="11" t="s">
        <v>139</v>
      </c>
      <c r="L177" s="26">
        <f>L175</f>
        <v>500821.06346926955</v>
      </c>
      <c r="M177" s="26">
        <f t="shared" ref="M177:Q177" si="118">M175</f>
        <v>1181475.14552</v>
      </c>
      <c r="N177" s="26">
        <f t="shared" si="118"/>
        <v>1489379.90814</v>
      </c>
      <c r="O177" s="26"/>
      <c r="P177" s="26">
        <f t="shared" si="118"/>
        <v>516784</v>
      </c>
      <c r="Q177" s="26">
        <f t="shared" si="118"/>
        <v>516784</v>
      </c>
      <c r="S177" s="22">
        <f>'Exh JDT-5 (Rate Spread)'!K20</f>
        <v>516784</v>
      </c>
      <c r="T177" s="22">
        <f>'Exh JDT-5 (Rate Spread)'!K33</f>
        <v>516784</v>
      </c>
    </row>
    <row r="178" spans="1:20" x14ac:dyDescent="0.2">
      <c r="A178" s="17">
        <f t="shared" si="90"/>
        <v>170</v>
      </c>
      <c r="C178" s="11" t="s">
        <v>122</v>
      </c>
      <c r="P178" s="26">
        <f>'Exh JDT-5 (Rate Spread)'!$K$20</f>
        <v>516784</v>
      </c>
      <c r="Q178" s="26">
        <f>'Exh JDT-5 (Rate Spread)'!$K$33</f>
        <v>516784</v>
      </c>
      <c r="S178" s="23">
        <f>S177-M177</f>
        <v>-664691.14552000002</v>
      </c>
      <c r="T178" s="23">
        <f>T177-N177-S178</f>
        <v>-307904.76261999994</v>
      </c>
    </row>
    <row r="179" spans="1:20" x14ac:dyDescent="0.2">
      <c r="A179" s="17">
        <f t="shared" si="90"/>
        <v>171</v>
      </c>
      <c r="C179" s="11" t="s">
        <v>123</v>
      </c>
      <c r="L179" s="26">
        <v>0</v>
      </c>
      <c r="M179" s="159">
        <f>M177-'Exh JDT-5 (Rate Spread)'!$K$12</f>
        <v>0</v>
      </c>
      <c r="N179" s="159">
        <f>N177-'Exh JDT-5 (Rate Spread)'!$K$25</f>
        <v>0</v>
      </c>
      <c r="P179" s="26">
        <f>P177-P178</f>
        <v>0</v>
      </c>
      <c r="Q179" s="26">
        <f>Q177-Q178</f>
        <v>0</v>
      </c>
      <c r="S179" s="22">
        <f>S177-P177</f>
        <v>0</v>
      </c>
      <c r="T179" s="22">
        <f>T177-Q177</f>
        <v>0</v>
      </c>
    </row>
    <row r="180" spans="1:20" x14ac:dyDescent="0.2">
      <c r="A180" s="17">
        <f t="shared" si="90"/>
        <v>172</v>
      </c>
      <c r="S180" s="15"/>
      <c r="T180" s="15"/>
    </row>
    <row r="181" spans="1:20" x14ac:dyDescent="0.2">
      <c r="A181" s="17">
        <f t="shared" si="90"/>
        <v>173</v>
      </c>
      <c r="C181" s="11" t="s">
        <v>90</v>
      </c>
      <c r="D181" s="37">
        <v>32051526.995555006</v>
      </c>
      <c r="E181" s="37">
        <v>32030387</v>
      </c>
      <c r="F181" s="37">
        <v>31663047.999999996</v>
      </c>
      <c r="L181" s="176">
        <v>1567244.8334440321</v>
      </c>
      <c r="M181" s="176">
        <v>1566717.298042424</v>
      </c>
      <c r="N181" s="176">
        <v>1557550.4529530378</v>
      </c>
      <c r="P181" s="176">
        <v>1689958.6180424246</v>
      </c>
      <c r="Q181" s="176">
        <v>1826835.4929530383</v>
      </c>
      <c r="S181" s="45">
        <f>P181-M181</f>
        <v>123241.32000000053</v>
      </c>
      <c r="T181" s="45">
        <f>Q181-N181-S181</f>
        <v>146043.71999999997</v>
      </c>
    </row>
    <row r="182" spans="1:20" x14ac:dyDescent="0.2">
      <c r="A182" s="17">
        <f t="shared" si="90"/>
        <v>174</v>
      </c>
      <c r="S182" s="15"/>
      <c r="T182" s="15"/>
    </row>
    <row r="183" spans="1:20" x14ac:dyDescent="0.2">
      <c r="A183" s="17">
        <f t="shared" si="90"/>
        <v>175</v>
      </c>
      <c r="B183" s="46"/>
      <c r="C183" s="47" t="s">
        <v>140</v>
      </c>
      <c r="D183" s="47"/>
      <c r="E183" s="47"/>
      <c r="F183" s="47"/>
      <c r="G183" s="47"/>
      <c r="H183" s="47"/>
      <c r="I183" s="47"/>
      <c r="J183" s="47"/>
      <c r="K183" s="47"/>
      <c r="L183" s="48">
        <f>SUM(L11,L13,L17,L27,L31,L49,L61,L79,L91,L108,L119,L140,L155,L175,L181)</f>
        <v>554175896.7260201</v>
      </c>
      <c r="M183" s="48">
        <f>SUM(M11,M13,M17,M27,M31,M49,M61,M79,M91,M108,M119,M140,M155,M175,M181)</f>
        <v>535878245.40789235</v>
      </c>
      <c r="N183" s="48">
        <f>SUM(N11,N13,N17,N27,N31,N49,N61,N79,N91,N108,N119,N140,N155,N175,N181)</f>
        <v>533404884.02733487</v>
      </c>
      <c r="O183" s="48"/>
      <c r="P183" s="48">
        <f>SUM(P11,P13,P17,P27,P31,P49,P61,P79,P91,P108,P119,P140,P155,P175,P181)</f>
        <v>783493199.40789282</v>
      </c>
      <c r="Q183" s="48">
        <f>SUM(Q11,Q13,Q17,Q27,Q31,Q49,Q61,Q79,Q91,Q108,Q119,Q140,Q155,Q175,Q181)</f>
        <v>806370124.02733469</v>
      </c>
      <c r="R183" s="48">
        <f>SUM(R11,R13,R17,R27,R31,R49,R61,R79,R91,R108,R119,R140,R155,R175,R181)</f>
        <v>0</v>
      </c>
      <c r="S183" s="49">
        <f>SUM(S20,S34,S64,S94,S122,S158,S178,S181)</f>
        <v>247614954.00000021</v>
      </c>
      <c r="T183" s="49">
        <f>SUM(T20,T34,T64,T94,T122,T158,T178,T181)</f>
        <v>25350285.999999866</v>
      </c>
    </row>
    <row r="184" spans="1:20" x14ac:dyDescent="0.2">
      <c r="A184" s="17">
        <f t="shared" si="90"/>
        <v>176</v>
      </c>
      <c r="C184" s="11" t="s">
        <v>123</v>
      </c>
      <c r="I184" s="178">
        <f>I65</f>
        <v>-1.825240435834985E-3</v>
      </c>
      <c r="J184" s="178">
        <f>J65</f>
        <v>-1.7111269074803204E-3</v>
      </c>
      <c r="L184" s="26">
        <v>0</v>
      </c>
      <c r="M184" s="26">
        <v>0</v>
      </c>
      <c r="N184" s="26">
        <v>0</v>
      </c>
      <c r="P184" s="26">
        <v>-0.45333397388458252</v>
      </c>
      <c r="Q184" s="26">
        <v>-0.26967179775238037</v>
      </c>
      <c r="S184" s="26">
        <f>S183-'Exh JDT-5 (Rate Spread)'!C13</f>
        <v>0</v>
      </c>
      <c r="T184" s="26">
        <f>T183-('Exh JDT-5 (Rate Spread)'!C26-'Exh JDT-5 (Rate Spread)'!C13)</f>
        <v>-1.3411045074462891E-7</v>
      </c>
    </row>
    <row r="185" spans="1:20" x14ac:dyDescent="0.2">
      <c r="A185" s="17">
        <f t="shared" si="90"/>
        <v>177</v>
      </c>
    </row>
    <row r="186" spans="1:20" x14ac:dyDescent="0.2">
      <c r="A186" s="17">
        <f t="shared" si="90"/>
        <v>178</v>
      </c>
      <c r="C186" s="11" t="s">
        <v>141</v>
      </c>
      <c r="D186" s="37">
        <f>SUM(D9,D15,D24,D29,D38,D51,D68,D81,D98,D110,D126,D142,D162)</f>
        <v>10550780.561777582</v>
      </c>
      <c r="E186" s="37">
        <f>SUM(E9,E15,E24,E29,E38,E51,E68,E81,E98,E110,E126,E142,E162)</f>
        <v>10629744</v>
      </c>
      <c r="F186" s="37">
        <f>SUM(F9,F15,F24,F29,F38,F51,F68,F81,F98,F110,F126,F142,F162)</f>
        <v>10632323</v>
      </c>
      <c r="Q186" s="26"/>
    </row>
    <row r="187" spans="1:20" x14ac:dyDescent="0.2">
      <c r="A187" s="17">
        <f t="shared" si="90"/>
        <v>179</v>
      </c>
      <c r="C187" s="11" t="s">
        <v>123</v>
      </c>
      <c r="D187" s="179">
        <v>0</v>
      </c>
      <c r="E187" s="179">
        <v>0</v>
      </c>
      <c r="F187" s="179">
        <v>0</v>
      </c>
    </row>
    <row r="188" spans="1:20" x14ac:dyDescent="0.2">
      <c r="A188" s="17">
        <f t="shared" si="90"/>
        <v>180</v>
      </c>
      <c r="C188" s="11" t="s">
        <v>142</v>
      </c>
      <c r="D188" s="50">
        <f>SUM(D39,D52,D69,D82,D99,D111,D127,D143,D163)</f>
        <v>7102101.6864575474</v>
      </c>
      <c r="E188" s="50">
        <f>SUM(E39,E52,E69,E82,E99,E111,E127,E143,E163)</f>
        <v>7073400</v>
      </c>
      <c r="F188" s="50">
        <f>SUM(F39,F52,F69,F82,F99,F111,F127,F143,F163)</f>
        <v>7073400</v>
      </c>
    </row>
    <row r="189" spans="1:20" x14ac:dyDescent="0.2">
      <c r="A189" s="17">
        <f t="shared" si="90"/>
        <v>181</v>
      </c>
      <c r="C189" s="11" t="s">
        <v>123</v>
      </c>
      <c r="D189" s="179">
        <v>9.3132257461547852E-10</v>
      </c>
      <c r="E189" s="179">
        <v>0</v>
      </c>
      <c r="F189" s="179">
        <v>0</v>
      </c>
    </row>
    <row r="190" spans="1:20" x14ac:dyDescent="0.2">
      <c r="A190" s="17">
        <f t="shared" si="90"/>
        <v>182</v>
      </c>
      <c r="C190" s="11" t="s">
        <v>143</v>
      </c>
      <c r="D190" s="37">
        <f>SUM(D10,D16,D25,D30,D47,D59,D77,D89,D106,D117,D138,D153,D173,D181)</f>
        <v>1125932647.1213756</v>
      </c>
      <c r="E190" s="37">
        <f>SUM(E10,E16,E25,E30,E47,E59,E77,E89,E106,E117,E138,E153,E173,E181)</f>
        <v>1093874403.72</v>
      </c>
      <c r="F190" s="37">
        <f>SUM(F10,F16,F25,F30,F47,F59,F77,F89,F106,F117,F138,F153,F173,F181)</f>
        <v>1096711282.72</v>
      </c>
    </row>
    <row r="191" spans="1:20" x14ac:dyDescent="0.2">
      <c r="A191" s="17">
        <f t="shared" si="90"/>
        <v>183</v>
      </c>
      <c r="C191" s="11" t="s">
        <v>123</v>
      </c>
      <c r="D191" s="179">
        <v>0</v>
      </c>
      <c r="E191" s="179">
        <v>0</v>
      </c>
      <c r="F191" s="179">
        <v>0</v>
      </c>
    </row>
  </sheetData>
  <mergeCells count="5">
    <mergeCell ref="D6:F6"/>
    <mergeCell ref="H6:J6"/>
    <mergeCell ref="L6:N6"/>
    <mergeCell ref="P6:Q6"/>
    <mergeCell ref="S6:T6"/>
  </mergeCells>
  <pageMargins left="0.7" right="0.7" top="0.75" bottom="0.75" header="0.3" footer="0.3"/>
  <pageSetup scale="52" fitToHeight="3" orientation="landscape" blackAndWhite="1" r:id="rId1"/>
  <headerFooter>
    <oddFooter>&amp;R&amp;A
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90" zoomScaleNormal="90" workbookViewId="0">
      <selection activeCell="L39" sqref="L39"/>
    </sheetView>
  </sheetViews>
  <sheetFormatPr defaultColWidth="9.140625" defaultRowHeight="12.75" x14ac:dyDescent="0.2"/>
  <cols>
    <col min="1" max="1" width="4.42578125" style="11" customWidth="1"/>
    <col min="2" max="2" width="26.28515625" style="11" customWidth="1"/>
    <col min="3" max="3" width="11.5703125" style="11" customWidth="1"/>
    <col min="4" max="4" width="17.28515625" style="11" bestFit="1" customWidth="1"/>
    <col min="5" max="8" width="14.5703125" style="11" customWidth="1"/>
    <col min="9" max="9" width="1.85546875" style="11" customWidth="1"/>
    <col min="10" max="13" width="14.5703125" style="11" customWidth="1"/>
    <col min="14" max="16384" width="9.140625" style="11"/>
  </cols>
  <sheetData>
    <row r="1" spans="1:13" ht="12.75" customHeight="1" x14ac:dyDescent="0.2">
      <c r="A1" s="28" t="s">
        <v>144</v>
      </c>
      <c r="B1" s="51"/>
      <c r="C1" s="51"/>
      <c r="D1" s="51"/>
      <c r="E1" s="51"/>
    </row>
    <row r="2" spans="1:13" ht="12.75" customHeight="1" x14ac:dyDescent="0.2">
      <c r="A2" s="28" t="s">
        <v>193</v>
      </c>
      <c r="B2" s="17"/>
      <c r="C2" s="17"/>
      <c r="D2" s="17"/>
      <c r="E2" s="17"/>
    </row>
    <row r="3" spans="1:13" ht="12.75" customHeight="1" x14ac:dyDescent="0.2">
      <c r="A3" s="28" t="s">
        <v>194</v>
      </c>
      <c r="B3" s="51"/>
      <c r="C3" s="51"/>
      <c r="D3" s="51"/>
      <c r="E3" s="51"/>
    </row>
    <row r="4" spans="1:13" ht="12.75" customHeight="1" x14ac:dyDescent="0.2">
      <c r="A4" s="28" t="s">
        <v>145</v>
      </c>
      <c r="B4" s="51"/>
      <c r="C4" s="51"/>
      <c r="D4" s="51"/>
      <c r="E4" s="51"/>
    </row>
    <row r="5" spans="1:13" ht="12.75" customHeight="1" x14ac:dyDescent="0.2">
      <c r="A5" s="28"/>
      <c r="B5" s="51"/>
      <c r="C5" s="51"/>
      <c r="D5" s="51"/>
      <c r="E5" s="51"/>
      <c r="J5" s="180" t="s">
        <v>146</v>
      </c>
      <c r="K5" s="181"/>
      <c r="L5" s="181"/>
      <c r="M5" s="182"/>
    </row>
    <row r="6" spans="1:13" ht="12.75" customHeight="1" x14ac:dyDescent="0.2">
      <c r="A6" s="28"/>
      <c r="B6" s="51"/>
      <c r="C6" s="51"/>
      <c r="D6" s="51"/>
      <c r="E6" s="51"/>
    </row>
    <row r="7" spans="1:13" ht="12.75" customHeight="1" x14ac:dyDescent="0.2">
      <c r="E7" s="52" t="s">
        <v>147</v>
      </c>
      <c r="F7" s="53"/>
      <c r="G7" s="53"/>
      <c r="H7" s="54"/>
      <c r="J7" s="52" t="s">
        <v>148</v>
      </c>
      <c r="K7" s="53"/>
      <c r="L7" s="53"/>
      <c r="M7" s="54"/>
    </row>
    <row r="8" spans="1:13" ht="12.75" customHeight="1" x14ac:dyDescent="0.2">
      <c r="A8" s="29"/>
      <c r="B8" s="29"/>
      <c r="C8" s="29"/>
      <c r="D8" s="31"/>
      <c r="F8" s="27" t="s">
        <v>149</v>
      </c>
      <c r="H8" s="55" t="s">
        <v>150</v>
      </c>
      <c r="K8" s="27" t="s">
        <v>151</v>
      </c>
      <c r="M8" s="55" t="s">
        <v>150</v>
      </c>
    </row>
    <row r="9" spans="1:13" ht="12.75" customHeight="1" x14ac:dyDescent="0.2">
      <c r="A9" s="29"/>
      <c r="B9" s="31"/>
      <c r="C9" s="31"/>
      <c r="D9" s="31" t="s">
        <v>152</v>
      </c>
      <c r="E9" s="55" t="s">
        <v>153</v>
      </c>
      <c r="F9" s="55" t="s">
        <v>154</v>
      </c>
      <c r="G9" s="55" t="s">
        <v>150</v>
      </c>
      <c r="H9" s="55" t="s">
        <v>155</v>
      </c>
      <c r="J9" s="55" t="s">
        <v>153</v>
      </c>
      <c r="K9" s="55" t="s">
        <v>156</v>
      </c>
      <c r="L9" s="55" t="s">
        <v>150</v>
      </c>
      <c r="M9" s="55" t="s">
        <v>155</v>
      </c>
    </row>
    <row r="10" spans="1:13" x14ac:dyDescent="0.2">
      <c r="A10" s="27" t="s">
        <v>157</v>
      </c>
      <c r="B10" s="31"/>
      <c r="C10" s="31"/>
      <c r="D10" s="31" t="s">
        <v>158</v>
      </c>
      <c r="E10" s="55" t="s">
        <v>159</v>
      </c>
      <c r="F10" s="55" t="s">
        <v>160</v>
      </c>
      <c r="G10" s="55" t="s">
        <v>161</v>
      </c>
      <c r="H10" s="55" t="s">
        <v>161</v>
      </c>
      <c r="J10" s="55" t="s">
        <v>159</v>
      </c>
      <c r="K10" s="55" t="s">
        <v>160</v>
      </c>
      <c r="L10" s="55" t="s">
        <v>161</v>
      </c>
      <c r="M10" s="55" t="s">
        <v>161</v>
      </c>
    </row>
    <row r="11" spans="1:13" ht="14.25" x14ac:dyDescent="0.2">
      <c r="A11" s="56" t="s">
        <v>162</v>
      </c>
      <c r="B11" s="56" t="s">
        <v>163</v>
      </c>
      <c r="C11" s="56" t="s">
        <v>164</v>
      </c>
      <c r="D11" s="56" t="s">
        <v>165</v>
      </c>
      <c r="E11" s="57" t="s">
        <v>166</v>
      </c>
      <c r="F11" s="57" t="s">
        <v>167</v>
      </c>
      <c r="G11" s="57" t="s">
        <v>168</v>
      </c>
      <c r="H11" s="57" t="s">
        <v>169</v>
      </c>
      <c r="J11" s="57" t="s">
        <v>166</v>
      </c>
      <c r="K11" s="57" t="s">
        <v>167</v>
      </c>
      <c r="L11" s="57" t="s">
        <v>168</v>
      </c>
      <c r="M11" s="57" t="s">
        <v>169</v>
      </c>
    </row>
    <row r="12" spans="1:13" ht="12.75" customHeight="1" x14ac:dyDescent="0.2">
      <c r="B12" s="17" t="s">
        <v>15</v>
      </c>
      <c r="C12" s="17" t="s">
        <v>16</v>
      </c>
      <c r="D12" s="16" t="s">
        <v>17</v>
      </c>
      <c r="E12" s="58" t="s">
        <v>18</v>
      </c>
      <c r="F12" s="58" t="s">
        <v>19</v>
      </c>
      <c r="G12" s="58" t="s">
        <v>20</v>
      </c>
      <c r="H12" s="58" t="s">
        <v>21</v>
      </c>
      <c r="J12" s="58" t="s">
        <v>22</v>
      </c>
      <c r="K12" s="58" t="s">
        <v>23</v>
      </c>
      <c r="L12" s="58" t="s">
        <v>24</v>
      </c>
      <c r="M12" s="58" t="s">
        <v>25</v>
      </c>
    </row>
    <row r="13" spans="1:13" ht="12.75" customHeight="1" x14ac:dyDescent="0.2">
      <c r="A13" s="17">
        <f>IF(B13="","",MAX($A$1:A12)+1)</f>
        <v>1</v>
      </c>
      <c r="B13" s="11" t="s">
        <v>44</v>
      </c>
      <c r="C13" s="17" t="s">
        <v>170</v>
      </c>
      <c r="D13" s="183">
        <v>0.81401798482740428</v>
      </c>
      <c r="E13" s="22">
        <f>E$23*$D13</f>
        <v>3284656.7857968262</v>
      </c>
      <c r="F13" s="184">
        <f>'Exh JDT-5 (Rate Design)'!$E$10+'Exh JDT-5 (Rate Design)'!$E$16+'Exh JDT-5 (Rate Design)'!$E$13*19</f>
        <v>539966588</v>
      </c>
      <c r="G13" s="59">
        <f>E13/F13</f>
        <v>6.0830741360552963E-3</v>
      </c>
      <c r="H13" s="60">
        <f>G13*19</f>
        <v>0.11557840858505063</v>
      </c>
      <c r="J13" s="22">
        <f>J$23*$D13</f>
        <v>3284656.7857968262</v>
      </c>
      <c r="K13" s="184">
        <f>'Exh JDT-5 (Rate Design)'!$F$10+'Exh JDT-5 (Rate Design)'!$F$16+'Exh JDT-5 (Rate Design)'!$F$13*19</f>
        <v>534329348</v>
      </c>
      <c r="L13" s="59">
        <f>J13/K13</f>
        <v>6.1472513124935565E-3</v>
      </c>
      <c r="M13" s="60">
        <f>L13*19</f>
        <v>0.11679777493737757</v>
      </c>
    </row>
    <row r="14" spans="1:13" ht="12.75" customHeight="1" x14ac:dyDescent="0.2">
      <c r="A14" s="17">
        <f>IF(B14="","",MAX($A$1:A13)+1)</f>
        <v>2</v>
      </c>
      <c r="B14" s="11" t="s">
        <v>51</v>
      </c>
      <c r="C14" s="17" t="s">
        <v>171</v>
      </c>
      <c r="D14" s="183">
        <v>0.14792520873241144</v>
      </c>
      <c r="E14" s="22">
        <f t="shared" ref="E14:E18" si="0">E$23*$D14</f>
        <v>596895.33856718009</v>
      </c>
      <c r="F14" s="184">
        <f>'Exh JDT-5 (Rate Design)'!$E$25+'Exh JDT-5 (Rate Design)'!$E$30</f>
        <v>228527070</v>
      </c>
      <c r="G14" s="59">
        <f t="shared" ref="G14:G20" si="1">E14/F14</f>
        <v>2.611923999057005E-3</v>
      </c>
      <c r="J14" s="22">
        <f t="shared" ref="J14:J18" si="2">J$23*$D14</f>
        <v>596895.33856718009</v>
      </c>
      <c r="K14" s="184">
        <f>'Exh JDT-5 (Rate Design)'!$F$25+'Exh JDT-5 (Rate Design)'!$F$30</f>
        <v>228425254</v>
      </c>
      <c r="L14" s="59">
        <f t="shared" ref="L14:L20" si="3">J14/K14</f>
        <v>2.6130882120729967E-3</v>
      </c>
    </row>
    <row r="15" spans="1:13" ht="12.75" customHeight="1" x14ac:dyDescent="0.2">
      <c r="A15" s="17">
        <f>IF(B15="","",MAX($A$1:A14)+1)</f>
        <v>3</v>
      </c>
      <c r="B15" s="11" t="s">
        <v>54</v>
      </c>
      <c r="C15" s="17" t="s">
        <v>172</v>
      </c>
      <c r="D15" s="183">
        <v>2.1675147737591442E-2</v>
      </c>
      <c r="E15" s="22">
        <f t="shared" si="0"/>
        <v>87461.729871390955</v>
      </c>
      <c r="F15" s="184">
        <f>'Exh JDT-5 (Rate Design)'!$E$47+'Exh JDT-5 (Rate Design)'!$E$59</f>
        <v>82086857.999999985</v>
      </c>
      <c r="G15" s="59">
        <f t="shared" si="1"/>
        <v>1.0654778609188692E-3</v>
      </c>
      <c r="J15" s="22">
        <f t="shared" si="2"/>
        <v>87461.729871390955</v>
      </c>
      <c r="K15" s="184">
        <f>'Exh JDT-5 (Rate Design)'!$F$47+'Exh JDT-5 (Rate Design)'!$F$59</f>
        <v>81627418</v>
      </c>
      <c r="L15" s="59">
        <f t="shared" si="3"/>
        <v>1.0714749040744E-3</v>
      </c>
    </row>
    <row r="16" spans="1:13" ht="12.75" customHeight="1" x14ac:dyDescent="0.2">
      <c r="A16" s="17">
        <f>IF(B16="","",MAX($A$1:A15)+1)</f>
        <v>4</v>
      </c>
      <c r="B16" s="11" t="s">
        <v>60</v>
      </c>
      <c r="C16" s="17" t="s">
        <v>173</v>
      </c>
      <c r="D16" s="183">
        <v>8.3697580518314225E-3</v>
      </c>
      <c r="E16" s="22">
        <f t="shared" si="0"/>
        <v>33772.942481430277</v>
      </c>
      <c r="F16" s="184">
        <f>'Exh JDT-5 (Rate Design)'!$E$77+'Exh JDT-5 (Rate Design)'!$E$89</f>
        <v>79412663</v>
      </c>
      <c r="G16" s="59">
        <f t="shared" si="1"/>
        <v>4.2528409457104186E-4</v>
      </c>
      <c r="J16" s="22">
        <f t="shared" si="2"/>
        <v>33772.942481430277</v>
      </c>
      <c r="K16" s="184">
        <f>'Exh JDT-5 (Rate Design)'!$F$77+'Exh JDT-5 (Rate Design)'!$F$89</f>
        <v>78188043.999999985</v>
      </c>
      <c r="L16" s="59">
        <f t="shared" si="3"/>
        <v>4.319450999622178E-4</v>
      </c>
    </row>
    <row r="17" spans="1:12" ht="12.75" customHeight="1" x14ac:dyDescent="0.2">
      <c r="A17" s="17">
        <f>IF(B17="","",MAX($A$1:A16)+1)</f>
        <v>5</v>
      </c>
      <c r="B17" s="11" t="s">
        <v>66</v>
      </c>
      <c r="C17" s="17" t="s">
        <v>174</v>
      </c>
      <c r="D17" s="183">
        <v>1.4086895144600697E-3</v>
      </c>
      <c r="E17" s="22">
        <f t="shared" si="0"/>
        <v>5684.2252370298393</v>
      </c>
      <c r="F17" s="184">
        <f>'Exh JDT-5 (Rate Design)'!$E$106+'Exh JDT-5 (Rate Design)'!$E$117</f>
        <v>5861046.0000000009</v>
      </c>
      <c r="G17" s="59">
        <f t="shared" si="1"/>
        <v>9.6983119344735361E-4</v>
      </c>
      <c r="J17" s="22">
        <f t="shared" si="2"/>
        <v>5684.2252370298393</v>
      </c>
      <c r="K17" s="184">
        <f>'Exh JDT-5 (Rate Design)'!$F$106+'Exh JDT-5 (Rate Design)'!$F$117</f>
        <v>5697711.0000000009</v>
      </c>
      <c r="L17" s="59">
        <f t="shared" si="3"/>
        <v>9.9763312618520632E-4</v>
      </c>
    </row>
    <row r="18" spans="1:12" ht="12.75" customHeight="1" x14ac:dyDescent="0.2">
      <c r="A18" s="17">
        <f>IF(B18="","",MAX($A$1:A17)+1)</f>
        <v>6</v>
      </c>
      <c r="B18" s="11" t="s">
        <v>175</v>
      </c>
      <c r="C18" s="17" t="s">
        <v>176</v>
      </c>
      <c r="D18" s="183">
        <v>4.7315867281589544E-3</v>
      </c>
      <c r="E18" s="22">
        <f t="shared" si="0"/>
        <v>19092.500096946624</v>
      </c>
      <c r="F18" s="184">
        <f>'Exh JDT-5 (Rate Design)'!$E$138+'Exh JDT-5 (Rate Design)'!$E$153</f>
        <v>86701643.719999999</v>
      </c>
      <c r="G18" s="59">
        <f t="shared" si="1"/>
        <v>2.2020920570554813E-4</v>
      </c>
      <c r="J18" s="22">
        <f t="shared" si="2"/>
        <v>19092.500096946624</v>
      </c>
      <c r="K18" s="184">
        <f>'Exh JDT-5 (Rate Design)'!$F$138+'Exh JDT-5 (Rate Design)'!$F$153</f>
        <v>85091797.719999999</v>
      </c>
      <c r="L18" s="59">
        <f t="shared" si="3"/>
        <v>2.2437532886273852E-4</v>
      </c>
    </row>
    <row r="19" spans="1:12" ht="12.75" customHeight="1" x14ac:dyDescent="0.2">
      <c r="A19" s="17">
        <f>IF(B19="","",MAX($A$1:A18)+1)</f>
        <v>7</v>
      </c>
      <c r="B19" s="11" t="s">
        <v>177</v>
      </c>
      <c r="C19" s="17" t="s">
        <v>138</v>
      </c>
      <c r="D19" s="183">
        <v>4.5243423945697279E-4</v>
      </c>
      <c r="E19" s="22">
        <f>E$23*$D19</f>
        <v>1825.6245223798917</v>
      </c>
      <c r="F19" s="184">
        <f>'Exh JDT-5 (Rate Design)'!$E$173</f>
        <v>39295144</v>
      </c>
      <c r="G19" s="59">
        <f t="shared" si="1"/>
        <v>4.6459290806515218E-5</v>
      </c>
      <c r="J19" s="22">
        <f>J$23*$D19</f>
        <v>1825.6245223798917</v>
      </c>
      <c r="K19" s="184">
        <f>'Exh JDT-5 (Rate Design)'!$F$173</f>
        <v>51695658</v>
      </c>
      <c r="L19" s="59">
        <f t="shared" si="3"/>
        <v>3.5314852214085211E-5</v>
      </c>
    </row>
    <row r="20" spans="1:12" ht="12.75" customHeight="1" x14ac:dyDescent="0.2">
      <c r="A20" s="17">
        <f>IF(B20="","",MAX($A$1:A19)+1)</f>
        <v>8</v>
      </c>
      <c r="B20" s="11" t="s">
        <v>90</v>
      </c>
      <c r="C20" s="17"/>
      <c r="D20" s="183">
        <v>1.4191901686852659E-3</v>
      </c>
      <c r="E20" s="22">
        <f>E$23*$D20</f>
        <v>5726.5965922074647</v>
      </c>
      <c r="F20" s="184">
        <f>'Exh JDT-5 (Rate Design)'!$E$181</f>
        <v>32030387</v>
      </c>
      <c r="G20" s="59">
        <f t="shared" si="1"/>
        <v>1.7878636908781229E-4</v>
      </c>
      <c r="J20" s="22">
        <f>J$23*$D20</f>
        <v>5726.5965922074647</v>
      </c>
      <c r="K20" s="184">
        <f>'Exh JDT-5 (Rate Design)'!$F$181</f>
        <v>31663047.999999996</v>
      </c>
      <c r="L20" s="59">
        <f t="shared" si="3"/>
        <v>1.8086055998801711E-4</v>
      </c>
    </row>
    <row r="21" spans="1:12" ht="12.75" customHeight="1" x14ac:dyDescent="0.2">
      <c r="A21" s="17">
        <f>IF(B21="","",MAX($A$1:A20)+1)</f>
        <v>9</v>
      </c>
      <c r="B21" s="11" t="s">
        <v>81</v>
      </c>
      <c r="D21" s="61">
        <f>SUM(D13:D20)</f>
        <v>0.99999999999999989</v>
      </c>
      <c r="E21" s="62">
        <f>SUM(E13:E20)</f>
        <v>4035115.7431653915</v>
      </c>
      <c r="F21" s="63">
        <f>SUM(F13:F20)</f>
        <v>1093881399.72</v>
      </c>
      <c r="J21" s="62">
        <f>SUM(J13:J20)</f>
        <v>4035115.7431653915</v>
      </c>
      <c r="K21" s="63">
        <f>SUM(K13:K20)</f>
        <v>1096718278.72</v>
      </c>
    </row>
    <row r="22" spans="1:12" ht="12.75" customHeight="1" x14ac:dyDescent="0.2">
      <c r="A22" s="17" t="str">
        <f>IF(B22="","",MAX($A$1:A21)+1)</f>
        <v/>
      </c>
      <c r="E22" s="64"/>
      <c r="J22" s="64"/>
    </row>
    <row r="23" spans="1:12" ht="12.75" customHeight="1" x14ac:dyDescent="0.2">
      <c r="A23" s="17">
        <f>IF(B23="","",MAX($A$1:A22)+1)</f>
        <v>10</v>
      </c>
      <c r="B23" s="11" t="s">
        <v>178</v>
      </c>
      <c r="E23" s="22">
        <v>4035115.743165392</v>
      </c>
      <c r="J23" s="22">
        <v>4035115.743165392</v>
      </c>
    </row>
    <row r="24" spans="1:12" ht="12.75" customHeight="1" x14ac:dyDescent="0.2">
      <c r="E24" s="15"/>
    </row>
    <row r="25" spans="1:12" ht="14.25" x14ac:dyDescent="0.2">
      <c r="B25" s="11" t="s">
        <v>179</v>
      </c>
      <c r="E25" s="15"/>
    </row>
    <row r="26" spans="1:12" ht="12.75" customHeight="1" x14ac:dyDescent="0.2">
      <c r="B26" s="11" t="s">
        <v>180</v>
      </c>
      <c r="E26" s="15"/>
    </row>
    <row r="27" spans="1:12" ht="12.75" customHeight="1" x14ac:dyDescent="0.2">
      <c r="E27" s="15"/>
    </row>
    <row r="28" spans="1:12" ht="12.75" customHeight="1" x14ac:dyDescent="0.2">
      <c r="B28" s="11" t="s">
        <v>123</v>
      </c>
      <c r="E28" s="19">
        <f>E21-E23</f>
        <v>0</v>
      </c>
      <c r="F28" s="50">
        <v>0</v>
      </c>
      <c r="J28" s="19">
        <f>J21-J23</f>
        <v>0</v>
      </c>
      <c r="K28" s="50">
        <v>0</v>
      </c>
    </row>
    <row r="29" spans="1:12" ht="12.75" customHeight="1" x14ac:dyDescent="0.2">
      <c r="B29" s="65"/>
      <c r="C29" s="65"/>
      <c r="D29" s="65"/>
      <c r="E29" s="65"/>
    </row>
    <row r="30" spans="1:12" ht="12.75" customHeight="1" x14ac:dyDescent="0.2">
      <c r="E30" s="15"/>
    </row>
    <row r="31" spans="1:12" ht="12.75" customHeight="1" x14ac:dyDescent="0.2"/>
    <row r="32" spans="1:12" x14ac:dyDescent="0.2">
      <c r="E32" s="15"/>
    </row>
    <row r="33" spans="5:5" x14ac:dyDescent="0.2">
      <c r="E33" s="15"/>
    </row>
  </sheetData>
  <mergeCells count="3">
    <mergeCell ref="J5:M5"/>
    <mergeCell ref="E7:H7"/>
    <mergeCell ref="J7:M7"/>
  </mergeCells>
  <printOptions horizontalCentered="1"/>
  <pageMargins left="0.45" right="0.45" top="0.75" bottom="0.75" header="0.3" footer="0.3"/>
  <pageSetup scale="72" orientation="landscape" blackAndWhite="1" r:id="rId1"/>
  <headerFooter>
    <oddFooter>&amp;R&amp;A
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zoomScale="90" zoomScaleNormal="90" zoomScaleSheetLayoutView="90" workbookViewId="0">
      <selection activeCell="E30" sqref="E30"/>
    </sheetView>
  </sheetViews>
  <sheetFormatPr defaultColWidth="9.140625" defaultRowHeight="12.75" x14ac:dyDescent="0.2"/>
  <cols>
    <col min="1" max="1" width="5" style="185" bestFit="1" customWidth="1"/>
    <col min="2" max="2" width="36.85546875" style="185" customWidth="1"/>
    <col min="3" max="8" width="16.7109375" style="185" customWidth="1"/>
    <col min="9" max="16384" width="9.140625" style="185"/>
  </cols>
  <sheetData>
    <row r="1" spans="1:8" x14ac:dyDescent="0.2">
      <c r="A1" s="28" t="s">
        <v>144</v>
      </c>
      <c r="C1" s="186"/>
      <c r="D1" s="186"/>
      <c r="E1" s="186"/>
      <c r="F1" s="186"/>
      <c r="G1" s="186"/>
      <c r="H1" s="186"/>
    </row>
    <row r="2" spans="1:8" x14ac:dyDescent="0.2">
      <c r="A2" s="28" t="s">
        <v>193</v>
      </c>
      <c r="C2" s="186"/>
      <c r="D2" s="186"/>
      <c r="E2" s="186"/>
      <c r="F2" s="186"/>
      <c r="G2" s="186"/>
      <c r="H2" s="186"/>
    </row>
    <row r="3" spans="1:8" x14ac:dyDescent="0.2">
      <c r="A3" s="28" t="s">
        <v>194</v>
      </c>
      <c r="C3" s="186"/>
      <c r="D3" s="186"/>
      <c r="E3" s="186"/>
      <c r="F3" s="186"/>
      <c r="G3" s="186"/>
      <c r="H3" s="186"/>
    </row>
    <row r="4" spans="1:8" x14ac:dyDescent="0.2">
      <c r="A4" s="28" t="s">
        <v>181</v>
      </c>
      <c r="C4" s="186"/>
      <c r="D4" s="186"/>
      <c r="E4" s="186"/>
      <c r="F4" s="186"/>
      <c r="G4" s="186"/>
      <c r="H4" s="186"/>
    </row>
    <row r="6" spans="1:8" ht="38.25" x14ac:dyDescent="0.2">
      <c r="A6" s="187" t="s">
        <v>1</v>
      </c>
      <c r="B6" s="188" t="s">
        <v>80</v>
      </c>
      <c r="C6" s="187" t="s">
        <v>81</v>
      </c>
      <c r="D6" s="189" t="s">
        <v>84</v>
      </c>
      <c r="E6" s="189" t="s">
        <v>85</v>
      </c>
      <c r="F6" s="187" t="s">
        <v>86</v>
      </c>
      <c r="G6" s="187" t="s">
        <v>87</v>
      </c>
      <c r="H6" s="187" t="s">
        <v>88</v>
      </c>
    </row>
    <row r="7" spans="1:8" x14ac:dyDescent="0.2">
      <c r="B7" s="190" t="s">
        <v>15</v>
      </c>
      <c r="C7" s="190" t="s">
        <v>16</v>
      </c>
      <c r="D7" s="190" t="s">
        <v>17</v>
      </c>
      <c r="E7" s="190" t="s">
        <v>18</v>
      </c>
      <c r="F7" s="190" t="s">
        <v>19</v>
      </c>
      <c r="G7" s="190" t="s">
        <v>20</v>
      </c>
      <c r="H7" s="190" t="s">
        <v>21</v>
      </c>
    </row>
    <row r="9" spans="1:8" x14ac:dyDescent="0.2">
      <c r="A9" s="17">
        <f>IF(B9="","",MAX($A$1:A8)+1)</f>
        <v>1</v>
      </c>
      <c r="B9" s="185" t="s">
        <v>182</v>
      </c>
      <c r="C9" s="191">
        <f>SUM(D9:H9)</f>
        <v>1712694.6428809846</v>
      </c>
      <c r="D9" s="191">
        <v>1149121.6755979136</v>
      </c>
      <c r="E9" s="191">
        <v>329229.02351600188</v>
      </c>
      <c r="F9" s="191">
        <v>109964.3984075703</v>
      </c>
      <c r="G9" s="191">
        <v>28113.456045510036</v>
      </c>
      <c r="H9" s="191">
        <v>96266.089313988807</v>
      </c>
    </row>
    <row r="10" spans="1:8" x14ac:dyDescent="0.2">
      <c r="A10" s="17">
        <f>IF(B10="","",MAX($A$1:A9)+1)</f>
        <v>2</v>
      </c>
      <c r="B10" s="185" t="s">
        <v>183</v>
      </c>
      <c r="C10" s="66">
        <f>C9/C18</f>
        <v>4.923797148514015E-3</v>
      </c>
      <c r="D10" s="66">
        <f t="shared" ref="D10:H10" si="0">D9/D18</f>
        <v>4.9237971485140159E-3</v>
      </c>
      <c r="E10" s="66">
        <f t="shared" si="0"/>
        <v>4.923797148514015E-3</v>
      </c>
      <c r="F10" s="66">
        <f t="shared" si="0"/>
        <v>4.9237971485140142E-3</v>
      </c>
      <c r="G10" s="66">
        <f t="shared" si="0"/>
        <v>4.9237971485140168E-3</v>
      </c>
      <c r="H10" s="66">
        <f t="shared" si="0"/>
        <v>4.9237971485140159E-3</v>
      </c>
    </row>
    <row r="11" spans="1:8" x14ac:dyDescent="0.2">
      <c r="A11" s="17" t="str">
        <f>IF(B11="","",MAX($A$1:A10)+1)</f>
        <v/>
      </c>
    </row>
    <row r="12" spans="1:8" x14ac:dyDescent="0.2">
      <c r="A12" s="17">
        <f>IF(B12="","",MAX($A$1:A11)+1)</f>
        <v>3</v>
      </c>
      <c r="B12" s="185" t="s">
        <v>184</v>
      </c>
      <c r="C12" s="191">
        <f>SUM(D12:H12)</f>
        <v>4271618.8454864519</v>
      </c>
      <c r="D12" s="191">
        <v>3193835.9386282852</v>
      </c>
      <c r="E12" s="191">
        <v>679510.47153178859</v>
      </c>
      <c r="F12" s="191">
        <v>161195.74364909017</v>
      </c>
      <c r="G12" s="191">
        <v>79572.453607947842</v>
      </c>
      <c r="H12" s="191">
        <v>157504.23806934009</v>
      </c>
    </row>
    <row r="13" spans="1:8" x14ac:dyDescent="0.2">
      <c r="A13" s="17">
        <f>IF(B13="","",MAX($A$1:A12)+1)</f>
        <v>4</v>
      </c>
      <c r="B13" s="185" t="s">
        <v>183</v>
      </c>
      <c r="C13" s="66">
        <f t="shared" ref="C13:H13" si="1">C12/C18</f>
        <v>1.2280405487556883E-2</v>
      </c>
      <c r="D13" s="66">
        <f t="shared" si="1"/>
        <v>1.3685061052613991E-2</v>
      </c>
      <c r="E13" s="66">
        <f t="shared" si="1"/>
        <v>1.0162444630131511E-2</v>
      </c>
      <c r="F13" s="66">
        <f t="shared" si="1"/>
        <v>7.2177464199844671E-3</v>
      </c>
      <c r="G13" s="66">
        <f t="shared" si="1"/>
        <v>1.3936337799978566E-2</v>
      </c>
      <c r="H13" s="66">
        <f t="shared" si="1"/>
        <v>8.0559927572750756E-3</v>
      </c>
    </row>
    <row r="14" spans="1:8" x14ac:dyDescent="0.2">
      <c r="A14" s="17" t="str">
        <f>IF(B14="","",MAX($A$1:A13)+1)</f>
        <v/>
      </c>
      <c r="C14" s="67"/>
      <c r="D14" s="67"/>
      <c r="E14" s="67"/>
      <c r="F14" s="67"/>
      <c r="G14" s="67"/>
      <c r="H14" s="67"/>
    </row>
    <row r="15" spans="1:8" x14ac:dyDescent="0.2">
      <c r="A15" s="17">
        <f>IF(B15="","",MAX($A$1:A14)+1)</f>
        <v>5</v>
      </c>
      <c r="B15" s="185" t="s">
        <v>185</v>
      </c>
      <c r="C15" s="191">
        <f>SUM(D15:H15)</f>
        <v>5984313.4883674365</v>
      </c>
      <c r="D15" s="22">
        <f>D12+D9</f>
        <v>4342957.6142261988</v>
      </c>
      <c r="E15" s="22">
        <f t="shared" ref="E15:H15" si="2">E12+E9</f>
        <v>1008739.4950477905</v>
      </c>
      <c r="F15" s="22">
        <f t="shared" si="2"/>
        <v>271160.14205666049</v>
      </c>
      <c r="G15" s="22">
        <f t="shared" si="2"/>
        <v>107685.90965345787</v>
      </c>
      <c r="H15" s="22">
        <f t="shared" si="2"/>
        <v>253770.3273833289</v>
      </c>
    </row>
    <row r="16" spans="1:8" x14ac:dyDescent="0.2">
      <c r="A16" s="17">
        <f>IF(B16="","",MAX($A$1:A15)+1)</f>
        <v>6</v>
      </c>
      <c r="B16" s="185" t="s">
        <v>186</v>
      </c>
      <c r="C16" s="192">
        <f>C13+C10</f>
        <v>1.7204202636070899E-2</v>
      </c>
      <c r="D16" s="192">
        <f t="shared" ref="D16:H16" si="3">D13+D10</f>
        <v>1.8608858201128009E-2</v>
      </c>
      <c r="E16" s="192">
        <f t="shared" si="3"/>
        <v>1.5086241778645527E-2</v>
      </c>
      <c r="F16" s="192">
        <f t="shared" si="3"/>
        <v>1.2141543568498482E-2</v>
      </c>
      <c r="G16" s="192">
        <f t="shared" si="3"/>
        <v>1.8860134948492584E-2</v>
      </c>
      <c r="H16" s="192">
        <f t="shared" si="3"/>
        <v>1.2979789905789092E-2</v>
      </c>
    </row>
    <row r="17" spans="1:8" x14ac:dyDescent="0.2">
      <c r="A17" s="17" t="str">
        <f>IF(B17="","",MAX($A$1:A16)+1)</f>
        <v/>
      </c>
      <c r="C17" s="192"/>
      <c r="D17" s="192"/>
      <c r="E17" s="192"/>
      <c r="F17" s="192"/>
      <c r="G17" s="192"/>
      <c r="H17" s="192"/>
    </row>
    <row r="18" spans="1:8" x14ac:dyDescent="0.2">
      <c r="A18" s="17">
        <f>IF(B18="","",MAX($A$1:A17)+1)</f>
        <v>7</v>
      </c>
      <c r="B18" s="185" t="s">
        <v>187</v>
      </c>
      <c r="C18" s="193">
        <f>SUM(D18:H18)</f>
        <v>347840211.77596033</v>
      </c>
      <c r="D18" s="194">
        <f>'Exh JDT-5 (Rate Design)'!D25</f>
        <v>233381197.66869646</v>
      </c>
      <c r="E18" s="194">
        <f>'Exh JDT-5 (Rate Design)'!D47</f>
        <v>66864863.353552669</v>
      </c>
      <c r="F18" s="194">
        <f>'Exh JDT-5 (Rate Design)'!D77</f>
        <v>22333251.165872503</v>
      </c>
      <c r="G18" s="194">
        <f>'Exh JDT-5 (Rate Design)'!D106</f>
        <v>5709710.4526319839</v>
      </c>
      <c r="H18" s="194">
        <f>'Exh JDT-5 (Rate Design)'!D138</f>
        <v>19551189.13520667</v>
      </c>
    </row>
    <row r="19" spans="1:8" x14ac:dyDescent="0.2">
      <c r="A19" s="17" t="str">
        <f>IF(B19="","",MAX($A$1:A18)+1)</f>
        <v/>
      </c>
    </row>
    <row r="20" spans="1:8" x14ac:dyDescent="0.2">
      <c r="A20" s="17">
        <f>IF(B20="","",MAX($A$1:A19)+1)</f>
        <v>8</v>
      </c>
      <c r="B20" s="185" t="s">
        <v>188</v>
      </c>
      <c r="D20" s="192">
        <f>'Exh JDT-5 (Rate Design)'!H26</f>
        <v>1.4919999999999999E-2</v>
      </c>
      <c r="E20" s="192">
        <f>'Exh JDT-5 (Rate Design)'!H40</f>
        <v>1.119E-2</v>
      </c>
      <c r="F20" s="192">
        <f>'Exh JDT-5 (Rate Design)'!H70</f>
        <v>7.7999999999999996E-3</v>
      </c>
      <c r="G20" s="192">
        <f>'Exh JDT-5 (Rate Design)'!H100</f>
        <v>1.222E-2</v>
      </c>
      <c r="H20" s="192">
        <f>'Exh JDT-5 (Rate Design)'!H128</f>
        <v>9.3200000000000002E-3</v>
      </c>
    </row>
    <row r="21" spans="1:8" x14ac:dyDescent="0.2">
      <c r="A21" s="17" t="str">
        <f>IF(B21="","",MAX($A$1:A20)+1)</f>
        <v/>
      </c>
      <c r="D21" s="195"/>
    </row>
    <row r="22" spans="1:8" x14ac:dyDescent="0.2">
      <c r="A22" s="17">
        <f>IF(B22="","",MAX($A$1:A21)+1)</f>
        <v>9</v>
      </c>
      <c r="B22" s="196" t="s">
        <v>189</v>
      </c>
    </row>
    <row r="23" spans="1:8" x14ac:dyDescent="0.2">
      <c r="A23" s="17">
        <f>IF(B23="","",MAX($A$1:A22)+1)</f>
        <v>10</v>
      </c>
      <c r="B23" s="185" t="s">
        <v>190</v>
      </c>
      <c r="D23" s="192">
        <f>'Exh JDT-5 (Rate Des Sum)'!$U$13</f>
        <v>1.8610000000000002E-2</v>
      </c>
      <c r="E23" s="192">
        <f>'Exh JDT-5 (Rate Des Sum)'!$U$16</f>
        <v>1.5089999999999999E-2</v>
      </c>
      <c r="F23" s="192">
        <f>'Exh JDT-5 (Rate Des Sum)'!$U$24</f>
        <v>1.214E-2</v>
      </c>
      <c r="G23" s="192">
        <f>'Exh JDT-5 (Rate Des Sum)'!$U$32</f>
        <v>1.6480000000000002E-2</v>
      </c>
      <c r="H23" s="192">
        <f>'Exh JDT-5 (Rate Des Sum)'!$U$38</f>
        <v>1.298E-2</v>
      </c>
    </row>
    <row r="24" spans="1:8" x14ac:dyDescent="0.2">
      <c r="A24" s="17">
        <f>IF(B24="","",MAX($A$1:A23)+1)</f>
        <v>11</v>
      </c>
      <c r="B24" s="185" t="s">
        <v>191</v>
      </c>
      <c r="D24" s="197">
        <f>D23/D20-1</f>
        <v>0.24731903485254714</v>
      </c>
      <c r="E24" s="197">
        <f>E23/E20-1</f>
        <v>0.34852546916890059</v>
      </c>
      <c r="F24" s="197">
        <f>F23/F20-1</f>
        <v>0.55641025641025643</v>
      </c>
      <c r="G24" s="197">
        <f>G23/G20-1</f>
        <v>0.34860883797054032</v>
      </c>
      <c r="H24" s="197">
        <f>H23/H20-1</f>
        <v>0.39270386266094426</v>
      </c>
    </row>
    <row r="25" spans="1:8" x14ac:dyDescent="0.2">
      <c r="A25" s="17" t="str">
        <f>IF(B25="","",MAX($A$1:A24)+1)</f>
        <v/>
      </c>
    </row>
    <row r="26" spans="1:8" x14ac:dyDescent="0.2">
      <c r="A26" s="17">
        <f>IF(B26="","",MAX($A$1:A25)+1)</f>
        <v>12</v>
      </c>
      <c r="B26" s="185" t="s">
        <v>192</v>
      </c>
      <c r="D26" s="192">
        <f>'Exh JDT-5 (Rate Des Sum)'!$V$13</f>
        <v>1.8610000000000002E-2</v>
      </c>
      <c r="E26" s="192">
        <f>'Exh JDT-5 (Rate Des Sum)'!$V$16</f>
        <v>1.5089999999999999E-2</v>
      </c>
      <c r="F26" s="192">
        <f>'Exh JDT-5 (Rate Des Sum)'!$V$24</f>
        <v>1.214E-2</v>
      </c>
      <c r="G26" s="192">
        <f>'Exh JDT-5 (Rate Des Sum)'!$V$32</f>
        <v>1.7100000000000001E-2</v>
      </c>
      <c r="H26" s="192">
        <f>'Exh JDT-5 (Rate Des Sum)'!$V$38</f>
        <v>1.298E-2</v>
      </c>
    </row>
    <row r="27" spans="1:8" x14ac:dyDescent="0.2">
      <c r="A27" s="17">
        <f>IF(B27="","",MAX($A$1:A26)+1)</f>
        <v>13</v>
      </c>
      <c r="B27" s="185" t="s">
        <v>191</v>
      </c>
      <c r="D27" s="197">
        <f>D26/D23-1</f>
        <v>0</v>
      </c>
      <c r="E27" s="197">
        <f>E26/E23-1</f>
        <v>0</v>
      </c>
      <c r="F27" s="197">
        <f>F26/F23-1</f>
        <v>0</v>
      </c>
      <c r="G27" s="197">
        <f>G26/G23-1</f>
        <v>3.762135922330101E-2</v>
      </c>
      <c r="H27" s="197">
        <f>H26/H23-1</f>
        <v>0</v>
      </c>
    </row>
  </sheetData>
  <printOptions horizontalCentered="1"/>
  <pageMargins left="0.75" right="0.75" top="1" bottom="1" header="0.5" footer="0.5"/>
  <pageSetup scale="85" orientation="landscape" blackAndWhite="1" r:id="rId1"/>
  <headerFooter alignWithMargins="0">
    <oddFooter>&amp;R&amp;A
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80B5B5F-3BCD-4A05-B219-7064940417C1}"/>
</file>

<file path=customXml/itemProps2.xml><?xml version="1.0" encoding="utf-8"?>
<ds:datastoreItem xmlns:ds="http://schemas.openxmlformats.org/officeDocument/2006/customXml" ds:itemID="{68591195-9B4E-44F0-8F46-ECAC3BB7572B}"/>
</file>

<file path=customXml/itemProps3.xml><?xml version="1.0" encoding="utf-8"?>
<ds:datastoreItem xmlns:ds="http://schemas.openxmlformats.org/officeDocument/2006/customXml" ds:itemID="{231A6178-06FC-45BE-9E33-F3F9494FE638}"/>
</file>

<file path=customXml/itemProps4.xml><?xml version="1.0" encoding="utf-8"?>
<ds:datastoreItem xmlns:ds="http://schemas.openxmlformats.org/officeDocument/2006/customXml" ds:itemID="{CA4574ED-0CC3-4BD3-B35A-5A18225A3A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Exh JDT-5 (Rate Des Sum)</vt:lpstr>
      <vt:lpstr>Exh JDT-5 (Rate Spread)</vt:lpstr>
      <vt:lpstr>Exh JDT-5 (Rate Design)</vt:lpstr>
      <vt:lpstr>Exh JDT-5 (141DCARB)</vt:lpstr>
      <vt:lpstr>Exh JDT-5 (Procmnt Chrg)</vt:lpstr>
      <vt:lpstr>'Exh JDT-5 (141DCARB)'!Print_Area</vt:lpstr>
      <vt:lpstr>'Exh JDT-5 (Procmnt Chrg)'!Print_Area</vt:lpstr>
      <vt:lpstr>'Exh JDT-5 (Rate Design)'!Print_Area</vt:lpstr>
      <vt:lpstr>'Exh JDT-5 (Rate Spread)'!Print_Area</vt:lpstr>
      <vt:lpstr>'Exh JDT-5 (Rate Des Sum)'!Print_Titles</vt:lpstr>
      <vt:lpstr>'Exh JDT-5 (Rate Design)'!Print_Titles</vt:lpstr>
      <vt:lpstr>'Exh JDT-5 (Rate Spread)'!Print_Titles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Schmidt, Paul</cp:lastModifiedBy>
  <cp:lastPrinted>2024-02-08T02:56:24Z</cp:lastPrinted>
  <dcterms:created xsi:type="dcterms:W3CDTF">2024-02-08T02:52:27Z</dcterms:created>
  <dcterms:modified xsi:type="dcterms:W3CDTF">2024-02-08T02:57:07Z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