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8" activeTab="0"/>
  </bookViews>
  <sheets>
    <sheet name="2008" sheetId="1" r:id="rId1"/>
    <sheet name="2007" sheetId="2" r:id="rId2"/>
    <sheet name="2006" sheetId="3" r:id="rId3"/>
    <sheet name="2005" sheetId="4" r:id="rId4"/>
  </sheets>
  <externalReferences>
    <externalReference r:id="rId7"/>
  </externalReferences>
  <definedNames>
    <definedName name="_xlnm.Print_Area" localSheetId="2">'2006'!$A$1:$H$59</definedName>
    <definedName name="_xlnm.Print_Area" localSheetId="1">'2007'!$A$1:$H$59</definedName>
    <definedName name="_xlnm.Print_Area" localSheetId="0">'2008'!$A$1:$H$59</definedName>
  </definedNames>
  <calcPr fullCalcOnLoad="1"/>
</workbook>
</file>

<file path=xl/comments1.xml><?xml version="1.0" encoding="utf-8"?>
<comments xmlns="http://schemas.openxmlformats.org/spreadsheetml/2006/main">
  <authors>
    <author>KZX5DR</author>
  </authors>
  <commentList>
    <comment ref="F22" authorId="0">
      <text>
        <r>
          <rPr>
            <sz val="11"/>
            <rFont val="Tahoma"/>
            <family val="2"/>
          </rPr>
          <t>less rounding</t>
        </r>
      </text>
    </comment>
  </commentList>
</comments>
</file>

<file path=xl/comments2.xml><?xml version="1.0" encoding="utf-8"?>
<comments xmlns="http://schemas.openxmlformats.org/spreadsheetml/2006/main">
  <authors>
    <author>KZX5DR</author>
  </authors>
  <commentList>
    <comment ref="F22" authorId="0">
      <text>
        <r>
          <rPr>
            <sz val="11"/>
            <rFont val="Tahoma"/>
            <family val="2"/>
          </rPr>
          <t>less rounding</t>
        </r>
      </text>
    </comment>
  </commentList>
</comments>
</file>

<file path=xl/sharedStrings.xml><?xml version="1.0" encoding="utf-8"?>
<sst xmlns="http://schemas.openxmlformats.org/spreadsheetml/2006/main" count="229" uniqueCount="56">
  <si>
    <t>Actuals</t>
  </si>
  <si>
    <t>Pro-Forma</t>
  </si>
  <si>
    <t>Adjust</t>
  </si>
  <si>
    <t>Expense</t>
  </si>
  <si>
    <t>Total Rev.</t>
  </si>
  <si>
    <t>Uncollectibles</t>
  </si>
  <si>
    <t>Commission Fees</t>
  </si>
  <si>
    <t>Sales to Ultimate Consumers</t>
  </si>
  <si>
    <t>Total</t>
  </si>
  <si>
    <t>Adj. K</t>
  </si>
  <si>
    <t>Adj. Q</t>
  </si>
  <si>
    <t>Operating Income before FIT</t>
  </si>
  <si>
    <t>B&amp;O Tax</t>
  </si>
  <si>
    <t>State Excise Tax</t>
  </si>
  <si>
    <t>Net Operating Income</t>
  </si>
  <si>
    <t>Revenue</t>
  </si>
  <si>
    <t>FIT Expense</t>
  </si>
  <si>
    <t>Norm. Adj.</t>
  </si>
  <si>
    <t>Nominal Rate</t>
  </si>
  <si>
    <t>Effective Rate</t>
  </si>
  <si>
    <t>Rev related exp.</t>
  </si>
  <si>
    <t>check</t>
  </si>
  <si>
    <t>Diff</t>
  </si>
  <si>
    <t>Weather Normalization</t>
  </si>
  <si>
    <t>Base Rate, Public Purpose Rider*, &amp; BPA Residential Exchange* Billed Rev.</t>
  </si>
  <si>
    <t>* zero in Pro-forma revenues</t>
  </si>
  <si>
    <t>Power Cost Surcharge - ERM</t>
  </si>
  <si>
    <t>Unbilled Revenue</t>
  </si>
  <si>
    <t>BPA Residential Exchange</t>
  </si>
  <si>
    <t>BPA Residential Exchange Unbilled</t>
  </si>
  <si>
    <t>Public Purpose Rider</t>
  </si>
  <si>
    <t>Public Purpose Rider Unbilled</t>
  </si>
  <si>
    <t xml:space="preserve">REVENUES  </t>
  </si>
  <si>
    <t xml:space="preserve">Total General Business  </t>
  </si>
  <si>
    <t xml:space="preserve">EXPENSES  </t>
  </si>
  <si>
    <t xml:space="preserve">Production and Transmission  </t>
  </si>
  <si>
    <t xml:space="preserve">Distribution  </t>
  </si>
  <si>
    <t xml:space="preserve">Customer Accounting  </t>
  </si>
  <si>
    <t xml:space="preserve">Customer Service &amp; Information  </t>
  </si>
  <si>
    <t xml:space="preserve">Administrative &amp; General  </t>
  </si>
  <si>
    <t xml:space="preserve">FEDERAL INCOME TAX  </t>
  </si>
  <si>
    <t xml:space="preserve">Current Accrual  </t>
  </si>
  <si>
    <t xml:space="preserve">NET OPERATING INCOME  </t>
  </si>
  <si>
    <t>for Commission Basis Adjustments file:</t>
  </si>
  <si>
    <t xml:space="preserve">Operating Expenses  </t>
  </si>
  <si>
    <t xml:space="preserve">Depreciation and Amortization  </t>
  </si>
  <si>
    <t xml:space="preserve">Taxes  </t>
  </si>
  <si>
    <t>Conver. Factor b4 FIT</t>
  </si>
  <si>
    <t>Power Cost Surcharge Amort. - ERM</t>
  </si>
  <si>
    <t>Power Cost Surcharge Amort. - ERM Unbilled</t>
  </si>
  <si>
    <t>Special Contract--transfer to Other Op Rev.</t>
  </si>
  <si>
    <t>Other Revenue</t>
  </si>
  <si>
    <t>amort only; excluding deferrals</t>
  </si>
  <si>
    <t>Sch 28 Waste-to-Egy; Sch 95 Wind</t>
  </si>
  <si>
    <t>WA Electric Revenue Normalization Adjustment--2007</t>
  </si>
  <si>
    <t>WA Electric Revenue Normalization Adjustment--12-mo ended Sep 2008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</si>
</sst>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"/>
    <numFmt numFmtId="165" formatCode="#,##0.0,"/>
    <numFmt numFmtId="166" formatCode="#,##0.00,"/>
    <numFmt numFmtId="167" formatCode="#,##0.000,"/>
    <numFmt numFmtId="168" formatCode="0.000"/>
    <numFmt numFmtId="169" formatCode="0.0000000000"/>
    <numFmt numFmtId="170" formatCode="0.000000000000"/>
    <numFmt numFmtId="171" formatCode="0.000000"/>
    <numFmt numFmtId="172" formatCode="0.0000%"/>
    <numFmt numFmtId="173" formatCode="0.00000"/>
    <numFmt numFmtId="174" formatCode="0.0000000000%"/>
    <numFmt numFmtId="175" formatCode="#,##0.0"/>
    <numFmt numFmtId="176" formatCode="#,##0.000"/>
    <numFmt numFmtId="177" formatCode="&quot;$&quot;#,##0"/>
    <numFmt numFmtId="178" formatCode="#,##0;\-#,##0;"/>
    <numFmt numFmtId="179" formatCode="0.00000%"/>
  </numFmts>
  <fonts count="12">
    <font>
      <sz val="10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9"/>
      <name val="Arial"/>
      <family val="0"/>
    </font>
    <font>
      <sz val="11"/>
      <name val="Tahoma"/>
      <family val="2"/>
    </font>
    <font>
      <sz val="10"/>
      <color indexed="1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4" fillId="0" borderId="3" xfId="0" applyNumberFormat="1" applyFont="1" applyBorder="1" applyAlignment="1" quotePrefix="1">
      <alignment horizontal="right"/>
    </xf>
    <xf numFmtId="3" fontId="0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0" fontId="7" fillId="0" borderId="0" xfId="0" applyFont="1" applyAlignment="1">
      <alignment/>
    </xf>
    <xf numFmtId="178" fontId="0" fillId="0" borderId="0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3" fontId="4" fillId="0" borderId="3" xfId="0" applyNumberFormat="1" applyFont="1" applyFill="1" applyBorder="1" applyAlignment="1" quotePrefix="1">
      <alignment horizontal="right"/>
    </xf>
    <xf numFmtId="0" fontId="3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ont="1" applyFill="1" applyAlignment="1">
      <alignment/>
    </xf>
    <xf numFmtId="178" fontId="10" fillId="0" borderId="0" xfId="0" applyNumberFormat="1" applyFont="1" applyAlignment="1">
      <alignment/>
    </xf>
    <xf numFmtId="177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ott\2009%20WA%20Case\Electric\Rate%20Design\WA%20Elec%20revenue%201.19.09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Usage Adj Summary"/>
      <sheetName val="Usage Adj Detail"/>
      <sheetName val="Rev Runs CY"/>
      <sheetName val="Rev Runs LY"/>
    </sheetNames>
    <sheetDataSet>
      <sheetData sheetId="0">
        <row r="130">
          <cell r="C130">
            <v>393781065.67061204</v>
          </cell>
        </row>
        <row r="143">
          <cell r="C143">
            <v>688904.73</v>
          </cell>
        </row>
        <row r="147">
          <cell r="C147">
            <v>-3516964.6399999997</v>
          </cell>
        </row>
        <row r="204">
          <cell r="C204">
            <v>390953005.7606121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60"/>
  <sheetViews>
    <sheetView showGridLines="0" tabSelected="1" zoomScale="85" zoomScaleNormal="85" workbookViewId="0" topLeftCell="A1">
      <pane ySplit="2" topLeftCell="BM23" activePane="bottomLeft" state="frozen"/>
      <selection pane="topLeft" activeCell="A1" sqref="A1"/>
      <selection pane="bottomLeft" activeCell="F39" sqref="F39:F59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6" width="10.7109375" style="0" customWidth="1"/>
    <col min="7" max="7" width="11.7109375" style="0" customWidth="1"/>
    <col min="8" max="8" width="19.00390625" style="0" customWidth="1"/>
  </cols>
  <sheetData>
    <row r="1" spans="1:6" ht="12.75">
      <c r="A1" s="43" t="s">
        <v>55</v>
      </c>
      <c r="E1" s="2" t="s">
        <v>8</v>
      </c>
      <c r="F1" s="28" t="s">
        <v>15</v>
      </c>
    </row>
    <row r="2" spans="3:6" ht="12.75">
      <c r="C2" s="2" t="s">
        <v>0</v>
      </c>
      <c r="D2" s="2" t="s">
        <v>1</v>
      </c>
      <c r="E2" s="2" t="s">
        <v>2</v>
      </c>
      <c r="F2" s="29" t="s">
        <v>17</v>
      </c>
    </row>
    <row r="3" spans="2:6" ht="12.75">
      <c r="B3" s="23" t="s">
        <v>15</v>
      </c>
      <c r="D3" s="1"/>
      <c r="E3" s="1"/>
      <c r="F3" s="30"/>
    </row>
    <row r="4" spans="2:6" ht="25.5">
      <c r="B4" s="27" t="s">
        <v>24</v>
      </c>
      <c r="C4" s="8">
        <f>C10-SUM(C7:C9)</f>
        <v>359946</v>
      </c>
      <c r="D4" s="44">
        <f>ROUND('[1]Pres &amp; Prop Rev'!$C$130/1000,0)</f>
        <v>393781</v>
      </c>
      <c r="E4" s="8">
        <f>D4-C4</f>
        <v>33835</v>
      </c>
      <c r="F4" s="41">
        <f>E4</f>
        <v>33835</v>
      </c>
    </row>
    <row r="5" spans="3:6" ht="12.75">
      <c r="C5" s="8"/>
      <c r="D5" s="9"/>
      <c r="E5" s="8"/>
      <c r="F5" s="41"/>
    </row>
    <row r="6" spans="2:6" ht="12.75">
      <c r="B6" t="s">
        <v>23</v>
      </c>
      <c r="C6" s="19"/>
      <c r="D6" s="44">
        <f>ROUND('[1]Pres &amp; Prop Rev'!$C$147/1000,0)</f>
        <v>-3517</v>
      </c>
      <c r="E6" s="8">
        <f>D6-C6</f>
        <v>-3517</v>
      </c>
      <c r="F6" s="41">
        <f>E6</f>
        <v>-3517</v>
      </c>
    </row>
    <row r="7" spans="2:6" ht="12.75">
      <c r="B7" s="3" t="s">
        <v>12</v>
      </c>
      <c r="C7" s="11">
        <v>13744</v>
      </c>
      <c r="D7" s="9">
        <v>0</v>
      </c>
      <c r="E7" s="8">
        <f>D7-C7</f>
        <v>-13744</v>
      </c>
      <c r="F7" s="42" t="s">
        <v>9</v>
      </c>
    </row>
    <row r="8" spans="2:6" ht="12.75">
      <c r="B8" s="3" t="s">
        <v>26</v>
      </c>
      <c r="C8" s="11">
        <v>32702</v>
      </c>
      <c r="D8" s="9">
        <v>0</v>
      </c>
      <c r="E8" s="8">
        <f>D8-C8</f>
        <v>-32702</v>
      </c>
      <c r="F8" s="42" t="s">
        <v>10</v>
      </c>
    </row>
    <row r="9" spans="2:6" ht="12.75">
      <c r="B9" t="s">
        <v>27</v>
      </c>
      <c r="C9" s="11">
        <v>2257</v>
      </c>
      <c r="D9" s="44">
        <f>ROUND('[1]Pres &amp; Prop Rev'!$C$143/1000,0)</f>
        <v>689</v>
      </c>
      <c r="E9" s="8">
        <f>D9-C9</f>
        <v>-1568</v>
      </c>
      <c r="F9" s="41">
        <f>E9</f>
        <v>-1568</v>
      </c>
    </row>
    <row r="10" spans="2:6" ht="12.75">
      <c r="B10" s="25" t="s">
        <v>7</v>
      </c>
      <c r="C10" s="14">
        <v>408649</v>
      </c>
      <c r="D10" s="15">
        <f>SUM(D4:D9)</f>
        <v>390953</v>
      </c>
      <c r="E10" s="15">
        <f>IF(ROUND(D10-C10,3)&lt;&gt;ROUND(SUM(E4:E9),3),#VALUE!,SUM(E4:E9))</f>
        <v>-17696</v>
      </c>
      <c r="F10" s="33">
        <f>SUM(F4:F9)</f>
        <v>28750</v>
      </c>
    </row>
    <row r="11" spans="2:7" ht="12.75">
      <c r="B11" s="3" t="s">
        <v>50</v>
      </c>
      <c r="C11" s="9">
        <f>-ROUND((260947+171255)/1000,0)</f>
        <v>-432</v>
      </c>
      <c r="D11" s="13">
        <v>0</v>
      </c>
      <c r="E11" s="10">
        <f>D11-C11</f>
        <v>432</v>
      </c>
      <c r="F11" s="31">
        <f>E11</f>
        <v>432</v>
      </c>
      <c r="G11" s="25" t="s">
        <v>53</v>
      </c>
    </row>
    <row r="12" spans="2:6" ht="12.75">
      <c r="B12" s="25" t="s">
        <v>4</v>
      </c>
      <c r="C12" s="16">
        <f>C10+C11</f>
        <v>408217</v>
      </c>
      <c r="D12" s="15">
        <f>D10+D11</f>
        <v>390953</v>
      </c>
      <c r="E12" s="15">
        <f>IF(ROUND(E10+E11,3)&lt;&gt;ROUND(D12-C12,3),#VALUE!,E10+E11)</f>
        <v>-17264</v>
      </c>
      <c r="F12" s="33">
        <f>F10+F11</f>
        <v>29182</v>
      </c>
    </row>
    <row r="13" spans="3:6" ht="12.75">
      <c r="C13" s="17"/>
      <c r="D13" s="40">
        <f>ROUND('[1]Pres &amp; Prop Rev'!$C$204/1000-D12,0)</f>
        <v>0</v>
      </c>
      <c r="E13" s="18"/>
      <c r="F13" s="31"/>
    </row>
    <row r="14" spans="2:6" ht="12.75">
      <c r="B14" s="23" t="s">
        <v>3</v>
      </c>
      <c r="C14" s="17"/>
      <c r="D14" s="18"/>
      <c r="E14" s="18"/>
      <c r="F14" s="31"/>
    </row>
    <row r="15" spans="2:6" ht="12.75">
      <c r="B15" s="3" t="s">
        <v>12</v>
      </c>
      <c r="C15" s="11">
        <v>13726</v>
      </c>
      <c r="D15" s="13">
        <v>0</v>
      </c>
      <c r="E15" s="18">
        <f aca="true" t="shared" si="0" ref="E15:E21">D15-C15</f>
        <v>-13726</v>
      </c>
      <c r="F15" s="42" t="s">
        <v>9</v>
      </c>
    </row>
    <row r="16" spans="2:7" ht="12.75">
      <c r="B16" s="3" t="s">
        <v>48</v>
      </c>
      <c r="C16" s="11">
        <v>31274</v>
      </c>
      <c r="D16" s="13">
        <v>0</v>
      </c>
      <c r="E16" s="18">
        <f t="shared" si="0"/>
        <v>-31274</v>
      </c>
      <c r="F16" s="42" t="s">
        <v>10</v>
      </c>
      <c r="G16" s="25" t="s">
        <v>52</v>
      </c>
    </row>
    <row r="17" spans="2:6" ht="12.75">
      <c r="B17" s="3" t="s">
        <v>49</v>
      </c>
      <c r="C17" s="11">
        <f>ROUND((31274155+69535)/1000,0)-C16</f>
        <v>70</v>
      </c>
      <c r="D17" s="13">
        <v>0</v>
      </c>
      <c r="E17" s="18">
        <f t="shared" si="0"/>
        <v>-70</v>
      </c>
      <c r="F17" s="31">
        <f>E17</f>
        <v>-70</v>
      </c>
    </row>
    <row r="18" spans="2:6" ht="12.75">
      <c r="B18" s="3" t="s">
        <v>28</v>
      </c>
      <c r="C18" s="11">
        <v>-2384</v>
      </c>
      <c r="D18" s="13">
        <v>0</v>
      </c>
      <c r="E18" s="18">
        <f t="shared" si="0"/>
        <v>2384</v>
      </c>
      <c r="F18" s="31">
        <f>E18</f>
        <v>2384</v>
      </c>
    </row>
    <row r="19" spans="2:6" ht="12.75">
      <c r="B19" s="3" t="s">
        <v>29</v>
      </c>
      <c r="C19" s="11">
        <f>ROUND(-(2384245+304127)/1000,0)-C18</f>
        <v>-304</v>
      </c>
      <c r="D19" s="13">
        <v>0</v>
      </c>
      <c r="E19" s="18">
        <f t="shared" si="0"/>
        <v>304</v>
      </c>
      <c r="F19" s="31">
        <f>E19</f>
        <v>304</v>
      </c>
    </row>
    <row r="20" spans="2:6" ht="12.75">
      <c r="B20" s="3" t="s">
        <v>30</v>
      </c>
      <c r="C20" s="11">
        <v>10389</v>
      </c>
      <c r="D20" s="13">
        <v>0</v>
      </c>
      <c r="E20" s="18">
        <f t="shared" si="0"/>
        <v>-10389</v>
      </c>
      <c r="F20" s="31">
        <f>E20</f>
        <v>-10389</v>
      </c>
    </row>
    <row r="21" spans="2:6" ht="12.75">
      <c r="B21" s="3" t="s">
        <v>31</v>
      </c>
      <c r="C21" s="11">
        <f>ROUND((10388728+298941)/1000,0)-C20</f>
        <v>299</v>
      </c>
      <c r="D21" s="13">
        <v>0</v>
      </c>
      <c r="E21" s="18">
        <f t="shared" si="0"/>
        <v>-299</v>
      </c>
      <c r="F21" s="31">
        <f>E21</f>
        <v>-299</v>
      </c>
    </row>
    <row r="22" spans="2:8" ht="12.75">
      <c r="B22" s="3" t="s">
        <v>13</v>
      </c>
      <c r="C22" s="19"/>
      <c r="D22" s="20"/>
      <c r="E22" s="21"/>
      <c r="F22" s="31">
        <f>ROUND(F$12*$G22,0)</f>
        <v>1127</v>
      </c>
      <c r="G22" s="45">
        <v>0.0386293</v>
      </c>
      <c r="H22" t="s">
        <v>18</v>
      </c>
    </row>
    <row r="23" spans="2:8" ht="12.75">
      <c r="B23" s="3" t="s">
        <v>5</v>
      </c>
      <c r="C23" s="19"/>
      <c r="D23" s="20"/>
      <c r="E23" s="21"/>
      <c r="F23" s="31">
        <f>ROUND(F$12*$G23,0)</f>
        <v>76</v>
      </c>
      <c r="G23" s="45">
        <v>0.0025994</v>
      </c>
      <c r="H23" t="s">
        <v>19</v>
      </c>
    </row>
    <row r="24" spans="2:8" ht="12.75">
      <c r="B24" s="3" t="s">
        <v>6</v>
      </c>
      <c r="C24" s="19"/>
      <c r="D24" s="20"/>
      <c r="E24" s="21"/>
      <c r="F24" s="31">
        <f>ROUND(F$12*$G24,0)</f>
        <v>58</v>
      </c>
      <c r="G24" s="45">
        <v>0.002</v>
      </c>
      <c r="H24" t="s">
        <v>18</v>
      </c>
    </row>
    <row r="25" spans="3:8" ht="12.75">
      <c r="C25" s="19"/>
      <c r="D25" s="20"/>
      <c r="E25" s="21"/>
      <c r="F25" s="33">
        <f>SUM(F15:F24)</f>
        <v>-6809</v>
      </c>
      <c r="G25" s="46">
        <f>SUM(G22:G24)</f>
        <v>0.0432287</v>
      </c>
      <c r="H25" t="s">
        <v>47</v>
      </c>
    </row>
    <row r="26" spans="3:7" ht="12.75">
      <c r="C26" s="19"/>
      <c r="D26" s="20"/>
      <c r="E26" s="21"/>
      <c r="F26" s="31"/>
      <c r="G26" s="47"/>
    </row>
    <row r="27" spans="2:7" ht="12.75">
      <c r="B27" s="24" t="s">
        <v>11</v>
      </c>
      <c r="C27" s="19"/>
      <c r="D27" s="20"/>
      <c r="E27" s="21"/>
      <c r="F27" s="31">
        <f>F12-F25</f>
        <v>35991</v>
      </c>
      <c r="G27" s="47"/>
    </row>
    <row r="28" spans="2:8" ht="12.75">
      <c r="B28" s="25" t="s">
        <v>16</v>
      </c>
      <c r="C28" s="19"/>
      <c r="D28" s="20"/>
      <c r="E28" s="21"/>
      <c r="F28" s="31">
        <f>ROUND(F27*$G28,0)</f>
        <v>12597</v>
      </c>
      <c r="G28" s="48">
        <v>0.35</v>
      </c>
      <c r="H28" t="s">
        <v>22</v>
      </c>
    </row>
    <row r="29" spans="2:6" ht="13.5" thickBot="1">
      <c r="B29" s="24" t="s">
        <v>14</v>
      </c>
      <c r="C29" s="19"/>
      <c r="D29" s="20"/>
      <c r="E29" s="21"/>
      <c r="F29" s="34">
        <f>F27-F28</f>
        <v>23394</v>
      </c>
    </row>
    <row r="30" spans="5:6" ht="13.5" thickTop="1">
      <c r="E30" s="5"/>
      <c r="F30" s="35"/>
    </row>
    <row r="31" spans="2:8" ht="12.75">
      <c r="B31" s="39" t="s">
        <v>25</v>
      </c>
      <c r="C31" s="1"/>
      <c r="D31" s="1"/>
      <c r="E31" s="1"/>
      <c r="G31" s="1">
        <f>F12</f>
        <v>29182</v>
      </c>
      <c r="H31" t="s">
        <v>15</v>
      </c>
    </row>
    <row r="32" spans="3:8" ht="12.75">
      <c r="C32" s="4"/>
      <c r="G32" s="26">
        <f>G25</f>
        <v>0.0432287</v>
      </c>
      <c r="H32" t="s">
        <v>47</v>
      </c>
    </row>
    <row r="33" spans="3:8" ht="12.75">
      <c r="C33" s="4"/>
      <c r="G33" s="22">
        <f>ROUND(G31*G32,0)</f>
        <v>1261</v>
      </c>
      <c r="H33" t="s">
        <v>20</v>
      </c>
    </row>
    <row r="34" spans="3:8" ht="12.75">
      <c r="C34" s="4"/>
      <c r="G34" s="1">
        <f>SUM(F22:F24)</f>
        <v>1261</v>
      </c>
      <c r="H34" t="s">
        <v>21</v>
      </c>
    </row>
    <row r="35" ht="12.75">
      <c r="G35" s="22">
        <f>G33-G34</f>
        <v>0</v>
      </c>
    </row>
    <row r="37" ht="12.75">
      <c r="B37" s="36" t="s">
        <v>43</v>
      </c>
    </row>
    <row r="38" ht="12.75">
      <c r="B38" t="s">
        <v>32</v>
      </c>
    </row>
    <row r="39" spans="1:6" ht="12.75">
      <c r="A39" s="37">
        <v>1</v>
      </c>
      <c r="B39" t="s">
        <v>33</v>
      </c>
      <c r="F39" s="50">
        <f>ROUND(F10,0)</f>
        <v>28750</v>
      </c>
    </row>
    <row r="40" spans="1:6" ht="12.75">
      <c r="A40" s="37">
        <v>5</v>
      </c>
      <c r="B40" t="s">
        <v>51</v>
      </c>
      <c r="F40" s="51">
        <f>ROUND(F11,0)</f>
        <v>432</v>
      </c>
    </row>
    <row r="41" spans="1:6" ht="12.75">
      <c r="A41" s="37"/>
      <c r="F41" s="52"/>
    </row>
    <row r="42" spans="1:6" ht="12.75">
      <c r="A42" s="37"/>
      <c r="B42" t="s">
        <v>34</v>
      </c>
      <c r="F42" s="52"/>
    </row>
    <row r="43" spans="1:6" ht="12.75">
      <c r="A43" s="37"/>
      <c r="B43" t="s">
        <v>35</v>
      </c>
      <c r="F43" s="52"/>
    </row>
    <row r="44" spans="1:6" ht="12.75">
      <c r="A44" s="37">
        <v>7</v>
      </c>
      <c r="B44" s="25" t="s">
        <v>44</v>
      </c>
      <c r="F44" s="51">
        <f>ROUND(F17,0)</f>
        <v>-70</v>
      </c>
    </row>
    <row r="45" spans="1:6" ht="12.75">
      <c r="A45" s="37">
        <v>9</v>
      </c>
      <c r="B45" s="25" t="s">
        <v>45</v>
      </c>
      <c r="F45" s="51">
        <f>ROUND(F18+F19,0)</f>
        <v>2688</v>
      </c>
    </row>
    <row r="46" spans="1:6" ht="12.75">
      <c r="A46" s="37"/>
      <c r="F46" s="52"/>
    </row>
    <row r="47" spans="1:6" ht="12.75">
      <c r="A47" s="37"/>
      <c r="B47" t="s">
        <v>36</v>
      </c>
      <c r="F47" s="52"/>
    </row>
    <row r="48" spans="1:6" ht="12.75">
      <c r="A48" s="37">
        <v>14</v>
      </c>
      <c r="B48" s="25" t="s">
        <v>46</v>
      </c>
      <c r="F48" s="51">
        <f>ROUND(F22,0)</f>
        <v>1127</v>
      </c>
    </row>
    <row r="49" spans="1:6" ht="12.75">
      <c r="A49" s="37"/>
      <c r="F49" s="52"/>
    </row>
    <row r="50" spans="1:6" ht="12.75">
      <c r="A50" s="37">
        <v>16</v>
      </c>
      <c r="B50" t="s">
        <v>37</v>
      </c>
      <c r="F50" s="51">
        <f>ROUND(F23,0)</f>
        <v>76</v>
      </c>
    </row>
    <row r="51" spans="1:6" ht="12.75">
      <c r="A51" s="37">
        <v>17</v>
      </c>
      <c r="B51" t="s">
        <v>38</v>
      </c>
      <c r="F51" s="51">
        <f>ROUND(F20+F21,0)</f>
        <v>-10688</v>
      </c>
    </row>
    <row r="52" spans="1:6" ht="12.75">
      <c r="A52" s="37"/>
      <c r="F52" s="52"/>
    </row>
    <row r="53" spans="1:6" ht="12.75">
      <c r="A53" s="37"/>
      <c r="B53" t="s">
        <v>39</v>
      </c>
      <c r="F53" s="52"/>
    </row>
    <row r="54" spans="1:6" ht="12.75">
      <c r="A54" s="37">
        <v>19</v>
      </c>
      <c r="B54" s="25" t="s">
        <v>44</v>
      </c>
      <c r="F54" s="51">
        <f>ROUND(F24,0)</f>
        <v>58</v>
      </c>
    </row>
    <row r="55" spans="1:6" ht="12.75">
      <c r="A55" s="37"/>
      <c r="B55" s="25"/>
      <c r="F55" s="51"/>
    </row>
    <row r="56" spans="1:6" ht="12.75">
      <c r="A56" s="37"/>
      <c r="B56" t="s">
        <v>40</v>
      </c>
      <c r="F56" s="52"/>
    </row>
    <row r="57" spans="1:6" ht="12.75">
      <c r="A57" s="37">
        <v>25</v>
      </c>
      <c r="B57" t="s">
        <v>41</v>
      </c>
      <c r="F57" s="51">
        <f>ROUND((F39+F40-SUM(F44:F54))*G28,0)</f>
        <v>12597</v>
      </c>
    </row>
    <row r="58" spans="1:6" ht="12.75">
      <c r="A58" s="37"/>
      <c r="F58" s="52"/>
    </row>
    <row r="59" spans="1:6" ht="12.75">
      <c r="A59" s="37">
        <v>27</v>
      </c>
      <c r="B59" t="s">
        <v>42</v>
      </c>
      <c r="F59" s="50">
        <f>F39+F40-SUM(F42:F57)</f>
        <v>23394</v>
      </c>
    </row>
    <row r="60" ht="12.75">
      <c r="F60" s="49">
        <f>ROUND(F59-F29,0)</f>
        <v>0</v>
      </c>
    </row>
  </sheetData>
  <conditionalFormatting sqref="D13">
    <cfRule type="expression" priority="1" dxfId="0" stopIfTrue="1">
      <formula>ABS(D13)&gt;0</formula>
    </cfRule>
  </conditionalFormatting>
  <printOptions/>
  <pageMargins left="0.5" right="0.5" top="0.75" bottom="0.75" header="0.5" footer="0.5"/>
  <pageSetup fitToHeight="1" fitToWidth="1" horizontalDpi="600" verticalDpi="600" orientation="portrait" scale="83" r:id="rId3"/>
  <headerFooter alignWithMargins="0"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59"/>
  <sheetViews>
    <sheetView showGridLines="0" zoomScale="85" zoomScaleNormal="85" workbookViewId="0" topLeftCell="A1">
      <pane ySplit="2" topLeftCell="BM3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6" width="10.7109375" style="0" customWidth="1"/>
    <col min="7" max="7" width="11.7109375" style="0" customWidth="1"/>
    <col min="8" max="8" width="19.00390625" style="0" customWidth="1"/>
  </cols>
  <sheetData>
    <row r="1" spans="1:6" ht="12.75">
      <c r="A1" s="43" t="s">
        <v>54</v>
      </c>
      <c r="E1" s="2" t="s">
        <v>8</v>
      </c>
      <c r="F1" s="28" t="s">
        <v>15</v>
      </c>
    </row>
    <row r="2" spans="3:6" ht="12.75">
      <c r="C2" s="2" t="s">
        <v>0</v>
      </c>
      <c r="D2" s="2" t="s">
        <v>1</v>
      </c>
      <c r="E2" s="2" t="s">
        <v>2</v>
      </c>
      <c r="F2" s="29" t="s">
        <v>17</v>
      </c>
    </row>
    <row r="3" spans="2:6" ht="12.75">
      <c r="B3" s="23" t="s">
        <v>15</v>
      </c>
      <c r="D3" s="1"/>
      <c r="E3" s="1"/>
      <c r="F3" s="30"/>
    </row>
    <row r="4" spans="2:6" ht="25.5">
      <c r="B4" s="27" t="s">
        <v>24</v>
      </c>
      <c r="C4" s="8">
        <f>C10-SUM(C7:C9)</f>
        <v>328178</v>
      </c>
      <c r="D4" s="9">
        <v>357686</v>
      </c>
      <c r="E4" s="8">
        <f>D4-C4</f>
        <v>29508</v>
      </c>
      <c r="F4" s="41">
        <f>E4</f>
        <v>29508</v>
      </c>
    </row>
    <row r="5" spans="3:6" ht="12.75">
      <c r="C5" s="8"/>
      <c r="D5" s="9"/>
      <c r="E5" s="8"/>
      <c r="F5" s="41"/>
    </row>
    <row r="6" spans="2:6" ht="12.75">
      <c r="B6" t="s">
        <v>23</v>
      </c>
      <c r="C6" s="19"/>
      <c r="D6" s="9">
        <v>-1774</v>
      </c>
      <c r="E6" s="8">
        <f>D6-C6</f>
        <v>-1774</v>
      </c>
      <c r="F6" s="41">
        <f>E6</f>
        <v>-1774</v>
      </c>
    </row>
    <row r="7" spans="2:6" ht="12.75">
      <c r="B7" s="3" t="s">
        <v>12</v>
      </c>
      <c r="C7" s="11">
        <v>12625</v>
      </c>
      <c r="D7" s="9">
        <v>0</v>
      </c>
      <c r="E7" s="8">
        <f>D7-C7</f>
        <v>-12625</v>
      </c>
      <c r="F7" s="42" t="s">
        <v>9</v>
      </c>
    </row>
    <row r="8" spans="2:6" ht="12.75">
      <c r="B8" s="3" t="s">
        <v>26</v>
      </c>
      <c r="C8" s="11">
        <v>32418</v>
      </c>
      <c r="D8" s="9">
        <v>0</v>
      </c>
      <c r="E8" s="8">
        <f>D8-C8</f>
        <v>-32418</v>
      </c>
      <c r="F8" s="42" t="s">
        <v>10</v>
      </c>
    </row>
    <row r="9" spans="2:6" ht="12.75">
      <c r="B9" t="s">
        <v>27</v>
      </c>
      <c r="C9" s="11">
        <v>178</v>
      </c>
      <c r="D9" s="9">
        <v>87</v>
      </c>
      <c r="E9" s="8">
        <f>D9-C9</f>
        <v>-91</v>
      </c>
      <c r="F9" s="41">
        <f>E9</f>
        <v>-91</v>
      </c>
    </row>
    <row r="10" spans="2:6" ht="12.75">
      <c r="B10" s="25" t="s">
        <v>7</v>
      </c>
      <c r="C10" s="14">
        <v>373399</v>
      </c>
      <c r="D10" s="15">
        <f>SUM(D4:D9)</f>
        <v>355999</v>
      </c>
      <c r="E10" s="15">
        <f>IF(ROUND(D10-C10,3)&lt;&gt;ROUND(SUM(E4:E9),3),#VALUE!,SUM(E4:E9))</f>
        <v>-17400</v>
      </c>
      <c r="F10" s="33">
        <f>SUM(F4:F9)</f>
        <v>27643</v>
      </c>
    </row>
    <row r="11" spans="2:7" ht="12.75">
      <c r="B11" s="3" t="s">
        <v>50</v>
      </c>
      <c r="C11" s="9">
        <f>-ROUND((245082+165558)/1000,0)</f>
        <v>-411</v>
      </c>
      <c r="D11" s="13">
        <v>0</v>
      </c>
      <c r="E11" s="10">
        <f>D11-C11</f>
        <v>411</v>
      </c>
      <c r="F11" s="31">
        <f>E11</f>
        <v>411</v>
      </c>
      <c r="G11" s="25" t="s">
        <v>53</v>
      </c>
    </row>
    <row r="12" spans="2:6" ht="12.75">
      <c r="B12" s="25" t="s">
        <v>4</v>
      </c>
      <c r="C12" s="16">
        <f>C10+C11</f>
        <v>372988</v>
      </c>
      <c r="D12" s="15">
        <f>D10+D11</f>
        <v>355999</v>
      </c>
      <c r="E12" s="15">
        <f>IF(ROUND(E10+E11,3)&lt;&gt;ROUND(D12-C12,3),#VALUE!,E10+E11)</f>
        <v>-16989</v>
      </c>
      <c r="F12" s="33">
        <f>F10+F11</f>
        <v>28054</v>
      </c>
    </row>
    <row r="13" spans="3:6" ht="12.75">
      <c r="C13" s="17"/>
      <c r="D13" s="40"/>
      <c r="E13" s="18"/>
      <c r="F13" s="31"/>
    </row>
    <row r="14" spans="2:6" ht="12.75">
      <c r="B14" s="23" t="s">
        <v>3</v>
      </c>
      <c r="C14" s="17"/>
      <c r="D14" s="18"/>
      <c r="E14" s="18"/>
      <c r="F14" s="31"/>
    </row>
    <row r="15" spans="2:6" ht="12.75">
      <c r="B15" s="3" t="s">
        <v>12</v>
      </c>
      <c r="C15" s="11">
        <v>12613</v>
      </c>
      <c r="D15" s="13">
        <v>0</v>
      </c>
      <c r="E15" s="18">
        <f aca="true" t="shared" si="0" ref="E15:E21">D15-C15</f>
        <v>-12613</v>
      </c>
      <c r="F15" s="42" t="s">
        <v>9</v>
      </c>
    </row>
    <row r="16" spans="2:7" ht="12.75">
      <c r="B16" s="3" t="s">
        <v>48</v>
      </c>
      <c r="C16" s="11">
        <v>-31002</v>
      </c>
      <c r="D16" s="13">
        <v>0</v>
      </c>
      <c r="E16" s="18">
        <f t="shared" si="0"/>
        <v>31002</v>
      </c>
      <c r="F16" s="42" t="s">
        <v>10</v>
      </c>
      <c r="G16" s="25" t="s">
        <v>52</v>
      </c>
    </row>
    <row r="17" spans="2:6" ht="12.75">
      <c r="B17" s="3" t="s">
        <v>49</v>
      </c>
      <c r="C17" s="11">
        <v>-11</v>
      </c>
      <c r="D17" s="13">
        <v>0</v>
      </c>
      <c r="E17" s="18">
        <f t="shared" si="0"/>
        <v>11</v>
      </c>
      <c r="F17" s="31">
        <f>E17</f>
        <v>11</v>
      </c>
    </row>
    <row r="18" spans="2:6" ht="12.75">
      <c r="B18" s="3" t="s">
        <v>28</v>
      </c>
      <c r="C18" s="11">
        <v>-6461</v>
      </c>
      <c r="D18" s="13">
        <v>0</v>
      </c>
      <c r="E18" s="18">
        <f t="shared" si="0"/>
        <v>6461</v>
      </c>
      <c r="F18" s="31">
        <f>E18</f>
        <v>6461</v>
      </c>
    </row>
    <row r="19" spans="2:6" ht="12.75">
      <c r="B19" s="3" t="s">
        <v>29</v>
      </c>
      <c r="C19" s="11">
        <v>879</v>
      </c>
      <c r="D19" s="13">
        <v>0</v>
      </c>
      <c r="E19" s="18">
        <f t="shared" si="0"/>
        <v>-879</v>
      </c>
      <c r="F19" s="31">
        <f>E19</f>
        <v>-879</v>
      </c>
    </row>
    <row r="20" spans="2:6" ht="12.75">
      <c r="B20" s="3" t="s">
        <v>30</v>
      </c>
      <c r="C20" s="11">
        <v>6673</v>
      </c>
      <c r="D20" s="13">
        <v>0</v>
      </c>
      <c r="E20" s="18">
        <f t="shared" si="0"/>
        <v>-6673</v>
      </c>
      <c r="F20" s="31">
        <f>E20</f>
        <v>-6673</v>
      </c>
    </row>
    <row r="21" spans="2:6" ht="12.75">
      <c r="B21" s="3" t="s">
        <v>31</v>
      </c>
      <c r="C21" s="11">
        <v>-5</v>
      </c>
      <c r="D21" s="13">
        <v>0</v>
      </c>
      <c r="E21" s="18">
        <f t="shared" si="0"/>
        <v>5</v>
      </c>
      <c r="F21" s="31">
        <f>E21</f>
        <v>5</v>
      </c>
    </row>
    <row r="22" spans="2:8" ht="12.75">
      <c r="B22" s="3" t="s">
        <v>13</v>
      </c>
      <c r="C22" s="19"/>
      <c r="D22" s="20"/>
      <c r="E22" s="21"/>
      <c r="F22" s="31">
        <f>ROUND((F$12-F23)*$G22,0)-1</f>
        <v>1083</v>
      </c>
      <c r="G22" s="7">
        <v>0.03873</v>
      </c>
      <c r="H22" t="s">
        <v>18</v>
      </c>
    </row>
    <row r="23" spans="2:8" ht="12.75">
      <c r="B23" s="3" t="s">
        <v>5</v>
      </c>
      <c r="C23" s="19"/>
      <c r="D23" s="20"/>
      <c r="E23" s="21"/>
      <c r="F23" s="31">
        <f>ROUND(F$12*$G23,0)</f>
        <v>75</v>
      </c>
      <c r="G23" s="7">
        <v>0.00266</v>
      </c>
      <c r="H23" t="s">
        <v>19</v>
      </c>
    </row>
    <row r="24" spans="2:8" ht="12.75">
      <c r="B24" s="3" t="s">
        <v>6</v>
      </c>
      <c r="C24" s="19"/>
      <c r="D24" s="20"/>
      <c r="E24" s="21"/>
      <c r="F24" s="31">
        <f>ROUND(F$12*$G24,0)</f>
        <v>56</v>
      </c>
      <c r="G24" s="7">
        <v>0.002</v>
      </c>
      <c r="H24" t="s">
        <v>18</v>
      </c>
    </row>
    <row r="25" spans="3:8" ht="12.75">
      <c r="C25" s="19"/>
      <c r="D25" s="20"/>
      <c r="E25" s="21"/>
      <c r="F25" s="33">
        <f>SUM(F15:F24)</f>
        <v>139</v>
      </c>
      <c r="G25" s="26">
        <f>ROUND(G22*(1-G23),6)+G23+G24</f>
        <v>0.043287000000000006</v>
      </c>
      <c r="H25" t="s">
        <v>47</v>
      </c>
    </row>
    <row r="26" spans="3:6" ht="12.75">
      <c r="C26" s="19"/>
      <c r="D26" s="20"/>
      <c r="E26" s="21"/>
      <c r="F26" s="31"/>
    </row>
    <row r="27" spans="2:6" ht="12.75">
      <c r="B27" s="24" t="s">
        <v>11</v>
      </c>
      <c r="C27" s="19"/>
      <c r="D27" s="20"/>
      <c r="E27" s="21"/>
      <c r="F27" s="31">
        <f>F12-F25</f>
        <v>27915</v>
      </c>
    </row>
    <row r="28" spans="2:8" ht="12.75">
      <c r="B28" s="25" t="s">
        <v>16</v>
      </c>
      <c r="C28" s="19"/>
      <c r="D28" s="20"/>
      <c r="E28" s="21"/>
      <c r="F28" s="31">
        <f>ROUND(F27*$G28,0)</f>
        <v>9770</v>
      </c>
      <c r="G28" s="6">
        <v>0.35</v>
      </c>
      <c r="H28" t="s">
        <v>22</v>
      </c>
    </row>
    <row r="29" spans="2:6" ht="13.5" thickBot="1">
      <c r="B29" s="24" t="s">
        <v>14</v>
      </c>
      <c r="C29" s="19"/>
      <c r="D29" s="20"/>
      <c r="E29" s="21"/>
      <c r="F29" s="34">
        <f>F27-F28</f>
        <v>18145</v>
      </c>
    </row>
    <row r="30" spans="5:6" ht="13.5" thickTop="1">
      <c r="E30" s="5"/>
      <c r="F30" s="35"/>
    </row>
    <row r="31" spans="2:8" ht="12.75">
      <c r="B31" s="39" t="s">
        <v>25</v>
      </c>
      <c r="C31" s="1"/>
      <c r="D31" s="1"/>
      <c r="E31" s="1"/>
      <c r="G31" s="1">
        <f>F12</f>
        <v>28054</v>
      </c>
      <c r="H31" t="s">
        <v>15</v>
      </c>
    </row>
    <row r="32" spans="3:8" ht="12.75">
      <c r="C32" s="4"/>
      <c r="G32" s="26">
        <f>G25</f>
        <v>0.043287000000000006</v>
      </c>
      <c r="H32" t="s">
        <v>47</v>
      </c>
    </row>
    <row r="33" spans="3:8" ht="12.75">
      <c r="C33" s="4"/>
      <c r="G33" s="22">
        <f>ROUND(G31*G32,0)</f>
        <v>1214</v>
      </c>
      <c r="H33" t="s">
        <v>20</v>
      </c>
    </row>
    <row r="34" spans="3:8" ht="12.75">
      <c r="C34" s="4"/>
      <c r="G34" s="1">
        <f>SUM(F22:F24)</f>
        <v>1214</v>
      </c>
      <c r="H34" t="s">
        <v>21</v>
      </c>
    </row>
    <row r="35" ht="12.75">
      <c r="G35" s="22">
        <f>G33-G34</f>
        <v>0</v>
      </c>
    </row>
    <row r="37" ht="12.75">
      <c r="B37" s="36" t="s">
        <v>43</v>
      </c>
    </row>
    <row r="38" ht="12.75">
      <c r="B38" t="s">
        <v>32</v>
      </c>
    </row>
    <row r="39" spans="1:6" ht="12.75">
      <c r="A39" s="37">
        <v>1</v>
      </c>
      <c r="B39" t="s">
        <v>33</v>
      </c>
      <c r="F39" s="38">
        <f>ROUND(F10,0)</f>
        <v>27643</v>
      </c>
    </row>
    <row r="40" spans="1:6" ht="12.75">
      <c r="A40" s="37">
        <v>5</v>
      </c>
      <c r="B40" t="s">
        <v>51</v>
      </c>
      <c r="F40" s="1">
        <f>ROUND(F11,0)</f>
        <v>411</v>
      </c>
    </row>
    <row r="41" ht="12.75">
      <c r="A41" s="37"/>
    </row>
    <row r="42" spans="1:2" ht="12.75">
      <c r="A42" s="37"/>
      <c r="B42" t="s">
        <v>34</v>
      </c>
    </row>
    <row r="43" spans="1:2" ht="12.75">
      <c r="A43" s="37"/>
      <c r="B43" t="s">
        <v>35</v>
      </c>
    </row>
    <row r="44" spans="1:6" ht="12.75">
      <c r="A44" s="37">
        <v>7</v>
      </c>
      <c r="B44" s="25" t="s">
        <v>44</v>
      </c>
      <c r="F44" s="1">
        <f>ROUND(F17,0)</f>
        <v>11</v>
      </c>
    </row>
    <row r="45" spans="1:6" ht="12.75">
      <c r="A45" s="37">
        <v>9</v>
      </c>
      <c r="B45" s="25" t="s">
        <v>45</v>
      </c>
      <c r="F45" s="1">
        <f>ROUND(F18+F19,0)</f>
        <v>5582</v>
      </c>
    </row>
    <row r="46" ht="12.75">
      <c r="A46" s="37"/>
    </row>
    <row r="47" spans="1:2" ht="12.75">
      <c r="A47" s="37"/>
      <c r="B47" t="s">
        <v>36</v>
      </c>
    </row>
    <row r="48" spans="1:6" ht="12.75">
      <c r="A48" s="37">
        <v>14</v>
      </c>
      <c r="B48" s="25" t="s">
        <v>46</v>
      </c>
      <c r="F48" s="1">
        <f>ROUND(F22,0)</f>
        <v>1083</v>
      </c>
    </row>
    <row r="49" ht="12.75">
      <c r="A49" s="37"/>
    </row>
    <row r="50" spans="1:6" ht="12.75">
      <c r="A50" s="37">
        <v>16</v>
      </c>
      <c r="B50" t="s">
        <v>37</v>
      </c>
      <c r="F50" s="1">
        <f>ROUND(F23,0)</f>
        <v>75</v>
      </c>
    </row>
    <row r="51" spans="1:6" ht="12.75">
      <c r="A51" s="37">
        <v>17</v>
      </c>
      <c r="B51" t="s">
        <v>38</v>
      </c>
      <c r="F51" s="1">
        <f>ROUND(F20+F21,0)</f>
        <v>-6668</v>
      </c>
    </row>
    <row r="52" ht="12.75">
      <c r="A52" s="37"/>
    </row>
    <row r="53" spans="1:2" ht="12.75">
      <c r="A53" s="37"/>
      <c r="B53" t="s">
        <v>39</v>
      </c>
    </row>
    <row r="54" spans="1:6" ht="12.75">
      <c r="A54" s="37">
        <v>19</v>
      </c>
      <c r="B54" s="25" t="s">
        <v>44</v>
      </c>
      <c r="F54" s="1">
        <f>ROUND(F24,0)</f>
        <v>56</v>
      </c>
    </row>
    <row r="55" spans="1:6" ht="12.75">
      <c r="A55" s="37"/>
      <c r="B55" s="25"/>
      <c r="F55" s="1"/>
    </row>
    <row r="56" spans="1:2" ht="12.75">
      <c r="A56" s="37"/>
      <c r="B56" t="s">
        <v>40</v>
      </c>
    </row>
    <row r="57" spans="1:6" ht="12.75">
      <c r="A57" s="37">
        <v>25</v>
      </c>
      <c r="B57" t="s">
        <v>41</v>
      </c>
      <c r="F57" s="1">
        <f>ROUND((F39+F40-SUM(F44:F54))*G28,0)</f>
        <v>9770</v>
      </c>
    </row>
    <row r="58" ht="12.75">
      <c r="A58" s="37"/>
    </row>
    <row r="59" spans="1:6" ht="12.75">
      <c r="A59" s="37">
        <v>27</v>
      </c>
      <c r="B59" t="s">
        <v>42</v>
      </c>
      <c r="F59" s="38">
        <f>F39+F40-SUM(F42:F57)</f>
        <v>18145</v>
      </c>
    </row>
  </sheetData>
  <conditionalFormatting sqref="D13">
    <cfRule type="expression" priority="1" dxfId="0" stopIfTrue="1">
      <formula>ABS(D13)&gt;0</formula>
    </cfRule>
  </conditionalFormatting>
  <printOptions/>
  <pageMargins left="0.5" right="0.5" top="0.75" bottom="0.75" header="0.5" footer="0.5"/>
  <pageSetup fitToHeight="1" fitToWidth="1" horizontalDpi="600" verticalDpi="600" orientation="portrait" scale="83" r:id="rId3"/>
  <headerFooter alignWithMargins="0">
    <oddFooter>&amp;L&amp;F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9"/>
  <sheetViews>
    <sheetView showGridLines="0" zoomScale="85" zoomScaleNormal="85" workbookViewId="0" topLeftCell="A1">
      <pane ySplit="2" topLeftCell="BM3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6" width="10.7109375" style="0" customWidth="1"/>
    <col min="7" max="7" width="11.7109375" style="0" customWidth="1"/>
    <col min="8" max="8" width="19.00390625" style="0" customWidth="1"/>
  </cols>
  <sheetData>
    <row r="1" spans="5:6" ht="12.75">
      <c r="E1" s="2" t="s">
        <v>8</v>
      </c>
      <c r="F1" s="28" t="s">
        <v>15</v>
      </c>
    </row>
    <row r="2" spans="3:6" ht="12.75">
      <c r="C2" s="2" t="s">
        <v>0</v>
      </c>
      <c r="D2" s="2" t="s">
        <v>1</v>
      </c>
      <c r="E2" s="2" t="s">
        <v>2</v>
      </c>
      <c r="F2" s="29" t="s">
        <v>17</v>
      </c>
    </row>
    <row r="3" spans="2:6" ht="12.75">
      <c r="B3" s="23" t="s">
        <v>15</v>
      </c>
      <c r="D3" s="1"/>
      <c r="E3" s="1"/>
      <c r="F3" s="30"/>
    </row>
    <row r="4" spans="2:6" ht="26.25">
      <c r="B4" s="27" t="s">
        <v>24</v>
      </c>
      <c r="C4" s="8">
        <f>C10-SUM(C7:C9)</f>
        <v>317836.631</v>
      </c>
      <c r="D4" s="9">
        <v>322639.57716</v>
      </c>
      <c r="E4" s="10">
        <f>D4-C4</f>
        <v>4802.946159999992</v>
      </c>
      <c r="F4" s="31">
        <f>E4</f>
        <v>4802.946159999992</v>
      </c>
    </row>
    <row r="5" spans="3:6" ht="12.75">
      <c r="C5" s="8"/>
      <c r="D5" s="9"/>
      <c r="E5" s="10"/>
      <c r="F5" s="31"/>
    </row>
    <row r="6" spans="2:6" ht="12.75">
      <c r="B6" t="s">
        <v>23</v>
      </c>
      <c r="C6" s="19"/>
      <c r="D6" s="9">
        <v>55.50793</v>
      </c>
      <c r="E6" s="10">
        <f>D6-C6</f>
        <v>55.50793</v>
      </c>
      <c r="F6" s="31">
        <f>E6</f>
        <v>55.50793</v>
      </c>
    </row>
    <row r="7" spans="2:6" ht="12.75">
      <c r="B7" s="3" t="s">
        <v>12</v>
      </c>
      <c r="C7" s="12">
        <v>12201</v>
      </c>
      <c r="D7" s="13">
        <v>0</v>
      </c>
      <c r="E7" s="10">
        <f>D7-C7</f>
        <v>-12201</v>
      </c>
      <c r="F7" s="32" t="s">
        <v>9</v>
      </c>
    </row>
    <row r="8" spans="2:6" ht="12.75">
      <c r="B8" s="3" t="s">
        <v>26</v>
      </c>
      <c r="C8" s="12">
        <v>31707</v>
      </c>
      <c r="D8" s="13">
        <v>0</v>
      </c>
      <c r="E8" s="10">
        <f>D8-C8</f>
        <v>-31707</v>
      </c>
      <c r="F8" s="32" t="s">
        <v>10</v>
      </c>
    </row>
    <row r="9" spans="2:6" ht="12.75">
      <c r="B9" t="s">
        <v>27</v>
      </c>
      <c r="C9" s="11">
        <v>1383.097</v>
      </c>
      <c r="D9" s="9">
        <v>-33.58568</v>
      </c>
      <c r="E9" s="10">
        <f>D9-C9</f>
        <v>-1416.68268</v>
      </c>
      <c r="F9" s="31">
        <f>E9</f>
        <v>-1416.68268</v>
      </c>
    </row>
    <row r="10" spans="2:6" ht="12.75">
      <c r="B10" s="25" t="s">
        <v>7</v>
      </c>
      <c r="C10" s="14">
        <v>363127.728</v>
      </c>
      <c r="D10" s="15">
        <f>SUM(D4:D9)</f>
        <v>322661.49941</v>
      </c>
      <c r="E10" s="15">
        <f>IF(ROUND(D10-C10,3)&lt;&gt;ROUND(SUM(E4:E9),3),#VALUE!,SUM(E4:E9))</f>
        <v>-40466.228590000006</v>
      </c>
      <c r="F10" s="33">
        <f>SUM(F4:F9)</f>
        <v>3441.771409999992</v>
      </c>
    </row>
    <row r="11" spans="2:6" ht="12.75">
      <c r="B11" s="3" t="s">
        <v>50</v>
      </c>
      <c r="C11" s="9">
        <v>-209.216</v>
      </c>
      <c r="D11" s="13">
        <v>0</v>
      </c>
      <c r="E11" s="10">
        <f>D11-C11</f>
        <v>209.216</v>
      </c>
      <c r="F11" s="31">
        <f>E11</f>
        <v>209.216</v>
      </c>
    </row>
    <row r="12" spans="2:6" ht="12.75">
      <c r="B12" s="25" t="s">
        <v>4</v>
      </c>
      <c r="C12" s="16">
        <f>C10+C11</f>
        <v>362918.512</v>
      </c>
      <c r="D12" s="15">
        <f>D10+D11</f>
        <v>322661.49941</v>
      </c>
      <c r="E12" s="15">
        <f>IF(ROUND(E10+E11,3)&lt;&gt;ROUND(D12-C12,3),#VALUE!,E10+E11)</f>
        <v>-40257.012590000006</v>
      </c>
      <c r="F12" s="33">
        <f>ROUND(F10+F11,0)</f>
        <v>3651</v>
      </c>
    </row>
    <row r="13" spans="3:6" ht="12.75">
      <c r="C13" s="17"/>
      <c r="D13" s="18"/>
      <c r="E13" s="18"/>
      <c r="F13" s="31"/>
    </row>
    <row r="14" spans="2:6" ht="12.75">
      <c r="B14" s="23" t="s">
        <v>3</v>
      </c>
      <c r="C14" s="17"/>
      <c r="D14" s="18"/>
      <c r="E14" s="18"/>
      <c r="F14" s="31"/>
    </row>
    <row r="15" spans="2:6" ht="12.75">
      <c r="B15" s="3" t="s">
        <v>12</v>
      </c>
      <c r="C15" s="11">
        <v>-12184</v>
      </c>
      <c r="D15" s="13">
        <v>0</v>
      </c>
      <c r="E15" s="18">
        <f aca="true" t="shared" si="0" ref="E15:E21">D15-C15</f>
        <v>12184</v>
      </c>
      <c r="F15" s="32" t="s">
        <v>9</v>
      </c>
    </row>
    <row r="16" spans="2:6" ht="12.75">
      <c r="B16" s="3" t="s">
        <v>48</v>
      </c>
      <c r="C16" s="11">
        <v>-30322.552</v>
      </c>
      <c r="D16" s="13">
        <v>0</v>
      </c>
      <c r="E16" s="18">
        <f t="shared" si="0"/>
        <v>30322.552</v>
      </c>
      <c r="F16" s="32" t="s">
        <v>10</v>
      </c>
    </row>
    <row r="17" spans="2:6" ht="12.75">
      <c r="B17" s="3" t="s">
        <v>49</v>
      </c>
      <c r="C17" s="11">
        <v>176.048</v>
      </c>
      <c r="D17" s="13">
        <v>0</v>
      </c>
      <c r="E17" s="18">
        <f t="shared" si="0"/>
        <v>-176.048</v>
      </c>
      <c r="F17" s="31">
        <f>E17</f>
        <v>-176.048</v>
      </c>
    </row>
    <row r="18" spans="2:6" ht="12.75">
      <c r="B18" s="3" t="s">
        <v>28</v>
      </c>
      <c r="C18" s="11">
        <v>-10074.981</v>
      </c>
      <c r="D18" s="13">
        <v>0</v>
      </c>
      <c r="E18" s="18">
        <f t="shared" si="0"/>
        <v>10074.981</v>
      </c>
      <c r="F18" s="31">
        <f>E18</f>
        <v>10074.981</v>
      </c>
    </row>
    <row r="19" spans="2:6" ht="12.75">
      <c r="B19" s="3" t="s">
        <v>29</v>
      </c>
      <c r="C19" s="11">
        <v>-210.375</v>
      </c>
      <c r="D19" s="13">
        <v>0</v>
      </c>
      <c r="E19" s="18">
        <f t="shared" si="0"/>
        <v>210.375</v>
      </c>
      <c r="F19" s="31">
        <f>E19</f>
        <v>210.375</v>
      </c>
    </row>
    <row r="20" spans="2:6" ht="12.75">
      <c r="B20" s="3" t="s">
        <v>30</v>
      </c>
      <c r="C20" s="11">
        <v>6581.967</v>
      </c>
      <c r="D20" s="13">
        <v>0</v>
      </c>
      <c r="E20" s="18">
        <f t="shared" si="0"/>
        <v>-6581.967</v>
      </c>
      <c r="F20" s="31">
        <f>E20</f>
        <v>-6581.967</v>
      </c>
    </row>
    <row r="21" spans="2:6" ht="12.75">
      <c r="B21" s="3" t="s">
        <v>31</v>
      </c>
      <c r="C21" s="11">
        <v>-1.546</v>
      </c>
      <c r="D21" s="13">
        <v>0</v>
      </c>
      <c r="E21" s="18">
        <f t="shared" si="0"/>
        <v>1.546</v>
      </c>
      <c r="F21" s="31">
        <f>E21</f>
        <v>1.546</v>
      </c>
    </row>
    <row r="22" spans="2:8" ht="12.75">
      <c r="B22" s="3" t="s">
        <v>13</v>
      </c>
      <c r="C22" s="19"/>
      <c r="D22" s="20"/>
      <c r="E22" s="21"/>
      <c r="F22" s="31">
        <f>(F$12-F23)*$G22</f>
        <v>141.0270974082</v>
      </c>
      <c r="G22" s="7">
        <v>0.03873</v>
      </c>
      <c r="H22" t="s">
        <v>18</v>
      </c>
    </row>
    <row r="23" spans="2:8" ht="12.75">
      <c r="B23" s="3" t="s">
        <v>5</v>
      </c>
      <c r="C23" s="19"/>
      <c r="D23" s="20"/>
      <c r="E23" s="21"/>
      <c r="F23" s="31">
        <f>F$12*$G23</f>
        <v>9.71166</v>
      </c>
      <c r="G23" s="7">
        <v>0.00266</v>
      </c>
      <c r="H23" t="s">
        <v>19</v>
      </c>
    </row>
    <row r="24" spans="2:8" ht="12.75">
      <c r="B24" s="3" t="s">
        <v>6</v>
      </c>
      <c r="C24" s="19"/>
      <c r="D24" s="20"/>
      <c r="E24" s="21"/>
      <c r="F24" s="31">
        <f>F$12*$G24</f>
        <v>7.3020000000000005</v>
      </c>
      <c r="G24" s="7">
        <v>0.002</v>
      </c>
      <c r="H24" t="s">
        <v>18</v>
      </c>
    </row>
    <row r="25" spans="3:8" ht="12.75">
      <c r="C25" s="19"/>
      <c r="D25" s="20"/>
      <c r="E25" s="21"/>
      <c r="F25" s="33">
        <f>ROUND(SUM(F15:F24),0)</f>
        <v>3687</v>
      </c>
      <c r="G25" s="26">
        <f>ROUND(G22*(1-G23),6)+G23+G24</f>
        <v>0.043287000000000006</v>
      </c>
      <c r="H25" t="s">
        <v>47</v>
      </c>
    </row>
    <row r="26" spans="3:6" ht="12.75">
      <c r="C26" s="19"/>
      <c r="D26" s="20"/>
      <c r="E26" s="21"/>
      <c r="F26" s="31"/>
    </row>
    <row r="27" spans="2:6" ht="12.75">
      <c r="B27" s="24" t="s">
        <v>11</v>
      </c>
      <c r="C27" s="19"/>
      <c r="D27" s="20"/>
      <c r="E27" s="21"/>
      <c r="F27" s="31">
        <f>F12-F25</f>
        <v>-36</v>
      </c>
    </row>
    <row r="28" spans="2:8" ht="12.75">
      <c r="B28" s="25" t="s">
        <v>16</v>
      </c>
      <c r="C28" s="19"/>
      <c r="D28" s="20"/>
      <c r="E28" s="21"/>
      <c r="F28" s="31">
        <f>ROUND(F27*$G28,0)</f>
        <v>-13</v>
      </c>
      <c r="G28" s="6">
        <v>0.35</v>
      </c>
      <c r="H28" t="s">
        <v>22</v>
      </c>
    </row>
    <row r="29" spans="2:6" ht="13.5" thickBot="1">
      <c r="B29" s="24" t="s">
        <v>14</v>
      </c>
      <c r="C29" s="19"/>
      <c r="D29" s="20"/>
      <c r="E29" s="21"/>
      <c r="F29" s="34">
        <f>F27-F28</f>
        <v>-23</v>
      </c>
    </row>
    <row r="30" spans="5:6" ht="13.5" thickTop="1">
      <c r="E30" s="5"/>
      <c r="F30" s="35"/>
    </row>
    <row r="31" spans="2:8" ht="12.75">
      <c r="B31" s="39" t="s">
        <v>25</v>
      </c>
      <c r="C31" s="1"/>
      <c r="D31" s="1"/>
      <c r="E31" s="1"/>
      <c r="G31" s="1">
        <f>F12</f>
        <v>3651</v>
      </c>
      <c r="H31" t="s">
        <v>15</v>
      </c>
    </row>
    <row r="32" spans="3:8" ht="12.75">
      <c r="C32" s="4"/>
      <c r="G32" s="26">
        <f>G25</f>
        <v>0.043287000000000006</v>
      </c>
      <c r="H32" t="s">
        <v>47</v>
      </c>
    </row>
    <row r="33" spans="3:8" ht="12.75">
      <c r="C33" s="4"/>
      <c r="G33" s="22">
        <f>G31*G32</f>
        <v>158.040837</v>
      </c>
      <c r="H33" t="s">
        <v>20</v>
      </c>
    </row>
    <row r="34" spans="3:8" ht="12.75">
      <c r="C34" s="4"/>
      <c r="G34" s="1">
        <f>SUM(F22:F24)</f>
        <v>158.0407574082</v>
      </c>
      <c r="H34" t="s">
        <v>21</v>
      </c>
    </row>
    <row r="35" ht="12.75">
      <c r="G35" s="22">
        <f>G33-G34</f>
        <v>7.959180001648747E-05</v>
      </c>
    </row>
    <row r="37" ht="12.75">
      <c r="B37" s="36" t="s">
        <v>43</v>
      </c>
    </row>
    <row r="38" ht="12.75">
      <c r="B38" t="s">
        <v>32</v>
      </c>
    </row>
    <row r="39" spans="1:6" ht="12.75">
      <c r="A39" s="37">
        <v>1</v>
      </c>
      <c r="B39" t="s">
        <v>33</v>
      </c>
      <c r="F39" s="38">
        <f>ROUND(F10,0)</f>
        <v>3442</v>
      </c>
    </row>
    <row r="40" spans="1:6" ht="12.75">
      <c r="A40" s="37">
        <v>5</v>
      </c>
      <c r="B40" t="s">
        <v>51</v>
      </c>
      <c r="F40" s="1">
        <f>ROUND(F11,0)</f>
        <v>209</v>
      </c>
    </row>
    <row r="41" ht="12.75">
      <c r="A41" s="37"/>
    </row>
    <row r="42" spans="1:2" ht="12.75">
      <c r="A42" s="37"/>
      <c r="B42" t="s">
        <v>34</v>
      </c>
    </row>
    <row r="43" spans="1:2" ht="12.75">
      <c r="A43" s="37"/>
      <c r="B43" t="s">
        <v>35</v>
      </c>
    </row>
    <row r="44" spans="1:6" ht="12.75">
      <c r="A44" s="37">
        <v>7</v>
      </c>
      <c r="B44" s="25" t="s">
        <v>44</v>
      </c>
      <c r="F44" s="1">
        <f>ROUND(F17,0)</f>
        <v>-176</v>
      </c>
    </row>
    <row r="45" spans="1:6" ht="12.75">
      <c r="A45" s="37">
        <v>9</v>
      </c>
      <c r="B45" s="25" t="s">
        <v>45</v>
      </c>
      <c r="F45" s="1">
        <f>ROUND(F18+F19,0)</f>
        <v>10285</v>
      </c>
    </row>
    <row r="46" ht="12.75">
      <c r="A46" s="37"/>
    </row>
    <row r="47" spans="1:2" ht="12.75">
      <c r="A47" s="37"/>
      <c r="B47" t="s">
        <v>36</v>
      </c>
    </row>
    <row r="48" spans="1:6" ht="12.75">
      <c r="A48" s="37">
        <v>14</v>
      </c>
      <c r="B48" s="25" t="s">
        <v>46</v>
      </c>
      <c r="F48" s="1">
        <f>ROUND(F22,0)</f>
        <v>141</v>
      </c>
    </row>
    <row r="49" ht="12.75">
      <c r="A49" s="37"/>
    </row>
    <row r="50" spans="1:6" ht="12.75">
      <c r="A50" s="37">
        <v>16</v>
      </c>
      <c r="B50" t="s">
        <v>37</v>
      </c>
      <c r="F50" s="1">
        <f>ROUND(F23,0)</f>
        <v>10</v>
      </c>
    </row>
    <row r="51" spans="1:6" ht="12.75">
      <c r="A51" s="37">
        <v>17</v>
      </c>
      <c r="B51" t="s">
        <v>38</v>
      </c>
      <c r="F51" s="1">
        <f>ROUND(F20+F21,0)</f>
        <v>-6580</v>
      </c>
    </row>
    <row r="52" ht="12.75">
      <c r="A52" s="37"/>
    </row>
    <row r="53" spans="1:2" ht="12.75">
      <c r="A53" s="37"/>
      <c r="B53" t="s">
        <v>39</v>
      </c>
    </row>
    <row r="54" spans="1:6" ht="12.75">
      <c r="A54" s="37">
        <v>19</v>
      </c>
      <c r="B54" s="25" t="s">
        <v>44</v>
      </c>
      <c r="F54" s="1">
        <f>ROUND(F24,0)</f>
        <v>7</v>
      </c>
    </row>
    <row r="55" spans="1:6" ht="12.75">
      <c r="A55" s="37"/>
      <c r="B55" s="25"/>
      <c r="F55" s="1"/>
    </row>
    <row r="56" spans="1:2" ht="12.75">
      <c r="A56" s="37"/>
      <c r="B56" t="s">
        <v>40</v>
      </c>
    </row>
    <row r="57" spans="1:6" ht="12.75">
      <c r="A57" s="37">
        <v>25</v>
      </c>
      <c r="B57" t="s">
        <v>41</v>
      </c>
      <c r="F57" s="1">
        <f>ROUND((F39+F40-SUM(F44:F54))*G28,0)</f>
        <v>-13</v>
      </c>
    </row>
    <row r="58" ht="12.75">
      <c r="A58" s="37"/>
    </row>
    <row r="59" spans="1:6" ht="12.75">
      <c r="A59" s="37">
        <v>27</v>
      </c>
      <c r="B59" t="s">
        <v>42</v>
      </c>
      <c r="F59" s="38">
        <f>F39+F40-SUM(F42:F57)</f>
        <v>-23</v>
      </c>
    </row>
  </sheetData>
  <printOptions/>
  <pageMargins left="0.5" right="0.5" top="0.75" bottom="0.75" header="0.5" footer="0.5"/>
  <pageSetup fitToHeight="1" fitToWidth="1" horizontalDpi="600" verticalDpi="600" orientation="portrait" scale="83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H35"/>
  <sheetViews>
    <sheetView showGridLines="0" zoomScale="85" zoomScaleNormal="85" workbookViewId="0" topLeftCell="A1">
      <pane ySplit="2" topLeftCell="BM3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6" width="10.7109375" style="0" customWidth="1"/>
    <col min="7" max="7" width="11.7109375" style="0" customWidth="1"/>
    <col min="8" max="8" width="19.00390625" style="0" customWidth="1"/>
  </cols>
  <sheetData>
    <row r="1" spans="5:6" ht="12.75">
      <c r="E1" s="2" t="s">
        <v>8</v>
      </c>
      <c r="F1" s="28" t="s">
        <v>15</v>
      </c>
    </row>
    <row r="2" spans="3:6" ht="12.75">
      <c r="C2" s="2" t="s">
        <v>0</v>
      </c>
      <c r="D2" s="2" t="s">
        <v>1</v>
      </c>
      <c r="E2" s="2" t="s">
        <v>2</v>
      </c>
      <c r="F2" s="29" t="s">
        <v>17</v>
      </c>
    </row>
    <row r="3" spans="2:6" ht="12.75">
      <c r="B3" s="23" t="s">
        <v>15</v>
      </c>
      <c r="D3" s="1"/>
      <c r="E3" s="1"/>
      <c r="F3" s="30"/>
    </row>
    <row r="4" spans="2:6" ht="26.25">
      <c r="B4" s="27" t="s">
        <v>24</v>
      </c>
      <c r="C4" s="8">
        <f>C10-SUM(C7:C9)</f>
        <v>286812</v>
      </c>
      <c r="D4" s="9">
        <v>311124</v>
      </c>
      <c r="E4" s="10">
        <f>D4-C4</f>
        <v>24312</v>
      </c>
      <c r="F4" s="31">
        <f>E4</f>
        <v>24312</v>
      </c>
    </row>
    <row r="5" spans="3:6" ht="12.75">
      <c r="C5" s="8"/>
      <c r="D5" s="9"/>
      <c r="E5" s="10"/>
      <c r="F5" s="31"/>
    </row>
    <row r="6" spans="2:6" ht="12.75">
      <c r="B6" t="s">
        <v>23</v>
      </c>
      <c r="C6" s="19"/>
      <c r="D6" s="9">
        <v>2083</v>
      </c>
      <c r="E6" s="10">
        <f>D6-C6</f>
        <v>2083</v>
      </c>
      <c r="F6" s="31">
        <f>E6</f>
        <v>2083</v>
      </c>
    </row>
    <row r="7" spans="2:6" ht="12.75">
      <c r="B7" s="3" t="s">
        <v>12</v>
      </c>
      <c r="C7" s="11">
        <v>10782</v>
      </c>
      <c r="D7" s="9">
        <v>0</v>
      </c>
      <c r="E7" s="10">
        <f>D7-C7</f>
        <v>-10782</v>
      </c>
      <c r="F7" s="32" t="s">
        <v>9</v>
      </c>
    </row>
    <row r="8" spans="2:6" ht="12.75">
      <c r="B8" s="3" t="s">
        <v>26</v>
      </c>
      <c r="C8" s="11">
        <v>27763</v>
      </c>
      <c r="D8" s="9">
        <v>0</v>
      </c>
      <c r="E8" s="10">
        <f>D8-C8</f>
        <v>-27763</v>
      </c>
      <c r="F8" s="32" t="s">
        <v>10</v>
      </c>
    </row>
    <row r="9" spans="2:6" ht="12.75">
      <c r="B9" t="s">
        <v>27</v>
      </c>
      <c r="C9" s="11">
        <v>1019</v>
      </c>
      <c r="D9" s="9">
        <v>443</v>
      </c>
      <c r="E9" s="10">
        <f>D9-C9</f>
        <v>-576</v>
      </c>
      <c r="F9" s="31">
        <f>E9</f>
        <v>-576</v>
      </c>
    </row>
    <row r="10" spans="2:6" ht="12.75">
      <c r="B10" s="25" t="s">
        <v>7</v>
      </c>
      <c r="C10" s="14">
        <v>326376</v>
      </c>
      <c r="D10" s="15">
        <f>SUM(D4:D9)</f>
        <v>313650</v>
      </c>
      <c r="E10" s="15">
        <f>IF(ROUND(D10-C10,3)&lt;&gt;ROUND(SUM(E4:E9),3),#VALUE!,SUM(E4:E9))</f>
        <v>-12726</v>
      </c>
      <c r="F10" s="33">
        <f>SUM(F4:F9)</f>
        <v>25819</v>
      </c>
    </row>
    <row r="11" spans="2:6" ht="12.75">
      <c r="B11" s="3" t="s">
        <v>50</v>
      </c>
      <c r="C11" s="9">
        <v>-197</v>
      </c>
      <c r="D11" s="13">
        <v>0</v>
      </c>
      <c r="E11" s="10">
        <f>D11-C11</f>
        <v>197</v>
      </c>
      <c r="F11" s="31">
        <f>E11</f>
        <v>197</v>
      </c>
    </row>
    <row r="12" spans="2:6" ht="12.75">
      <c r="B12" s="25" t="s">
        <v>4</v>
      </c>
      <c r="C12" s="16">
        <f>C10+C11</f>
        <v>326179</v>
      </c>
      <c r="D12" s="15">
        <f>D10+D11</f>
        <v>313650</v>
      </c>
      <c r="E12" s="15">
        <f>IF(ROUND(E10+E11,3)&lt;&gt;ROUND(D12-C12,3),#VALUE!,E10+E11)</f>
        <v>-12529</v>
      </c>
      <c r="F12" s="33">
        <f>ROUND(F10+F11,0)</f>
        <v>26016</v>
      </c>
    </row>
    <row r="13" spans="3:6" ht="12.75">
      <c r="C13" s="17"/>
      <c r="D13" s="18"/>
      <c r="E13" s="18"/>
      <c r="F13" s="31"/>
    </row>
    <row r="14" spans="2:6" ht="12.75">
      <c r="B14" s="23" t="s">
        <v>3</v>
      </c>
      <c r="C14" s="17"/>
      <c r="D14" s="18"/>
      <c r="E14" s="18"/>
      <c r="F14" s="31"/>
    </row>
    <row r="15" spans="2:6" ht="12.75">
      <c r="B15" s="3" t="s">
        <v>12</v>
      </c>
      <c r="C15" s="19"/>
      <c r="D15" s="20"/>
      <c r="E15" s="21"/>
      <c r="F15" s="32" t="s">
        <v>9</v>
      </c>
    </row>
    <row r="16" spans="2:6" ht="12.75">
      <c r="B16" s="3" t="s">
        <v>48</v>
      </c>
      <c r="C16" s="19"/>
      <c r="D16" s="20"/>
      <c r="E16" s="21"/>
      <c r="F16" s="32" t="s">
        <v>10</v>
      </c>
    </row>
    <row r="17" spans="2:6" ht="12.75">
      <c r="B17" s="3" t="s">
        <v>49</v>
      </c>
      <c r="C17" s="11">
        <v>98</v>
      </c>
      <c r="D17" s="13">
        <v>0</v>
      </c>
      <c r="E17" s="18">
        <f>D17-C17</f>
        <v>-98</v>
      </c>
      <c r="F17" s="31">
        <f>E17</f>
        <v>-98</v>
      </c>
    </row>
    <row r="18" spans="2:6" ht="12.75">
      <c r="B18" s="3" t="s">
        <v>28</v>
      </c>
      <c r="C18" s="11">
        <v>-9362</v>
      </c>
      <c r="D18" s="13">
        <v>0</v>
      </c>
      <c r="E18" s="18">
        <f>D18-C18</f>
        <v>9362</v>
      </c>
      <c r="F18" s="31">
        <f>E18</f>
        <v>9362</v>
      </c>
    </row>
    <row r="19" spans="2:6" ht="12.75">
      <c r="B19" s="3" t="s">
        <v>29</v>
      </c>
      <c r="C19" s="11">
        <v>-26</v>
      </c>
      <c r="D19" s="13">
        <v>0</v>
      </c>
      <c r="E19" s="18">
        <f>D19-C19</f>
        <v>26</v>
      </c>
      <c r="F19" s="31">
        <f>E19</f>
        <v>26</v>
      </c>
    </row>
    <row r="20" spans="2:6" ht="12.75">
      <c r="B20" s="3" t="s">
        <v>30</v>
      </c>
      <c r="C20" s="11">
        <v>6320</v>
      </c>
      <c r="D20" s="13">
        <v>0</v>
      </c>
      <c r="E20" s="18">
        <f>D20-C20</f>
        <v>-6320</v>
      </c>
      <c r="F20" s="31">
        <f>E20</f>
        <v>-6320</v>
      </c>
    </row>
    <row r="21" spans="2:6" ht="12.75">
      <c r="B21" s="3" t="s">
        <v>31</v>
      </c>
      <c r="C21" s="11">
        <v>22</v>
      </c>
      <c r="D21" s="13">
        <v>0</v>
      </c>
      <c r="E21" s="18">
        <f>D21-C21</f>
        <v>-22</v>
      </c>
      <c r="F21" s="31">
        <f>E21</f>
        <v>-22</v>
      </c>
    </row>
    <row r="22" spans="2:8" ht="12.75">
      <c r="B22" s="3" t="s">
        <v>13</v>
      </c>
      <c r="C22" s="19"/>
      <c r="D22" s="20"/>
      <c r="E22" s="21"/>
      <c r="F22" s="31">
        <f>(F$12-F23)*$G22</f>
        <v>1002.875959666944</v>
      </c>
      <c r="G22" s="7">
        <v>0.038639</v>
      </c>
      <c r="H22" t="s">
        <v>18</v>
      </c>
    </row>
    <row r="23" spans="2:8" ht="12.75">
      <c r="B23" s="3" t="s">
        <v>5</v>
      </c>
      <c r="C23" s="19"/>
      <c r="D23" s="20"/>
      <c r="E23" s="21"/>
      <c r="F23" s="31">
        <f>F$12*$G23</f>
        <v>60.981504</v>
      </c>
      <c r="G23" s="7">
        <v>0.002344</v>
      </c>
      <c r="H23" t="s">
        <v>19</v>
      </c>
    </row>
    <row r="24" spans="2:8" ht="12.75">
      <c r="B24" s="3" t="s">
        <v>6</v>
      </c>
      <c r="C24" s="19"/>
      <c r="D24" s="20"/>
      <c r="E24" s="21"/>
      <c r="F24" s="31">
        <f>F$12*$G24</f>
        <v>49.4304</v>
      </c>
      <c r="G24" s="7">
        <v>0.0019</v>
      </c>
      <c r="H24" t="s">
        <v>18</v>
      </c>
    </row>
    <row r="25" spans="3:8" ht="12.75">
      <c r="C25" s="15">
        <f>SUM(C15:C24)</f>
        <v>-2948</v>
      </c>
      <c r="D25" s="15">
        <f>SUM(D15:D24)</f>
        <v>0</v>
      </c>
      <c r="E25" s="15">
        <f>IF(ROUND(D25-C25,3)&lt;&gt;ROUND(SUM(E15:E24),3),#VALUE!,SUM(E15:E24))</f>
        <v>2948</v>
      </c>
      <c r="F25" s="33">
        <f>ROUND(SUM(F15:F24),0)</f>
        <v>4061</v>
      </c>
      <c r="G25" s="26">
        <f>ROUND(G22*(1-G23),6)+G23+G24</f>
        <v>0.042792</v>
      </c>
      <c r="H25" t="s">
        <v>47</v>
      </c>
    </row>
    <row r="26" spans="3:6" ht="12.75">
      <c r="C26" s="1"/>
      <c r="D26" s="18"/>
      <c r="E26" s="18"/>
      <c r="F26" s="31"/>
    </row>
    <row r="27" spans="2:6" ht="12.75">
      <c r="B27" s="24" t="s">
        <v>11</v>
      </c>
      <c r="C27" s="1">
        <f>C12-C25</f>
        <v>329127</v>
      </c>
      <c r="D27" s="1">
        <f>D12-D25</f>
        <v>313650</v>
      </c>
      <c r="E27" s="1">
        <f>E12-E25</f>
        <v>-15477</v>
      </c>
      <c r="F27" s="31">
        <f>F12-F25</f>
        <v>21955</v>
      </c>
    </row>
    <row r="28" spans="2:8" ht="12.75">
      <c r="B28" s="25" t="s">
        <v>16</v>
      </c>
      <c r="C28" s="1">
        <f>C27*$G28</f>
        <v>115194.45</v>
      </c>
      <c r="D28" s="1">
        <f>D27*$G28</f>
        <v>109777.5</v>
      </c>
      <c r="E28" s="1">
        <f>E27*$G28</f>
        <v>-5416.95</v>
      </c>
      <c r="F28" s="31">
        <f>ROUND(F27*$G28,0)</f>
        <v>7684</v>
      </c>
      <c r="G28" s="6">
        <v>0.35</v>
      </c>
      <c r="H28" t="s">
        <v>22</v>
      </c>
    </row>
    <row r="29" spans="2:6" ht="13.5" thickBot="1">
      <c r="B29" s="24" t="s">
        <v>14</v>
      </c>
      <c r="C29" s="22">
        <f>C27-C28</f>
        <v>213932.55</v>
      </c>
      <c r="D29" s="22">
        <f>D27-D28</f>
        <v>203872.5</v>
      </c>
      <c r="E29" s="22">
        <f>E27-E28</f>
        <v>-10060.05</v>
      </c>
      <c r="F29" s="34">
        <f>F27-F28</f>
        <v>14271</v>
      </c>
    </row>
    <row r="30" spans="5:6" ht="13.5" thickTop="1">
      <c r="E30" s="5"/>
      <c r="F30" s="35"/>
    </row>
    <row r="31" spans="2:8" ht="12.75">
      <c r="B31" s="39" t="s">
        <v>25</v>
      </c>
      <c r="C31" s="4"/>
      <c r="G31" s="1">
        <f>F12</f>
        <v>26016</v>
      </c>
      <c r="H31" t="s">
        <v>15</v>
      </c>
    </row>
    <row r="32" spans="3:8" ht="12.75">
      <c r="C32" s="4"/>
      <c r="G32" s="26">
        <f>G25</f>
        <v>0.042792</v>
      </c>
      <c r="H32" t="s">
        <v>47</v>
      </c>
    </row>
    <row r="33" spans="3:8" ht="12.75">
      <c r="C33" s="4"/>
      <c r="G33" s="22">
        <f>G31*G32</f>
        <v>1113.276672</v>
      </c>
      <c r="H33" t="s">
        <v>20</v>
      </c>
    </row>
    <row r="34" spans="7:8" ht="12.75">
      <c r="G34" s="1">
        <f>SUM(F22:F24)</f>
        <v>1113.287863666944</v>
      </c>
      <c r="H34" t="s">
        <v>21</v>
      </c>
    </row>
    <row r="35" ht="12.75">
      <c r="G35" s="22">
        <f>G33-G34</f>
        <v>-0.011191666944114331</v>
      </c>
    </row>
  </sheetData>
  <printOptions/>
  <pageMargins left="0.75" right="0.75" top="0.75" bottom="1" header="0.5" footer="0.5"/>
  <pageSetup fitToHeight="1" fitToWidth="1" horizontalDpi="600" verticalDpi="600" orientation="landscape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KZX5DR</dc:creator>
  <cp:keywords/>
  <dc:description/>
  <cp:lastModifiedBy>Corp Employee</cp:lastModifiedBy>
  <cp:lastPrinted>2009-01-20T00:05:08Z</cp:lastPrinted>
  <dcterms:created xsi:type="dcterms:W3CDTF">2007-03-14T20:24:40Z</dcterms:created>
  <dcterms:modified xsi:type="dcterms:W3CDTF">2009-04-30T01:10:47Z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