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Rate Spread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BOOK_LIFE">'[2]Lvl FCR'!$G$10</definedName>
    <definedName name="CASE">'[3]INPUTS'!$C$8</definedName>
    <definedName name="Classification">#REF!</definedName>
    <definedName name="Construction_OH">'[1]Virtual 49 Back-Up'!$E$54</definedName>
    <definedName name="DOCKET">#REF!</definedName>
    <definedName name="Expected_Life">#REF!</definedName>
    <definedName name="FCR">'[1]Virtual 49 Back-Up'!$B$20</definedName>
    <definedName name="Line_OH">#REF!</definedName>
    <definedName name="O_M_Rate">'[1]Virtual 49 Back-Up'!$B$21</definedName>
    <definedName name="OthRCF">'[3]INPUTS'!$F$41</definedName>
    <definedName name="_xlnm.Print_Area" localSheetId="0">'Rate Spread'!$A$1:$K$58</definedName>
    <definedName name="PSPL">#REF!</definedName>
    <definedName name="ResRCF">'[3]INPUTS'!$F$39</definedName>
    <definedName name="ROR">'[3]INPUTS'!$F$24</definedName>
    <definedName name="SBRCF">'[3]INPUTS'!$F$40</definedName>
    <definedName name="TESTYEAR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<sst xmlns="http://schemas.openxmlformats.org/spreadsheetml/2006/main" count="63" uniqueCount="63">
  <si>
    <t>Puget Sound Energy</t>
  </si>
  <si>
    <t>Residential</t>
  </si>
  <si>
    <t>Schedule</t>
  </si>
  <si>
    <t>Secondary Voltage</t>
  </si>
  <si>
    <t>Total Secondary Voltage</t>
  </si>
  <si>
    <t>Demand &lt;= 50 kW</t>
  </si>
  <si>
    <t>Demand &gt; 50 kW but &lt;= 350 kW</t>
  </si>
  <si>
    <t>Demand &gt; 350 kW</t>
  </si>
  <si>
    <t>Primary Voltage</t>
  </si>
  <si>
    <t>Interruptible Total Electric Schools</t>
  </si>
  <si>
    <t>Total Primary Voltage</t>
  </si>
  <si>
    <t>Lighting</t>
  </si>
  <si>
    <t>50-59</t>
  </si>
  <si>
    <t>Firm Resale</t>
  </si>
  <si>
    <t>Total Sales</t>
  </si>
  <si>
    <t>Schedule 449</t>
  </si>
  <si>
    <t>005</t>
  </si>
  <si>
    <t>Total High Voltage</t>
  </si>
  <si>
    <t>46 / 49</t>
  </si>
  <si>
    <t>25 / 29</t>
  </si>
  <si>
    <t>C</t>
  </si>
  <si>
    <t>B</t>
  </si>
  <si>
    <t>A</t>
  </si>
  <si>
    <t>D</t>
  </si>
  <si>
    <t>General Service / Irrigation</t>
  </si>
  <si>
    <t>31 / 35</t>
  </si>
  <si>
    <t>Campus Rate</t>
  </si>
  <si>
    <t>Average Increase Before Schedule 40</t>
  </si>
  <si>
    <t>Adjustment to Average Increase for Unequal Allocation of Increase</t>
  </si>
  <si>
    <t>E</t>
  </si>
  <si>
    <t>G  = B * F</t>
  </si>
  <si>
    <t>H = B + G</t>
  </si>
  <si>
    <t>Twelve Months ended September 30, 2007</t>
  </si>
  <si>
    <t>Average Increase After Schedule 40 adjusted for Unequal Allocation of Increase</t>
  </si>
  <si>
    <t>Average Increase After Schedule 40 &amp; Firm Resale</t>
  </si>
  <si>
    <t>Proposed Increase, All Classes, DWH-5</t>
  </si>
  <si>
    <t>Proposed Increase Change, DWH-9 vs. DWH-5</t>
  </si>
  <si>
    <t>% Increase, DWH-9 vs. DWH-5</t>
  </si>
  <si>
    <t>Schedule 40 Rate Spread Calculation</t>
  </si>
  <si>
    <t>Energy Increase, DWH-5</t>
  </si>
  <si>
    <t>Demand Increase, DWH-5</t>
  </si>
  <si>
    <t>Total Demand &amp; Energy Increase, DWH-5</t>
  </si>
  <si>
    <t>Total Demand &amp; Energy Increase, DWH-9 vs. DWH-5</t>
  </si>
  <si>
    <t>Line No.</t>
  </si>
  <si>
    <t>Firm Resale Rate Spread Calculaton</t>
  </si>
  <si>
    <t>Firm Resale Cost of service - DWH-5</t>
  </si>
  <si>
    <t>Total reveneu/cost of service DHW-5</t>
  </si>
  <si>
    <t>Total revenue/cost of service , DWH-9</t>
  </si>
  <si>
    <t xml:space="preserve">Implied Firm Resale cost of service DHW-9 </t>
  </si>
  <si>
    <t>Firm Resale proforma revenue DHW-9</t>
  </si>
  <si>
    <t>Percent
of
Average
Increase</t>
  </si>
  <si>
    <t>Percent of
Total w/o
Schedule 40
&amp;
Firm Resale</t>
  </si>
  <si>
    <t>Class</t>
  </si>
  <si>
    <t>Total Schedule 40 Increase, DWH-5</t>
  </si>
  <si>
    <t>Total Schedule 40 Increase, DWH-9</t>
  </si>
  <si>
    <t>Firm Resale Increase, DWH-9</t>
  </si>
  <si>
    <r>
      <t xml:space="preserve">Proforma
Revenue
</t>
    </r>
    <r>
      <rPr>
        <i/>
        <sz val="10"/>
        <rFont val="Arial"/>
        <family val="2"/>
      </rPr>
      <t>Revised</t>
    </r>
  </si>
  <si>
    <r>
      <t xml:space="preserve">Proposed
Increase
</t>
    </r>
    <r>
      <rPr>
        <i/>
        <sz val="10"/>
        <rFont val="Arial"/>
        <family val="2"/>
      </rPr>
      <t>Revised</t>
    </r>
  </si>
  <si>
    <r>
      <t xml:space="preserve">Proposed
Revenue
Increase
(%)         </t>
    </r>
    <r>
      <rPr>
        <i/>
        <sz val="10"/>
        <rFont val="Arial"/>
        <family val="2"/>
      </rPr>
      <t>Revised</t>
    </r>
  </si>
  <si>
    <r>
      <t xml:space="preserve">Proposed
Revenue
Increase
($)            </t>
    </r>
    <r>
      <rPr>
        <i/>
        <sz val="10"/>
        <rFont val="Arial"/>
        <family val="2"/>
      </rPr>
      <t>Revised</t>
    </r>
  </si>
  <si>
    <r>
      <t xml:space="preserve">Proposed
Revenue
</t>
    </r>
    <r>
      <rPr>
        <i/>
        <sz val="10"/>
        <rFont val="Arial"/>
        <family val="2"/>
      </rPr>
      <t>Revised</t>
    </r>
  </si>
  <si>
    <r>
      <t xml:space="preserve">Proforma
kWh
</t>
    </r>
    <r>
      <rPr>
        <i/>
        <sz val="10"/>
        <rFont val="Arial"/>
        <family val="2"/>
      </rPr>
      <t>Revised</t>
    </r>
  </si>
  <si>
    <r>
      <t xml:space="preserve">Summary - Rate Spread </t>
    </r>
    <r>
      <rPr>
        <i/>
        <sz val="10"/>
        <rFont val="Arial"/>
        <family val="2"/>
      </rPr>
      <t>Revised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</si>
</sst>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0.0%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_);_(* \(#,##0.000\);_(* &quot;-&quot;??_);_(@_)"/>
    <numFmt numFmtId="177" formatCode="#,##0\ \¢"/>
    <numFmt numFmtId="178" formatCode="#,##0.0\ \¢"/>
    <numFmt numFmtId="179" formatCode="#,##0.00\ \¢"/>
    <numFmt numFmtId="180" formatCode="#,##0.000\ \¢"/>
    <numFmt numFmtId="181" formatCode="#,##0.0000\ \¢"/>
    <numFmt numFmtId="182" formatCode="_(* #,##0.000000_);_(* \(#,##0.000000\);_(* &quot;-&quot;??????_);_(@_)"/>
    <numFmt numFmtId="183" formatCode="_(* #,##0.00000_);_(* \(#,##0.00000\);_(* &quot;-&quot;?????_);_(@_)"/>
    <numFmt numFmtId="184" formatCode="0.000%"/>
    <numFmt numFmtId="185" formatCode="m/d/yy\ h:m\i\n"/>
    <numFmt numFmtId="186" formatCode="&quot;$&quot;#,##0.0_);[Red]\(&quot;$&quot;#,##0.0\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.0000"/>
    <numFmt numFmtId="195" formatCode="0.0000000"/>
    <numFmt numFmtId="196" formatCode="0.0000\ "/>
    <numFmt numFmtId="197" formatCode="&quot;$&quot;#,##0.0000_);[Red]\(&quot;$&quot;#,##0.0000\)"/>
    <numFmt numFmtId="198" formatCode="mm/dd/yy"/>
    <numFmt numFmtId="199" formatCode="#,###"/>
    <numFmt numFmtId="200" formatCode="#,###.0"/>
    <numFmt numFmtId="201" formatCode="#,###.00"/>
    <numFmt numFmtId="202" formatCode="_(* #,##0.0000000_);_(* \(#,##0.0000000\);_(* &quot;-&quot;???????_);_(@_)"/>
    <numFmt numFmtId="203" formatCode="0.0000%"/>
    <numFmt numFmtId="204" formatCode="0.00000%"/>
    <numFmt numFmtId="205" formatCode="0.000000%"/>
    <numFmt numFmtId="206" formatCode="[$-409]dddd\,\ mmmm\ dd\,\ yyyy"/>
    <numFmt numFmtId="207" formatCode="[$-F800]dddd\,\ mmmm\ dd\,\ yyyy"/>
    <numFmt numFmtId="208" formatCode="0.000000"/>
    <numFmt numFmtId="209" formatCode="[$-409]mmmm\ d\,\ yyyy;@"/>
    <numFmt numFmtId="210" formatCode="&quot;$&quot;#,##0.000_);[Red]\(&quot;$&quot;#,##0.000\)"/>
    <numFmt numFmtId="211" formatCode="&quot;$&quot;#,##0.00000_);[Red]\(&quot;$&quot;#,##0.00000\)"/>
    <numFmt numFmtId="212" formatCode="&quot;$&quot;#,##0.000000_);[Red]\(&quot;$&quot;#,##0.000000\)"/>
    <numFmt numFmtId="213" formatCode="#,##0;\(#,##0\)"/>
    <numFmt numFmtId="214" formatCode="_(&quot;$&quot;* #,##0_);[Red]_(&quot;$&quot;* \(#,##0\);_(&quot;$&quot;* &quot;-&quot;_);_(@_)"/>
    <numFmt numFmtId="215" formatCode="_(* #,##0.000_);_(* \(#,##0.000\);_(* &quot;-&quot;???_);_(@_)"/>
    <numFmt numFmtId="216" formatCode="_(* #,##0.0000000_);_(* \(#,##0.0000000\);_(* &quot;-&quot;??_);_(@_)"/>
    <numFmt numFmtId="217" formatCode="#,##0.00\ ;\(#,##0.00\)"/>
    <numFmt numFmtId="218" formatCode="#."/>
    <numFmt numFmtId="219" formatCode="mmmm\ d\,\ yyyy"/>
    <numFmt numFmtId="220" formatCode="_(&quot;$&quot;* #,##0.0000_);_(&quot;$&quot;* \(#,##0.0000\);_(&quot;$&quot;* &quot;-&quot;????_);_(@_)"/>
    <numFmt numFmtId="221" formatCode="&quot;$&quot;#,##0.00"/>
    <numFmt numFmtId="222" formatCode="_(* #,##0.0000_);_(* \(#,##0.0000\);_(* &quot;-&quot;????_);_(@_)"/>
  </numFmts>
  <fonts count="20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0"/>
      <name val="Helv"/>
      <family val="0"/>
    </font>
    <font>
      <sz val="12"/>
      <name val="TIMES"/>
      <family val="0"/>
    </font>
    <font>
      <sz val="10"/>
      <color indexed="16"/>
      <name val="Courier"/>
      <family val="0"/>
    </font>
    <font>
      <sz val="8"/>
      <name val="Arial"/>
      <family val="0"/>
    </font>
    <font>
      <sz val="1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color indexed="20"/>
      <name val="Arial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i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>
      <alignment horizontal="left" wrapText="1"/>
      <protection/>
    </xf>
    <xf numFmtId="41" fontId="0" fillId="2" borderId="0">
      <alignment/>
      <protection/>
    </xf>
    <xf numFmtId="41" fontId="0" fillId="3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218" fontId="7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ill="0" applyBorder="0" applyAlignment="0" applyProtection="0"/>
    <xf numFmtId="219" fontId="4" fillId="0" borderId="0" applyFill="0" applyBorder="0" applyAlignment="0" applyProtection="0"/>
    <xf numFmtId="2" fontId="4" fillId="0" borderId="0" applyFill="0" applyBorder="0" applyAlignment="0" applyProtection="0"/>
    <xf numFmtId="0" fontId="1" fillId="0" borderId="0" applyNumberFormat="0" applyFill="0" applyBorder="0" applyAlignment="0" applyProtection="0"/>
    <xf numFmtId="38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>
      <alignment/>
      <protection/>
    </xf>
    <xf numFmtId="40" fontId="10" fillId="0" borderId="0">
      <alignment/>
      <protection/>
    </xf>
    <xf numFmtId="0" fontId="2" fillId="0" borderId="0" applyNumberFormat="0" applyFill="0" applyBorder="0" applyAlignment="0" applyProtection="0"/>
    <xf numFmtId="10" fontId="8" fillId="2" borderId="1" applyNumberFormat="0" applyBorder="0" applyAlignment="0" applyProtection="0"/>
    <xf numFmtId="41" fontId="11" fillId="4" borderId="2">
      <alignment horizontal="left"/>
      <protection locked="0"/>
    </xf>
    <xf numFmtId="10" fontId="11" fillId="4" borderId="2">
      <alignment horizontal="right"/>
      <protection locked="0"/>
    </xf>
    <xf numFmtId="3" fontId="12" fillId="0" borderId="0" applyFill="0" applyBorder="0" applyAlignment="0" applyProtection="0"/>
    <xf numFmtId="217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5" borderId="2">
      <alignment/>
      <protection/>
    </xf>
    <xf numFmtId="0" fontId="6" fillId="0" borderId="0">
      <alignment/>
      <protection/>
    </xf>
    <xf numFmtId="3" fontId="13" fillId="0" borderId="0" applyFill="0" applyBorder="0" applyAlignment="0" applyProtection="0"/>
    <xf numFmtId="0" fontId="14" fillId="0" borderId="0">
      <alignment/>
      <protection/>
    </xf>
    <xf numFmtId="42" fontId="0" fillId="2" borderId="0">
      <alignment/>
      <protection/>
    </xf>
    <xf numFmtId="42" fontId="0" fillId="2" borderId="3">
      <alignment vertical="center"/>
      <protection/>
    </xf>
    <xf numFmtId="0" fontId="3" fillId="2" borderId="4" applyNumberFormat="0">
      <alignment horizontal="center" vertical="center" wrapText="1"/>
      <protection/>
    </xf>
    <xf numFmtId="10" fontId="0" fillId="2" borderId="0">
      <alignment/>
      <protection/>
    </xf>
    <xf numFmtId="220" fontId="0" fillId="2" borderId="0">
      <alignment/>
      <protection/>
    </xf>
    <xf numFmtId="42" fontId="0" fillId="2" borderId="5">
      <alignment horizontal="left"/>
      <protection/>
    </xf>
    <xf numFmtId="220" fontId="15" fillId="2" borderId="5">
      <alignment horizontal="left"/>
      <protection/>
    </xf>
    <xf numFmtId="38" fontId="8" fillId="0" borderId="6">
      <alignment/>
      <protection/>
    </xf>
    <xf numFmtId="38" fontId="10" fillId="0" borderId="5">
      <alignment/>
      <protection/>
    </xf>
    <xf numFmtId="41" fontId="16" fillId="2" borderId="0">
      <alignment horizontal="left"/>
      <protection/>
    </xf>
    <xf numFmtId="221" fontId="17" fillId="2" borderId="0">
      <alignment horizontal="left" vertical="center"/>
      <protection/>
    </xf>
    <xf numFmtId="0" fontId="3" fillId="2" borderId="0">
      <alignment horizontal="left" wrapText="1"/>
      <protection/>
    </xf>
    <xf numFmtId="0" fontId="18" fillId="0" borderId="0">
      <alignment horizontal="left" vertical="center"/>
      <protection/>
    </xf>
    <xf numFmtId="41" fontId="3" fillId="2" borderId="0">
      <alignment horizontal="left"/>
      <protection/>
    </xf>
    <xf numFmtId="0" fontId="6" fillId="0" borderId="7">
      <alignment/>
      <protection/>
    </xf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 quotePrefix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 quotePrefix="1">
      <alignment horizontal="center" vertical="top" wrapText="1"/>
    </xf>
    <xf numFmtId="0" fontId="0" fillId="0" borderId="0" xfId="0" applyFill="1" applyAlignment="1">
      <alignment horizontal="left"/>
    </xf>
    <xf numFmtId="10" fontId="0" fillId="0" borderId="0" xfId="46" applyNumberFormat="1" applyFill="1" applyBorder="1" applyAlignment="1">
      <alignment/>
    </xf>
    <xf numFmtId="9" fontId="0" fillId="0" borderId="0" xfId="46" applyFill="1" applyAlignment="1">
      <alignment/>
    </xf>
    <xf numFmtId="10" fontId="0" fillId="0" borderId="0" xfId="27" applyNumberFormat="1" applyFill="1" applyBorder="1" applyAlignment="1">
      <alignment/>
    </xf>
    <xf numFmtId="0" fontId="0" fillId="0" borderId="0" xfId="0" applyFill="1" applyAlignment="1" quotePrefix="1">
      <alignment horizontal="left" indent="1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 indent="1"/>
    </xf>
    <xf numFmtId="167" fontId="0" fillId="0" borderId="0" xfId="27" applyNumberFormat="1" applyFill="1" applyAlignment="1">
      <alignment/>
    </xf>
    <xf numFmtId="10" fontId="0" fillId="0" borderId="0" xfId="27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quotePrefix="1">
      <alignment horizontal="center"/>
    </xf>
    <xf numFmtId="167" fontId="0" fillId="0" borderId="3" xfId="27" applyNumberFormat="1" applyFill="1" applyBorder="1" applyAlignment="1">
      <alignment/>
    </xf>
    <xf numFmtId="10" fontId="0" fillId="0" borderId="3" xfId="46" applyNumberFormat="1" applyFill="1" applyBorder="1" applyAlignment="1">
      <alignment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/>
    </xf>
    <xf numFmtId="0" fontId="0" fillId="0" borderId="8" xfId="0" applyFill="1" applyBorder="1" applyAlignment="1">
      <alignment/>
    </xf>
    <xf numFmtId="184" fontId="0" fillId="0" borderId="9" xfId="46" applyNumberFormat="1" applyFill="1" applyBorder="1" applyAlignment="1">
      <alignment/>
    </xf>
    <xf numFmtId="9" fontId="3" fillId="0" borderId="8" xfId="46" applyFont="1" applyFill="1" applyBorder="1" applyAlignment="1">
      <alignment/>
    </xf>
    <xf numFmtId="18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84" fontId="3" fillId="0" borderId="12" xfId="46" applyNumberFormat="1" applyFont="1" applyFill="1" applyBorder="1" applyAlignment="1">
      <alignment/>
    </xf>
    <xf numFmtId="172" fontId="0" fillId="0" borderId="0" xfId="46" applyNumberFormat="1" applyFill="1" applyAlignment="1">
      <alignment/>
    </xf>
    <xf numFmtId="0" fontId="3" fillId="0" borderId="0" xfId="0" applyFont="1" applyFill="1" applyAlignment="1" quotePrefix="1">
      <alignment wrapText="1"/>
    </xf>
    <xf numFmtId="167" fontId="0" fillId="0" borderId="0" xfId="27" applyNumberFormat="1" applyFill="1" applyAlignment="1">
      <alignment/>
    </xf>
    <xf numFmtId="0" fontId="3" fillId="0" borderId="0" xfId="0" applyFont="1" applyFill="1" applyAlignment="1">
      <alignment wrapText="1"/>
    </xf>
    <xf numFmtId="10" fontId="0" fillId="0" borderId="0" xfId="46" applyNumberFormat="1" applyFill="1" applyAlignment="1">
      <alignment/>
    </xf>
    <xf numFmtId="167" fontId="0" fillId="0" borderId="10" xfId="27" applyNumberFormat="1" applyFill="1" applyBorder="1" applyAlignment="1">
      <alignment/>
    </xf>
    <xf numFmtId="167" fontId="0" fillId="0" borderId="9" xfId="0" applyNumberFormat="1" applyFill="1" applyBorder="1" applyAlignment="1">
      <alignment/>
    </xf>
    <xf numFmtId="172" fontId="3" fillId="0" borderId="13" xfId="46" applyNumberFormat="1" applyFont="1" applyFill="1" applyBorder="1" applyAlignment="1">
      <alignment/>
    </xf>
    <xf numFmtId="167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7" fontId="0" fillId="0" borderId="9" xfId="27" applyNumberFormat="1" applyFill="1" applyBorder="1" applyAlignment="1">
      <alignment/>
    </xf>
    <xf numFmtId="167" fontId="3" fillId="0" borderId="17" xfId="0" applyNumberFormat="1" applyFont="1" applyFill="1" applyBorder="1" applyAlignment="1">
      <alignment/>
    </xf>
    <xf numFmtId="167" fontId="3" fillId="0" borderId="17" xfId="27" applyNumberFormat="1" applyFont="1" applyFill="1" applyBorder="1" applyAlignment="1">
      <alignment/>
    </xf>
    <xf numFmtId="0" fontId="0" fillId="0" borderId="4" xfId="0" applyFill="1" applyBorder="1" applyAlignment="1">
      <alignment horizontal="left" wrapText="1"/>
    </xf>
    <xf numFmtId="0" fontId="15" fillId="0" borderId="0" xfId="0" applyFont="1" applyFill="1" applyAlignment="1">
      <alignment horizontal="center" vertical="top" wrapText="1"/>
    </xf>
    <xf numFmtId="167" fontId="15" fillId="0" borderId="18" xfId="27" applyNumberFormat="1" applyFont="1" applyFill="1" applyBorder="1" applyAlignment="1">
      <alignment/>
    </xf>
    <xf numFmtId="167" fontId="15" fillId="0" borderId="0" xfId="27" applyNumberFormat="1" applyFont="1" applyFill="1" applyBorder="1" applyAlignment="1">
      <alignment/>
    </xf>
    <xf numFmtId="167" fontId="15" fillId="0" borderId="0" xfId="27" applyNumberFormat="1" applyFont="1" applyFill="1" applyAlignment="1">
      <alignment/>
    </xf>
    <xf numFmtId="167" fontId="15" fillId="0" borderId="3" xfId="27" applyNumberFormat="1" applyFont="1" applyFill="1" applyBorder="1" applyAlignment="1">
      <alignment/>
    </xf>
    <xf numFmtId="10" fontId="15" fillId="0" borderId="0" xfId="46" applyNumberFormat="1" applyFont="1" applyFill="1" applyAlignment="1">
      <alignment/>
    </xf>
    <xf numFmtId="0" fontId="15" fillId="0" borderId="0" xfId="0" applyFont="1" applyFill="1" applyAlignment="1">
      <alignment/>
    </xf>
    <xf numFmtId="10" fontId="15" fillId="0" borderId="3" xfId="46" applyNumberFormat="1" applyFont="1" applyFill="1" applyBorder="1" applyAlignment="1">
      <alignment/>
    </xf>
    <xf numFmtId="167" fontId="19" fillId="4" borderId="0" xfId="27" applyNumberFormat="1" applyFont="1" applyFill="1" applyAlignment="1">
      <alignment/>
    </xf>
    <xf numFmtId="0" fontId="15" fillId="0" borderId="0" xfId="0" applyFont="1" applyFill="1" applyBorder="1" applyAlignment="1">
      <alignment/>
    </xf>
    <xf numFmtId="167" fontId="19" fillId="4" borderId="3" xfId="27" applyNumberFormat="1" applyFont="1" applyFill="1" applyBorder="1" applyAlignment="1">
      <alignment/>
    </xf>
    <xf numFmtId="165" fontId="15" fillId="0" borderId="18" xfId="18" applyNumberFormat="1" applyFont="1" applyFill="1" applyBorder="1" applyAlignment="1">
      <alignment/>
    </xf>
    <xf numFmtId="165" fontId="15" fillId="0" borderId="0" xfId="18" applyNumberFormat="1" applyFont="1" applyFill="1" applyBorder="1" applyAlignment="1">
      <alignment/>
    </xf>
    <xf numFmtId="3" fontId="15" fillId="0" borderId="0" xfId="27" applyNumberFormat="1" applyFont="1" applyFill="1" applyBorder="1" applyAlignment="1">
      <alignment/>
    </xf>
    <xf numFmtId="3" fontId="15" fillId="0" borderId="18" xfId="18" applyNumberFormat="1" applyFont="1" applyFill="1" applyBorder="1" applyAlignment="1">
      <alignment/>
    </xf>
    <xf numFmtId="3" fontId="15" fillId="0" borderId="0" xfId="18" applyNumberFormat="1" applyFont="1" applyFill="1" applyBorder="1" applyAlignment="1">
      <alignment/>
    </xf>
    <xf numFmtId="3" fontId="15" fillId="0" borderId="0" xfId="18" applyNumberFormat="1" applyFont="1" applyFill="1" applyAlignment="1">
      <alignment/>
    </xf>
    <xf numFmtId="3" fontId="15" fillId="0" borderId="18" xfId="27" applyNumberFormat="1" applyFont="1" applyFill="1" applyBorder="1" applyAlignment="1">
      <alignment/>
    </xf>
    <xf numFmtId="165" fontId="15" fillId="0" borderId="0" xfId="18" applyNumberFormat="1" applyFont="1" applyFill="1" applyAlignment="1">
      <alignment/>
    </xf>
    <xf numFmtId="165" fontId="15" fillId="0" borderId="3" xfId="18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1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0" fillId="0" borderId="19" xfId="0" applyFill="1" applyBorder="1" applyAlignment="1" quotePrefix="1">
      <alignment horizontal="left"/>
    </xf>
    <xf numFmtId="0" fontId="0" fillId="0" borderId="8" xfId="0" applyFill="1" applyBorder="1" applyAlignment="1" quotePrefix="1">
      <alignment horizontal="left"/>
    </xf>
    <xf numFmtId="0" fontId="0" fillId="0" borderId="20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6" xfId="0" applyFill="1" applyBorder="1" applyAlignment="1" quotePrefix="1">
      <alignment horizontal="left"/>
    </xf>
    <xf numFmtId="0" fontId="0" fillId="0" borderId="15" xfId="0" applyFill="1" applyBorder="1" applyAlignment="1" quotePrefix="1">
      <alignment horizontal="left"/>
    </xf>
    <xf numFmtId="0" fontId="0" fillId="0" borderId="21" xfId="0" applyFill="1" applyBorder="1" applyAlignment="1" quotePrefix="1">
      <alignment horizontal="left"/>
    </xf>
    <xf numFmtId="0" fontId="0" fillId="0" borderId="11" xfId="0" applyFill="1" applyBorder="1" applyAlignment="1" quotePrefix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 quotePrefix="1">
      <alignment horizontal="center"/>
    </xf>
    <xf numFmtId="0" fontId="3" fillId="0" borderId="23" xfId="0" applyFont="1" applyFill="1" applyBorder="1" applyAlignment="1" quotePrefix="1">
      <alignment horizontal="center"/>
    </xf>
    <xf numFmtId="0" fontId="3" fillId="0" borderId="24" xfId="0" applyFont="1" applyFill="1" applyBorder="1" applyAlignment="1" quotePrefix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</cellXfs>
  <cellStyles count="52">
    <cellStyle name="Normal" xfId="0"/>
    <cellStyle name="Calculation" xfId="16"/>
    <cellStyle name="CheckCell" xfId="17"/>
    <cellStyle name="Comma" xfId="18"/>
    <cellStyle name="Comma [0]" xfId="19"/>
    <cellStyle name="Comma0" xfId="20"/>
    <cellStyle name="Comma0 - Style2" xfId="21"/>
    <cellStyle name="Comma0 - Style5" xfId="22"/>
    <cellStyle name="Comma0_00COS Ind Allocators" xfId="23"/>
    <cellStyle name="Comma1 - Style1" xfId="24"/>
    <cellStyle name="Curren - Style2" xfId="25"/>
    <cellStyle name="Curren - Style6" xfId="26"/>
    <cellStyle name="Currency" xfId="27"/>
    <cellStyle name="Currency [0]" xfId="28"/>
    <cellStyle name="Currency0" xfId="29"/>
    <cellStyle name="Date" xfId="30"/>
    <cellStyle name="Fixed" xfId="31"/>
    <cellStyle name="Followed Hyperlink" xfId="32"/>
    <cellStyle name="Grey" xfId="33"/>
    <cellStyle name="Heading 1" xfId="34"/>
    <cellStyle name="Heading 2" xfId="35"/>
    <cellStyle name="Heading1" xfId="36"/>
    <cellStyle name="Heading2" xfId="37"/>
    <cellStyle name="Hyperlink" xfId="38"/>
    <cellStyle name="Input [yellow]" xfId="39"/>
    <cellStyle name="Input Cells" xfId="40"/>
    <cellStyle name="Input Cells Percent" xfId="41"/>
    <cellStyle name="LINKED" xfId="42"/>
    <cellStyle name="Normal - Style1" xfId="43"/>
    <cellStyle name="Percen - Style1" xfId="44"/>
    <cellStyle name="Percen - Style3" xfId="45"/>
    <cellStyle name="Percent" xfId="46"/>
    <cellStyle name="Percent [2]" xfId="47"/>
    <cellStyle name="Processing" xfId="48"/>
    <cellStyle name="purple - Style8" xfId="49"/>
    <cellStyle name="RED" xfId="50"/>
    <cellStyle name="Red - Style7" xfId="51"/>
    <cellStyle name="Report" xfId="52"/>
    <cellStyle name="Report Bar" xfId="53"/>
    <cellStyle name="Report Heading" xfId="54"/>
    <cellStyle name="Report Percent" xfId="55"/>
    <cellStyle name="Report Unit Cost" xfId="56"/>
    <cellStyle name="Reports Total" xfId="57"/>
    <cellStyle name="Reports Unit Cost Total" xfId="58"/>
    <cellStyle name="StmtTtl1" xfId="59"/>
    <cellStyle name="StmtTtl2" xfId="60"/>
    <cellStyle name="Sub-total" xfId="61"/>
    <cellStyle name="Title: Major" xfId="62"/>
    <cellStyle name="Title: Minor" xfId="63"/>
    <cellStyle name="Title: Worksheet" xfId="64"/>
    <cellStyle name="Total" xfId="65"/>
    <cellStyle name="Total4 - Style4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ljh\Local%20Settings\MSN%20Rate%20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93\FCR%20for%20PSE%20S40%20V0%20%20HM%20ed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RASANEN\#2005%20GRC\Update%206-30-06\COS%20Update%207-7-06\ECOS%20Model%20-%20UPDATE%20(JAH-5)%207-7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3">
        <row r="20">
          <cell r="B20">
            <v>0.1312</v>
          </cell>
        </row>
        <row r="21">
          <cell r="B21">
            <v>0.038234</v>
          </cell>
        </row>
        <row r="54">
          <cell r="E54">
            <v>0.23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2">
        <row r="10">
          <cell r="G10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1">
        <row r="8">
          <cell r="C8">
            <v>2</v>
          </cell>
        </row>
        <row r="24">
          <cell r="F24">
            <v>0.0876</v>
          </cell>
        </row>
        <row r="39">
          <cell r="F39">
            <v>0.6207334</v>
          </cell>
        </row>
        <row r="40">
          <cell r="F40">
            <v>0.6207334</v>
          </cell>
        </row>
        <row r="41">
          <cell r="F41">
            <v>0.6207334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90" zoomScaleNormal="9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8" sqref="K8"/>
    </sheetView>
  </sheetViews>
  <sheetFormatPr defaultColWidth="9.140625" defaultRowHeight="12.75"/>
  <cols>
    <col min="1" max="1" width="4.57421875" style="1" bestFit="1" customWidth="1"/>
    <col min="2" max="2" width="31.7109375" style="1" bestFit="1" customWidth="1"/>
    <col min="3" max="3" width="11.28125" style="1" customWidth="1"/>
    <col min="4" max="5" width="16.28125" style="1" bestFit="1" customWidth="1"/>
    <col min="6" max="6" width="16.140625" style="1" bestFit="1" customWidth="1"/>
    <col min="7" max="7" width="11.140625" style="1" bestFit="1" customWidth="1"/>
    <col min="8" max="8" width="10.140625" style="1" customWidth="1"/>
    <col min="9" max="9" width="12.28125" style="1" bestFit="1" customWidth="1"/>
    <col min="10" max="10" width="14.7109375" style="1" bestFit="1" customWidth="1"/>
    <col min="11" max="11" width="16.28125" style="1" bestFit="1" customWidth="1"/>
    <col min="12" max="16384" width="8.8515625" style="1" customWidth="1"/>
  </cols>
  <sheetData>
    <row r="1" spans="1:11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9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6" customFormat="1" ht="76.5">
      <c r="A5" s="4" t="s">
        <v>43</v>
      </c>
      <c r="B5" s="47" t="s">
        <v>52</v>
      </c>
      <c r="C5" s="4" t="s">
        <v>2</v>
      </c>
      <c r="D5" s="5" t="s">
        <v>61</v>
      </c>
      <c r="E5" s="4" t="s">
        <v>56</v>
      </c>
      <c r="F5" s="5" t="s">
        <v>57</v>
      </c>
      <c r="G5" s="5" t="s">
        <v>51</v>
      </c>
      <c r="H5" s="5" t="s">
        <v>50</v>
      </c>
      <c r="I5" s="5" t="s">
        <v>58</v>
      </c>
      <c r="J5" s="5" t="s">
        <v>59</v>
      </c>
      <c r="K5" s="5" t="s">
        <v>60</v>
      </c>
    </row>
    <row r="6" spans="2:11" s="9" customFormat="1" ht="12.75">
      <c r="B6" s="7"/>
      <c r="C6" s="8"/>
      <c r="D6" s="8" t="s">
        <v>22</v>
      </c>
      <c r="E6" s="8" t="s">
        <v>21</v>
      </c>
      <c r="F6" s="9" t="s">
        <v>20</v>
      </c>
      <c r="G6" s="8" t="s">
        <v>23</v>
      </c>
      <c r="H6" s="9" t="s">
        <v>29</v>
      </c>
      <c r="I6" s="48"/>
      <c r="J6" s="10" t="s">
        <v>30</v>
      </c>
      <c r="K6" s="10" t="s">
        <v>31</v>
      </c>
    </row>
    <row r="7" spans="2:9" s="9" customFormat="1" ht="12.75">
      <c r="B7" s="7"/>
      <c r="C7" s="8"/>
      <c r="D7" s="8"/>
      <c r="E7" s="8"/>
      <c r="G7" s="8"/>
      <c r="I7" s="48"/>
    </row>
    <row r="8" spans="1:11" ht="12.75">
      <c r="A8" s="2">
        <v>1</v>
      </c>
      <c r="B8" s="11" t="s">
        <v>1</v>
      </c>
      <c r="C8" s="2">
        <v>7</v>
      </c>
      <c r="D8" s="59">
        <v>10689229506.4513</v>
      </c>
      <c r="E8" s="49">
        <v>984131415</v>
      </c>
      <c r="G8" s="12">
        <f>E8/(E$31-E$21-$E$29)</f>
        <v>0.5473672071755954</v>
      </c>
      <c r="H8" s="13">
        <v>1.25</v>
      </c>
      <c r="I8" s="53">
        <f>+$I$34*$I$35*H8</f>
        <v>0.12111145950389626</v>
      </c>
      <c r="J8" s="49">
        <f>+E8*I8</f>
        <v>119189592.01428463</v>
      </c>
      <c r="K8" s="49">
        <f>+E8+J8</f>
        <v>1103321007.0142846</v>
      </c>
    </row>
    <row r="9" spans="1:11" ht="12.75">
      <c r="A9" s="2">
        <f>+A8+1</f>
        <v>2</v>
      </c>
      <c r="C9" s="2"/>
      <c r="D9" s="60"/>
      <c r="E9" s="50"/>
      <c r="G9" s="14"/>
      <c r="I9" s="54"/>
      <c r="J9" s="50"/>
      <c r="K9" s="50"/>
    </row>
    <row r="10" spans="1:11" ht="12.75">
      <c r="A10" s="2">
        <f aca="true" t="shared" si="0" ref="A10:A58">+A9+1</f>
        <v>3</v>
      </c>
      <c r="B10" s="1" t="s">
        <v>3</v>
      </c>
      <c r="C10" s="2"/>
      <c r="D10" s="60"/>
      <c r="E10" s="50"/>
      <c r="G10" s="14"/>
      <c r="I10" s="54"/>
      <c r="J10" s="50"/>
      <c r="K10" s="50"/>
    </row>
    <row r="11" spans="1:11" ht="12.75">
      <c r="A11" s="2">
        <f t="shared" si="0"/>
        <v>4</v>
      </c>
      <c r="B11" s="15" t="s">
        <v>5</v>
      </c>
      <c r="C11" s="2">
        <v>24</v>
      </c>
      <c r="D11" s="61">
        <v>2617345842.8314</v>
      </c>
      <c r="E11" s="50">
        <v>225498621</v>
      </c>
      <c r="G11" s="12">
        <f>E11/(E$31-E$21-$E$29)</f>
        <v>0.1254208010408021</v>
      </c>
      <c r="H11" s="13">
        <v>1</v>
      </c>
      <c r="I11" s="53">
        <f>+$I$34*$I$35*H11</f>
        <v>0.09688916760311701</v>
      </c>
      <c r="J11" s="50">
        <f>+E11*I11</f>
        <v>21848373.68434076</v>
      </c>
      <c r="K11" s="50">
        <f>+E11+J11</f>
        <v>247346994.68434078</v>
      </c>
    </row>
    <row r="12" spans="1:11" ht="12.75">
      <c r="A12" s="2">
        <f t="shared" si="0"/>
        <v>5</v>
      </c>
      <c r="B12" s="15" t="s">
        <v>6</v>
      </c>
      <c r="C12" s="2" t="s">
        <v>19</v>
      </c>
      <c r="D12" s="61">
        <v>3074814746.2022</v>
      </c>
      <c r="E12" s="50">
        <v>260900409</v>
      </c>
      <c r="G12" s="12">
        <f>E12/(E$31-E$21-$E$29)</f>
        <v>0.14511103501893655</v>
      </c>
      <c r="H12" s="13">
        <v>0.5</v>
      </c>
      <c r="I12" s="53">
        <f>+$I$34*$I$35*H12</f>
        <v>0.048444583801558506</v>
      </c>
      <c r="J12" s="50">
        <f>+E12*I12</f>
        <v>12639211.72766139</v>
      </c>
      <c r="K12" s="50">
        <f>+E12+J12</f>
        <v>273539620.7276614</v>
      </c>
    </row>
    <row r="13" spans="1:11" ht="12.75">
      <c r="A13" s="2">
        <f t="shared" si="0"/>
        <v>6</v>
      </c>
      <c r="B13" s="15" t="s">
        <v>7</v>
      </c>
      <c r="C13" s="2">
        <v>26</v>
      </c>
      <c r="D13" s="61">
        <v>2097537996.06</v>
      </c>
      <c r="E13" s="50">
        <v>159065783</v>
      </c>
      <c r="G13" s="12">
        <f>E13/(E$31-E$21-$E$29)</f>
        <v>0.08847130786685567</v>
      </c>
      <c r="H13" s="13">
        <f>+H12</f>
        <v>0.5</v>
      </c>
      <c r="I13" s="53">
        <f>+$I$34*$I$35*H13</f>
        <v>0.048444583801558506</v>
      </c>
      <c r="J13" s="50">
        <f>+E13*I13</f>
        <v>7705875.654504021</v>
      </c>
      <c r="K13" s="50">
        <f>+E13+J13</f>
        <v>166771658.65450403</v>
      </c>
    </row>
    <row r="14" spans="1:11" ht="12.75">
      <c r="A14" s="2">
        <f t="shared" si="0"/>
        <v>7</v>
      </c>
      <c r="B14" s="16" t="s">
        <v>4</v>
      </c>
      <c r="C14" s="2"/>
      <c r="D14" s="62">
        <f>SUM(D11:D13)</f>
        <v>7789698585.093599</v>
      </c>
      <c r="E14" s="49">
        <f>SUM(E11:E13)</f>
        <v>645464813</v>
      </c>
      <c r="G14" s="14"/>
      <c r="I14" s="54"/>
      <c r="J14" s="49">
        <f>SUM(J11:J13)</f>
        <v>42193461.06650617</v>
      </c>
      <c r="K14" s="49">
        <f>SUM(K11:K13)</f>
        <v>687658274.0665061</v>
      </c>
    </row>
    <row r="15" spans="1:11" ht="12.75">
      <c r="A15" s="2">
        <f t="shared" si="0"/>
        <v>8</v>
      </c>
      <c r="C15" s="2"/>
      <c r="D15" s="63"/>
      <c r="E15" s="50"/>
      <c r="G15" s="14"/>
      <c r="I15" s="54"/>
      <c r="J15" s="50"/>
      <c r="K15" s="50"/>
    </row>
    <row r="16" spans="1:11" ht="12.75">
      <c r="A16" s="2">
        <f t="shared" si="0"/>
        <v>9</v>
      </c>
      <c r="B16" s="1" t="s">
        <v>8</v>
      </c>
      <c r="C16" s="2"/>
      <c r="D16" s="63"/>
      <c r="E16" s="50"/>
      <c r="G16" s="14"/>
      <c r="I16" s="54"/>
      <c r="J16" s="50"/>
      <c r="K16" s="50"/>
    </row>
    <row r="17" spans="1:11" ht="12.75">
      <c r="A17" s="2">
        <f t="shared" si="0"/>
        <v>10</v>
      </c>
      <c r="B17" s="15" t="s">
        <v>24</v>
      </c>
      <c r="C17" s="2" t="s">
        <v>25</v>
      </c>
      <c r="D17" s="61">
        <v>1375432289.4800003</v>
      </c>
      <c r="E17" s="50">
        <v>99476006</v>
      </c>
      <c r="G17" s="12">
        <f>E17/(E$31-E$21-$E$29)</f>
        <v>0.05532787873172687</v>
      </c>
      <c r="H17" s="13">
        <v>1</v>
      </c>
      <c r="I17" s="53">
        <f>+$I$34*$I$35*H17</f>
        <v>0.09688916760311701</v>
      </c>
      <c r="J17" s="50">
        <f>+E17*I17</f>
        <v>9638147.417822674</v>
      </c>
      <c r="K17" s="50">
        <f>+E17+J17</f>
        <v>109114153.41782267</v>
      </c>
    </row>
    <row r="18" spans="1:11" ht="12.75">
      <c r="A18" s="2">
        <f t="shared" si="0"/>
        <v>11</v>
      </c>
      <c r="B18" s="17" t="s">
        <v>9</v>
      </c>
      <c r="C18" s="2">
        <v>43</v>
      </c>
      <c r="D18" s="61">
        <v>166315853.19</v>
      </c>
      <c r="E18" s="50">
        <v>12849804</v>
      </c>
      <c r="G18" s="12">
        <f>E18/(E$31-E$21-$E$29)</f>
        <v>0.007146973687689661</v>
      </c>
      <c r="H18" s="13">
        <v>1</v>
      </c>
      <c r="I18" s="53">
        <f>+$I$34*$I$35*H18</f>
        <v>0.09688916760311701</v>
      </c>
      <c r="J18" s="50">
        <f>+E18*I18</f>
        <v>1245006.8134232033</v>
      </c>
      <c r="K18" s="50">
        <f>+E18+J18</f>
        <v>14094810.813423203</v>
      </c>
    </row>
    <row r="19" spans="1:11" ht="12.75">
      <c r="A19" s="2">
        <f t="shared" si="0"/>
        <v>12</v>
      </c>
      <c r="B19" s="11" t="s">
        <v>10</v>
      </c>
      <c r="C19" s="2"/>
      <c r="D19" s="62">
        <f>SUM(D17:D18)</f>
        <v>1541748142.6700003</v>
      </c>
      <c r="E19" s="49">
        <f>SUM(E17:E18)</f>
        <v>112325810</v>
      </c>
      <c r="G19" s="14"/>
      <c r="I19" s="54"/>
      <c r="J19" s="49">
        <f>SUM(J17:J18)</f>
        <v>10883154.231245877</v>
      </c>
      <c r="K19" s="49">
        <f>SUM(K17:K18)</f>
        <v>123208964.23124588</v>
      </c>
    </row>
    <row r="20" spans="1:11" ht="12.75">
      <c r="A20" s="2">
        <f t="shared" si="0"/>
        <v>13</v>
      </c>
      <c r="C20" s="2"/>
      <c r="D20" s="64"/>
      <c r="E20" s="51"/>
      <c r="G20" s="19"/>
      <c r="I20" s="54"/>
      <c r="J20" s="54"/>
      <c r="K20" s="54"/>
    </row>
    <row r="21" spans="1:11" ht="12.75">
      <c r="A21" s="2">
        <f t="shared" si="0"/>
        <v>14</v>
      </c>
      <c r="B21" s="11" t="s">
        <v>26</v>
      </c>
      <c r="C21" s="2">
        <v>40</v>
      </c>
      <c r="D21" s="65">
        <v>616525728</v>
      </c>
      <c r="E21" s="49">
        <v>38977282</v>
      </c>
      <c r="G21" s="14"/>
      <c r="I21" s="53">
        <f>(J21/E21)</f>
        <v>0.0517233627960204</v>
      </c>
      <c r="J21" s="56">
        <f>+F48</f>
        <v>2016036.0976887955</v>
      </c>
      <c r="K21" s="49">
        <f>+E21+J21</f>
        <v>40993318.097688794</v>
      </c>
    </row>
    <row r="22" spans="1:11" ht="12.75">
      <c r="A22" s="2">
        <f t="shared" si="0"/>
        <v>15</v>
      </c>
      <c r="C22" s="2"/>
      <c r="D22" s="64"/>
      <c r="E22" s="51"/>
      <c r="G22" s="19"/>
      <c r="I22" s="54"/>
      <c r="J22" s="54"/>
      <c r="K22" s="54"/>
    </row>
    <row r="23" spans="1:11" ht="12.75">
      <c r="A23" s="2">
        <f t="shared" si="0"/>
        <v>16</v>
      </c>
      <c r="B23" s="16" t="s">
        <v>17</v>
      </c>
      <c r="C23" s="2" t="s">
        <v>18</v>
      </c>
      <c r="D23" s="65">
        <v>559456743</v>
      </c>
      <c r="E23" s="49">
        <v>31895919</v>
      </c>
      <c r="G23" s="12">
        <f>E23/(E$31-E$21-$E$29)</f>
        <v>0.0177402934579921</v>
      </c>
      <c r="H23" s="13">
        <v>1</v>
      </c>
      <c r="I23" s="53">
        <f>+$I$34*$I$35*H23</f>
        <v>0.09688916760311701</v>
      </c>
      <c r="J23" s="49">
        <f>+E23*I23</f>
        <v>3090369.0418464444</v>
      </c>
      <c r="K23" s="49">
        <f>+E23+J23</f>
        <v>34986288.04184645</v>
      </c>
    </row>
    <row r="24" spans="1:11" ht="12.75">
      <c r="A24" s="2">
        <f t="shared" si="0"/>
        <v>17</v>
      </c>
      <c r="C24" s="2"/>
      <c r="D24" s="64"/>
      <c r="E24" s="51"/>
      <c r="G24" s="19"/>
      <c r="I24" s="54"/>
      <c r="J24" s="57"/>
      <c r="K24" s="57"/>
    </row>
    <row r="25" spans="1:11" ht="12.75">
      <c r="A25" s="2">
        <f t="shared" si="0"/>
        <v>18</v>
      </c>
      <c r="B25" s="16" t="s">
        <v>15</v>
      </c>
      <c r="C25" s="2">
        <v>449</v>
      </c>
      <c r="D25" s="65">
        <v>2114957127</v>
      </c>
      <c r="E25" s="49">
        <v>8668109</v>
      </c>
      <c r="G25" s="12">
        <f>E25/(E$31-E$21-$E$29)</f>
        <v>0.004821143337674718</v>
      </c>
      <c r="H25" s="13">
        <v>1</v>
      </c>
      <c r="I25" s="53">
        <f>+$I$34*$I$35*H25</f>
        <v>0.09688916760311701</v>
      </c>
      <c r="J25" s="49">
        <f>+E25*I25</f>
        <v>839845.865703087</v>
      </c>
      <c r="K25" s="49">
        <f>+E25+J25</f>
        <v>9507954.865703087</v>
      </c>
    </row>
    <row r="26" spans="1:11" ht="12.75">
      <c r="A26" s="2">
        <f t="shared" si="0"/>
        <v>19</v>
      </c>
      <c r="C26" s="2"/>
      <c r="D26" s="64"/>
      <c r="E26" s="51"/>
      <c r="G26" s="19"/>
      <c r="I26" s="54"/>
      <c r="J26" s="57"/>
      <c r="K26" s="54"/>
    </row>
    <row r="27" spans="1:11" ht="12.75">
      <c r="A27" s="2">
        <f t="shared" si="0"/>
        <v>20</v>
      </c>
      <c r="B27" s="1" t="s">
        <v>11</v>
      </c>
      <c r="C27" s="2" t="s">
        <v>12</v>
      </c>
      <c r="D27" s="65">
        <v>79343267.5189</v>
      </c>
      <c r="E27" s="49">
        <v>15450314</v>
      </c>
      <c r="G27" s="12">
        <f>E27/(E$31-E$21-$E$29)</f>
        <v>0.008593359682726927</v>
      </c>
      <c r="H27" s="13">
        <v>0.75</v>
      </c>
      <c r="I27" s="53">
        <f>+$I$34*$I$35*H27</f>
        <v>0.07266687570233776</v>
      </c>
      <c r="J27" s="49">
        <f>+E27*I27</f>
        <v>1122726.047000089</v>
      </c>
      <c r="K27" s="49">
        <f>+E27+J27</f>
        <v>16573040.04700009</v>
      </c>
    </row>
    <row r="28" spans="1:11" ht="12.75">
      <c r="A28" s="2">
        <f t="shared" si="0"/>
        <v>21</v>
      </c>
      <c r="C28" s="2"/>
      <c r="D28" s="64"/>
      <c r="E28" s="51"/>
      <c r="G28" s="19"/>
      <c r="I28" s="54"/>
      <c r="J28" s="57"/>
      <c r="K28" s="57"/>
    </row>
    <row r="29" spans="1:11" ht="12.75">
      <c r="A29" s="2">
        <f t="shared" si="0"/>
        <v>22</v>
      </c>
      <c r="B29" s="1" t="s">
        <v>13</v>
      </c>
      <c r="C29" s="21" t="s">
        <v>16</v>
      </c>
      <c r="D29" s="65">
        <v>155517683</v>
      </c>
      <c r="E29" s="49">
        <v>1142425</v>
      </c>
      <c r="G29" s="12"/>
      <c r="H29" s="13"/>
      <c r="I29" s="53">
        <f>(J29/E29)</f>
        <v>0.29775664549087416</v>
      </c>
      <c r="J29" s="56">
        <f>F57</f>
        <v>340164.63572491193</v>
      </c>
      <c r="K29" s="49">
        <f>+E29+J29</f>
        <v>1482589.635724912</v>
      </c>
    </row>
    <row r="30" spans="1:11" ht="12.75">
      <c r="A30" s="2">
        <f t="shared" si="0"/>
        <v>23</v>
      </c>
      <c r="C30" s="2"/>
      <c r="D30" s="66"/>
      <c r="E30" s="51"/>
      <c r="G30" s="18"/>
      <c r="I30" s="54"/>
      <c r="J30" s="54"/>
      <c r="K30" s="54"/>
    </row>
    <row r="31" spans="1:11" ht="13.5" thickBot="1">
      <c r="A31" s="2">
        <f t="shared" si="0"/>
        <v>24</v>
      </c>
      <c r="B31" s="1" t="s">
        <v>14</v>
      </c>
      <c r="C31" s="2"/>
      <c r="D31" s="67">
        <f>SUM(D29,D27,D25,D21,D23,D19,D14,D8)</f>
        <v>23546476782.7338</v>
      </c>
      <c r="E31" s="52">
        <f>SUM(E29,E27,E25,E21,E23,E19,E14,E8)</f>
        <v>1838056087</v>
      </c>
      <c r="F31" s="58">
        <v>179675349</v>
      </c>
      <c r="G31" s="23">
        <f>SUM(G8:G29)</f>
        <v>0.9999999999999999</v>
      </c>
      <c r="H31" s="22"/>
      <c r="I31" s="55">
        <f>+F31/E31</f>
        <v>0.09775291965832161</v>
      </c>
      <c r="J31" s="52">
        <f>SUM(J29,J27,J25,J21,J23,J19,J14,J8)</f>
        <v>179675349</v>
      </c>
      <c r="K31" s="52">
        <f>SUM(K29,K27,K25,K21,K23,K19,K14,K8)</f>
        <v>2017731436</v>
      </c>
    </row>
    <row r="32" spans="1:11" ht="14.25" thickBot="1" thickTop="1">
      <c r="A32" s="2">
        <f t="shared" si="0"/>
        <v>25</v>
      </c>
      <c r="C32" s="2"/>
      <c r="D32" s="24"/>
      <c r="E32" s="18"/>
      <c r="G32" s="18"/>
      <c r="K32" s="25"/>
    </row>
    <row r="33" spans="1:9" ht="12.75">
      <c r="A33" s="2">
        <f t="shared" si="0"/>
        <v>26</v>
      </c>
      <c r="B33" s="76" t="s">
        <v>27</v>
      </c>
      <c r="C33" s="77"/>
      <c r="D33" s="77"/>
      <c r="E33" s="77"/>
      <c r="F33" s="28"/>
      <c r="G33" s="26"/>
      <c r="H33" s="28"/>
      <c r="I33" s="29">
        <f>F31/(E31)</f>
        <v>0.09775291965832161</v>
      </c>
    </row>
    <row r="34" spans="1:11" ht="12.75">
      <c r="A34" s="2">
        <f t="shared" si="0"/>
        <v>27</v>
      </c>
      <c r="B34" s="78" t="s">
        <v>34</v>
      </c>
      <c r="C34" s="79"/>
      <c r="D34" s="79"/>
      <c r="E34" s="79"/>
      <c r="F34" s="20"/>
      <c r="G34" s="20"/>
      <c r="H34" s="20"/>
      <c r="I34" s="27">
        <f>(F31-J21-J29)/SUM(E31-E21-E29)</f>
        <v>0.09862370562110007</v>
      </c>
      <c r="K34" s="25"/>
    </row>
    <row r="35" spans="1:11" ht="13.5" thickBot="1">
      <c r="A35" s="2">
        <f t="shared" si="0"/>
        <v>28</v>
      </c>
      <c r="B35" s="80" t="s">
        <v>28</v>
      </c>
      <c r="C35" s="81"/>
      <c r="D35" s="81"/>
      <c r="E35" s="81"/>
      <c r="F35" s="42"/>
      <c r="G35" s="42"/>
      <c r="H35" s="42"/>
      <c r="I35" s="41">
        <f>1/SUMPRODUCT($H$8:$H$29,$G$8:$G$29)</f>
        <v>0.9824125649400467</v>
      </c>
      <c r="K35" s="25"/>
    </row>
    <row r="36" spans="1:11" ht="13.5" thickBot="1">
      <c r="A36" s="2">
        <f t="shared" si="0"/>
        <v>29</v>
      </c>
      <c r="B36" s="82" t="s">
        <v>33</v>
      </c>
      <c r="C36" s="83"/>
      <c r="D36" s="83"/>
      <c r="E36" s="83"/>
      <c r="F36" s="30"/>
      <c r="G36" s="30"/>
      <c r="H36" s="30"/>
      <c r="I36" s="31">
        <f>I35*I34</f>
        <v>0.09688916760311701</v>
      </c>
      <c r="K36" s="25"/>
    </row>
    <row r="37" spans="1:5" ht="13.5" thickBot="1">
      <c r="A37" s="2">
        <f t="shared" si="0"/>
        <v>30</v>
      </c>
      <c r="B37" s="79"/>
      <c r="C37" s="79"/>
      <c r="D37" s="79"/>
      <c r="E37" s="79"/>
    </row>
    <row r="38" spans="1:11" ht="12.75">
      <c r="A38" s="2">
        <f t="shared" si="0"/>
        <v>31</v>
      </c>
      <c r="B38" s="70" t="s">
        <v>35</v>
      </c>
      <c r="C38" s="71"/>
      <c r="D38" s="71"/>
      <c r="E38" s="71"/>
      <c r="F38" s="37">
        <v>174819117</v>
      </c>
      <c r="K38" s="34"/>
    </row>
    <row r="39" spans="1:11" ht="12.75">
      <c r="A39" s="2">
        <f t="shared" si="0"/>
        <v>32</v>
      </c>
      <c r="B39" s="72" t="s">
        <v>36</v>
      </c>
      <c r="C39" s="73"/>
      <c r="D39" s="73"/>
      <c r="E39" s="73"/>
      <c r="F39" s="38">
        <f>+F31-F38</f>
        <v>4856232</v>
      </c>
      <c r="K39" s="25"/>
    </row>
    <row r="40" spans="1:11" ht="12.75" customHeight="1" thickBot="1">
      <c r="A40" s="2">
        <f t="shared" si="0"/>
        <v>33</v>
      </c>
      <c r="B40" s="74" t="s">
        <v>37</v>
      </c>
      <c r="C40" s="75"/>
      <c r="D40" s="75"/>
      <c r="E40" s="75"/>
      <c r="F40" s="39">
        <f>+F39/F38</f>
        <v>0.027778609589934035</v>
      </c>
      <c r="G40" s="33"/>
      <c r="K40" s="36"/>
    </row>
    <row r="41" spans="1:7" ht="12.75" customHeight="1" thickBot="1">
      <c r="A41" s="2">
        <f t="shared" si="0"/>
        <v>34</v>
      </c>
      <c r="B41" s="35"/>
      <c r="C41" s="33"/>
      <c r="D41" s="33"/>
      <c r="E41" s="33"/>
      <c r="F41" s="32"/>
      <c r="G41" s="33"/>
    </row>
    <row r="42" spans="1:6" ht="12.75">
      <c r="A42" s="2">
        <f t="shared" si="0"/>
        <v>35</v>
      </c>
      <c r="B42" s="87" t="s">
        <v>38</v>
      </c>
      <c r="C42" s="88"/>
      <c r="D42" s="88"/>
      <c r="E42" s="88"/>
      <c r="F42" s="89"/>
    </row>
    <row r="43" spans="1:6" ht="12.75">
      <c r="A43" s="2">
        <f t="shared" si="0"/>
        <v>36</v>
      </c>
      <c r="B43" s="72" t="s">
        <v>39</v>
      </c>
      <c r="C43" s="73"/>
      <c r="D43" s="73"/>
      <c r="E43" s="73"/>
      <c r="F43" s="38">
        <v>1669353.596140582</v>
      </c>
    </row>
    <row r="44" spans="1:6" ht="12.75">
      <c r="A44" s="2">
        <f t="shared" si="0"/>
        <v>37</v>
      </c>
      <c r="B44" s="72" t="s">
        <v>40</v>
      </c>
      <c r="C44" s="73"/>
      <c r="D44" s="73"/>
      <c r="E44" s="73"/>
      <c r="F44" s="38">
        <v>815871.5</v>
      </c>
    </row>
    <row r="45" spans="1:6" ht="12.75">
      <c r="A45" s="2">
        <f t="shared" si="0"/>
        <v>38</v>
      </c>
      <c r="B45" s="72" t="s">
        <v>41</v>
      </c>
      <c r="C45" s="73"/>
      <c r="D45" s="73"/>
      <c r="E45" s="73"/>
      <c r="F45" s="40">
        <f>SUM(F43:F44)</f>
        <v>2485225.096140582</v>
      </c>
    </row>
    <row r="46" spans="1:6" ht="12.75">
      <c r="A46" s="2">
        <f t="shared" si="0"/>
        <v>39</v>
      </c>
      <c r="B46" s="72" t="s">
        <v>42</v>
      </c>
      <c r="C46" s="73"/>
      <c r="D46" s="73"/>
      <c r="E46" s="73"/>
      <c r="F46" s="38">
        <f>+F45*(F40)</f>
        <v>69036.0976887955</v>
      </c>
    </row>
    <row r="47" spans="1:6" ht="12.75">
      <c r="A47" s="2">
        <f t="shared" si="0"/>
        <v>40</v>
      </c>
      <c r="B47" s="72" t="s">
        <v>53</v>
      </c>
      <c r="C47" s="73"/>
      <c r="D47" s="73"/>
      <c r="E47" s="73"/>
      <c r="F47" s="38">
        <v>1947000</v>
      </c>
    </row>
    <row r="48" spans="1:6" ht="13.5" thickBot="1">
      <c r="A48" s="2">
        <f t="shared" si="0"/>
        <v>41</v>
      </c>
      <c r="B48" s="72" t="s">
        <v>54</v>
      </c>
      <c r="C48" s="73"/>
      <c r="D48" s="73"/>
      <c r="E48" s="73"/>
      <c r="F48" s="45">
        <f>+F47+F46</f>
        <v>2016036.0976887955</v>
      </c>
    </row>
    <row r="49" spans="1:6" ht="14.25" thickBot="1" thickTop="1">
      <c r="A49" s="2">
        <f t="shared" si="0"/>
        <v>42</v>
      </c>
      <c r="B49" s="90"/>
      <c r="C49" s="91"/>
      <c r="D49" s="91"/>
      <c r="E49" s="91"/>
      <c r="F49" s="41"/>
    </row>
    <row r="50" spans="1:4" ht="13.5" thickBot="1">
      <c r="A50" s="2">
        <f t="shared" si="0"/>
        <v>43</v>
      </c>
      <c r="C50" s="2"/>
      <c r="D50" s="2"/>
    </row>
    <row r="51" spans="1:6" ht="13.5" thickBot="1">
      <c r="A51" s="2">
        <f t="shared" si="0"/>
        <v>44</v>
      </c>
      <c r="B51" s="84" t="s">
        <v>44</v>
      </c>
      <c r="C51" s="85"/>
      <c r="D51" s="85"/>
      <c r="E51" s="85"/>
      <c r="F51" s="86"/>
    </row>
    <row r="52" spans="1:6" ht="12.75">
      <c r="A52" s="2">
        <f t="shared" si="0"/>
        <v>45</v>
      </c>
      <c r="B52" s="72" t="s">
        <v>45</v>
      </c>
      <c r="C52" s="73"/>
      <c r="D52" s="73"/>
      <c r="E52" s="73"/>
      <c r="F52" s="44">
        <v>1478986</v>
      </c>
    </row>
    <row r="53" spans="1:6" ht="12.75">
      <c r="A53" s="2">
        <f t="shared" si="0"/>
        <v>46</v>
      </c>
      <c r="B53" s="72" t="s">
        <v>46</v>
      </c>
      <c r="C53" s="73"/>
      <c r="D53" s="73"/>
      <c r="E53" s="73"/>
      <c r="F53" s="44">
        <v>2012828423</v>
      </c>
    </row>
    <row r="54" spans="1:6" ht="12.75">
      <c r="A54" s="2">
        <f t="shared" si="0"/>
        <v>47</v>
      </c>
      <c r="B54" s="72" t="s">
        <v>47</v>
      </c>
      <c r="C54" s="73"/>
      <c r="D54" s="73"/>
      <c r="E54" s="73"/>
      <c r="F54" s="44">
        <f>SUM(E31:F31)</f>
        <v>2017731436</v>
      </c>
    </row>
    <row r="55" spans="1:6" ht="12.75">
      <c r="A55" s="2">
        <f t="shared" si="0"/>
        <v>48</v>
      </c>
      <c r="B55" s="72" t="s">
        <v>48</v>
      </c>
      <c r="C55" s="73"/>
      <c r="D55" s="73"/>
      <c r="E55" s="73"/>
      <c r="F55" s="44">
        <f>F52*F54/F53</f>
        <v>1482588.635724912</v>
      </c>
    </row>
    <row r="56" spans="1:6" ht="12.75">
      <c r="A56" s="2">
        <f t="shared" si="0"/>
        <v>49</v>
      </c>
      <c r="B56" s="72" t="s">
        <v>49</v>
      </c>
      <c r="C56" s="73"/>
      <c r="D56" s="73"/>
      <c r="E56" s="73"/>
      <c r="F56" s="44">
        <f>E29</f>
        <v>1142425</v>
      </c>
    </row>
    <row r="57" spans="1:6" ht="13.5" thickBot="1">
      <c r="A57" s="2">
        <f t="shared" si="0"/>
        <v>50</v>
      </c>
      <c r="B57" s="72" t="s">
        <v>55</v>
      </c>
      <c r="C57" s="73"/>
      <c r="D57" s="73"/>
      <c r="E57" s="73"/>
      <c r="F57" s="46">
        <f>F55-F56+1</f>
        <v>340164.63572491193</v>
      </c>
    </row>
    <row r="58" spans="1:6" ht="14.25" thickBot="1" thickTop="1">
      <c r="A58" s="2">
        <f t="shared" si="0"/>
        <v>51</v>
      </c>
      <c r="B58" s="43"/>
      <c r="C58" s="42"/>
      <c r="D58" s="42"/>
      <c r="E58" s="42"/>
      <c r="F58" s="41"/>
    </row>
  </sheetData>
  <mergeCells count="26">
    <mergeCell ref="B56:E56"/>
    <mergeCell ref="B57:E57"/>
    <mergeCell ref="B52:E52"/>
    <mergeCell ref="B53:E53"/>
    <mergeCell ref="B54:E54"/>
    <mergeCell ref="B55:E55"/>
    <mergeCell ref="B51:F51"/>
    <mergeCell ref="B42:F42"/>
    <mergeCell ref="B43:E43"/>
    <mergeCell ref="B44:E44"/>
    <mergeCell ref="B45:E45"/>
    <mergeCell ref="B46:E46"/>
    <mergeCell ref="B47:E47"/>
    <mergeCell ref="B48:E48"/>
    <mergeCell ref="B49:E49"/>
    <mergeCell ref="B39:E39"/>
    <mergeCell ref="B40:E40"/>
    <mergeCell ref="B33:E33"/>
    <mergeCell ref="B34:E34"/>
    <mergeCell ref="B35:E35"/>
    <mergeCell ref="B36:E36"/>
    <mergeCell ref="B37:E37"/>
    <mergeCell ref="A1:K1"/>
    <mergeCell ref="A2:K2"/>
    <mergeCell ref="A3:K3"/>
    <mergeCell ref="B38:E38"/>
  </mergeCells>
  <printOptions horizontalCentered="1"/>
  <pageMargins left="0.75" right="0.75" top="0.75" bottom="0.75" header="0.5" footer="0.5"/>
  <pageSetup fitToHeight="1" fitToWidth="1" horizontalDpi="600" verticalDpi="600" orientation="landscape" scale="63" r:id="rId1"/>
  <headerFooter alignWithMargins="0">
    <oddHeader>&amp;RExhibit No. ___(DWH-9)
Page &amp;P of &amp;N</oddHeader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Series Notebook: Johnson comes up big in relief</dc:title>
  <dc:subject/>
  <dc:creator>Pam Rasanen</dc:creator>
  <cp:keywords/>
  <dc:description/>
  <cp:lastModifiedBy>No Name</cp:lastModifiedBy>
  <cp:lastPrinted>2008-04-11T15:55:06Z</cp:lastPrinted>
  <dcterms:created xsi:type="dcterms:W3CDTF">2001-07-31T15:25:42Z</dcterms:created>
  <dcterms:modified xsi:type="dcterms:W3CDTF">2008-04-11T15:55:38Z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718226527</vt:i4>
  </property>
  <property fmtid="{D5CDD505-2E9C-101B-9397-08002B2CF9AE}" pid="4" name="_NewReviewCyc">
    <vt:lpwstr/>
  </property>
  <property fmtid="{D5CDD505-2E9C-101B-9397-08002B2CF9AE}" pid="5" name="_EmailSubje">
    <vt:lpwstr>Final Hoff and Karzmar Testimony</vt:lpwstr>
  </property>
  <property fmtid="{D5CDD505-2E9C-101B-9397-08002B2CF9AE}" pid="6" name="_AuthorEma">
    <vt:lpwstr>DBarnett@perkinscoie.com</vt:lpwstr>
  </property>
  <property fmtid="{D5CDD505-2E9C-101B-9397-08002B2CF9AE}" pid="7" name="_AuthorEmailDisplayNa">
    <vt:lpwstr>Barnett, Donna L. (Perkins Coie)</vt:lpwstr>
  </property>
  <property fmtid="{D5CDD505-2E9C-101B-9397-08002B2CF9AE}" pid="8" name="DocumentSetTy">
    <vt:lpwstr>Motion</vt:lpwstr>
  </property>
  <property fmtid="{D5CDD505-2E9C-101B-9397-08002B2CF9AE}" pid="9" name="IsHighlyConfidenti">
    <vt:lpwstr>0</vt:lpwstr>
  </property>
  <property fmtid="{D5CDD505-2E9C-101B-9397-08002B2CF9AE}" pid="10" name="DocketNumb">
    <vt:lpwstr>072300</vt:lpwstr>
  </property>
  <property fmtid="{D5CDD505-2E9C-101B-9397-08002B2CF9AE}" pid="11" name="IsConfidenti">
    <vt:lpwstr>0</vt:lpwstr>
  </property>
  <property fmtid="{D5CDD505-2E9C-101B-9397-08002B2CF9AE}" pid="12" name="Dat">
    <vt:lpwstr>2008-04-14T00:00:00Z</vt:lpwstr>
  </property>
  <property fmtid="{D5CDD505-2E9C-101B-9397-08002B2CF9AE}" pid="13" name="CaseTy">
    <vt:lpwstr>Tariff Revision</vt:lpwstr>
  </property>
  <property fmtid="{D5CDD505-2E9C-101B-9397-08002B2CF9AE}" pid="14" name="OpenedDa">
    <vt:lpwstr>2007-12-03T00:00:00Z</vt:lpwstr>
  </property>
  <property fmtid="{D5CDD505-2E9C-101B-9397-08002B2CF9AE}" pid="15" name="Pref">
    <vt:lpwstr>UE</vt:lpwstr>
  </property>
  <property fmtid="{D5CDD505-2E9C-101B-9397-08002B2CF9AE}" pid="16" name="CaseCompanyNam">
    <vt:lpwstr>Puget Sound Energy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