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4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5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doyle_utc_wa_gov/Documents/Local Computer Files/Documents/Custom Office Templates/2023/Aug/"/>
    </mc:Choice>
  </mc:AlternateContent>
  <xr:revisionPtr revIDLastSave="0" documentId="8_{1E531404-A7F4-43B7-91B6-F85BA6F9A8FD}" xr6:coauthVersionLast="47" xr6:coauthVersionMax="47" xr10:uidLastSave="{00000000-0000-0000-0000-000000000000}"/>
  <bookViews>
    <workbookView xWindow="780" yWindow="780" windowWidth="21600" windowHeight="11385" tabRatio="772" activeTab="7" xr2:uid="{00000000-000D-0000-FFFF-FFFF00000000}"/>
  </bookViews>
  <sheets>
    <sheet name="Jan 23" sheetId="86" r:id="rId1"/>
    <sheet name="Feb 23" sheetId="87" r:id="rId2"/>
    <sheet name="Mar 23" sheetId="88" r:id="rId3"/>
    <sheet name="Apr 23" sheetId="89" r:id="rId4"/>
    <sheet name="May 23" sheetId="90" r:id="rId5"/>
    <sheet name="Jun 23" sheetId="91" r:id="rId6"/>
    <sheet name="Jul 23" sheetId="92" r:id="rId7"/>
    <sheet name="191010 WA DEF" sheetId="39" r:id="rId8"/>
    <sheet name="191000 WA Amort" sheetId="41" r:id="rId9"/>
  </sheets>
  <externalReferences>
    <externalReference r:id="rId10"/>
    <externalReference r:id="rId11"/>
    <externalReference r:id="rId12"/>
  </externalReferences>
  <definedNames>
    <definedName name="Actual_Cost_Per_MMBtu" localSheetId="8">'[1]Oregon Gas Costs - 1999'!#REF!</definedName>
    <definedName name="Actual_Cost_Per_MMBtu">'[1]Oregon Gas Costs - 1999'!#REF!</definedName>
    <definedName name="Actual_Gas_Costs" localSheetId="8">#REF!</definedName>
    <definedName name="Actual_Gas_Costs">#REF!</definedName>
    <definedName name="Actual_Volumes" localSheetId="8">#REF!</definedName>
    <definedName name="Actual_Volumes">#REF!</definedName>
    <definedName name="Analysis_of_Year_to_Date_Gas_Costs___WWP_System" localSheetId="8">#REF!</definedName>
    <definedName name="Analysis_of_Year_to_Date_Gas_Costs___WWP_System">#REF!</definedName>
    <definedName name="Balancing_Account_Summary" localSheetId="8">#REF!</definedName>
    <definedName name="Balancing_Account_Summary">#REF!</definedName>
    <definedName name="Budgeted_Costs_Volumes" localSheetId="8">#REF!</definedName>
    <definedName name="Budgeted_Costs_Volumes">#REF!</definedName>
    <definedName name="Commodity_Costs" localSheetId="8">#REF!</definedName>
    <definedName name="Commodity_Costs">#REF!</definedName>
    <definedName name="_xlnm.Database" localSheetId="8">'[2]May 2000'!#REF!</definedName>
    <definedName name="_xlnm.Database">'[2]May 2000'!#REF!</definedName>
    <definedName name="EIA857_Report_Info" localSheetId="8">#REF!</definedName>
    <definedName name="EIA857_Report_Info">#REF!</definedName>
    <definedName name="InputMonth">[3]Start!$B$2</definedName>
    <definedName name="JanJunPretaxRate">[3]Start!$C$7</definedName>
    <definedName name="jj" localSheetId="8">'[1]Oregon Gas Costs - 1999'!#REF!</definedName>
    <definedName name="jj">'[1]Oregon Gas Costs - 1999'!#REF!</definedName>
    <definedName name="Journal_Entry_Dollars" localSheetId="8">#REF!</definedName>
    <definedName name="Journal_Entry_Dollars">#REF!</definedName>
    <definedName name="Journal_Entry_Volumes" localSheetId="8">#REF!</definedName>
    <definedName name="Journal_Entry_Volumes">#REF!</definedName>
    <definedName name="JournalEntryPrintArea" localSheetId="8">#REF!</definedName>
    <definedName name="JournalEntryPrintArea">#REF!</definedName>
    <definedName name="JulDecPretaxRate">[3]Start!$C$8</definedName>
    <definedName name="Notes" localSheetId="8">#REF!</definedName>
    <definedName name="Notes">#REF!</definedName>
    <definedName name="_xlnm.Print_Area" localSheetId="8">'191000 WA Amort'!$A$1:$S$45</definedName>
    <definedName name="_xlnm.Print_Area" localSheetId="7">'191010 WA DEF'!$A$1:$L$45</definedName>
    <definedName name="_xlnm.Print_Area" localSheetId="3">'Apr 23'!$B$1:$R$48</definedName>
    <definedName name="_xlnm.Print_Area" localSheetId="1">'Feb 23'!$B$1:$R$48</definedName>
    <definedName name="_xlnm.Print_Area" localSheetId="0">'Jan 23'!$B$1:$R$48</definedName>
    <definedName name="_xlnm.Print_Area" localSheetId="6">'Jul 23'!$B$1:$R$48</definedName>
    <definedName name="_xlnm.Print_Area" localSheetId="5">'Jun 23'!$B$1:$R$48</definedName>
    <definedName name="_xlnm.Print_Area" localSheetId="2">'Mar 23'!$B$1:$R$48</definedName>
    <definedName name="_xlnm.Print_Area" localSheetId="4">'May 23'!$B$1:$R$48</definedName>
    <definedName name="SPREADSHEET_DOCUMENTATION" localSheetId="8">#REF!</definedName>
    <definedName name="SPREADSHEET_DOCUMENTATION">#REF!</definedName>
    <definedName name="Summary_of_Off_system_Sales" localSheetId="8">'[1]Oregon Gas Costs - 1999'!#REF!</definedName>
    <definedName name="Summary_of_Off_system_Sales">'[1]Oregon Gas Costs - 1999'!#REF!</definedName>
    <definedName name="Transportation_Costs" localSheetId="8">#REF!</definedName>
    <definedName name="Transportation_Cos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41" l="1"/>
  <c r="D1396" i="92"/>
  <c r="L28" i="92"/>
  <c r="P27" i="92"/>
  <c r="L27" i="92"/>
  <c r="P26" i="92"/>
  <c r="L26" i="92"/>
  <c r="P25" i="92"/>
  <c r="L25" i="92"/>
  <c r="Q24" i="92"/>
  <c r="Q25" i="92" s="1"/>
  <c r="Q26" i="92" s="1"/>
  <c r="Q27" i="92" s="1"/>
  <c r="P24" i="92"/>
  <c r="R24" i="92" s="1"/>
  <c r="M24" i="92"/>
  <c r="M25" i="92" s="1"/>
  <c r="M26" i="92" s="1"/>
  <c r="M27" i="92" s="1"/>
  <c r="M28" i="92" s="1"/>
  <c r="L24" i="92"/>
  <c r="N24" i="92" s="1"/>
  <c r="P23" i="92"/>
  <c r="R23" i="92" s="1"/>
  <c r="L23" i="92"/>
  <c r="L29" i="92" s="1"/>
  <c r="L17" i="92"/>
  <c r="L19" i="92" s="1"/>
  <c r="N16" i="92"/>
  <c r="P15" i="92"/>
  <c r="P17" i="92" s="1"/>
  <c r="N15" i="92"/>
  <c r="N14" i="92"/>
  <c r="N13" i="92"/>
  <c r="N12" i="92"/>
  <c r="Q11" i="92"/>
  <c r="Q12" i="92" s="1"/>
  <c r="N11" i="92"/>
  <c r="R10" i="92"/>
  <c r="N10" i="92"/>
  <c r="E8" i="92"/>
  <c r="F24" i="41"/>
  <c r="D1396" i="91"/>
  <c r="L28" i="91"/>
  <c r="P27" i="91"/>
  <c r="L27" i="91"/>
  <c r="P26" i="91"/>
  <c r="L26" i="91"/>
  <c r="P25" i="91"/>
  <c r="L25" i="91"/>
  <c r="Q24" i="91"/>
  <c r="Q25" i="91" s="1"/>
  <c r="Q26" i="91" s="1"/>
  <c r="Q27" i="91" s="1"/>
  <c r="P24" i="91"/>
  <c r="R24" i="91" s="1"/>
  <c r="M24" i="91"/>
  <c r="M25" i="91" s="1"/>
  <c r="M26" i="91" s="1"/>
  <c r="M27" i="91" s="1"/>
  <c r="M28" i="91" s="1"/>
  <c r="L24" i="91"/>
  <c r="N24" i="91" s="1"/>
  <c r="P23" i="91"/>
  <c r="R23" i="91" s="1"/>
  <c r="L23" i="91"/>
  <c r="L17" i="91"/>
  <c r="L19" i="91" s="1"/>
  <c r="N16" i="91"/>
  <c r="P15" i="91"/>
  <c r="P17" i="91" s="1"/>
  <c r="N15" i="91"/>
  <c r="N14" i="91"/>
  <c r="N13" i="91"/>
  <c r="N12" i="91"/>
  <c r="Q11" i="91"/>
  <c r="Q12" i="91" s="1"/>
  <c r="R12" i="91" s="1"/>
  <c r="N11" i="91"/>
  <c r="R10" i="91"/>
  <c r="N10" i="91"/>
  <c r="E8" i="91"/>
  <c r="N17" i="92" l="1"/>
  <c r="L36" i="92" s="1"/>
  <c r="R11" i="92"/>
  <c r="N23" i="92"/>
  <c r="R25" i="92"/>
  <c r="N26" i="92"/>
  <c r="R26" i="92"/>
  <c r="N27" i="92"/>
  <c r="R27" i="92"/>
  <c r="I36" i="92"/>
  <c r="G35" i="92"/>
  <c r="E12" i="92"/>
  <c r="G33" i="92"/>
  <c r="E13" i="92"/>
  <c r="E31" i="92" s="1"/>
  <c r="E32" i="92" s="1"/>
  <c r="I34" i="92"/>
  <c r="N28" i="92"/>
  <c r="R12" i="92"/>
  <c r="Q13" i="92"/>
  <c r="L31" i="92"/>
  <c r="N25" i="92"/>
  <c r="P28" i="92"/>
  <c r="P30" i="92" s="1"/>
  <c r="L29" i="91"/>
  <c r="L31" i="91" s="1"/>
  <c r="N17" i="91"/>
  <c r="R11" i="91"/>
  <c r="N23" i="91"/>
  <c r="N25" i="91"/>
  <c r="N26" i="91"/>
  <c r="N27" i="91"/>
  <c r="N28" i="91"/>
  <c r="G35" i="91"/>
  <c r="I36" i="91"/>
  <c r="E12" i="91"/>
  <c r="G33" i="91"/>
  <c r="E13" i="91"/>
  <c r="E31" i="91" s="1"/>
  <c r="E32" i="91" s="1"/>
  <c r="I34" i="91"/>
  <c r="R25" i="91"/>
  <c r="N29" i="91"/>
  <c r="M36" i="91" s="1"/>
  <c r="R26" i="91"/>
  <c r="R27" i="91"/>
  <c r="P28" i="91"/>
  <c r="P30" i="91" s="1"/>
  <c r="Q13" i="91"/>
  <c r="F23" i="41"/>
  <c r="D1396" i="90"/>
  <c r="L28" i="90"/>
  <c r="P27" i="90"/>
  <c r="L27" i="90"/>
  <c r="P26" i="90"/>
  <c r="L26" i="90"/>
  <c r="P25" i="90"/>
  <c r="L25" i="90"/>
  <c r="Q24" i="90"/>
  <c r="Q25" i="90" s="1"/>
  <c r="Q26" i="90" s="1"/>
  <c r="Q27" i="90" s="1"/>
  <c r="P24" i="90"/>
  <c r="R24" i="90" s="1"/>
  <c r="M24" i="90"/>
  <c r="M25" i="90" s="1"/>
  <c r="M26" i="90" s="1"/>
  <c r="M27" i="90" s="1"/>
  <c r="M28" i="90" s="1"/>
  <c r="L24" i="90"/>
  <c r="N24" i="90" s="1"/>
  <c r="P23" i="90"/>
  <c r="R23" i="90" s="1"/>
  <c r="L23" i="90"/>
  <c r="L17" i="90"/>
  <c r="L19" i="90" s="1"/>
  <c r="N16" i="90"/>
  <c r="P15" i="90"/>
  <c r="P17" i="90" s="1"/>
  <c r="N15" i="90"/>
  <c r="N14" i="90"/>
  <c r="N13" i="90"/>
  <c r="N12" i="90"/>
  <c r="Q11" i="90"/>
  <c r="Q12" i="90" s="1"/>
  <c r="R12" i="90" s="1"/>
  <c r="N11" i="90"/>
  <c r="R10" i="90"/>
  <c r="N10" i="90"/>
  <c r="E8" i="90"/>
  <c r="F22" i="41"/>
  <c r="D1396" i="89"/>
  <c r="L28" i="89"/>
  <c r="P27" i="89"/>
  <c r="L27" i="89"/>
  <c r="P26" i="89"/>
  <c r="L26" i="89"/>
  <c r="P25" i="89"/>
  <c r="L25" i="89"/>
  <c r="Q24" i="89"/>
  <c r="Q25" i="89" s="1"/>
  <c r="Q26" i="89" s="1"/>
  <c r="Q27" i="89" s="1"/>
  <c r="P24" i="89"/>
  <c r="R24" i="89" s="1"/>
  <c r="M24" i="89"/>
  <c r="M25" i="89" s="1"/>
  <c r="M26" i="89" s="1"/>
  <c r="M27" i="89" s="1"/>
  <c r="M28" i="89" s="1"/>
  <c r="L24" i="89"/>
  <c r="N24" i="89" s="1"/>
  <c r="P23" i="89"/>
  <c r="R23" i="89" s="1"/>
  <c r="L23" i="89"/>
  <c r="L17" i="89"/>
  <c r="L19" i="89" s="1"/>
  <c r="N16" i="89"/>
  <c r="P15" i="89"/>
  <c r="P17" i="89" s="1"/>
  <c r="N15" i="89"/>
  <c r="N14" i="89"/>
  <c r="N13" i="89"/>
  <c r="N12" i="89"/>
  <c r="Q11" i="89"/>
  <c r="R11" i="89" s="1"/>
  <c r="N11" i="89"/>
  <c r="R10" i="89"/>
  <c r="N10" i="89"/>
  <c r="E8" i="89"/>
  <c r="F21" i="41"/>
  <c r="R28" i="92" l="1"/>
  <c r="O36" i="92" s="1"/>
  <c r="N29" i="92"/>
  <c r="M36" i="92" s="1"/>
  <c r="E14" i="92"/>
  <c r="F14" i="92" s="1"/>
  <c r="F39" i="92" s="1"/>
  <c r="L35" i="92" s="1"/>
  <c r="L37" i="92" s="1"/>
  <c r="G25" i="39" s="1"/>
  <c r="G8" i="92"/>
  <c r="I8" i="92" s="1"/>
  <c r="I32" i="92" s="1"/>
  <c r="I39" i="92" s="1"/>
  <c r="O35" i="92" s="1"/>
  <c r="O37" i="92" s="1"/>
  <c r="E37" i="92"/>
  <c r="Q14" i="92"/>
  <c r="R14" i="92" s="1"/>
  <c r="R13" i="92"/>
  <c r="R28" i="91"/>
  <c r="O36" i="91" s="1"/>
  <c r="L36" i="91"/>
  <c r="E14" i="91"/>
  <c r="Q14" i="91"/>
  <c r="R14" i="91" s="1"/>
  <c r="R13" i="91"/>
  <c r="R15" i="91" s="1"/>
  <c r="N36" i="91" s="1"/>
  <c r="G8" i="91"/>
  <c r="I8" i="91" s="1"/>
  <c r="I32" i="91" s="1"/>
  <c r="I39" i="91" s="1"/>
  <c r="O35" i="91" s="1"/>
  <c r="O37" i="91" s="1"/>
  <c r="E37" i="91"/>
  <c r="E39" i="91" s="1"/>
  <c r="H14" i="91"/>
  <c r="H39" i="91" s="1"/>
  <c r="N35" i="91" s="1"/>
  <c r="F14" i="91"/>
  <c r="F39" i="91" s="1"/>
  <c r="L35" i="91" s="1"/>
  <c r="L37" i="91" s="1"/>
  <c r="G24" i="39" s="1"/>
  <c r="L29" i="90"/>
  <c r="L31" i="90" s="1"/>
  <c r="N17" i="90"/>
  <c r="L36" i="90" s="1"/>
  <c r="R11" i="90"/>
  <c r="N23" i="90"/>
  <c r="N25" i="90"/>
  <c r="R25" i="90"/>
  <c r="N26" i="90"/>
  <c r="R26" i="90"/>
  <c r="N27" i="90"/>
  <c r="R27" i="90"/>
  <c r="G35" i="90"/>
  <c r="E12" i="90"/>
  <c r="I36" i="90"/>
  <c r="G33" i="90"/>
  <c r="E13" i="90"/>
  <c r="E31" i="90" s="1"/>
  <c r="E32" i="90" s="1"/>
  <c r="I34" i="90"/>
  <c r="R28" i="90"/>
  <c r="O36" i="90" s="1"/>
  <c r="N28" i="90"/>
  <c r="Q13" i="90"/>
  <c r="P28" i="90"/>
  <c r="P30" i="90" s="1"/>
  <c r="L29" i="89"/>
  <c r="L31" i="89" s="1"/>
  <c r="N17" i="89"/>
  <c r="L36" i="89" s="1"/>
  <c r="Q12" i="89"/>
  <c r="R12" i="89" s="1"/>
  <c r="N25" i="89"/>
  <c r="R25" i="89"/>
  <c r="N26" i="89"/>
  <c r="R26" i="89"/>
  <c r="R27" i="89"/>
  <c r="E13" i="89"/>
  <c r="E31" i="89" s="1"/>
  <c r="E32" i="89" s="1"/>
  <c r="G35" i="89"/>
  <c r="I36" i="89"/>
  <c r="E12" i="89"/>
  <c r="G33" i="89"/>
  <c r="I34" i="89"/>
  <c r="N27" i="89"/>
  <c r="N28" i="89"/>
  <c r="P28" i="89"/>
  <c r="P30" i="89" s="1"/>
  <c r="Q13" i="89"/>
  <c r="N23" i="89"/>
  <c r="D1396" i="88"/>
  <c r="L28" i="88"/>
  <c r="P27" i="88"/>
  <c r="L27" i="88"/>
  <c r="P26" i="88"/>
  <c r="L26" i="88"/>
  <c r="P25" i="88"/>
  <c r="L25" i="88"/>
  <c r="Q24" i="88"/>
  <c r="Q25" i="88" s="1"/>
  <c r="Q26" i="88" s="1"/>
  <c r="Q27" i="88" s="1"/>
  <c r="P24" i="88"/>
  <c r="R24" i="88" s="1"/>
  <c r="M24" i="88"/>
  <c r="M25" i="88" s="1"/>
  <c r="L24" i="88"/>
  <c r="N24" i="88" s="1"/>
  <c r="P23" i="88"/>
  <c r="R23" i="88" s="1"/>
  <c r="L23" i="88"/>
  <c r="L17" i="88"/>
  <c r="L19" i="88" s="1"/>
  <c r="N16" i="88"/>
  <c r="P15" i="88"/>
  <c r="P17" i="88" s="1"/>
  <c r="N15" i="88"/>
  <c r="N14" i="88"/>
  <c r="N13" i="88"/>
  <c r="N12" i="88"/>
  <c r="Q11" i="88"/>
  <c r="R11" i="88" s="1"/>
  <c r="N11" i="88"/>
  <c r="R10" i="88"/>
  <c r="N10" i="88"/>
  <c r="E8" i="88"/>
  <c r="F20" i="41"/>
  <c r="D1396" i="87"/>
  <c r="L28" i="87"/>
  <c r="P27" i="87"/>
  <c r="L27" i="87"/>
  <c r="P26" i="87"/>
  <c r="L26" i="87"/>
  <c r="P25" i="87"/>
  <c r="L25" i="87"/>
  <c r="Q24" i="87"/>
  <c r="Q25" i="87" s="1"/>
  <c r="Q26" i="87" s="1"/>
  <c r="Q27" i="87" s="1"/>
  <c r="P24" i="87"/>
  <c r="R24" i="87" s="1"/>
  <c r="M24" i="87"/>
  <c r="M25" i="87" s="1"/>
  <c r="M26" i="87" s="1"/>
  <c r="M27" i="87" s="1"/>
  <c r="M28" i="87" s="1"/>
  <c r="L24" i="87"/>
  <c r="N24" i="87" s="1"/>
  <c r="P23" i="87"/>
  <c r="R23" i="87" s="1"/>
  <c r="L23" i="87"/>
  <c r="N23" i="87" s="1"/>
  <c r="L17" i="87"/>
  <c r="L19" i="87" s="1"/>
  <c r="N16" i="87"/>
  <c r="P15" i="87"/>
  <c r="P17" i="87" s="1"/>
  <c r="N15" i="87"/>
  <c r="N14" i="87"/>
  <c r="N13" i="87"/>
  <c r="N12" i="87"/>
  <c r="Q11" i="87"/>
  <c r="Q12" i="87" s="1"/>
  <c r="R12" i="87" s="1"/>
  <c r="N11" i="87"/>
  <c r="R10" i="87"/>
  <c r="N10" i="87"/>
  <c r="E8" i="87"/>
  <c r="F19" i="41"/>
  <c r="N28" i="41"/>
  <c r="K28" i="41"/>
  <c r="H28" i="41"/>
  <c r="N27" i="41"/>
  <c r="K27" i="41"/>
  <c r="H27" i="41"/>
  <c r="N26" i="41"/>
  <c r="K26" i="41"/>
  <c r="H26" i="41"/>
  <c r="N25" i="41"/>
  <c r="K25" i="41"/>
  <c r="H25" i="41"/>
  <c r="N24" i="41"/>
  <c r="K24" i="41"/>
  <c r="N23" i="41"/>
  <c r="K23" i="41"/>
  <c r="N22" i="41"/>
  <c r="K22" i="41"/>
  <c r="H22" i="41"/>
  <c r="N21" i="41"/>
  <c r="K21" i="41"/>
  <c r="H21" i="41"/>
  <c r="N20" i="41"/>
  <c r="K20" i="41"/>
  <c r="H20" i="41"/>
  <c r="N19" i="41"/>
  <c r="K19" i="41"/>
  <c r="K31" i="41" s="1"/>
  <c r="H19" i="41"/>
  <c r="H31" i="41" s="1"/>
  <c r="A20" i="39"/>
  <c r="A21" i="39" s="1"/>
  <c r="A22" i="39" s="1"/>
  <c r="Q24" i="86"/>
  <c r="Q25" i="86" s="1"/>
  <c r="Q26" i="86" s="1"/>
  <c r="Q27" i="86" s="1"/>
  <c r="M24" i="86"/>
  <c r="M25" i="86" s="1"/>
  <c r="M26" i="86" s="1"/>
  <c r="M27" i="86" s="1"/>
  <c r="M28" i="86" s="1"/>
  <c r="E14" i="89" l="1"/>
  <c r="G32" i="92"/>
  <c r="G39" i="92" s="1"/>
  <c r="M35" i="92" s="1"/>
  <c r="M37" i="92" s="1"/>
  <c r="F25" i="39" s="1"/>
  <c r="H14" i="92"/>
  <c r="H39" i="92" s="1"/>
  <c r="N35" i="92" s="1"/>
  <c r="E39" i="92"/>
  <c r="R15" i="92"/>
  <c r="E42" i="92"/>
  <c r="P36" i="91"/>
  <c r="N37" i="91"/>
  <c r="G32" i="91"/>
  <c r="G39" i="91" s="1"/>
  <c r="M35" i="91" s="1"/>
  <c r="M37" i="91" s="1"/>
  <c r="O39" i="91"/>
  <c r="E42" i="91"/>
  <c r="E14" i="90"/>
  <c r="N29" i="90"/>
  <c r="G8" i="90"/>
  <c r="I8" i="90" s="1"/>
  <c r="I32" i="90" s="1"/>
  <c r="I39" i="90" s="1"/>
  <c r="O35" i="90" s="1"/>
  <c r="O37" i="90" s="1"/>
  <c r="M36" i="90"/>
  <c r="Q14" i="90"/>
  <c r="R14" i="90" s="1"/>
  <c r="R13" i="90"/>
  <c r="R15" i="90" s="1"/>
  <c r="N36" i="90" s="1"/>
  <c r="E37" i="90"/>
  <c r="E39" i="90" s="1"/>
  <c r="H14" i="90"/>
  <c r="H39" i="90" s="1"/>
  <c r="N35" i="90" s="1"/>
  <c r="N37" i="90" s="1"/>
  <c r="F14" i="90"/>
  <c r="F39" i="90" s="1"/>
  <c r="L35" i="90" s="1"/>
  <c r="L37" i="90" s="1"/>
  <c r="G23" i="39" s="1"/>
  <c r="R28" i="89"/>
  <c r="O36" i="89" s="1"/>
  <c r="N29" i="89"/>
  <c r="M36" i="89" s="1"/>
  <c r="A23" i="39"/>
  <c r="F14" i="89"/>
  <c r="F39" i="89" s="1"/>
  <c r="L35" i="89" s="1"/>
  <c r="L37" i="89" s="1"/>
  <c r="G22" i="39" s="1"/>
  <c r="H14" i="89"/>
  <c r="H39" i="89" s="1"/>
  <c r="N35" i="89" s="1"/>
  <c r="R13" i="89"/>
  <c r="Q14" i="89"/>
  <c r="R14" i="89" s="1"/>
  <c r="E37" i="89"/>
  <c r="G8" i="89"/>
  <c r="I8" i="89" s="1"/>
  <c r="I32" i="89" s="1"/>
  <c r="I39" i="89" s="1"/>
  <c r="O35" i="89" s="1"/>
  <c r="O37" i="89" s="1"/>
  <c r="L29" i="88"/>
  <c r="L31" i="88" s="1"/>
  <c r="N17" i="88"/>
  <c r="Q12" i="88"/>
  <c r="R12" i="88" s="1"/>
  <c r="E13" i="88"/>
  <c r="E31" i="88" s="1"/>
  <c r="E32" i="88" s="1"/>
  <c r="I34" i="88"/>
  <c r="G35" i="88"/>
  <c r="I36" i="88"/>
  <c r="E12" i="88"/>
  <c r="G33" i="88"/>
  <c r="R25" i="88"/>
  <c r="R26" i="88"/>
  <c r="R27" i="88"/>
  <c r="R28" i="88"/>
  <c r="O36" i="88" s="1"/>
  <c r="M26" i="88"/>
  <c r="N25" i="88"/>
  <c r="N23" i="88"/>
  <c r="Q13" i="88"/>
  <c r="P28" i="88"/>
  <c r="P30" i="88" s="1"/>
  <c r="R11" i="87"/>
  <c r="R25" i="87"/>
  <c r="N26" i="87"/>
  <c r="R26" i="87"/>
  <c r="L29" i="87"/>
  <c r="L31" i="87" s="1"/>
  <c r="N17" i="87"/>
  <c r="L36" i="87" s="1"/>
  <c r="I36" i="87"/>
  <c r="G35" i="87"/>
  <c r="E12" i="87"/>
  <c r="G33" i="87"/>
  <c r="E13" i="87"/>
  <c r="E31" i="87" s="1"/>
  <c r="E32" i="87" s="1"/>
  <c r="I34" i="87"/>
  <c r="N27" i="87"/>
  <c r="R27" i="87"/>
  <c r="R28" i="87" s="1"/>
  <c r="O36" i="87" s="1"/>
  <c r="N28" i="87"/>
  <c r="N25" i="87"/>
  <c r="N29" i="87" s="1"/>
  <c r="P28" i="87"/>
  <c r="P30" i="87" s="1"/>
  <c r="Q13" i="87"/>
  <c r="R10" i="86"/>
  <c r="N16" i="86"/>
  <c r="N15" i="86"/>
  <c r="N14" i="86"/>
  <c r="N13" i="86"/>
  <c r="N12" i="86"/>
  <c r="N11" i="86"/>
  <c r="N10" i="86"/>
  <c r="D1396" i="86"/>
  <c r="L28" i="86"/>
  <c r="N28" i="86" s="1"/>
  <c r="P27" i="86"/>
  <c r="R27" i="86" s="1"/>
  <c r="L27" i="86"/>
  <c r="N27" i="86" s="1"/>
  <c r="P26" i="86"/>
  <c r="R26" i="86" s="1"/>
  <c r="L26" i="86"/>
  <c r="N26" i="86" s="1"/>
  <c r="P25" i="86"/>
  <c r="R25" i="86" s="1"/>
  <c r="L25" i="86"/>
  <c r="N25" i="86" s="1"/>
  <c r="P24" i="86"/>
  <c r="R24" i="86" s="1"/>
  <c r="L24" i="86"/>
  <c r="N24" i="86" s="1"/>
  <c r="P23" i="86"/>
  <c r="R23" i="86" s="1"/>
  <c r="L23" i="86"/>
  <c r="L17" i="86"/>
  <c r="L19" i="86" s="1"/>
  <c r="P15" i="86"/>
  <c r="P17" i="86" s="1"/>
  <c r="Q11" i="86"/>
  <c r="Q12" i="86" s="1"/>
  <c r="Q13" i="86" s="1"/>
  <c r="Q14" i="86" s="1"/>
  <c r="R14" i="86" s="1"/>
  <c r="E8" i="86"/>
  <c r="E39" i="89" l="1"/>
  <c r="E14" i="88"/>
  <c r="E14" i="87"/>
  <c r="P35" i="92"/>
  <c r="M39" i="92"/>
  <c r="N36" i="92"/>
  <c r="P36" i="92" s="1"/>
  <c r="P35" i="91"/>
  <c r="M39" i="91"/>
  <c r="F24" i="39"/>
  <c r="G32" i="90"/>
  <c r="G39" i="90" s="1"/>
  <c r="M35" i="90" s="1"/>
  <c r="M37" i="90" s="1"/>
  <c r="F23" i="39" s="1"/>
  <c r="A24" i="39"/>
  <c r="O39" i="90"/>
  <c r="E42" i="90"/>
  <c r="P36" i="90"/>
  <c r="G32" i="89"/>
  <c r="G39" i="89" s="1"/>
  <c r="M35" i="89" s="1"/>
  <c r="M37" i="89" s="1"/>
  <c r="F22" i="39" s="1"/>
  <c r="R15" i="89"/>
  <c r="N36" i="89" s="1"/>
  <c r="P36" i="89" s="1"/>
  <c r="E42" i="89"/>
  <c r="F14" i="88"/>
  <c r="H14" i="88"/>
  <c r="H39" i="88" s="1"/>
  <c r="N35" i="88" s="1"/>
  <c r="L36" i="88"/>
  <c r="M27" i="88"/>
  <c r="N26" i="88"/>
  <c r="E37" i="88"/>
  <c r="E39" i="88" s="1"/>
  <c r="F39" i="88"/>
  <c r="L35" i="88" s="1"/>
  <c r="L37" i="88" s="1"/>
  <c r="R13" i="88"/>
  <c r="Q14" i="88"/>
  <c r="R14" i="88" s="1"/>
  <c r="G8" i="88"/>
  <c r="M36" i="87"/>
  <c r="E37" i="87"/>
  <c r="E39" i="87" s="1"/>
  <c r="F14" i="87"/>
  <c r="F39" i="87" s="1"/>
  <c r="L35" i="87" s="1"/>
  <c r="L37" i="87" s="1"/>
  <c r="G20" i="39" s="1"/>
  <c r="H14" i="87"/>
  <c r="H39" i="87" s="1"/>
  <c r="N35" i="87" s="1"/>
  <c r="Q14" i="87"/>
  <c r="R14" i="87" s="1"/>
  <c r="R13" i="87"/>
  <c r="R15" i="87" s="1"/>
  <c r="N36" i="87" s="1"/>
  <c r="G8" i="87"/>
  <c r="I8" i="87" s="1"/>
  <c r="I32" i="87" s="1"/>
  <c r="I39" i="87" s="1"/>
  <c r="O35" i="87" s="1"/>
  <c r="O37" i="87" s="1"/>
  <c r="R28" i="86"/>
  <c r="O36" i="86" s="1"/>
  <c r="L29" i="86"/>
  <c r="L31" i="86" s="1"/>
  <c r="P28" i="86"/>
  <c r="P30" i="86" s="1"/>
  <c r="N23" i="86"/>
  <c r="N29" i="86" s="1"/>
  <c r="M36" i="86" s="1"/>
  <c r="R12" i="86"/>
  <c r="R13" i="86"/>
  <c r="R11" i="86"/>
  <c r="R15" i="86" s="1"/>
  <c r="N36" i="86" s="1"/>
  <c r="N17" i="86"/>
  <c r="L36" i="86" s="1"/>
  <c r="E13" i="86"/>
  <c r="E31" i="86" s="1"/>
  <c r="E32" i="86" s="1"/>
  <c r="G33" i="86"/>
  <c r="I36" i="86"/>
  <c r="G35" i="86"/>
  <c r="E12" i="86"/>
  <c r="E14" i="86" s="1"/>
  <c r="I34" i="86"/>
  <c r="H18" i="41"/>
  <c r="F18" i="41"/>
  <c r="H17" i="41"/>
  <c r="F17" i="41"/>
  <c r="N37" i="92" l="1"/>
  <c r="A25" i="39"/>
  <c r="P35" i="90"/>
  <c r="M39" i="90"/>
  <c r="N37" i="89"/>
  <c r="P35" i="89"/>
  <c r="M39" i="89"/>
  <c r="I8" i="88"/>
  <c r="I32" i="88" s="1"/>
  <c r="I39" i="88" s="1"/>
  <c r="O35" i="88" s="1"/>
  <c r="O37" i="88" s="1"/>
  <c r="G32" i="88"/>
  <c r="G39" i="88" s="1"/>
  <c r="G21" i="39"/>
  <c r="E42" i="88"/>
  <c r="M28" i="88"/>
  <c r="N28" i="88" s="1"/>
  <c r="N27" i="88"/>
  <c r="R15" i="88"/>
  <c r="N36" i="88" s="1"/>
  <c r="N37" i="88" s="1"/>
  <c r="N37" i="87"/>
  <c r="G32" i="87"/>
  <c r="G39" i="87" s="1"/>
  <c r="M35" i="87" s="1"/>
  <c r="M37" i="87" s="1"/>
  <c r="E42" i="87"/>
  <c r="P36" i="87"/>
  <c r="G8" i="86"/>
  <c r="I8" i="86" s="1"/>
  <c r="I32" i="86" s="1"/>
  <c r="I39" i="86" s="1"/>
  <c r="O35" i="86" s="1"/>
  <c r="O37" i="86" s="1"/>
  <c r="P36" i="86"/>
  <c r="E37" i="86"/>
  <c r="E39" i="86" s="1"/>
  <c r="H14" i="86"/>
  <c r="H39" i="86" s="1"/>
  <c r="N35" i="86" s="1"/>
  <c r="N37" i="86" s="1"/>
  <c r="F14" i="86"/>
  <c r="F39" i="86" s="1"/>
  <c r="L35" i="86" s="1"/>
  <c r="L37" i="86" s="1"/>
  <c r="G19" i="39" s="1"/>
  <c r="F16" i="41"/>
  <c r="F15" i="41"/>
  <c r="O39" i="92" l="1"/>
  <c r="A26" i="39"/>
  <c r="A27" i="39" s="1"/>
  <c r="A28" i="39" s="1"/>
  <c r="A29" i="39" s="1"/>
  <c r="A30" i="39" s="1"/>
  <c r="O39" i="89"/>
  <c r="M35" i="88"/>
  <c r="P35" i="88" s="1"/>
  <c r="O39" i="88"/>
  <c r="N29" i="88"/>
  <c r="M36" i="88" s="1"/>
  <c r="M39" i="87"/>
  <c r="F20" i="39"/>
  <c r="O39" i="87"/>
  <c r="P35" i="87"/>
  <c r="G32" i="86"/>
  <c r="G39" i="86" s="1"/>
  <c r="M35" i="86" s="1"/>
  <c r="M37" i="86" s="1"/>
  <c r="F19" i="39" s="1"/>
  <c r="O39" i="86"/>
  <c r="E42" i="86"/>
  <c r="P36" i="88" l="1"/>
  <c r="P35" i="86"/>
  <c r="M39" i="86"/>
  <c r="F14" i="41"/>
  <c r="F13" i="41"/>
  <c r="M37" i="88" l="1"/>
  <c r="F12" i="41"/>
  <c r="F11" i="41"/>
  <c r="F10" i="41"/>
  <c r="F21" i="39" l="1"/>
  <c r="M39" i="88"/>
  <c r="F9" i="41"/>
  <c r="F8" i="41" l="1"/>
  <c r="D31" i="41" l="1"/>
  <c r="N16" i="41"/>
  <c r="K16" i="41"/>
  <c r="H16" i="41"/>
  <c r="N15" i="41"/>
  <c r="K15" i="41"/>
  <c r="H15" i="41"/>
  <c r="N14" i="41"/>
  <c r="K14" i="41"/>
  <c r="H14" i="41"/>
  <c r="N13" i="41"/>
  <c r="K13" i="41"/>
  <c r="H13" i="41"/>
  <c r="N12" i="41"/>
  <c r="K12" i="41"/>
  <c r="H12" i="41"/>
  <c r="N11" i="41"/>
  <c r="K11" i="41"/>
  <c r="H11" i="41"/>
  <c r="N10" i="41"/>
  <c r="K10" i="41"/>
  <c r="H10" i="41"/>
  <c r="N9" i="41"/>
  <c r="K9" i="41"/>
  <c r="H9" i="41"/>
  <c r="N8" i="41"/>
  <c r="K8" i="41"/>
  <c r="H8" i="41"/>
  <c r="A8" i="39" l="1"/>
  <c r="A9" i="39" l="1"/>
  <c r="A10" i="39" l="1"/>
  <c r="A11" i="39" l="1"/>
  <c r="A12" i="39" l="1"/>
  <c r="A13" i="39" l="1"/>
  <c r="A14" i="39" l="1"/>
  <c r="A15" i="39" l="1"/>
  <c r="A16" i="39" l="1"/>
  <c r="A17" i="39" l="1"/>
  <c r="A18" i="39" l="1"/>
  <c r="N31" i="41" l="1"/>
  <c r="H39" i="41" l="1"/>
  <c r="D31" i="39" l="1"/>
  <c r="F31" i="39"/>
  <c r="G31" i="39"/>
  <c r="I39" i="41"/>
  <c r="E39" i="39" l="1"/>
  <c r="F39" i="39"/>
  <c r="E8" i="41" l="1"/>
  <c r="E8" i="39"/>
  <c r="H8" i="39" l="1"/>
  <c r="I8" i="39" s="1"/>
  <c r="O8" i="41"/>
  <c r="P8" i="41" s="1"/>
  <c r="S8" i="41" l="1"/>
  <c r="E9" i="41"/>
  <c r="L8" i="39"/>
  <c r="E9" i="39"/>
  <c r="H9" i="39" l="1"/>
  <c r="I9" i="39" s="1"/>
  <c r="O9" i="41"/>
  <c r="P9" i="41" s="1"/>
  <c r="L9" i="39" l="1"/>
  <c r="E10" i="39"/>
  <c r="S9" i="41"/>
  <c r="E10" i="41"/>
  <c r="O10" i="41" l="1"/>
  <c r="P10" i="41" s="1"/>
  <c r="H10" i="39"/>
  <c r="I10" i="39" s="1"/>
  <c r="L10" i="39" l="1"/>
  <c r="E11" i="39"/>
  <c r="S10" i="41"/>
  <c r="E11" i="41"/>
  <c r="O11" i="41" l="1"/>
  <c r="P11" i="41" s="1"/>
  <c r="H11" i="39"/>
  <c r="I11" i="39" s="1"/>
  <c r="L11" i="39" l="1"/>
  <c r="E12" i="39"/>
  <c r="S11" i="41"/>
  <c r="E12" i="41"/>
  <c r="H12" i="39" l="1"/>
  <c r="I12" i="39" s="1"/>
  <c r="O12" i="41"/>
  <c r="P12" i="41" s="1"/>
  <c r="E13" i="41" l="1"/>
  <c r="S12" i="41"/>
  <c r="E13" i="39"/>
  <c r="L12" i="39"/>
  <c r="H13" i="39" l="1"/>
  <c r="I13" i="39" s="1"/>
  <c r="O13" i="41"/>
  <c r="P13" i="41" s="1"/>
  <c r="S13" i="41" l="1"/>
  <c r="E14" i="41"/>
  <c r="L13" i="39"/>
  <c r="E14" i="39"/>
  <c r="H14" i="39" l="1"/>
  <c r="I14" i="39" s="1"/>
  <c r="O14" i="41"/>
  <c r="P14" i="41" s="1"/>
  <c r="E15" i="41" l="1"/>
  <c r="S14" i="41"/>
  <c r="L14" i="39"/>
  <c r="E15" i="39"/>
  <c r="H15" i="39" l="1"/>
  <c r="I15" i="39" s="1"/>
  <c r="O15" i="41"/>
  <c r="P15" i="41" s="1"/>
  <c r="E16" i="41" l="1"/>
  <c r="S15" i="41"/>
  <c r="L15" i="39"/>
  <c r="E16" i="39"/>
  <c r="H16" i="39" l="1"/>
  <c r="I16" i="39" s="1"/>
  <c r="O16" i="41"/>
  <c r="P16" i="41" s="1"/>
  <c r="S16" i="41" l="1"/>
  <c r="L16" i="39"/>
  <c r="D17" i="39"/>
  <c r="C17" i="41" s="1"/>
  <c r="E17" i="41" s="1"/>
  <c r="E17" i="39" l="1"/>
  <c r="O17" i="41"/>
  <c r="P17" i="41" s="1"/>
  <c r="H17" i="39"/>
  <c r="I17" i="39" s="1"/>
  <c r="L17" i="39" l="1"/>
  <c r="E18" i="39"/>
  <c r="S17" i="41"/>
  <c r="E18" i="41"/>
  <c r="O18" i="41" l="1"/>
  <c r="P18" i="41" s="1"/>
  <c r="H18" i="39"/>
  <c r="I18" i="39" s="1"/>
  <c r="E19" i="39" l="1"/>
  <c r="L18" i="39"/>
  <c r="S18" i="41"/>
  <c r="E19" i="41"/>
  <c r="O19" i="41" l="1"/>
  <c r="P19" i="41" s="1"/>
  <c r="H19" i="39"/>
  <c r="I19" i="39" s="1"/>
  <c r="L19" i="39" l="1"/>
  <c r="E20" i="39"/>
  <c r="S19" i="41"/>
  <c r="E20" i="41"/>
  <c r="O20" i="41" l="1"/>
  <c r="P20" i="41" s="1"/>
  <c r="H20" i="39"/>
  <c r="I20" i="39" s="1"/>
  <c r="E21" i="39" l="1"/>
  <c r="L20" i="39"/>
  <c r="E21" i="41"/>
  <c r="S20" i="41"/>
  <c r="O21" i="41" l="1"/>
  <c r="H21" i="39"/>
  <c r="I21" i="39" l="1"/>
  <c r="P21" i="41"/>
  <c r="S21" i="41" l="1"/>
  <c r="E22" i="41"/>
  <c r="E22" i="39"/>
  <c r="L21" i="39"/>
  <c r="H22" i="39" l="1"/>
  <c r="O22" i="41"/>
  <c r="P22" i="41" l="1"/>
  <c r="I22" i="39"/>
  <c r="E23" i="41" l="1"/>
  <c r="O23" i="41" s="1"/>
  <c r="S22" i="41"/>
  <c r="E23" i="39"/>
  <c r="H23" i="39" s="1"/>
  <c r="L22" i="39"/>
  <c r="I23" i="39" l="1"/>
  <c r="P23" i="41"/>
  <c r="E24" i="39" l="1"/>
  <c r="H24" i="39" s="1"/>
  <c r="L23" i="39"/>
  <c r="E24" i="41"/>
  <c r="O24" i="41" s="1"/>
  <c r="S23" i="41"/>
  <c r="I24" i="39" l="1"/>
  <c r="P24" i="41"/>
  <c r="E25" i="39" l="1"/>
  <c r="H25" i="39" s="1"/>
  <c r="L24" i="39"/>
  <c r="E25" i="41"/>
  <c r="O25" i="41" s="1"/>
  <c r="S24" i="41"/>
  <c r="P25" i="41" l="1"/>
  <c r="O31" i="41"/>
  <c r="I25" i="39"/>
  <c r="H31" i="39"/>
  <c r="E26" i="41" l="1"/>
  <c r="O26" i="41" s="1"/>
  <c r="P26" i="41" s="1"/>
  <c r="E27" i="41" s="1"/>
  <c r="O27" i="41" s="1"/>
  <c r="P27" i="41" s="1"/>
  <c r="E28" i="41" s="1"/>
  <c r="O28" i="41" s="1"/>
  <c r="P28" i="41" s="1"/>
  <c r="E29" i="41" s="1"/>
  <c r="O29" i="41" s="1"/>
  <c r="P29" i="41" s="1"/>
  <c r="E30" i="41" s="1"/>
  <c r="O30" i="41" s="1"/>
  <c r="P30" i="41" s="1"/>
  <c r="S25" i="41"/>
  <c r="E26" i="39"/>
  <c r="H26" i="39" s="1"/>
  <c r="I26" i="39" s="1"/>
  <c r="E27" i="39" s="1"/>
  <c r="H27" i="39" s="1"/>
  <c r="I27" i="39" s="1"/>
  <c r="E28" i="39" s="1"/>
  <c r="H28" i="39" s="1"/>
  <c r="I28" i="39" s="1"/>
  <c r="E29" i="39" s="1"/>
  <c r="H29" i="39" s="1"/>
  <c r="I29" i="39" s="1"/>
  <c r="E30" i="39" s="1"/>
  <c r="H30" i="39" s="1"/>
  <c r="I30" i="39" s="1"/>
  <c r="L25" i="39"/>
  <c r="E38" i="39"/>
  <c r="F38" i="39"/>
  <c r="F36" i="39"/>
  <c r="E37" i="39"/>
  <c r="I38" i="41"/>
  <c r="I36" i="41"/>
  <c r="H38" i="41"/>
  <c r="H37" i="41"/>
  <c r="I41" i="41" l="1"/>
  <c r="E47" i="92"/>
  <c r="F47" i="92" s="1"/>
  <c r="F41" i="39"/>
  <c r="E47" i="91"/>
  <c r="F47" i="91" s="1"/>
  <c r="E47" i="88"/>
  <c r="F47" i="88" s="1"/>
  <c r="E47" i="87"/>
  <c r="F47" i="87" s="1"/>
  <c r="E47" i="90"/>
  <c r="F47" i="90" s="1"/>
  <c r="E47" i="86"/>
  <c r="F47" i="86" s="1"/>
  <c r="E47" i="89"/>
  <c r="F47" i="8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B58C20AF-FC2C-41B1-8867-E38AB068335E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DB706234-49DE-4184-AD5C-E353CE0E6B33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79C2CDA-A763-4FAF-899D-DB66DE9BC4E8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F6F964CE-9DA4-4A94-A7AF-8F1F3D39F4B2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090C5FCE-29CF-43EB-8B1F-D9C6955E192E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007DE7B2-4DBE-42A5-9697-843A292E9AB5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F1FDC140-E595-4C3E-A8EF-32E4B57585D1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DDDE0B97-7FA5-47EC-BAE3-D02C81A4E8C9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65819D5-9CC1-41C7-83D9-B2D94F253D90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F75A95EB-D2D5-45D7-A383-3424816D5F7B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3AC3A819-F678-47C5-A34A-8B9D95BC3C0B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B02A5A18-4AB0-4F90-B55A-99D4F7FD5CEC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AFF418B8-47E7-4230-8BFF-6CC82C450634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F290AD43-6A97-4F8A-8BD3-BC53B157B7BD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</author>
  </authors>
  <commentList>
    <comment ref="D17" authorId="0" shapeId="0" xr:uid="{167A6031-955A-4645-ABBA-CDB00740D8AF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per phone call w/Marcus G. 11.11.22 - transfer balance as of end of October for both WA and ID</t>
        </r>
      </text>
    </comment>
  </commentList>
</comments>
</file>

<file path=xl/sharedStrings.xml><?xml version="1.0" encoding="utf-8"?>
<sst xmlns="http://schemas.openxmlformats.org/spreadsheetml/2006/main" count="1122" uniqueCount="157">
  <si>
    <t>State of Washington</t>
  </si>
  <si>
    <t>Commodity</t>
  </si>
  <si>
    <t>Demand</t>
  </si>
  <si>
    <t>Interest</t>
  </si>
  <si>
    <t>Avista Corporation</t>
  </si>
  <si>
    <t>Amortization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</si>
  <si>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</si>
  <si>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</si>
  <si>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</si>
  <si>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</si>
  <si>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</si>
  <si>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</si>
  <si>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</si>
  <si>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131</t>
  </si>
  <si>
    <t>Schedule 132</t>
  </si>
  <si>
    <t>Ending Balance</t>
  </si>
  <si>
    <t>Idaho</t>
  </si>
  <si>
    <t xml:space="preserve">Total </t>
  </si>
  <si>
    <t>Expense Calculation</t>
  </si>
  <si>
    <t>Deferral Calculation</t>
  </si>
  <si>
    <t>Schedule 146</t>
  </si>
  <si>
    <t>Interest Income</t>
  </si>
  <si>
    <t>Volumes</t>
  </si>
  <si>
    <t>check</t>
  </si>
  <si>
    <t xml:space="preserve">Balance Sheet </t>
  </si>
  <si>
    <t>less variable costs charged to Commodity</t>
  </si>
  <si>
    <t>plus variable costs from Demand</t>
  </si>
  <si>
    <t>Total Commodity Costs to be Allocated</t>
  </si>
  <si>
    <t>DEMAND</t>
  </si>
  <si>
    <t xml:space="preserve">Total Demand </t>
  </si>
  <si>
    <t>COMMODITY</t>
  </si>
  <si>
    <t>Total Commodity</t>
  </si>
  <si>
    <t>WASHINGTON</t>
  </si>
  <si>
    <t>IDAHO</t>
  </si>
  <si>
    <t>Check</t>
  </si>
  <si>
    <t>Def Rev Calc</t>
  </si>
  <si>
    <t>WA Total</t>
  </si>
  <si>
    <t>ID Total</t>
  </si>
  <si>
    <t>Debits</t>
  </si>
  <si>
    <t>Credits</t>
  </si>
  <si>
    <t>Beginning Balance</t>
  </si>
  <si>
    <t>Interest Rate</t>
  </si>
  <si>
    <t>Schedule 102</t>
  </si>
  <si>
    <t>Month Ending</t>
  </si>
  <si>
    <t>GL WAND BALANCES</t>
  </si>
  <si>
    <t>MONTHLY RECON</t>
  </si>
  <si>
    <t>Accounts 191000</t>
  </si>
  <si>
    <t>Annual xfer of balance per PGA to 191000</t>
  </si>
  <si>
    <t>Amort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</si>
  <si>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</si>
  <si>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</si>
  <si>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</si>
  <si>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</si>
  <si>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</si>
  <si>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</si>
  <si>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</si>
  <si>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</si>
  <si>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</si>
  <si>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</si>
  <si>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</si>
  <si>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A</t>
  </si>
  <si>
    <t>B</t>
  </si>
  <si>
    <t>C</t>
  </si>
  <si>
    <t>A+B+C</t>
  </si>
  <si>
    <t>(A+B)</t>
  </si>
  <si>
    <t>check s/b 0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</si>
  <si>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</si>
  <si>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</si>
  <si>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</si>
  <si>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</si>
  <si>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</si>
  <si>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</si>
  <si>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</si>
  <si>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805110.GD.WA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</si>
  <si>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</si>
  <si>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</si>
  <si>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</si>
  <si>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</si>
  <si>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</si>
  <si>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</si>
  <si>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</si>
  <si>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</si>
  <si>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</si>
  <si>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(B)</t>
  </si>
  <si>
    <t>ID Entitlement Penalty</t>
  </si>
  <si>
    <t>WA Entitlement Penalty</t>
  </si>
  <si>
    <t>AN Entitlement Penalty</t>
  </si>
  <si>
    <t>GD.AN</t>
  </si>
  <si>
    <t>KEY:</t>
  </si>
  <si>
    <t>Manual Input</t>
  </si>
  <si>
    <t>GLWand</t>
  </si>
  <si>
    <t>Total Demand Costs</t>
  </si>
  <si>
    <t>GD.WA</t>
  </si>
  <si>
    <t>GD.ID</t>
  </si>
  <si>
    <t>WA Imbalance Costs</t>
  </si>
  <si>
    <t>ID Imbalance Costs</t>
  </si>
  <si>
    <t>Total Demand and Commodity</t>
  </si>
  <si>
    <t>check:</t>
  </si>
  <si>
    <t>JET Entry - check</t>
  </si>
  <si>
    <t>Deferral Expenses</t>
  </si>
  <si>
    <t>Total Deferred</t>
  </si>
  <si>
    <t>System Cost</t>
  </si>
  <si>
    <t>Deferral Revenue</t>
  </si>
  <si>
    <t>WASHINGTON / IDAHO GAS COSTS</t>
  </si>
  <si>
    <t>Total Current Demand Costs</t>
  </si>
  <si>
    <t>Total Commodity Costs</t>
  </si>
  <si>
    <t>Total per GL</t>
  </si>
  <si>
    <t>804%,808%,811000,483%,495028,495100</t>
  </si>
  <si>
    <t>Deferrals dependant on:</t>
  </si>
  <si>
    <t>NUC export - Gas costs</t>
  </si>
  <si>
    <t>DJ 404 - Realized FX G/L</t>
  </si>
  <si>
    <t>DJ 436 - Imbalances</t>
  </si>
  <si>
    <t>DJ 437 - GST (Qtrly)</t>
  </si>
  <si>
    <t>DJ 467 - Merchandise processing fees</t>
  </si>
  <si>
    <t>DJ 471 - Broker Fees</t>
  </si>
  <si>
    <t>DJ 476 - Mizuho/Wells</t>
  </si>
  <si>
    <t>202201</t>
  </si>
  <si>
    <t>202202</t>
  </si>
  <si>
    <t>202203</t>
  </si>
  <si>
    <t>202204</t>
  </si>
  <si>
    <t>202205</t>
  </si>
  <si>
    <t>202206</t>
  </si>
  <si>
    <t>202207</t>
  </si>
  <si>
    <t>202208</t>
  </si>
  <si>
    <t>202209</t>
  </si>
  <si>
    <t>202210</t>
  </si>
  <si>
    <t>202211</t>
  </si>
  <si>
    <t>202212</t>
  </si>
  <si>
    <t>NOVEMBER ENTRY - LARGE CUSTOMER TRUEUP</t>
  </si>
  <si>
    <t>202301</t>
  </si>
  <si>
    <t>202302</t>
  </si>
  <si>
    <t>202303</t>
  </si>
  <si>
    <t>202304</t>
  </si>
  <si>
    <t>202305</t>
  </si>
  <si>
    <t>202306</t>
  </si>
  <si>
    <t>202307</t>
  </si>
  <si>
    <t>202308</t>
  </si>
  <si>
    <t>202309</t>
  </si>
  <si>
    <t>202310</t>
  </si>
  <si>
    <t>202311</t>
  </si>
  <si>
    <t>202312</t>
  </si>
  <si>
    <t>$2.11 Jan demand rate decimal error - fixed in Feb</t>
  </si>
  <si>
    <t>GAS COSTS-COMMODITY</t>
  </si>
  <si>
    <t>GAS COSTS - FX HEDGE</t>
  </si>
  <si>
    <t>GAS COSTS-TRANSACTION FEE</t>
  </si>
  <si>
    <t>Gas Costs - Merchandise Processing Fee</t>
  </si>
  <si>
    <t>GAS PURCHASES - FINANCIAL</t>
  </si>
  <si>
    <t>GAS COSTS-INTRACO LDC GAS</t>
  </si>
  <si>
    <t>GAS STORAGE WITHDRAWALS</t>
  </si>
  <si>
    <t>GAS STORAGE INJECTIONS</t>
  </si>
  <si>
    <t>GAS USED FOR PRODUCTS EXTRACTION</t>
  </si>
  <si>
    <t>SALES FOR RESALE PHYSICAL-GAS</t>
  </si>
  <si>
    <t>SALES FOR RESALE-FINANCIAL GAS</t>
  </si>
  <si>
    <t>SALES FOR RESALE-INTRACO LDC GAS</t>
  </si>
  <si>
    <t>DEFERRED EXCHANGE RESERVATION FEE</t>
  </si>
  <si>
    <t>GAS COSTS-DEMAND</t>
  </si>
  <si>
    <t>TRANSPORT VARIABLE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</si>
</sst>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8" formatCode="#,##0.00000_);\(#,##0.00000\)"/>
    <numFmt numFmtId="169" formatCode="#,##0.0000_);\(#,##0.0000\)"/>
    <numFmt numFmtId="170" formatCode="#,##0.0000_);[Red]\(#,##0.0000\)"/>
    <numFmt numFmtId="171" formatCode="&quot;$&quot;#,##0\ ;\(&quot;$&quot;#,##0\)"/>
    <numFmt numFmtId="172" formatCode="_(* #,##0_);_(* \(#,##0\);_(* &quot;-&quot;??_);_(@_)"/>
    <numFmt numFmtId="173" formatCode="_(* #,##0.00000_);_(* \(#,##0.00000\);_(* &quot;-&quot;?????_);_(@_)"/>
    <numFmt numFmtId="174" formatCode="_(&quot;$&quot;* #,##0.00000_);_(&quot;$&quot;* \(#,##0.00000\);_(&quot;$&quot;* &quot;-&quot;??_);_(@_)"/>
  </numFmts>
  <fonts count="53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b/>
      <sz val="14"/>
      <color indexed="81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9"/>
      <color indexed="17"/>
      <name val="Arial"/>
      <family val="2"/>
    </font>
    <font>
      <b/>
      <sz val="12"/>
      <color indexed="17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243">
    <xf numFmtId="39" fontId="0" fillId="0" borderId="0" xfId="0"/>
    <xf numFmtId="39" fontId="12" fillId="0" borderId="0" xfId="0" applyFont="1"/>
    <xf numFmtId="39" fontId="12" fillId="0" borderId="0" xfId="0" applyFont="1" applyAlignment="1">
      <alignment horizontal="center"/>
    </xf>
    <xf numFmtId="39" fontId="13" fillId="0" borderId="0" xfId="0" applyFont="1"/>
    <xf numFmtId="39" fontId="13" fillId="0" borderId="2" xfId="0" applyFont="1" applyBorder="1" applyAlignment="1">
      <alignment horizontal="center"/>
    </xf>
    <xf numFmtId="39" fontId="12" fillId="3" borderId="0" xfId="0" applyFont="1" applyFill="1"/>
    <xf numFmtId="39" fontId="12" fillId="0" borderId="0" xfId="0" applyFont="1" applyAlignment="1">
      <alignment horizontal="right"/>
    </xf>
    <xf numFmtId="39" fontId="12" fillId="0" borderId="8" xfId="0" applyFont="1" applyBorder="1"/>
    <xf numFmtId="39" fontId="13" fillId="0" borderId="5" xfId="0" applyFont="1" applyBorder="1" applyAlignment="1">
      <alignment horizontal="center"/>
    </xf>
    <xf numFmtId="39" fontId="12" fillId="0" borderId="2" xfId="0" applyFont="1" applyBorder="1"/>
    <xf numFmtId="39" fontId="12" fillId="0" borderId="7" xfId="0" applyFont="1" applyBorder="1"/>
    <xf numFmtId="39" fontId="12" fillId="0" borderId="7" xfId="0" applyFont="1" applyBorder="1" applyAlignment="1">
      <alignment horizontal="left"/>
    </xf>
    <xf numFmtId="168" fontId="12" fillId="0" borderId="0" xfId="0" applyNumberFormat="1" applyFont="1" applyAlignment="1" applyProtection="1">
      <alignment horizontal="left"/>
      <protection locked="0"/>
    </xf>
    <xf numFmtId="39" fontId="12" fillId="0" borderId="4" xfId="0" applyFont="1" applyBorder="1" applyAlignment="1">
      <alignment horizontal="left"/>
    </xf>
    <xf numFmtId="168" fontId="12" fillId="0" borderId="5" xfId="0" applyNumberFormat="1" applyFont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5" xfId="2" applyNumberFormat="1" applyFont="1" applyFill="1" applyBorder="1"/>
    <xf numFmtId="8" fontId="12" fillId="0" borderId="8" xfId="2" applyFont="1" applyFill="1" applyBorder="1"/>
    <xf numFmtId="39" fontId="13" fillId="0" borderId="7" xfId="0" applyFont="1" applyBorder="1" applyAlignment="1">
      <alignment horizontal="right"/>
    </xf>
    <xf numFmtId="39" fontId="12" fillId="0" borderId="7" xfId="0" applyFont="1" applyBorder="1" applyAlignment="1">
      <alignment horizontal="right"/>
    </xf>
    <xf numFmtId="39" fontId="12" fillId="0" borderId="3" xfId="0" applyFont="1" applyBorder="1"/>
    <xf numFmtId="0" fontId="12" fillId="0" borderId="0" xfId="0" applyNumberFormat="1" applyFont="1" applyAlignment="1">
      <alignment horizontal="left"/>
    </xf>
    <xf numFmtId="38" fontId="12" fillId="0" borderId="0" xfId="1" applyNumberFormat="1" applyFont="1"/>
    <xf numFmtId="39" fontId="12" fillId="0" borderId="6" xfId="0" applyFont="1" applyBorder="1"/>
    <xf numFmtId="0" fontId="1" fillId="0" borderId="0" xfId="137" applyFont="1"/>
    <xf numFmtId="164" fontId="28" fillId="0" borderId="0" xfId="92" applyNumberFormat="1" applyFont="1" applyAlignment="1">
      <alignment horizontal="left"/>
    </xf>
    <xf numFmtId="0" fontId="29" fillId="0" borderId="0" xfId="92" applyFont="1"/>
    <xf numFmtId="39" fontId="29" fillId="0" borderId="0" xfId="136" applyFont="1"/>
    <xf numFmtId="164" fontId="30" fillId="0" borderId="0" xfId="92" applyNumberFormat="1" applyFont="1" applyAlignment="1">
      <alignment horizontal="left"/>
    </xf>
    <xf numFmtId="0" fontId="26" fillId="0" borderId="0" xfId="92" applyFont="1"/>
    <xf numFmtId="39" fontId="26" fillId="0" borderId="0" xfId="136" applyFont="1"/>
    <xf numFmtId="0" fontId="29" fillId="0" borderId="0" xfId="137" applyFont="1"/>
    <xf numFmtId="0" fontId="27" fillId="0" borderId="19" xfId="137" applyFont="1" applyBorder="1" applyAlignment="1">
      <alignment horizontal="center" wrapText="1"/>
    </xf>
    <xf numFmtId="0" fontId="27" fillId="0" borderId="18" xfId="137" applyFont="1" applyBorder="1" applyAlignment="1">
      <alignment horizontal="center" wrapText="1"/>
    </xf>
    <xf numFmtId="0" fontId="27" fillId="0" borderId="0" xfId="137" applyFont="1" applyAlignment="1">
      <alignment horizontal="center" wrapText="1"/>
    </xf>
    <xf numFmtId="0" fontId="27" fillId="6" borderId="18" xfId="137" applyFont="1" applyFill="1" applyBorder="1" applyAlignment="1">
      <alignment horizontal="center" wrapText="1"/>
    </xf>
    <xf numFmtId="1" fontId="29" fillId="0" borderId="0" xfId="63" applyNumberFormat="1" applyFont="1" applyAlignment="1">
      <alignment horizontal="left"/>
    </xf>
    <xf numFmtId="43" fontId="26" fillId="0" borderId="0" xfId="138" applyFont="1" applyFill="1" applyBorder="1"/>
    <xf numFmtId="0" fontId="26" fillId="0" borderId="0" xfId="137" applyFont="1"/>
    <xf numFmtId="0" fontId="31" fillId="7" borderId="0" xfId="24" quotePrefix="1" applyFont="1" applyFill="1"/>
    <xf numFmtId="0" fontId="32" fillId="0" borderId="0" xfId="24" applyFont="1"/>
    <xf numFmtId="0" fontId="26" fillId="0" borderId="0" xfId="24" applyFont="1"/>
    <xf numFmtId="0" fontId="27" fillId="0" borderId="0" xfId="24" applyFont="1"/>
    <xf numFmtId="1" fontId="26" fillId="0" borderId="18" xfId="63" applyNumberFormat="1" applyFont="1" applyBorder="1" applyAlignment="1">
      <alignment horizontal="left"/>
    </xf>
    <xf numFmtId="40" fontId="26" fillId="8" borderId="18" xfId="1" applyFont="1" applyFill="1" applyBorder="1"/>
    <xf numFmtId="40" fontId="26" fillId="0" borderId="18" xfId="1" applyFont="1" applyFill="1" applyBorder="1"/>
    <xf numFmtId="0" fontId="34" fillId="0" borderId="0" xfId="137" applyFont="1"/>
    <xf numFmtId="165" fontId="35" fillId="0" borderId="0" xfId="139" applyNumberFormat="1" applyFont="1" applyFill="1" applyBorder="1"/>
    <xf numFmtId="43" fontId="26" fillId="0" borderId="18" xfId="138" applyFont="1" applyFill="1" applyBorder="1"/>
    <xf numFmtId="43" fontId="35" fillId="0" borderId="0" xfId="138" applyFont="1" applyFill="1" applyBorder="1"/>
    <xf numFmtId="43" fontId="35" fillId="5" borderId="18" xfId="138" applyFont="1" applyFill="1" applyBorder="1"/>
    <xf numFmtId="10" fontId="35" fillId="5" borderId="22" xfId="4" applyNumberFormat="1" applyFont="1" applyFill="1" applyBorder="1"/>
    <xf numFmtId="43" fontId="35" fillId="5" borderId="22" xfId="138" applyFont="1" applyFill="1" applyBorder="1"/>
    <xf numFmtId="43" fontId="26" fillId="0" borderId="22" xfId="138" applyFont="1" applyFill="1" applyBorder="1"/>
    <xf numFmtId="43" fontId="26" fillId="6" borderId="22" xfId="138" applyFont="1" applyFill="1" applyBorder="1"/>
    <xf numFmtId="43" fontId="27" fillId="6" borderId="22" xfId="138" applyFont="1" applyFill="1" applyBorder="1"/>
    <xf numFmtId="43" fontId="36" fillId="0" borderId="0" xfId="9" applyFont="1" applyFill="1"/>
    <xf numFmtId="0" fontId="34" fillId="0" borderId="0" xfId="137" applyFont="1" applyAlignment="1">
      <alignment horizontal="right"/>
    </xf>
    <xf numFmtId="40" fontId="37" fillId="0" borderId="0" xfId="137" applyNumberFormat="1" applyFont="1"/>
    <xf numFmtId="0" fontId="37" fillId="0" borderId="0" xfId="137" applyFont="1"/>
    <xf numFmtId="43" fontId="27" fillId="0" borderId="0" xfId="138" applyFont="1" applyFill="1" applyBorder="1"/>
    <xf numFmtId="0" fontId="27" fillId="0" borderId="19" xfId="137" quotePrefix="1" applyFont="1" applyBorder="1" applyAlignment="1">
      <alignment horizontal="center" wrapText="1"/>
    </xf>
    <xf numFmtId="0" fontId="27" fillId="0" borderId="22" xfId="137" quotePrefix="1" applyFont="1" applyBorder="1" applyAlignment="1">
      <alignment horizontal="center" wrapText="1"/>
    </xf>
    <xf numFmtId="165" fontId="35" fillId="0" borderId="5" xfId="139" applyNumberFormat="1" applyFont="1" applyFill="1" applyBorder="1"/>
    <xf numFmtId="43" fontId="35" fillId="0" borderId="5" xfId="138" applyFont="1" applyFill="1" applyBorder="1"/>
    <xf numFmtId="0" fontId="27" fillId="0" borderId="20" xfId="137" quotePrefix="1" applyFont="1" applyBorder="1" applyAlignment="1">
      <alignment horizontal="center" wrapText="1"/>
    </xf>
    <xf numFmtId="10" fontId="35" fillId="5" borderId="21" xfId="4" applyNumberFormat="1" applyFont="1" applyFill="1" applyBorder="1"/>
    <xf numFmtId="43" fontId="35" fillId="5" borderId="21" xfId="138" applyFont="1" applyFill="1" applyBorder="1"/>
    <xf numFmtId="43" fontId="26" fillId="0" borderId="21" xfId="138" applyFont="1" applyFill="1" applyBorder="1"/>
    <xf numFmtId="43" fontId="26" fillId="6" borderId="21" xfId="138" applyFont="1" applyFill="1" applyBorder="1"/>
    <xf numFmtId="43" fontId="27" fillId="6" borderId="21" xfId="138" applyFont="1" applyFill="1" applyBorder="1"/>
    <xf numFmtId="43" fontId="35" fillId="5" borderId="23" xfId="138" applyFont="1" applyFill="1" applyBorder="1"/>
    <xf numFmtId="1" fontId="26" fillId="0" borderId="18" xfId="24" applyNumberFormat="1" applyFont="1" applyBorder="1" applyAlignment="1">
      <alignment horizontal="left"/>
    </xf>
    <xf numFmtId="43" fontId="26" fillId="0" borderId="18" xfId="9" applyFont="1" applyFill="1" applyBorder="1"/>
    <xf numFmtId="0" fontId="33" fillId="0" borderId="0" xfId="24" applyFont="1"/>
    <xf numFmtId="164" fontId="27" fillId="0" borderId="0" xfId="92" applyNumberFormat="1" applyFont="1" applyAlignment="1">
      <alignment horizontal="left"/>
    </xf>
    <xf numFmtId="164" fontId="38" fillId="0" borderId="0" xfId="92" applyNumberFormat="1" applyFont="1" applyAlignment="1">
      <alignment horizontal="left"/>
    </xf>
    <xf numFmtId="10" fontId="35" fillId="5" borderId="21" xfId="139" applyNumberFormat="1" applyFont="1" applyFill="1" applyBorder="1"/>
    <xf numFmtId="168" fontId="39" fillId="5" borderId="21" xfId="145" applyNumberFormat="1" applyFont="1" applyFill="1" applyBorder="1" applyAlignment="1">
      <alignment horizontal="center"/>
    </xf>
    <xf numFmtId="43" fontId="26" fillId="0" borderId="24" xfId="138" applyFont="1" applyFill="1" applyBorder="1"/>
    <xf numFmtId="0" fontId="27" fillId="0" borderId="26" xfId="137" applyFont="1" applyBorder="1" applyAlignment="1">
      <alignment horizontal="center" wrapText="1"/>
    </xf>
    <xf numFmtId="0" fontId="27" fillId="0" borderId="27" xfId="137" applyFont="1" applyBorder="1" applyAlignment="1">
      <alignment horizontal="center" wrapText="1"/>
    </xf>
    <xf numFmtId="0" fontId="27" fillId="0" borderId="28" xfId="137" applyFont="1" applyBorder="1" applyAlignment="1">
      <alignment horizontal="center" wrapText="1"/>
    </xf>
    <xf numFmtId="43" fontId="35" fillId="5" borderId="30" xfId="138" applyFont="1" applyFill="1" applyBorder="1"/>
    <xf numFmtId="43" fontId="35" fillId="5" borderId="32" xfId="138" applyFont="1" applyFill="1" applyBorder="1"/>
    <xf numFmtId="43" fontId="26" fillId="0" borderId="25" xfId="138" applyFont="1" applyFill="1" applyBorder="1"/>
    <xf numFmtId="43" fontId="26" fillId="0" borderId="33" xfId="138" applyFont="1" applyFill="1" applyBorder="1"/>
    <xf numFmtId="38" fontId="35" fillId="5" borderId="29" xfId="138" applyNumberFormat="1" applyFont="1" applyFill="1" applyBorder="1"/>
    <xf numFmtId="0" fontId="27" fillId="0" borderId="34" xfId="137" applyFont="1" applyBorder="1" applyAlignment="1">
      <alignment horizontal="center" wrapText="1"/>
    </xf>
    <xf numFmtId="43" fontId="26" fillId="0" borderId="30" xfId="138" applyFont="1" applyFill="1" applyBorder="1"/>
    <xf numFmtId="0" fontId="27" fillId="0" borderId="33" xfId="137" applyFont="1" applyBorder="1" applyAlignment="1">
      <alignment horizontal="center" wrapText="1"/>
    </xf>
    <xf numFmtId="10" fontId="35" fillId="5" borderId="23" xfId="139" applyNumberFormat="1" applyFont="1" applyFill="1" applyBorder="1"/>
    <xf numFmtId="38" fontId="35" fillId="5" borderId="31" xfId="138" applyNumberFormat="1" applyFont="1" applyFill="1" applyBorder="1"/>
    <xf numFmtId="43" fontId="26" fillId="0" borderId="36" xfId="138" applyFont="1" applyFill="1" applyBorder="1"/>
    <xf numFmtId="43" fontId="26" fillId="0" borderId="5" xfId="138" applyFont="1" applyFill="1" applyBorder="1"/>
    <xf numFmtId="0" fontId="37" fillId="0" borderId="0" xfId="137" applyFont="1" applyAlignment="1">
      <alignment horizontal="center"/>
    </xf>
    <xf numFmtId="0" fontId="25" fillId="0" borderId="0" xfId="137" applyFont="1"/>
    <xf numFmtId="0" fontId="36" fillId="0" borderId="0" xfId="24" applyFont="1"/>
    <xf numFmtId="1" fontId="40" fillId="0" borderId="0" xfId="63" applyNumberFormat="1" applyFont="1" applyAlignment="1">
      <alignment horizontal="left"/>
    </xf>
    <xf numFmtId="43" fontId="36" fillId="0" borderId="0" xfId="138" applyFont="1" applyFill="1" applyBorder="1"/>
    <xf numFmtId="0" fontId="36" fillId="0" borderId="0" xfId="137" applyFont="1"/>
    <xf numFmtId="7" fontId="12" fillId="0" borderId="0" xfId="0" applyNumberFormat="1" applyFont="1" applyAlignment="1">
      <alignment horizontal="center"/>
    </xf>
    <xf numFmtId="168" fontId="12" fillId="0" borderId="0" xfId="0" applyNumberFormat="1" applyFont="1" applyAlignment="1" applyProtection="1">
      <alignment horizontal="center"/>
      <protection locked="0"/>
    </xf>
    <xf numFmtId="5" fontId="12" fillId="0" borderId="0" xfId="0" applyNumberFormat="1" applyFont="1" applyAlignment="1">
      <alignment horizontal="center"/>
    </xf>
    <xf numFmtId="39" fontId="12" fillId="0" borderId="12" xfId="0" applyFont="1" applyBorder="1" applyAlignment="1">
      <alignment horizontal="center"/>
    </xf>
    <xf numFmtId="39" fontId="12" fillId="0" borderId="13" xfId="0" applyFont="1" applyBorder="1" applyAlignment="1">
      <alignment horizontal="center"/>
    </xf>
    <xf numFmtId="39" fontId="12" fillId="0" borderId="12" xfId="0" applyFont="1" applyBorder="1"/>
    <xf numFmtId="39" fontId="12" fillId="0" borderId="13" xfId="0" applyFont="1" applyBorder="1"/>
    <xf numFmtId="39" fontId="12" fillId="0" borderId="1" xfId="0" applyFont="1" applyBorder="1" applyAlignment="1">
      <alignment horizontal="center"/>
    </xf>
    <xf numFmtId="39" fontId="12" fillId="0" borderId="2" xfId="0" applyFont="1" applyBorder="1" applyAlignment="1">
      <alignment horizontal="center"/>
    </xf>
    <xf numFmtId="43" fontId="12" fillId="0" borderId="0" xfId="1" applyNumberFormat="1" applyFont="1" applyFill="1" applyBorder="1"/>
    <xf numFmtId="43" fontId="12" fillId="0" borderId="0" xfId="0" applyNumberFormat="1" applyFont="1"/>
    <xf numFmtId="43" fontId="12" fillId="4" borderId="0" xfId="1" applyNumberFormat="1" applyFont="1" applyFill="1" applyBorder="1"/>
    <xf numFmtId="37" fontId="13" fillId="0" borderId="16" xfId="0" applyNumberFormat="1" applyFont="1" applyBorder="1"/>
    <xf numFmtId="168" fontId="13" fillId="0" borderId="0" xfId="0" applyNumberFormat="1" applyFont="1" applyAlignment="1" applyProtection="1">
      <alignment horizontal="center"/>
      <protection locked="0"/>
    </xf>
    <xf numFmtId="173" fontId="12" fillId="0" borderId="8" xfId="0" applyNumberFormat="1" applyFont="1" applyBorder="1"/>
    <xf numFmtId="44" fontId="13" fillId="9" borderId="17" xfId="0" applyNumberFormat="1" applyFont="1" applyFill="1" applyBorder="1"/>
    <xf numFmtId="49" fontId="27" fillId="0" borderId="21" xfId="137" quotePrefix="1" applyNumberFormat="1" applyFont="1" applyBorder="1" applyAlignment="1">
      <alignment horizontal="right"/>
    </xf>
    <xf numFmtId="173" fontId="12" fillId="0" borderId="38" xfId="0" applyNumberFormat="1" applyFont="1" applyBorder="1"/>
    <xf numFmtId="43" fontId="12" fillId="4" borderId="5" xfId="1" applyNumberFormat="1" applyFont="1" applyFill="1" applyBorder="1"/>
    <xf numFmtId="39" fontId="0" fillId="0" borderId="5" xfId="0" applyBorder="1"/>
    <xf numFmtId="44" fontId="13" fillId="0" borderId="16" xfId="2" applyNumberFormat="1" applyFont="1" applyFill="1" applyBorder="1"/>
    <xf numFmtId="173" fontId="12" fillId="0" borderId="39" xfId="0" applyNumberFormat="1" applyFont="1" applyBorder="1"/>
    <xf numFmtId="39" fontId="13" fillId="0" borderId="4" xfId="0" applyFont="1" applyBorder="1" applyAlignment="1">
      <alignment horizontal="right"/>
    </xf>
    <xf numFmtId="37" fontId="12" fillId="0" borderId="5" xfId="0" applyNumberFormat="1" applyFont="1" applyBorder="1"/>
    <xf numFmtId="39" fontId="12" fillId="0" borderId="5" xfId="0" applyFont="1" applyBorder="1"/>
    <xf numFmtId="8" fontId="12" fillId="0" borderId="6" xfId="2" applyFont="1" applyFill="1" applyBorder="1"/>
    <xf numFmtId="43" fontId="34" fillId="0" borderId="0" xfId="137" applyNumberFormat="1" applyFont="1"/>
    <xf numFmtId="169" fontId="14" fillId="0" borderId="0" xfId="0" applyNumberFormat="1" applyFont="1"/>
    <xf numFmtId="0" fontId="42" fillId="0" borderId="0" xfId="137" applyFont="1"/>
    <xf numFmtId="39" fontId="14" fillId="0" borderId="0" xfId="0" applyFont="1"/>
    <xf numFmtId="43" fontId="42" fillId="0" borderId="0" xfId="1" applyNumberFormat="1" applyFont="1" applyBorder="1"/>
    <xf numFmtId="39" fontId="12" fillId="0" borderId="8" xfId="0" applyFont="1" applyBorder="1" applyAlignment="1">
      <alignment horizontal="center"/>
    </xf>
    <xf numFmtId="49" fontId="27" fillId="0" borderId="23" xfId="137" quotePrefix="1" applyNumberFormat="1" applyFont="1" applyBorder="1" applyAlignment="1">
      <alignment horizontal="right"/>
    </xf>
    <xf numFmtId="43" fontId="12" fillId="0" borderId="8" xfId="2" applyNumberFormat="1" applyFont="1" applyBorder="1"/>
    <xf numFmtId="39" fontId="13" fillId="0" borderId="0" xfId="145" applyFont="1" applyAlignment="1" applyProtection="1">
      <alignment horizontal="right"/>
      <protection locked="0"/>
    </xf>
    <xf numFmtId="167" fontId="13" fillId="0" borderId="0" xfId="145" applyNumberFormat="1" applyFont="1" applyAlignment="1" applyProtection="1">
      <alignment horizontal="center"/>
      <protection locked="0"/>
    </xf>
    <xf numFmtId="174" fontId="44" fillId="10" borderId="0" xfId="57" applyNumberFormat="1" applyFont="1" applyFill="1" applyAlignment="1" applyProtection="1">
      <alignment horizontal="left"/>
      <protection locked="0"/>
    </xf>
    <xf numFmtId="39" fontId="12" fillId="0" borderId="7" xfId="145" applyFont="1" applyBorder="1" applyProtection="1">
      <protection locked="0"/>
    </xf>
    <xf numFmtId="17" fontId="45" fillId="0" borderId="0" xfId="0" applyNumberFormat="1" applyFont="1" applyProtection="1">
      <protection locked="0"/>
    </xf>
    <xf numFmtId="0" fontId="46" fillId="10" borderId="0" xfId="145" applyNumberFormat="1" applyFont="1" applyFill="1" applyAlignment="1" applyProtection="1">
      <alignment horizontal="center"/>
      <protection locked="0"/>
    </xf>
    <xf numFmtId="39" fontId="48" fillId="11" borderId="0" xfId="145" applyFont="1" applyFill="1" applyAlignment="1" applyProtection="1">
      <alignment horizontal="left"/>
      <protection locked="0"/>
    </xf>
    <xf numFmtId="174" fontId="44" fillId="0" borderId="0" xfId="57" applyNumberFormat="1" applyFont="1" applyFill="1" applyAlignment="1" applyProtection="1">
      <alignment horizontal="left"/>
      <protection locked="0"/>
    </xf>
    <xf numFmtId="39" fontId="12" fillId="0" borderId="0" xfId="145" applyFont="1" applyProtection="1">
      <protection locked="0"/>
    </xf>
    <xf numFmtId="0" fontId="13" fillId="0" borderId="1" xfId="0" applyNumberFormat="1" applyFont="1" applyBorder="1" applyAlignment="1">
      <alignment horizontal="center"/>
    </xf>
    <xf numFmtId="39" fontId="13" fillId="0" borderId="7" xfId="0" applyFont="1" applyBorder="1"/>
    <xf numFmtId="10" fontId="12" fillId="0" borderId="8" xfId="4" applyNumberFormat="1" applyFont="1" applyFill="1" applyBorder="1" applyAlignment="1">
      <alignment horizontal="center"/>
    </xf>
    <xf numFmtId="166" fontId="12" fillId="0" borderId="0" xfId="0" applyNumberFormat="1" applyFont="1" applyAlignment="1">
      <alignment horizontal="left"/>
    </xf>
    <xf numFmtId="44" fontId="12" fillId="0" borderId="8" xfId="0" applyNumberFormat="1" applyFont="1" applyBorder="1" applyProtection="1">
      <protection locked="0"/>
    </xf>
    <xf numFmtId="166" fontId="12" fillId="0" borderId="7" xfId="0" applyNumberFormat="1" applyFont="1" applyBorder="1" applyAlignment="1">
      <alignment horizontal="left"/>
    </xf>
    <xf numFmtId="44" fontId="12" fillId="0" borderId="8" xfId="0" applyNumberFormat="1" applyFont="1" applyBorder="1" applyAlignment="1">
      <alignment horizontal="center"/>
    </xf>
    <xf numFmtId="39" fontId="13" fillId="0" borderId="4" xfId="0" applyFont="1" applyBorder="1"/>
    <xf numFmtId="166" fontId="12" fillId="0" borderId="5" xfId="0" applyNumberFormat="1" applyFont="1" applyBorder="1" applyAlignment="1">
      <alignment horizontal="left"/>
    </xf>
    <xf numFmtId="44" fontId="12" fillId="0" borderId="40" xfId="0" applyNumberFormat="1" applyFont="1" applyBorder="1" applyProtection="1">
      <protection locked="0"/>
    </xf>
    <xf numFmtId="168" fontId="47" fillId="11" borderId="0" xfId="0" applyNumberFormat="1" applyFont="1" applyFill="1" applyAlignment="1" applyProtection="1">
      <alignment horizontal="center"/>
      <protection locked="0"/>
    </xf>
    <xf numFmtId="37" fontId="47" fillId="11" borderId="0" xfId="0" applyNumberFormat="1" applyFont="1" applyFill="1"/>
    <xf numFmtId="43" fontId="12" fillId="0" borderId="0" xfId="2" applyNumberFormat="1" applyFont="1" applyFill="1" applyBorder="1" applyProtection="1"/>
    <xf numFmtId="39" fontId="13" fillId="0" borderId="1" xfId="0" applyFont="1" applyBorder="1"/>
    <xf numFmtId="8" fontId="12" fillId="0" borderId="3" xfId="2" applyFont="1" applyFill="1" applyBorder="1"/>
    <xf numFmtId="44" fontId="12" fillId="0" borderId="8" xfId="2" applyNumberFormat="1" applyFont="1" applyFill="1" applyBorder="1" applyProtection="1"/>
    <xf numFmtId="39" fontId="14" fillId="0" borderId="7" xfId="0" applyFont="1" applyBorder="1"/>
    <xf numFmtId="39" fontId="0" fillId="0" borderId="8" xfId="0" applyBorder="1"/>
    <xf numFmtId="39" fontId="14" fillId="0" borderId="4" xfId="0" applyFont="1" applyBorder="1"/>
    <xf numFmtId="39" fontId="13" fillId="0" borderId="0" xfId="0" applyFont="1" applyAlignment="1">
      <alignment horizontal="right"/>
    </xf>
    <xf numFmtId="39" fontId="13" fillId="0" borderId="5" xfId="0" applyFont="1" applyBorder="1"/>
    <xf numFmtId="39" fontId="13" fillId="0" borderId="5" xfId="0" applyFont="1" applyBorder="1" applyAlignment="1">
      <alignment horizontal="right"/>
    </xf>
    <xf numFmtId="43" fontId="12" fillId="4" borderId="8" xfId="1" applyNumberFormat="1" applyFont="1" applyFill="1" applyBorder="1"/>
    <xf numFmtId="39" fontId="12" fillId="0" borderId="8" xfId="0" applyFont="1" applyBorder="1" applyAlignment="1">
      <alignment horizontal="right"/>
    </xf>
    <xf numFmtId="43" fontId="12" fillId="0" borderId="6" xfId="2" applyNumberFormat="1" applyFont="1" applyBorder="1"/>
    <xf numFmtId="39" fontId="12" fillId="0" borderId="8" xfId="145" applyFont="1" applyBorder="1" applyProtection="1">
      <protection locked="0"/>
    </xf>
    <xf numFmtId="43" fontId="12" fillId="0" borderId="4" xfId="2" applyNumberFormat="1" applyFont="1" applyBorder="1"/>
    <xf numFmtId="43" fontId="12" fillId="0" borderId="8" xfId="1" applyNumberFormat="1" applyFont="1" applyFill="1" applyBorder="1"/>
    <xf numFmtId="44" fontId="13" fillId="0" borderId="8" xfId="0" applyNumberFormat="1" applyFont="1" applyBorder="1"/>
    <xf numFmtId="167" fontId="13" fillId="0" borderId="6" xfId="0" applyNumberFormat="1" applyFont="1" applyBorder="1" applyAlignment="1">
      <alignment horizontal="center"/>
    </xf>
    <xf numFmtId="167" fontId="13" fillId="0" borderId="41" xfId="0" applyNumberFormat="1" applyFont="1" applyBorder="1" applyAlignment="1">
      <alignment horizontal="center"/>
    </xf>
    <xf numFmtId="167" fontId="13" fillId="0" borderId="42" xfId="0" applyNumberFormat="1" applyFont="1" applyBorder="1" applyAlignment="1">
      <alignment horizontal="center"/>
    </xf>
    <xf numFmtId="39" fontId="12" fillId="0" borderId="43" xfId="0" applyFont="1" applyBorder="1"/>
    <xf numFmtId="39" fontId="12" fillId="0" borderId="44" xfId="0" applyFont="1" applyBorder="1"/>
    <xf numFmtId="10" fontId="47" fillId="11" borderId="43" xfId="4" applyNumberFormat="1" applyFont="1" applyFill="1" applyBorder="1" applyAlignment="1">
      <alignment horizontal="center"/>
    </xf>
    <xf numFmtId="10" fontId="12" fillId="0" borderId="44" xfId="4" applyNumberFormat="1" applyFont="1" applyFill="1" applyBorder="1" applyAlignment="1">
      <alignment horizontal="center"/>
    </xf>
    <xf numFmtId="43" fontId="12" fillId="0" borderId="43" xfId="1" applyNumberFormat="1" applyFont="1" applyFill="1" applyBorder="1"/>
    <xf numFmtId="43" fontId="12" fillId="0" borderId="44" xfId="1" applyNumberFormat="1" applyFont="1" applyFill="1" applyBorder="1"/>
    <xf numFmtId="44" fontId="13" fillId="0" borderId="43" xfId="0" applyNumberFormat="1" applyFont="1" applyBorder="1"/>
    <xf numFmtId="44" fontId="13" fillId="0" borderId="44" xfId="0" applyNumberFormat="1" applyFont="1" applyBorder="1"/>
    <xf numFmtId="44" fontId="12" fillId="0" borderId="44" xfId="0" applyNumberFormat="1" applyFont="1" applyBorder="1" applyProtection="1">
      <protection locked="0"/>
    </xf>
    <xf numFmtId="44" fontId="12" fillId="0" borderId="43" xfId="0" applyNumberFormat="1" applyFont="1" applyBorder="1" applyAlignment="1">
      <alignment horizontal="center"/>
    </xf>
    <xf numFmtId="44" fontId="12" fillId="0" borderId="44" xfId="0" applyNumberFormat="1" applyFont="1" applyBorder="1" applyAlignment="1">
      <alignment horizontal="center"/>
    </xf>
    <xf numFmtId="167" fontId="13" fillId="0" borderId="23" xfId="0" applyNumberFormat="1" applyFont="1" applyBorder="1" applyAlignment="1">
      <alignment horizontal="center"/>
    </xf>
    <xf numFmtId="39" fontId="12" fillId="0" borderId="20" xfId="0" applyFont="1" applyBorder="1"/>
    <xf numFmtId="43" fontId="12" fillId="10" borderId="20" xfId="1" applyNumberFormat="1" applyFont="1" applyFill="1" applyBorder="1"/>
    <xf numFmtId="44" fontId="13" fillId="3" borderId="45" xfId="0" applyNumberFormat="1" applyFont="1" applyFill="1" applyBorder="1"/>
    <xf numFmtId="43" fontId="12" fillId="0" borderId="20" xfId="1" applyNumberFormat="1" applyFont="1" applyFill="1" applyBorder="1"/>
    <xf numFmtId="44" fontId="12" fillId="0" borderId="20" xfId="0" applyNumberFormat="1" applyFont="1" applyBorder="1"/>
    <xf numFmtId="44" fontId="12" fillId="0" borderId="20" xfId="0" applyNumberFormat="1" applyFont="1" applyBorder="1" applyAlignment="1">
      <alignment horizontal="center"/>
    </xf>
    <xf numFmtId="167" fontId="13" fillId="0" borderId="46" xfId="0" applyNumberFormat="1" applyFont="1" applyBorder="1" applyAlignment="1">
      <alignment horizontal="center"/>
    </xf>
    <xf numFmtId="44" fontId="12" fillId="0" borderId="35" xfId="0" applyNumberFormat="1" applyFont="1" applyBorder="1" applyProtection="1">
      <protection locked="0"/>
    </xf>
    <xf numFmtId="44" fontId="12" fillId="0" borderId="36" xfId="0" applyNumberFormat="1" applyFont="1" applyBorder="1" applyProtection="1">
      <protection locked="0"/>
    </xf>
    <xf numFmtId="40" fontId="12" fillId="0" borderId="43" xfId="1" applyFont="1" applyFill="1" applyBorder="1" applyProtection="1">
      <protection locked="0"/>
    </xf>
    <xf numFmtId="40" fontId="13" fillId="0" borderId="44" xfId="1" applyFont="1" applyFill="1" applyBorder="1"/>
    <xf numFmtId="40" fontId="13" fillId="0" borderId="8" xfId="1" applyFont="1" applyFill="1" applyBorder="1"/>
    <xf numFmtId="40" fontId="12" fillId="0" borderId="43" xfId="1" applyFont="1" applyFill="1" applyBorder="1"/>
    <xf numFmtId="40" fontId="12" fillId="0" borderId="44" xfId="1" applyFont="1" applyFill="1" applyBorder="1"/>
    <xf numFmtId="40" fontId="12" fillId="0" borderId="8" xfId="1" applyFont="1" applyFill="1" applyBorder="1"/>
    <xf numFmtId="40" fontId="49" fillId="0" borderId="43" xfId="1" applyFont="1" applyBorder="1" applyAlignment="1" applyProtection="1">
      <alignment horizontal="left"/>
      <protection locked="0"/>
    </xf>
    <xf numFmtId="40" fontId="47" fillId="0" borderId="43" xfId="1" applyFont="1" applyFill="1" applyBorder="1"/>
    <xf numFmtId="40" fontId="47" fillId="0" borderId="44" xfId="1" applyFont="1" applyFill="1" applyBorder="1"/>
    <xf numFmtId="40" fontId="47" fillId="0" borderId="8" xfId="1" applyFont="1" applyFill="1" applyBorder="1"/>
    <xf numFmtId="40" fontId="13" fillId="0" borderId="43" xfId="1" applyFont="1" applyFill="1" applyBorder="1"/>
    <xf numFmtId="9" fontId="12" fillId="0" borderId="20" xfId="4" applyFont="1" applyFill="1" applyBorder="1" applyAlignment="1">
      <alignment horizontal="center"/>
    </xf>
    <xf numFmtId="40" fontId="18" fillId="0" borderId="0" xfId="1" applyFont="1" applyFill="1"/>
    <xf numFmtId="39" fontId="12" fillId="0" borderId="0" xfId="0" quotePrefix="1" applyFont="1" applyAlignment="1">
      <alignment horizontal="left"/>
    </xf>
    <xf numFmtId="170" fontId="12" fillId="0" borderId="0" xfId="1" quotePrefix="1" applyNumberFormat="1" applyFont="1" applyFill="1"/>
    <xf numFmtId="0" fontId="33" fillId="0" borderId="0" xfId="137" applyFont="1"/>
    <xf numFmtId="43" fontId="12" fillId="0" borderId="0" xfId="2" applyNumberFormat="1" applyFont="1" applyBorder="1"/>
    <xf numFmtId="39" fontId="49" fillId="0" borderId="9" xfId="145" applyFont="1" applyBorder="1" applyAlignment="1" applyProtection="1">
      <alignment horizontal="left"/>
      <protection locked="0"/>
    </xf>
    <xf numFmtId="39" fontId="50" fillId="0" borderId="0" xfId="145" applyFont="1" applyAlignment="1" applyProtection="1">
      <alignment horizontal="left"/>
      <protection locked="0"/>
    </xf>
    <xf numFmtId="172" fontId="12" fillId="4" borderId="0" xfId="1" applyNumberFormat="1" applyFont="1" applyFill="1" applyBorder="1"/>
    <xf numFmtId="17" fontId="13" fillId="0" borderId="0" xfId="0" applyNumberFormat="1" applyFont="1"/>
    <xf numFmtId="43" fontId="12" fillId="10" borderId="0" xfId="1" applyNumberFormat="1" applyFont="1" applyFill="1" applyBorder="1"/>
    <xf numFmtId="37" fontId="12" fillId="0" borderId="0" xfId="136" applyNumberFormat="1" applyFont="1" applyAlignment="1" applyProtection="1">
      <alignment horizontal="center"/>
      <protection locked="0"/>
    </xf>
    <xf numFmtId="43" fontId="26" fillId="0" borderId="20" xfId="138" applyFont="1" applyFill="1" applyBorder="1"/>
    <xf numFmtId="43" fontId="26" fillId="0" borderId="41" xfId="138" applyFont="1" applyFill="1" applyBorder="1"/>
    <xf numFmtId="172" fontId="51" fillId="5" borderId="18" xfId="43" applyNumberFormat="1" applyFont="1" applyFill="1" applyBorder="1"/>
    <xf numFmtId="172" fontId="51" fillId="5" borderId="21" xfId="43" applyNumberFormat="1" applyFont="1" applyFill="1" applyBorder="1"/>
    <xf numFmtId="172" fontId="51" fillId="5" borderId="37" xfId="43" applyNumberFormat="1" applyFont="1" applyFill="1" applyBorder="1"/>
    <xf numFmtId="172" fontId="51" fillId="5" borderId="22" xfId="43" applyNumberFormat="1" applyFont="1" applyFill="1" applyBorder="1"/>
    <xf numFmtId="37" fontId="52" fillId="11" borderId="0" xfId="136" applyNumberFormat="1" applyFont="1" applyFill="1" applyAlignment="1" applyProtection="1">
      <alignment horizontal="center"/>
      <protection locked="0"/>
    </xf>
    <xf numFmtId="40" fontId="34" fillId="0" borderId="0" xfId="1" applyFont="1"/>
    <xf numFmtId="40" fontId="34" fillId="0" borderId="0" xfId="1" applyFont="1" applyFill="1"/>
    <xf numFmtId="40" fontId="1" fillId="0" borderId="0" xfId="1" applyFont="1"/>
    <xf numFmtId="0" fontId="29" fillId="0" borderId="0" xfId="24" applyFont="1"/>
    <xf numFmtId="43" fontId="29" fillId="0" borderId="0" xfId="24" applyNumberFormat="1" applyFont="1"/>
    <xf numFmtId="39" fontId="12" fillId="0" borderId="10" xfId="145" applyFont="1" applyBorder="1" applyAlignment="1" applyProtection="1">
      <alignment horizontal="center"/>
      <protection locked="0"/>
    </xf>
    <xf numFmtId="39" fontId="12" fillId="0" borderId="14" xfId="145" applyFont="1" applyBorder="1" applyAlignment="1" applyProtection="1">
      <alignment horizontal="center"/>
      <protection locked="0"/>
    </xf>
    <xf numFmtId="39" fontId="12" fillId="0" borderId="0" xfId="145" applyFont="1" applyAlignment="1" applyProtection="1">
      <alignment horizontal="center"/>
      <protection locked="0"/>
    </xf>
    <xf numFmtId="167" fontId="13" fillId="0" borderId="47" xfId="0" applyNumberFormat="1" applyFont="1" applyBorder="1" applyAlignment="1">
      <alignment horizontal="center"/>
    </xf>
    <xf numFmtId="167" fontId="13" fillId="0" borderId="48" xfId="0" applyNumberFormat="1" applyFont="1" applyBorder="1" applyAlignment="1">
      <alignment horizontal="center"/>
    </xf>
    <xf numFmtId="167" fontId="13" fillId="0" borderId="3" xfId="0" applyNumberFormat="1" applyFont="1" applyBorder="1" applyAlignment="1">
      <alignment horizontal="center"/>
    </xf>
    <xf numFmtId="39" fontId="13" fillId="0" borderId="10" xfId="0" applyFont="1" applyBorder="1" applyAlignment="1">
      <alignment horizontal="center"/>
    </xf>
    <xf numFmtId="39" fontId="13" fillId="0" borderId="11" xfId="0" applyFont="1" applyBorder="1" applyAlignment="1">
      <alignment horizontal="center"/>
    </xf>
    <xf numFmtId="39" fontId="13" fillId="0" borderId="14" xfId="0" applyFont="1" applyBorder="1" applyAlignment="1">
      <alignment horizontal="center"/>
    </xf>
  </cellXfs>
  <cellStyles count="146">
    <cellStyle name="Comma" xfId="1" builtinId="3"/>
    <cellStyle name="Comma 2" xfId="8" xr:uid="{00000000-0005-0000-0000-000001000000}"/>
    <cellStyle name="Comma 2 2" xfId="43" xr:uid="{00000000-0005-0000-0000-000002000000}"/>
    <cellStyle name="Comma 2 3" xfId="55" xr:uid="{00000000-0005-0000-0000-000003000000}"/>
    <cellStyle name="Comma 3" xfId="5" xr:uid="{00000000-0005-0000-0000-000004000000}"/>
    <cellStyle name="Comma 3 2" xfId="64" xr:uid="{00000000-0005-0000-0000-000005000000}"/>
    <cellStyle name="Comma 4" xfId="9" xr:uid="{00000000-0005-0000-0000-000006000000}"/>
    <cellStyle name="Comma 4 2" xfId="44" xr:uid="{00000000-0005-0000-0000-000007000000}"/>
    <cellStyle name="Comma 4 2 2" xfId="83" xr:uid="{00000000-0005-0000-0000-000008000000}"/>
    <cellStyle name="Comma 4 2 2 2" xfId="125" xr:uid="{00000000-0005-0000-0000-000009000000}"/>
    <cellStyle name="Comma 4 2 3" xfId="104" xr:uid="{00000000-0005-0000-0000-00000A000000}"/>
    <cellStyle name="Comma 4 3" xfId="74" xr:uid="{00000000-0005-0000-0000-00000B000000}"/>
    <cellStyle name="Comma 4 3 2" xfId="116" xr:uid="{00000000-0005-0000-0000-00000C000000}"/>
    <cellStyle name="Comma 4 4" xfId="95" xr:uid="{00000000-0005-0000-0000-00000D000000}"/>
    <cellStyle name="Comma 4 5" xfId="138" xr:uid="{00000000-0005-0000-0000-00000E000000}"/>
    <cellStyle name="Comma 5" xfId="10" xr:uid="{00000000-0005-0000-0000-00000F000000}"/>
    <cellStyle name="Comma 5 2" xfId="141" xr:uid="{00000000-0005-0000-0000-000010000000}"/>
    <cellStyle name="Comma 6" xfId="70" xr:uid="{00000000-0005-0000-0000-000011000000}"/>
    <cellStyle name="Comma 6 2" xfId="73" xr:uid="{00000000-0005-0000-0000-000012000000}"/>
    <cellStyle name="Comma 6 2 2" xfId="115" xr:uid="{00000000-0005-0000-0000-000013000000}"/>
    <cellStyle name="Comma 6 3" xfId="94" xr:uid="{00000000-0005-0000-0000-000014000000}"/>
    <cellStyle name="Comma 6 3 2" xfId="135" xr:uid="{00000000-0005-0000-0000-000015000000}"/>
    <cellStyle name="Comma 6 4" xfId="114" xr:uid="{00000000-0005-0000-0000-000016000000}"/>
    <cellStyle name="Comma 7" xfId="144" xr:uid="{00000000-0005-0000-0000-000017000000}"/>
    <cellStyle name="Comma0" xfId="11" xr:uid="{00000000-0005-0000-0000-000018000000}"/>
    <cellStyle name="Currency" xfId="2" builtinId="4"/>
    <cellStyle name="Currency 2" xfId="7" xr:uid="{00000000-0005-0000-0000-00001A000000}"/>
    <cellStyle name="Currency 2 2" xfId="57" xr:uid="{00000000-0005-0000-0000-00001B000000}"/>
    <cellStyle name="Currency 2 3" xfId="56" xr:uid="{00000000-0005-0000-0000-00001C000000}"/>
    <cellStyle name="Currency 3" xfId="12" xr:uid="{00000000-0005-0000-0000-00001D000000}"/>
    <cellStyle name="Currency 3 2" xfId="66" xr:uid="{00000000-0005-0000-0000-00001E000000}"/>
    <cellStyle name="Currency 3 3" xfId="58" xr:uid="{00000000-0005-0000-0000-00001F000000}"/>
    <cellStyle name="Currency 4" xfId="13" xr:uid="{00000000-0005-0000-0000-000020000000}"/>
    <cellStyle name="Currency 4 2" xfId="14" xr:uid="{00000000-0005-0000-0000-000021000000}"/>
    <cellStyle name="Currency 4 2 2" xfId="46" xr:uid="{00000000-0005-0000-0000-000022000000}"/>
    <cellStyle name="Currency 4 2 2 2" xfId="85" xr:uid="{00000000-0005-0000-0000-000023000000}"/>
    <cellStyle name="Currency 4 2 2 2 2" xfId="127" xr:uid="{00000000-0005-0000-0000-000024000000}"/>
    <cellStyle name="Currency 4 2 2 3" xfId="106" xr:uid="{00000000-0005-0000-0000-000025000000}"/>
    <cellStyle name="Currency 4 2 3" xfId="76" xr:uid="{00000000-0005-0000-0000-000026000000}"/>
    <cellStyle name="Currency 4 2 3 2" xfId="118" xr:uid="{00000000-0005-0000-0000-000027000000}"/>
    <cellStyle name="Currency 4 2 4" xfId="97" xr:uid="{00000000-0005-0000-0000-000028000000}"/>
    <cellStyle name="Currency 4 3" xfId="45" xr:uid="{00000000-0005-0000-0000-000029000000}"/>
    <cellStyle name="Currency 4 3 2" xfId="84" xr:uid="{00000000-0005-0000-0000-00002A000000}"/>
    <cellStyle name="Currency 4 3 2 2" xfId="126" xr:uid="{00000000-0005-0000-0000-00002B000000}"/>
    <cellStyle name="Currency 4 3 3" xfId="105" xr:uid="{00000000-0005-0000-0000-00002C000000}"/>
    <cellStyle name="Currency 4 4" xfId="68" xr:uid="{00000000-0005-0000-0000-00002D000000}"/>
    <cellStyle name="Currency 4 5" xfId="75" xr:uid="{00000000-0005-0000-0000-00002E000000}"/>
    <cellStyle name="Currency 4 5 2" xfId="117" xr:uid="{00000000-0005-0000-0000-00002F000000}"/>
    <cellStyle name="Currency 4 6" xfId="96" xr:uid="{00000000-0005-0000-0000-000030000000}"/>
    <cellStyle name="Currency 5" xfId="15" xr:uid="{00000000-0005-0000-0000-000031000000}"/>
    <cellStyle name="Currency 6" xfId="16" xr:uid="{00000000-0005-0000-0000-000032000000}"/>
    <cellStyle name="Currency 6 2" xfId="17" xr:uid="{00000000-0005-0000-0000-000033000000}"/>
    <cellStyle name="Currency 7" xfId="18" xr:uid="{00000000-0005-0000-0000-000034000000}"/>
    <cellStyle name="Currency 7 2" xfId="47" xr:uid="{00000000-0005-0000-0000-000035000000}"/>
    <cellStyle name="Currency 7 2 2" xfId="86" xr:uid="{00000000-0005-0000-0000-000036000000}"/>
    <cellStyle name="Currency 7 2 2 2" xfId="128" xr:uid="{00000000-0005-0000-0000-000037000000}"/>
    <cellStyle name="Currency 7 2 3" xfId="107" xr:uid="{00000000-0005-0000-0000-000038000000}"/>
    <cellStyle name="Currency 7 3" xfId="77" xr:uid="{00000000-0005-0000-0000-000039000000}"/>
    <cellStyle name="Currency 7 3 2" xfId="119" xr:uid="{00000000-0005-0000-0000-00003A000000}"/>
    <cellStyle name="Currency 7 4" xfId="98" xr:uid="{00000000-0005-0000-0000-00003B000000}"/>
    <cellStyle name="Currency 8" xfId="71" xr:uid="{00000000-0005-0000-0000-00003C000000}"/>
    <cellStyle name="Currency0" xfId="19" xr:uid="{00000000-0005-0000-0000-00003D000000}"/>
    <cellStyle name="Date" xfId="20" xr:uid="{00000000-0005-0000-0000-00003E000000}"/>
    <cellStyle name="Fixed" xfId="21" xr:uid="{00000000-0005-0000-0000-00003F000000}"/>
    <cellStyle name="Manual-Input" xfId="3" xr:uid="{00000000-0005-0000-0000-000040000000}"/>
    <cellStyle name="Normal" xfId="0" builtinId="0"/>
    <cellStyle name="Normal 10" xfId="42" xr:uid="{00000000-0005-0000-0000-000042000000}"/>
    <cellStyle name="Normal 11" xfId="54" xr:uid="{00000000-0005-0000-0000-000043000000}"/>
    <cellStyle name="Normal 11 2" xfId="92" xr:uid="{00000000-0005-0000-0000-000044000000}"/>
    <cellStyle name="Normal 12" xfId="69" xr:uid="{00000000-0005-0000-0000-000045000000}"/>
    <cellStyle name="Normal 12 2" xfId="93" xr:uid="{00000000-0005-0000-0000-000046000000}"/>
    <cellStyle name="Normal 12 2 2" xfId="134" xr:uid="{00000000-0005-0000-0000-000047000000}"/>
    <cellStyle name="Normal 12 3" xfId="113" xr:uid="{00000000-0005-0000-0000-000048000000}"/>
    <cellStyle name="Normal 13" xfId="143" xr:uid="{00000000-0005-0000-0000-000049000000}"/>
    <cellStyle name="Normal 2" xfId="6" xr:uid="{00000000-0005-0000-0000-00004A000000}"/>
    <cellStyle name="Normal 2 2" xfId="41" xr:uid="{00000000-0005-0000-0000-00004B000000}"/>
    <cellStyle name="Normal 2 3" xfId="59" xr:uid="{00000000-0005-0000-0000-00004C000000}"/>
    <cellStyle name="Normal 3" xfId="22" xr:uid="{00000000-0005-0000-0000-00004D000000}"/>
    <cellStyle name="Normal 3 2" xfId="65" xr:uid="{00000000-0005-0000-0000-00004E000000}"/>
    <cellStyle name="Normal 4" xfId="23" xr:uid="{00000000-0005-0000-0000-00004F000000}"/>
    <cellStyle name="Normal 4 2" xfId="63" xr:uid="{00000000-0005-0000-0000-000050000000}"/>
    <cellStyle name="Normal 5" xfId="24" xr:uid="{00000000-0005-0000-0000-000051000000}"/>
    <cellStyle name="Normal 5 2" xfId="137" xr:uid="{00000000-0005-0000-0000-000052000000}"/>
    <cellStyle name="Normal 6" xfId="25" xr:uid="{00000000-0005-0000-0000-000053000000}"/>
    <cellStyle name="Normal 6 2" xfId="26" xr:uid="{00000000-0005-0000-0000-000054000000}"/>
    <cellStyle name="Normal 6 3" xfId="140" xr:uid="{00000000-0005-0000-0000-000055000000}"/>
    <cellStyle name="Normal 7" xfId="27" xr:uid="{00000000-0005-0000-0000-000056000000}"/>
    <cellStyle name="Normal 7 2" xfId="48" xr:uid="{00000000-0005-0000-0000-000057000000}"/>
    <cellStyle name="Normal 7 2 2" xfId="87" xr:uid="{00000000-0005-0000-0000-000058000000}"/>
    <cellStyle name="Normal 7 2 2 2" xfId="129" xr:uid="{00000000-0005-0000-0000-000059000000}"/>
    <cellStyle name="Normal 7 2 3" xfId="108" xr:uid="{00000000-0005-0000-0000-00005A000000}"/>
    <cellStyle name="Normal 7 3" xfId="78" xr:uid="{00000000-0005-0000-0000-00005B000000}"/>
    <cellStyle name="Normal 7 3 2" xfId="120" xr:uid="{00000000-0005-0000-0000-00005C000000}"/>
    <cellStyle name="Normal 7 4" xfId="99" xr:uid="{00000000-0005-0000-0000-00005D000000}"/>
    <cellStyle name="Normal 8" xfId="28" xr:uid="{00000000-0005-0000-0000-00005E000000}"/>
    <cellStyle name="Normal 9" xfId="40" xr:uid="{00000000-0005-0000-0000-00005F000000}"/>
    <cellStyle name="Normal 9 2" xfId="53" xr:uid="{00000000-0005-0000-0000-000060000000}"/>
    <cellStyle name="Normal_01-06 WA-Id Deferral &amp; Amort" xfId="145" xr:uid="{00000000-0005-0000-0000-000061000000}"/>
    <cellStyle name="Normal_02-06 WA-Id Deferral &amp; Amort" xfId="136" xr:uid="{00000000-0005-0000-0000-000062000000}"/>
    <cellStyle name="Percent" xfId="4" builtinId="5"/>
    <cellStyle name="Percent 10" xfId="72" xr:uid="{00000000-0005-0000-0000-000064000000}"/>
    <cellStyle name="Percent 2" xfId="29" xr:uid="{00000000-0005-0000-0000-000065000000}"/>
    <cellStyle name="Percent 2 2" xfId="61" xr:uid="{00000000-0005-0000-0000-000066000000}"/>
    <cellStyle name="Percent 2 3" xfId="60" xr:uid="{00000000-0005-0000-0000-000067000000}"/>
    <cellStyle name="Percent 2 4" xfId="139" xr:uid="{00000000-0005-0000-0000-000068000000}"/>
    <cellStyle name="Percent 3" xfId="30" xr:uid="{00000000-0005-0000-0000-000069000000}"/>
    <cellStyle name="Percent 3 2" xfId="67" xr:uid="{00000000-0005-0000-0000-00006A000000}"/>
    <cellStyle name="Percent 3 3" xfId="62" xr:uid="{00000000-0005-0000-0000-00006B000000}"/>
    <cellStyle name="Percent 3 4" xfId="142" xr:uid="{00000000-0005-0000-0000-00006C000000}"/>
    <cellStyle name="Percent 4" xfId="31" xr:uid="{00000000-0005-0000-0000-00006D000000}"/>
    <cellStyle name="Percent 5" xfId="32" xr:uid="{00000000-0005-0000-0000-00006E000000}"/>
    <cellStyle name="Percent 5 2" xfId="33" xr:uid="{00000000-0005-0000-0000-00006F000000}"/>
    <cellStyle name="Percent 5 2 2" xfId="34" xr:uid="{00000000-0005-0000-0000-000070000000}"/>
    <cellStyle name="Percent 5 2 2 2" xfId="51" xr:uid="{00000000-0005-0000-0000-000071000000}"/>
    <cellStyle name="Percent 5 2 2 2 2" xfId="90" xr:uid="{00000000-0005-0000-0000-000072000000}"/>
    <cellStyle name="Percent 5 2 2 2 2 2" xfId="132" xr:uid="{00000000-0005-0000-0000-000073000000}"/>
    <cellStyle name="Percent 5 2 2 2 3" xfId="111" xr:uid="{00000000-0005-0000-0000-000074000000}"/>
    <cellStyle name="Percent 5 2 2 3" xfId="81" xr:uid="{00000000-0005-0000-0000-000075000000}"/>
    <cellStyle name="Percent 5 2 2 3 2" xfId="123" xr:uid="{00000000-0005-0000-0000-000076000000}"/>
    <cellStyle name="Percent 5 2 2 4" xfId="102" xr:uid="{00000000-0005-0000-0000-000077000000}"/>
    <cellStyle name="Percent 5 2 3" xfId="50" xr:uid="{00000000-0005-0000-0000-000078000000}"/>
    <cellStyle name="Percent 5 2 3 2" xfId="89" xr:uid="{00000000-0005-0000-0000-000079000000}"/>
    <cellStyle name="Percent 5 2 3 2 2" xfId="131" xr:uid="{00000000-0005-0000-0000-00007A000000}"/>
    <cellStyle name="Percent 5 2 3 3" xfId="110" xr:uid="{00000000-0005-0000-0000-00007B000000}"/>
    <cellStyle name="Percent 5 2 4" xfId="80" xr:uid="{00000000-0005-0000-0000-00007C000000}"/>
    <cellStyle name="Percent 5 2 4 2" xfId="122" xr:uid="{00000000-0005-0000-0000-00007D000000}"/>
    <cellStyle name="Percent 5 2 5" xfId="101" xr:uid="{00000000-0005-0000-0000-00007E000000}"/>
    <cellStyle name="Percent 5 3" xfId="49" xr:uid="{00000000-0005-0000-0000-00007F000000}"/>
    <cellStyle name="Percent 5 3 2" xfId="88" xr:uid="{00000000-0005-0000-0000-000080000000}"/>
    <cellStyle name="Percent 5 3 2 2" xfId="130" xr:uid="{00000000-0005-0000-0000-000081000000}"/>
    <cellStyle name="Percent 5 3 3" xfId="109" xr:uid="{00000000-0005-0000-0000-000082000000}"/>
    <cellStyle name="Percent 5 4" xfId="79" xr:uid="{00000000-0005-0000-0000-000083000000}"/>
    <cellStyle name="Percent 5 4 2" xfId="121" xr:uid="{00000000-0005-0000-0000-000084000000}"/>
    <cellStyle name="Percent 5 5" xfId="100" xr:uid="{00000000-0005-0000-0000-000085000000}"/>
    <cellStyle name="Percent 6" xfId="35" xr:uid="{00000000-0005-0000-0000-000086000000}"/>
    <cellStyle name="Percent 7" xfId="36" xr:uid="{00000000-0005-0000-0000-000087000000}"/>
    <cellStyle name="Percent 7 2" xfId="37" xr:uid="{00000000-0005-0000-0000-000088000000}"/>
    <cellStyle name="Percent 8" xfId="38" xr:uid="{00000000-0005-0000-0000-000089000000}"/>
    <cellStyle name="Percent 8 2" xfId="52" xr:uid="{00000000-0005-0000-0000-00008A000000}"/>
    <cellStyle name="Percent 8 2 2" xfId="91" xr:uid="{00000000-0005-0000-0000-00008B000000}"/>
    <cellStyle name="Percent 8 2 2 2" xfId="133" xr:uid="{00000000-0005-0000-0000-00008C000000}"/>
    <cellStyle name="Percent 8 2 3" xfId="112" xr:uid="{00000000-0005-0000-0000-00008D000000}"/>
    <cellStyle name="Percent 8 3" xfId="82" xr:uid="{00000000-0005-0000-0000-00008E000000}"/>
    <cellStyle name="Percent 8 3 2" xfId="124" xr:uid="{00000000-0005-0000-0000-00008F000000}"/>
    <cellStyle name="Percent 8 4" xfId="103" xr:uid="{00000000-0005-0000-0000-000090000000}"/>
    <cellStyle name="Percent 9" xfId="39" xr:uid="{00000000-0005-0000-0000-000091000000}"/>
  </cellStyles>
  <dxfs count="182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00FF"/>
      <color rgb="FF00CC66"/>
      <color rgb="FF66FF33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EBDA4-D800-4C72-8934-D78D8F7466A7}">
  <sheetPr>
    <pageSetUpPr fitToPage="1"/>
  </sheetPr>
  <dimension ref="A1:T1396"/>
  <sheetViews>
    <sheetView zoomScale="60" zoomScaleNormal="60" workbookViewId="0">
      <selection activeCell="C38" sqref="C38"/>
    </sheetView>
  </sheetViews>
  <sheetFormatPr defaultColWidth="16" defaultRowHeight="15"/>
  <cols>
    <col min="1" max="1" width="2.85546875" style="1" customWidth="1"/>
    <col min="2" max="2" width="48.7109375" style="1" bestFit="1" customWidth="1"/>
    <col min="3" max="3" width="11.5703125" style="1" customWidth="1"/>
    <col min="4" max="4" width="10.7109375" style="1" customWidth="1"/>
    <col min="5" max="5" width="19.7109375" style="5" bestFit="1" customWidth="1"/>
    <col min="6" max="6" width="18.28515625" style="1" bestFit="1" customWidth="1"/>
    <col min="7" max="7" width="18.5703125" style="1" bestFit="1" customWidth="1"/>
    <col min="8" max="9" width="18.28515625" style="1" bestFit="1" customWidth="1"/>
    <col min="10" max="10" width="4.85546875" style="1" bestFit="1" customWidth="1"/>
    <col min="11" max="11" width="22.28515625" style="1" bestFit="1" customWidth="1"/>
    <col min="12" max="12" width="18.140625" style="1" customWidth="1"/>
    <col min="13" max="13" width="18.7109375" style="1" bestFit="1" customWidth="1"/>
    <col min="14" max="14" width="19.42578125" style="1" customWidth="1"/>
    <col min="15" max="15" width="19.140625" style="1" bestFit="1" customWidth="1"/>
    <col min="16" max="18" width="18.140625" style="1" customWidth="1"/>
    <col min="19" max="19" width="5.140625" style="1" customWidth="1"/>
    <col min="20" max="20" width="41.5703125" style="1" bestFit="1" customWidth="1"/>
    <col min="21" max="16384" width="16" style="1"/>
  </cols>
  <sheetData>
    <row r="1" spans="2:20" ht="15.6" customHeight="1">
      <c r="B1" s="141" t="s">
        <v>103</v>
      </c>
      <c r="C1" s="142">
        <v>202301</v>
      </c>
      <c r="D1" s="219"/>
      <c r="E1" s="105"/>
      <c r="F1" s="105"/>
      <c r="G1" s="105"/>
      <c r="H1" s="105"/>
      <c r="I1" s="105"/>
      <c r="K1" s="137" t="s">
        <v>88</v>
      </c>
      <c r="L1" s="143" t="s">
        <v>89</v>
      </c>
      <c r="N1" s="236"/>
      <c r="O1" s="236"/>
      <c r="T1" s="216" t="s">
        <v>108</v>
      </c>
    </row>
    <row r="2" spans="2:20" ht="15.6" customHeight="1">
      <c r="D2" s="105"/>
      <c r="E2" s="105"/>
      <c r="F2" s="105"/>
      <c r="G2" s="105"/>
      <c r="H2" s="105"/>
      <c r="I2" s="105"/>
      <c r="K2" s="138"/>
      <c r="L2" s="139" t="s">
        <v>90</v>
      </c>
      <c r="N2" s="145"/>
      <c r="O2" s="145"/>
      <c r="T2" s="217" t="s">
        <v>109</v>
      </c>
    </row>
    <row r="3" spans="2:20" ht="15.6" customHeight="1">
      <c r="D3" s="105"/>
      <c r="E3" s="105"/>
      <c r="F3" s="105"/>
      <c r="G3" s="105"/>
      <c r="H3" s="105"/>
      <c r="I3" s="105"/>
      <c r="K3" s="138"/>
      <c r="L3" s="144"/>
      <c r="N3" s="215"/>
      <c r="O3" s="215"/>
      <c r="T3" s="217" t="s">
        <v>110</v>
      </c>
    </row>
    <row r="4" spans="2:20" ht="15.6" customHeight="1" thickBot="1">
      <c r="D4" s="105"/>
      <c r="E4" s="105"/>
      <c r="F4" s="105"/>
      <c r="G4" s="105"/>
      <c r="H4" s="105"/>
      <c r="I4" s="105"/>
      <c r="K4" s="138"/>
      <c r="L4" s="144"/>
      <c r="T4" s="217" t="s">
        <v>111</v>
      </c>
    </row>
    <row r="5" spans="2:20" ht="15.6" customHeight="1" thickBot="1">
      <c r="B5" s="146"/>
      <c r="C5" s="9"/>
      <c r="D5" s="9"/>
      <c r="E5" s="196" t="s">
        <v>17</v>
      </c>
      <c r="F5" s="237" t="s">
        <v>32</v>
      </c>
      <c r="G5" s="238"/>
      <c r="H5" s="237" t="s">
        <v>33</v>
      </c>
      <c r="I5" s="239"/>
      <c r="K5" s="240" t="s">
        <v>32</v>
      </c>
      <c r="L5" s="241"/>
      <c r="M5" s="241"/>
      <c r="N5" s="242"/>
      <c r="O5" s="240" t="s">
        <v>33</v>
      </c>
      <c r="P5" s="241"/>
      <c r="Q5" s="241"/>
      <c r="R5" s="242"/>
      <c r="T5" s="217" t="s">
        <v>112</v>
      </c>
    </row>
    <row r="6" spans="2:20" ht="15.6" customHeight="1" thickBot="1">
      <c r="B6" s="147" t="s">
        <v>18</v>
      </c>
      <c r="E6" s="189" t="s">
        <v>101</v>
      </c>
      <c r="F6" s="176" t="s">
        <v>2</v>
      </c>
      <c r="G6" s="177" t="s">
        <v>1</v>
      </c>
      <c r="H6" s="176" t="s">
        <v>2</v>
      </c>
      <c r="I6" s="175" t="s">
        <v>1</v>
      </c>
      <c r="K6" s="108" t="s">
        <v>24</v>
      </c>
      <c r="L6" s="106" t="s">
        <v>6</v>
      </c>
      <c r="M6" s="106" t="s">
        <v>6</v>
      </c>
      <c r="N6" s="106" t="s">
        <v>6</v>
      </c>
      <c r="O6" s="108" t="s">
        <v>24</v>
      </c>
      <c r="P6" s="106" t="s">
        <v>6</v>
      </c>
      <c r="Q6" s="106" t="s">
        <v>6</v>
      </c>
      <c r="R6" s="134" t="s">
        <v>6</v>
      </c>
      <c r="T6" s="217" t="s">
        <v>113</v>
      </c>
    </row>
    <row r="7" spans="2:20" ht="15.6" customHeight="1" thickBot="1">
      <c r="B7" s="10"/>
      <c r="E7" s="190"/>
      <c r="F7" s="178"/>
      <c r="G7" s="179"/>
      <c r="H7" s="178"/>
      <c r="I7" s="7"/>
      <c r="K7" s="109" t="s">
        <v>35</v>
      </c>
      <c r="L7" s="107" t="s">
        <v>22</v>
      </c>
      <c r="M7" s="107" t="s">
        <v>9</v>
      </c>
      <c r="N7" s="107" t="s">
        <v>7</v>
      </c>
      <c r="O7" s="109" t="s">
        <v>35</v>
      </c>
      <c r="P7" s="107" t="s">
        <v>22</v>
      </c>
      <c r="Q7" s="107" t="s">
        <v>9</v>
      </c>
      <c r="R7" s="107" t="s">
        <v>7</v>
      </c>
      <c r="T7" s="217" t="s">
        <v>114</v>
      </c>
    </row>
    <row r="8" spans="2:20" ht="15.6" customHeight="1">
      <c r="B8" s="10"/>
      <c r="E8" s="210">
        <f>F8+H8</f>
        <v>1</v>
      </c>
      <c r="F8" s="180">
        <v>0.6845</v>
      </c>
      <c r="G8" s="181">
        <f>ROUND($L$29/($L$29+$P$28),4)</f>
        <v>0.68120000000000003</v>
      </c>
      <c r="H8" s="180">
        <v>0.3155</v>
      </c>
      <c r="I8" s="148">
        <f>1-G8</f>
        <v>0.31879999999999997</v>
      </c>
      <c r="J8" s="211"/>
      <c r="K8" s="10"/>
      <c r="L8" s="2"/>
      <c r="M8" s="2"/>
      <c r="N8" s="134"/>
      <c r="O8" s="110"/>
      <c r="P8" s="111"/>
      <c r="Q8" s="111"/>
      <c r="R8" s="22"/>
      <c r="T8" s="217" t="s">
        <v>115</v>
      </c>
    </row>
    <row r="9" spans="2:20" ht="15.6" customHeight="1">
      <c r="B9" s="10"/>
      <c r="E9" s="190"/>
      <c r="F9" s="178"/>
      <c r="G9" s="179"/>
      <c r="H9" s="178"/>
      <c r="I9" s="7"/>
      <c r="K9" s="20" t="s">
        <v>28</v>
      </c>
      <c r="N9" s="7"/>
      <c r="O9" s="20" t="s">
        <v>28</v>
      </c>
      <c r="R9" s="7"/>
    </row>
    <row r="10" spans="2:20" ht="15.6" customHeight="1">
      <c r="B10" s="140" t="s">
        <v>155</v>
      </c>
      <c r="C10" s="23">
        <v>804001</v>
      </c>
      <c r="D10" s="23" t="s">
        <v>87</v>
      </c>
      <c r="E10" s="191">
        <v>2327242.08</v>
      </c>
      <c r="F10" s="182"/>
      <c r="G10" s="183"/>
      <c r="H10" s="182"/>
      <c r="I10" s="173"/>
      <c r="K10" s="21" t="s">
        <v>10</v>
      </c>
      <c r="L10" s="228">
        <v>22533765</v>
      </c>
      <c r="M10" s="156">
        <v>0.10111000000000001</v>
      </c>
      <c r="N10" s="136">
        <f t="shared" ref="N10:N16" si="0">L10*M10</f>
        <v>2278388.97915</v>
      </c>
      <c r="O10" s="21" t="s">
        <v>10</v>
      </c>
      <c r="P10" s="228">
        <v>11449140</v>
      </c>
      <c r="Q10" s="156">
        <v>9.1980000000000006E-2</v>
      </c>
      <c r="R10" s="136">
        <f>P10*Q10</f>
        <v>1053091.8972</v>
      </c>
    </row>
    <row r="11" spans="2:20" ht="15.6" customHeight="1" thickBot="1">
      <c r="B11" s="140" t="s">
        <v>156</v>
      </c>
      <c r="C11" s="23">
        <v>804002</v>
      </c>
      <c r="D11" s="23" t="s">
        <v>87</v>
      </c>
      <c r="E11" s="191">
        <v>46577.54</v>
      </c>
      <c r="F11" s="182"/>
      <c r="G11" s="183"/>
      <c r="H11" s="182"/>
      <c r="I11" s="173"/>
      <c r="K11" s="21" t="s">
        <v>42</v>
      </c>
      <c r="L11" s="228">
        <v>68120</v>
      </c>
      <c r="M11" s="156">
        <v>0.10111000000000001</v>
      </c>
      <c r="N11" s="136">
        <f t="shared" si="0"/>
        <v>6887.6132000000007</v>
      </c>
      <c r="O11" s="21" t="s">
        <v>11</v>
      </c>
      <c r="P11" s="228">
        <v>3806249</v>
      </c>
      <c r="Q11" s="156">
        <f>Q10</f>
        <v>9.1980000000000006E-2</v>
      </c>
      <c r="R11" s="136">
        <f>P11*Q11</f>
        <v>350098.78302000003</v>
      </c>
    </row>
    <row r="12" spans="2:20" ht="15.6" customHeight="1" thickBot="1">
      <c r="B12" s="147" t="s">
        <v>91</v>
      </c>
      <c r="C12" s="3"/>
      <c r="D12" s="3"/>
      <c r="E12" s="192">
        <f>SUM(E10:E11)</f>
        <v>2373819.62</v>
      </c>
      <c r="F12" s="184"/>
      <c r="G12" s="185"/>
      <c r="H12" s="184"/>
      <c r="I12" s="174"/>
      <c r="K12" s="21" t="s">
        <v>11</v>
      </c>
      <c r="L12" s="228">
        <v>9462702</v>
      </c>
      <c r="M12" s="156">
        <v>9.2460000000000001E-2</v>
      </c>
      <c r="N12" s="136">
        <f t="shared" si="0"/>
        <v>874921.42692</v>
      </c>
      <c r="O12" s="21" t="s">
        <v>12</v>
      </c>
      <c r="P12" s="228">
        <v>1513</v>
      </c>
      <c r="Q12" s="156">
        <f t="shared" ref="Q12:Q14" si="1">Q11</f>
        <v>9.1980000000000006E-2</v>
      </c>
      <c r="R12" s="136">
        <f>P12*Q12</f>
        <v>139.16574</v>
      </c>
    </row>
    <row r="13" spans="2:20" ht="15.6" customHeight="1" thickBot="1">
      <c r="B13" s="10" t="s">
        <v>25</v>
      </c>
      <c r="E13" s="193">
        <f>-E11</f>
        <v>-46577.54</v>
      </c>
      <c r="F13" s="182"/>
      <c r="G13" s="183"/>
      <c r="H13" s="182"/>
      <c r="I13" s="173"/>
      <c r="K13" s="21" t="s">
        <v>12</v>
      </c>
      <c r="L13" s="228">
        <v>56109</v>
      </c>
      <c r="M13" s="156">
        <v>9.2460000000000001E-2</v>
      </c>
      <c r="N13" s="136">
        <f t="shared" si="0"/>
        <v>5187.8381399999998</v>
      </c>
      <c r="O13" s="21" t="s">
        <v>13</v>
      </c>
      <c r="P13" s="228">
        <v>0</v>
      </c>
      <c r="Q13" s="156">
        <f t="shared" si="1"/>
        <v>9.1980000000000006E-2</v>
      </c>
      <c r="R13" s="136">
        <f>P13*Q13</f>
        <v>0</v>
      </c>
    </row>
    <row r="14" spans="2:20" ht="15.6" customHeight="1" thickBot="1">
      <c r="B14" s="147" t="s">
        <v>104</v>
      </c>
      <c r="C14" s="149"/>
      <c r="D14" s="149"/>
      <c r="E14" s="192">
        <f>SUM(E12:E13)</f>
        <v>2327242.08</v>
      </c>
      <c r="F14" s="199">
        <f>E14*F8</f>
        <v>1592997.2037599999</v>
      </c>
      <c r="G14" s="200"/>
      <c r="H14" s="199">
        <f>E14*H8</f>
        <v>734244.87624000001</v>
      </c>
      <c r="I14" s="201"/>
      <c r="K14" s="21" t="s">
        <v>13</v>
      </c>
      <c r="L14" s="228">
        <v>0</v>
      </c>
      <c r="M14" s="156">
        <v>5.9560000000000002E-2</v>
      </c>
      <c r="N14" s="136">
        <f t="shared" si="0"/>
        <v>0</v>
      </c>
      <c r="O14" s="21" t="s">
        <v>14</v>
      </c>
      <c r="P14" s="228">
        <v>0</v>
      </c>
      <c r="Q14" s="156">
        <f t="shared" si="1"/>
        <v>9.1980000000000006E-2</v>
      </c>
      <c r="R14" s="136">
        <f>P14*Q14</f>
        <v>0</v>
      </c>
    </row>
    <row r="15" spans="2:20" ht="15.6" customHeight="1" thickBot="1">
      <c r="B15" s="10"/>
      <c r="E15" s="194"/>
      <c r="F15" s="202"/>
      <c r="G15" s="203"/>
      <c r="H15" s="202"/>
      <c r="I15" s="204"/>
      <c r="K15" s="21" t="s">
        <v>14</v>
      </c>
      <c r="L15" s="228">
        <v>472432</v>
      </c>
      <c r="M15" s="156">
        <v>5.9560000000000002E-2</v>
      </c>
      <c r="N15" s="136">
        <f t="shared" si="0"/>
        <v>28138.049920000001</v>
      </c>
      <c r="O15" s="20" t="s">
        <v>29</v>
      </c>
      <c r="P15" s="115">
        <f>SUM(P10:P14)</f>
        <v>15256902</v>
      </c>
      <c r="Q15" s="116"/>
      <c r="R15" s="18">
        <f>SUM(R10:R14)</f>
        <v>1403329.8459600001</v>
      </c>
    </row>
    <row r="16" spans="2:20" ht="15.6" customHeight="1" thickTop="1">
      <c r="B16" s="10"/>
      <c r="E16" s="194"/>
      <c r="F16" s="202"/>
      <c r="G16" s="203"/>
      <c r="H16" s="202"/>
      <c r="I16" s="204"/>
      <c r="K16" s="21" t="s">
        <v>20</v>
      </c>
      <c r="L16" s="228">
        <v>3527093</v>
      </c>
      <c r="M16" s="156">
        <v>5.4000000000000001E-4</v>
      </c>
      <c r="N16" s="136">
        <f t="shared" si="0"/>
        <v>1904.63022</v>
      </c>
      <c r="O16" s="21"/>
      <c r="P16" s="157">
        <v>15256902</v>
      </c>
      <c r="Q16" s="12"/>
      <c r="R16" s="117"/>
    </row>
    <row r="17" spans="2:18" ht="15.6" customHeight="1" thickBot="1">
      <c r="B17" s="140" t="s">
        <v>142</v>
      </c>
      <c r="C17" s="23">
        <v>804000</v>
      </c>
      <c r="D17" s="23" t="s">
        <v>87</v>
      </c>
      <c r="E17" s="191">
        <v>76065703.709999993</v>
      </c>
      <c r="F17" s="205"/>
      <c r="G17" s="203"/>
      <c r="H17" s="202"/>
      <c r="I17" s="204"/>
      <c r="K17" s="20" t="s">
        <v>29</v>
      </c>
      <c r="L17" s="115">
        <f>SUM(L10:L16)</f>
        <v>36120221</v>
      </c>
      <c r="M17" s="3"/>
      <c r="N17" s="18">
        <f>SUM(N10:N16)</f>
        <v>3195428.5375500005</v>
      </c>
      <c r="O17" s="21"/>
      <c r="P17" s="114">
        <f>P15-P16</f>
        <v>0</v>
      </c>
      <c r="Q17" s="12" t="s">
        <v>23</v>
      </c>
      <c r="R17" s="19"/>
    </row>
    <row r="18" spans="2:18" ht="15.6" customHeight="1" thickTop="1">
      <c r="B18" s="140" t="s">
        <v>143</v>
      </c>
      <c r="C18" s="23">
        <v>804010</v>
      </c>
      <c r="D18" s="23" t="s">
        <v>87</v>
      </c>
      <c r="E18" s="191">
        <v>15992.06</v>
      </c>
      <c r="F18" s="202"/>
      <c r="G18" s="203"/>
      <c r="H18" s="202"/>
      <c r="I18" s="204"/>
      <c r="K18" s="11"/>
      <c r="L18" s="157">
        <v>36120221</v>
      </c>
      <c r="M18" s="12"/>
      <c r="N18" s="117"/>
      <c r="O18" s="10"/>
      <c r="Q18" s="104"/>
      <c r="R18" s="19"/>
    </row>
    <row r="19" spans="2:18" ht="15.6" customHeight="1">
      <c r="B19" s="140" t="s">
        <v>144</v>
      </c>
      <c r="C19" s="23">
        <v>804017</v>
      </c>
      <c r="D19" s="23" t="s">
        <v>87</v>
      </c>
      <c r="E19" s="191">
        <v>48916.52</v>
      </c>
      <c r="F19" s="202"/>
      <c r="G19" s="203"/>
      <c r="H19" s="202"/>
      <c r="I19" s="204"/>
      <c r="K19" s="10"/>
      <c r="L19" s="218">
        <f>L17-L18</f>
        <v>0</v>
      </c>
      <c r="M19" s="12" t="s">
        <v>23</v>
      </c>
      <c r="N19" s="7"/>
      <c r="O19" s="16"/>
      <c r="P19" s="17"/>
      <c r="R19" s="19"/>
    </row>
    <row r="20" spans="2:18" ht="15.6" customHeight="1">
      <c r="B20" s="140" t="s">
        <v>145</v>
      </c>
      <c r="C20" s="23">
        <v>804018</v>
      </c>
      <c r="D20" s="23" t="s">
        <v>87</v>
      </c>
      <c r="E20" s="191">
        <v>9445.6</v>
      </c>
      <c r="F20" s="202"/>
      <c r="G20" s="203"/>
      <c r="H20" s="202"/>
      <c r="I20" s="204"/>
      <c r="K20" s="10"/>
      <c r="M20" s="12"/>
      <c r="N20" s="7"/>
      <c r="O20" s="16"/>
      <c r="P20" s="17"/>
      <c r="R20" s="7"/>
    </row>
    <row r="21" spans="2:18" ht="15.6" customHeight="1">
      <c r="B21" s="140" t="s">
        <v>146</v>
      </c>
      <c r="C21" s="23">
        <v>804600</v>
      </c>
      <c r="D21" s="23" t="s">
        <v>87</v>
      </c>
      <c r="E21" s="191">
        <v>-26992494.379999999</v>
      </c>
      <c r="F21" s="202"/>
      <c r="G21" s="203"/>
      <c r="H21" s="202"/>
      <c r="I21" s="204"/>
      <c r="K21" s="10"/>
      <c r="M21" s="12"/>
      <c r="N21" s="7"/>
      <c r="O21" s="16"/>
      <c r="P21" s="17"/>
      <c r="R21" s="7"/>
    </row>
    <row r="22" spans="2:18" ht="15.6" customHeight="1">
      <c r="B22" s="140" t="s">
        <v>147</v>
      </c>
      <c r="C22" s="23">
        <v>804730</v>
      </c>
      <c r="D22" s="23" t="s">
        <v>87</v>
      </c>
      <c r="E22" s="191">
        <v>78775.38</v>
      </c>
      <c r="F22" s="202"/>
      <c r="G22" s="203"/>
      <c r="H22" s="202"/>
      <c r="I22" s="204"/>
      <c r="K22" s="20" t="s">
        <v>30</v>
      </c>
      <c r="N22" s="7"/>
      <c r="O22" s="20" t="s">
        <v>30</v>
      </c>
      <c r="P22" s="15"/>
      <c r="R22" s="7"/>
    </row>
    <row r="23" spans="2:18" ht="15.6" customHeight="1">
      <c r="B23" s="140" t="s">
        <v>148</v>
      </c>
      <c r="C23" s="23">
        <v>808100</v>
      </c>
      <c r="D23" s="23" t="s">
        <v>87</v>
      </c>
      <c r="E23" s="191">
        <v>9303643.8900000006</v>
      </c>
      <c r="F23" s="202"/>
      <c r="G23" s="203"/>
      <c r="H23" s="202"/>
      <c r="I23" s="204"/>
      <c r="K23" s="21" t="s">
        <v>10</v>
      </c>
      <c r="L23" s="221">
        <f>+L10</f>
        <v>22533765</v>
      </c>
      <c r="M23" s="156">
        <v>0.35372999999999999</v>
      </c>
      <c r="N23" s="136">
        <f>L23*M23</f>
        <v>7970868.6934500001</v>
      </c>
      <c r="O23" s="21" t="s">
        <v>10</v>
      </c>
      <c r="P23" s="221">
        <f>+P10</f>
        <v>11449140</v>
      </c>
      <c r="Q23" s="156">
        <v>0.34877000000000002</v>
      </c>
      <c r="R23" s="136">
        <f>P23*Q23</f>
        <v>3993116.5578000001</v>
      </c>
    </row>
    <row r="24" spans="2:18" ht="15.6" customHeight="1">
      <c r="B24" s="140" t="s">
        <v>149</v>
      </c>
      <c r="C24" s="23">
        <v>808200</v>
      </c>
      <c r="D24" s="23" t="s">
        <v>87</v>
      </c>
      <c r="E24" s="191">
        <v>-2881773.56</v>
      </c>
      <c r="F24" s="202"/>
      <c r="G24" s="203"/>
      <c r="H24" s="202"/>
      <c r="I24" s="204"/>
      <c r="K24" s="21" t="s">
        <v>42</v>
      </c>
      <c r="L24" s="221">
        <f t="shared" ref="L24:L28" si="2">+L11</f>
        <v>68120</v>
      </c>
      <c r="M24" s="156">
        <f>M23</f>
        <v>0.35372999999999999</v>
      </c>
      <c r="N24" s="136">
        <f t="shared" ref="N24:N28" si="3">L24*M24</f>
        <v>24096.087599999999</v>
      </c>
      <c r="O24" s="21" t="s">
        <v>11</v>
      </c>
      <c r="P24" s="221">
        <f t="shared" ref="P24:P27" si="4">+P11</f>
        <v>3806249</v>
      </c>
      <c r="Q24" s="156">
        <f>Q23</f>
        <v>0.34877000000000002</v>
      </c>
      <c r="R24" s="136">
        <f t="shared" ref="R24:R27" si="5">P24*Q24</f>
        <v>1327505.4637300002</v>
      </c>
    </row>
    <row r="25" spans="2:18" ht="15.6" customHeight="1">
      <c r="B25" s="140" t="s">
        <v>150</v>
      </c>
      <c r="C25" s="23">
        <v>811000</v>
      </c>
      <c r="D25" s="23" t="s">
        <v>87</v>
      </c>
      <c r="E25" s="191">
        <v>-16984.25</v>
      </c>
      <c r="F25" s="202"/>
      <c r="G25" s="203"/>
      <c r="H25" s="202"/>
      <c r="I25" s="204"/>
      <c r="K25" s="21" t="s">
        <v>11</v>
      </c>
      <c r="L25" s="221">
        <f t="shared" si="2"/>
        <v>9462702</v>
      </c>
      <c r="M25" s="156">
        <f t="shared" ref="M25:M28" si="6">M24</f>
        <v>0.35372999999999999</v>
      </c>
      <c r="N25" s="136">
        <f t="shared" si="3"/>
        <v>3347241.57846</v>
      </c>
      <c r="O25" s="21" t="s">
        <v>12</v>
      </c>
      <c r="P25" s="221">
        <f t="shared" si="4"/>
        <v>1513</v>
      </c>
      <c r="Q25" s="156">
        <f t="shared" ref="Q25:Q27" si="7">Q24</f>
        <v>0.34877000000000002</v>
      </c>
      <c r="R25" s="136">
        <f t="shared" si="5"/>
        <v>527.68901000000005</v>
      </c>
    </row>
    <row r="26" spans="2:18" ht="15.6" customHeight="1">
      <c r="B26" s="140" t="s">
        <v>151</v>
      </c>
      <c r="C26" s="23">
        <v>483000</v>
      </c>
      <c r="D26" s="23" t="s">
        <v>87</v>
      </c>
      <c r="E26" s="191">
        <v>-40231256.439999998</v>
      </c>
      <c r="F26" s="205"/>
      <c r="G26" s="203"/>
      <c r="H26" s="202"/>
      <c r="I26" s="204"/>
      <c r="K26" s="21" t="s">
        <v>12</v>
      </c>
      <c r="L26" s="221">
        <f t="shared" si="2"/>
        <v>56109</v>
      </c>
      <c r="M26" s="156">
        <f t="shared" si="6"/>
        <v>0.35372999999999999</v>
      </c>
      <c r="N26" s="136">
        <f t="shared" si="3"/>
        <v>19847.436569999998</v>
      </c>
      <c r="O26" s="21" t="s">
        <v>13</v>
      </c>
      <c r="P26" s="221">
        <f t="shared" si="4"/>
        <v>0</v>
      </c>
      <c r="Q26" s="156">
        <f t="shared" si="7"/>
        <v>0.34877000000000002</v>
      </c>
      <c r="R26" s="136">
        <f t="shared" si="5"/>
        <v>0</v>
      </c>
    </row>
    <row r="27" spans="2:18" ht="15.6" customHeight="1">
      <c r="B27" s="140" t="s">
        <v>152</v>
      </c>
      <c r="C27" s="23">
        <v>483600</v>
      </c>
      <c r="D27" s="23" t="s">
        <v>87</v>
      </c>
      <c r="E27" s="191">
        <v>55845292.280000001</v>
      </c>
      <c r="F27" s="202"/>
      <c r="G27" s="203"/>
      <c r="H27" s="202"/>
      <c r="I27" s="204"/>
      <c r="K27" s="21" t="s">
        <v>13</v>
      </c>
      <c r="L27" s="221">
        <f t="shared" si="2"/>
        <v>0</v>
      </c>
      <c r="M27" s="156">
        <f t="shared" si="6"/>
        <v>0.35372999999999999</v>
      </c>
      <c r="N27" s="136">
        <f t="shared" si="3"/>
        <v>0</v>
      </c>
      <c r="O27" s="21" t="s">
        <v>14</v>
      </c>
      <c r="P27" s="221">
        <f t="shared" si="4"/>
        <v>0</v>
      </c>
      <c r="Q27" s="156">
        <f t="shared" si="7"/>
        <v>0.34877000000000002</v>
      </c>
      <c r="R27" s="136">
        <f t="shared" si="5"/>
        <v>0</v>
      </c>
    </row>
    <row r="28" spans="2:18" ht="15.6" customHeight="1" thickBot="1">
      <c r="B28" s="140" t="s">
        <v>153</v>
      </c>
      <c r="C28" s="23">
        <v>483730</v>
      </c>
      <c r="D28" s="23" t="s">
        <v>87</v>
      </c>
      <c r="E28" s="191">
        <v>-1540439.11</v>
      </c>
      <c r="F28" s="202"/>
      <c r="G28" s="203"/>
      <c r="H28" s="202"/>
      <c r="I28" s="204"/>
      <c r="K28" s="21" t="s">
        <v>14</v>
      </c>
      <c r="L28" s="221">
        <f t="shared" si="2"/>
        <v>472432</v>
      </c>
      <c r="M28" s="156">
        <f t="shared" si="6"/>
        <v>0.35372999999999999</v>
      </c>
      <c r="N28" s="136">
        <f t="shared" si="3"/>
        <v>167113.37135999999</v>
      </c>
      <c r="O28" s="20" t="s">
        <v>31</v>
      </c>
      <c r="P28" s="115">
        <f>SUM(P23:P27)</f>
        <v>15256902</v>
      </c>
      <c r="Q28" s="116"/>
      <c r="R28" s="18">
        <f>SUM(R23:R27)</f>
        <v>5321149.7105400003</v>
      </c>
    </row>
    <row r="29" spans="2:18" ht="15.6" customHeight="1" thickTop="1" thickBot="1">
      <c r="B29" s="140" t="s">
        <v>154</v>
      </c>
      <c r="C29" s="23">
        <v>495028</v>
      </c>
      <c r="D29" s="23" t="s">
        <v>87</v>
      </c>
      <c r="E29" s="191">
        <v>-468750</v>
      </c>
      <c r="F29" s="202"/>
      <c r="G29" s="203"/>
      <c r="H29" s="202"/>
      <c r="I29" s="204"/>
      <c r="K29" s="20" t="s">
        <v>31</v>
      </c>
      <c r="L29" s="115">
        <f>SUM(L23:L28)</f>
        <v>32593128</v>
      </c>
      <c r="M29" s="116"/>
      <c r="N29" s="123">
        <f>SUM(N23:N28)</f>
        <v>11529167.167440001</v>
      </c>
      <c r="O29" s="20"/>
      <c r="P29" s="157">
        <v>15256902</v>
      </c>
      <c r="Q29" s="12"/>
      <c r="R29" s="120"/>
    </row>
    <row r="30" spans="2:18" ht="15.6" customHeight="1" thickTop="1">
      <c r="B30" s="140" t="s">
        <v>86</v>
      </c>
      <c r="C30" s="23">
        <v>495100</v>
      </c>
      <c r="D30" s="23" t="s">
        <v>87</v>
      </c>
      <c r="E30" s="191">
        <v>0</v>
      </c>
      <c r="F30" s="206"/>
      <c r="G30" s="207"/>
      <c r="H30" s="206"/>
      <c r="I30" s="208"/>
      <c r="K30" s="11"/>
      <c r="L30" s="157">
        <v>32593128</v>
      </c>
      <c r="M30" s="12"/>
      <c r="N30" s="124"/>
      <c r="O30" s="20"/>
      <c r="P30" s="114">
        <f>P28-P29</f>
        <v>0</v>
      </c>
      <c r="Q30" s="12" t="s">
        <v>23</v>
      </c>
      <c r="R30" s="19"/>
    </row>
    <row r="31" spans="2:18" ht="15.6" customHeight="1" thickBot="1">
      <c r="B31" s="11" t="s">
        <v>26</v>
      </c>
      <c r="C31" s="23"/>
      <c r="D31" s="23"/>
      <c r="E31" s="193">
        <f>-E13</f>
        <v>46577.54</v>
      </c>
      <c r="F31" s="202"/>
      <c r="G31" s="203"/>
      <c r="H31" s="202"/>
      <c r="I31" s="204"/>
      <c r="K31" s="13"/>
      <c r="L31" s="121">
        <f>L29-L30</f>
        <v>0</v>
      </c>
      <c r="M31" s="14" t="s">
        <v>23</v>
      </c>
      <c r="N31" s="122"/>
      <c r="O31" s="125"/>
      <c r="P31" s="126"/>
      <c r="Q31" s="127"/>
      <c r="R31" s="128"/>
    </row>
    <row r="32" spans="2:18" ht="15.6" customHeight="1" thickBot="1">
      <c r="B32" s="147" t="s">
        <v>27</v>
      </c>
      <c r="E32" s="192">
        <f>SUM(E17:E31)</f>
        <v>69282649.24000001</v>
      </c>
      <c r="F32" s="209"/>
      <c r="G32" s="183">
        <f>E32*G8</f>
        <v>47195340.66228801</v>
      </c>
      <c r="H32" s="112"/>
      <c r="I32" s="173">
        <f>E32*I8</f>
        <v>22087308.577711999</v>
      </c>
    </row>
    <row r="33" spans="2:16" ht="15.6" customHeight="1">
      <c r="B33" s="140" t="s">
        <v>85</v>
      </c>
      <c r="C33" s="23">
        <v>495100</v>
      </c>
      <c r="D33" s="1" t="s">
        <v>92</v>
      </c>
      <c r="E33" s="191">
        <v>0</v>
      </c>
      <c r="F33" s="206"/>
      <c r="G33" s="183">
        <f>E33</f>
        <v>0</v>
      </c>
      <c r="H33" s="112"/>
      <c r="I33" s="173"/>
      <c r="K33" s="159" t="s">
        <v>19</v>
      </c>
      <c r="L33" s="4" t="s">
        <v>8</v>
      </c>
      <c r="M33" s="4" t="s">
        <v>8</v>
      </c>
      <c r="N33" s="4" t="s">
        <v>16</v>
      </c>
      <c r="O33" s="4" t="s">
        <v>16</v>
      </c>
      <c r="P33" s="160"/>
    </row>
    <row r="34" spans="2:16" ht="15.6" customHeight="1" thickBot="1">
      <c r="B34" s="151" t="s">
        <v>84</v>
      </c>
      <c r="C34" s="23">
        <v>495100</v>
      </c>
      <c r="D34" s="1" t="s">
        <v>93</v>
      </c>
      <c r="E34" s="191">
        <v>0</v>
      </c>
      <c r="F34" s="206"/>
      <c r="G34" s="183"/>
      <c r="H34" s="112"/>
      <c r="I34" s="173">
        <f>E34</f>
        <v>0</v>
      </c>
      <c r="K34" s="147"/>
      <c r="L34" s="8" t="s">
        <v>2</v>
      </c>
      <c r="M34" s="8" t="s">
        <v>1</v>
      </c>
      <c r="N34" s="8" t="s">
        <v>2</v>
      </c>
      <c r="O34" s="8" t="s">
        <v>1</v>
      </c>
      <c r="P34" s="169" t="s">
        <v>97</v>
      </c>
    </row>
    <row r="35" spans="2:16" ht="15.6" customHeight="1">
      <c r="B35" s="11" t="s">
        <v>94</v>
      </c>
      <c r="C35" s="23">
        <v>804000</v>
      </c>
      <c r="D35" s="1" t="s">
        <v>92</v>
      </c>
      <c r="E35" s="191">
        <v>319347.89</v>
      </c>
      <c r="F35" s="202"/>
      <c r="G35" s="183">
        <f>E35</f>
        <v>319347.89</v>
      </c>
      <c r="H35" s="112"/>
      <c r="I35" s="173"/>
      <c r="K35" s="10" t="s">
        <v>99</v>
      </c>
      <c r="L35" s="113">
        <f>$F$39</f>
        <v>1592997.2037599999</v>
      </c>
      <c r="M35" s="113">
        <f>G39</f>
        <v>47514688.552288011</v>
      </c>
      <c r="N35" s="113">
        <f>$H$39</f>
        <v>734244.87624000001</v>
      </c>
      <c r="O35" s="113">
        <f>I39</f>
        <v>22245688.187711999</v>
      </c>
      <c r="P35" s="168">
        <f>SUM(L35:O35)-E39</f>
        <v>0</v>
      </c>
    </row>
    <row r="36" spans="2:16" ht="15.6" customHeight="1" thickBot="1">
      <c r="B36" s="11" t="s">
        <v>95</v>
      </c>
      <c r="C36" s="23">
        <v>804000</v>
      </c>
      <c r="D36" s="1" t="s">
        <v>93</v>
      </c>
      <c r="E36" s="191">
        <v>158379.60999999999</v>
      </c>
      <c r="F36" s="202"/>
      <c r="G36" s="183"/>
      <c r="H36" s="112"/>
      <c r="I36" s="173">
        <f>E36</f>
        <v>158379.60999999999</v>
      </c>
      <c r="K36" s="10" t="s">
        <v>102</v>
      </c>
      <c r="L36" s="158">
        <f>-$N$17</f>
        <v>-3195428.5375500005</v>
      </c>
      <c r="M36" s="158">
        <f>-N29</f>
        <v>-11529167.167440001</v>
      </c>
      <c r="N36" s="158">
        <f>-$R$15</f>
        <v>-1403329.8459600001</v>
      </c>
      <c r="O36" s="158">
        <f>-R28</f>
        <v>-5321149.7105400003</v>
      </c>
      <c r="P36" s="168">
        <f>SUM(L36:O36)+N17+N29+R15+R28</f>
        <v>0</v>
      </c>
    </row>
    <row r="37" spans="2:16" ht="15.6" customHeight="1" thickBot="1">
      <c r="B37" s="147" t="s">
        <v>105</v>
      </c>
      <c r="C37" s="23"/>
      <c r="E37" s="192">
        <f>SUM(E32:E36)</f>
        <v>69760376.74000001</v>
      </c>
      <c r="F37" s="184"/>
      <c r="G37" s="186"/>
      <c r="H37" s="184"/>
      <c r="I37" s="150"/>
      <c r="K37" s="147" t="s">
        <v>100</v>
      </c>
      <c r="L37" s="118">
        <f t="shared" ref="L37:O37" si="8">SUM(L35:L36)</f>
        <v>-1602431.3337900005</v>
      </c>
      <c r="M37" s="118">
        <f>SUM(M35:M36)</f>
        <v>35985521.384848014</v>
      </c>
      <c r="N37" s="118">
        <f t="shared" si="8"/>
        <v>-669084.96972000005</v>
      </c>
      <c r="O37" s="118">
        <f t="shared" si="8"/>
        <v>16924538.477171998</v>
      </c>
      <c r="P37" s="161"/>
    </row>
    <row r="38" spans="2:16" ht="15.6" customHeight="1" thickBot="1">
      <c r="B38" s="10"/>
      <c r="C38" s="6"/>
      <c r="D38" s="6"/>
      <c r="E38" s="195"/>
      <c r="F38" s="187"/>
      <c r="G38" s="188"/>
      <c r="H38" s="187"/>
      <c r="I38" s="152"/>
      <c r="K38" s="162"/>
      <c r="L38" s="132"/>
      <c r="M38" s="3"/>
      <c r="O38" s="165"/>
      <c r="P38" s="163"/>
    </row>
    <row r="39" spans="2:16" ht="15.6" customHeight="1" thickBot="1">
      <c r="B39" s="153" t="s">
        <v>96</v>
      </c>
      <c r="C39" s="154"/>
      <c r="D39" s="154"/>
      <c r="E39" s="192">
        <f>E37+E14</f>
        <v>72087618.820000008</v>
      </c>
      <c r="F39" s="197">
        <f>SUM(F14:F37)</f>
        <v>1592997.2037599999</v>
      </c>
      <c r="G39" s="198">
        <f t="shared" ref="G39:I39" si="9">SUM(G14:G37)</f>
        <v>47514688.552288011</v>
      </c>
      <c r="H39" s="197">
        <f t="shared" si="9"/>
        <v>734244.87624000001</v>
      </c>
      <c r="I39" s="155">
        <f t="shared" si="9"/>
        <v>22245688.187711999</v>
      </c>
      <c r="K39" s="164"/>
      <c r="L39" s="166" t="s">
        <v>36</v>
      </c>
      <c r="M39" s="127">
        <f>SUM(L37:M37)</f>
        <v>34383090.051058009</v>
      </c>
      <c r="N39" s="167" t="s">
        <v>37</v>
      </c>
      <c r="O39" s="127">
        <f>SUM(N37:O37)</f>
        <v>16255453.507451998</v>
      </c>
      <c r="P39" s="25"/>
    </row>
    <row r="40" spans="2:16" ht="15.6" customHeight="1">
      <c r="C40" s="6"/>
      <c r="D40" s="6"/>
      <c r="E40" s="103"/>
      <c r="F40" s="103"/>
      <c r="G40" s="103"/>
      <c r="H40" s="103"/>
      <c r="I40" s="103"/>
      <c r="M40" s="24"/>
    </row>
    <row r="41" spans="2:16" ht="15.6" customHeight="1">
      <c r="B41" s="213" t="s">
        <v>107</v>
      </c>
      <c r="C41" s="212"/>
      <c r="D41" s="6" t="s">
        <v>106</v>
      </c>
      <c r="E41" s="220">
        <v>72087618.819999993</v>
      </c>
      <c r="F41" s="103"/>
      <c r="G41" s="103"/>
      <c r="H41" s="103"/>
      <c r="I41" s="103"/>
      <c r="P41" s="2"/>
    </row>
    <row r="42" spans="2:16" ht="15.6" customHeight="1">
      <c r="B42" s="145"/>
      <c r="C42" s="145"/>
      <c r="D42" s="6" t="s">
        <v>34</v>
      </c>
      <c r="E42" s="112">
        <f>ROUND(E39-E41,2)</f>
        <v>0</v>
      </c>
      <c r="F42" s="130"/>
      <c r="G42" s="130"/>
      <c r="H42" s="130"/>
      <c r="I42" s="130"/>
    </row>
    <row r="43" spans="2:16" ht="15.6" customHeight="1">
      <c r="B43" s="145"/>
      <c r="C43" s="145"/>
      <c r="E43" s="130"/>
      <c r="F43" s="130"/>
      <c r="G43" s="130"/>
      <c r="H43" s="130"/>
      <c r="I43" s="130"/>
    </row>
    <row r="44" spans="2:16" ht="15.6" customHeight="1" thickBot="1">
      <c r="B44" s="145"/>
      <c r="C44" s="145"/>
      <c r="E44" s="130"/>
      <c r="F44" s="130"/>
      <c r="G44" s="130"/>
      <c r="H44" s="130"/>
      <c r="I44" s="130"/>
    </row>
    <row r="45" spans="2:16" ht="15.6" customHeight="1" thickBot="1">
      <c r="B45" s="145"/>
      <c r="C45" s="145"/>
      <c r="E45" s="234" t="s">
        <v>98</v>
      </c>
      <c r="F45" s="235"/>
      <c r="G45" s="130"/>
      <c r="H45" s="130"/>
      <c r="I45" s="130"/>
    </row>
    <row r="46" spans="2:16" ht="15.6" customHeight="1">
      <c r="B46" s="145"/>
      <c r="C46" s="145"/>
      <c r="E46" s="140" t="s">
        <v>38</v>
      </c>
      <c r="F46" s="171" t="s">
        <v>39</v>
      </c>
      <c r="G46" s="130"/>
      <c r="H46" s="130"/>
      <c r="I46" s="130"/>
    </row>
    <row r="47" spans="2:16" ht="15.75" thickBot="1">
      <c r="E47" s="172" t="e">
        <f>SUM('191010 WA DEF'!E36:E45)+SUM('191000 WA Amort'!H36:H45)+SUM(#REF!)+SUM(#REF!)</f>
        <v>#REF!</v>
      </c>
      <c r="F47" s="170" t="e">
        <f>-E47</f>
        <v>#REF!</v>
      </c>
    </row>
    <row r="48" spans="2:16">
      <c r="E48" s="215"/>
      <c r="F48" s="215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1387" spans="1:20">
      <c r="T1387" s="5"/>
    </row>
    <row r="1388" spans="1:20" s="5" customFormat="1">
      <c r="A1388" s="1"/>
      <c r="B1388" s="1"/>
      <c r="C1388" s="1"/>
      <c r="D1388" s="1">
        <v>-2130</v>
      </c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T1388" s="1"/>
    </row>
    <row r="1395" spans="1:20">
      <c r="T1395" s="5"/>
    </row>
    <row r="1396" spans="1:20" s="5" customFormat="1">
      <c r="A1396" s="1"/>
      <c r="B1396" s="1"/>
      <c r="C1396" s="1"/>
      <c r="D1396" s="1">
        <f>7004298-2130</f>
        <v>7002168</v>
      </c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T1396" s="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81" priority="26" operator="equal">
      <formula>"ERROR"</formula>
    </cfRule>
  </conditionalFormatting>
  <conditionalFormatting sqref="E42">
    <cfRule type="cellIs" dxfId="180" priority="1" stopIfTrue="1" operator="equal">
      <formula>0</formula>
    </cfRule>
    <cfRule type="cellIs" dxfId="179" priority="2" stopIfTrue="1" operator="notEqual">
      <formula>0</formula>
    </cfRule>
    <cfRule type="cellIs" dxfId="178" priority="3" stopIfTrue="1" operator="equal">
      <formula>0</formula>
    </cfRule>
    <cfRule type="cellIs" dxfId="177" priority="4" stopIfTrue="1" operator="notEqual">
      <formula>0</formula>
    </cfRule>
  </conditionalFormatting>
  <conditionalFormatting sqref="L19">
    <cfRule type="cellIs" dxfId="176" priority="21" stopIfTrue="1" operator="equal">
      <formula>0</formula>
    </cfRule>
    <cfRule type="cellIs" dxfId="175" priority="22" stopIfTrue="1" operator="notEqual">
      <formula>0</formula>
    </cfRule>
    <cfRule type="cellIs" dxfId="174" priority="23" stopIfTrue="1" operator="equal">
      <formula>0</formula>
    </cfRule>
    <cfRule type="cellIs" dxfId="173" priority="24" stopIfTrue="1" operator="notEqual">
      <formula>0</formula>
    </cfRule>
  </conditionalFormatting>
  <conditionalFormatting sqref="L31">
    <cfRule type="cellIs" dxfId="172" priority="17" stopIfTrue="1" operator="equal">
      <formula>0</formula>
    </cfRule>
    <cfRule type="cellIs" dxfId="171" priority="18" stopIfTrue="1" operator="notEqual">
      <formula>0</formula>
    </cfRule>
    <cfRule type="cellIs" dxfId="170" priority="19" stopIfTrue="1" operator="equal">
      <formula>0</formula>
    </cfRule>
    <cfRule type="cellIs" dxfId="169" priority="20" stopIfTrue="1" operator="notEqual">
      <formula>0</formula>
    </cfRule>
  </conditionalFormatting>
  <conditionalFormatting sqref="P17">
    <cfRule type="cellIs" dxfId="168" priority="13" stopIfTrue="1" operator="equal">
      <formula>0</formula>
    </cfRule>
    <cfRule type="cellIs" dxfId="167" priority="14" stopIfTrue="1" operator="notEqual">
      <formula>0</formula>
    </cfRule>
    <cfRule type="cellIs" dxfId="166" priority="15" stopIfTrue="1" operator="equal">
      <formula>0</formula>
    </cfRule>
    <cfRule type="cellIs" dxfId="165" priority="16" stopIfTrue="1" operator="notEqual">
      <formula>0</formula>
    </cfRule>
  </conditionalFormatting>
  <conditionalFormatting sqref="P30">
    <cfRule type="cellIs" dxfId="164" priority="9" stopIfTrue="1" operator="equal">
      <formula>0</formula>
    </cfRule>
    <cfRule type="cellIs" dxfId="163" priority="10" stopIfTrue="1" operator="notEqual">
      <formula>0</formula>
    </cfRule>
    <cfRule type="cellIs" dxfId="162" priority="11" stopIfTrue="1" operator="equal">
      <formula>0</formula>
    </cfRule>
    <cfRule type="cellIs" dxfId="161" priority="12" stopIfTrue="1" operator="notEqual">
      <formula>0</formula>
    </cfRule>
  </conditionalFormatting>
  <conditionalFormatting sqref="P31">
    <cfRule type="cellIs" dxfId="160" priority="25" operator="notEqual">
      <formula>0</formula>
    </cfRule>
  </conditionalFormatting>
  <conditionalFormatting sqref="P35:P36">
    <cfRule type="cellIs" dxfId="159" priority="5" stopIfTrue="1" operator="equal">
      <formula>0</formula>
    </cfRule>
    <cfRule type="cellIs" dxfId="158" priority="6" stopIfTrue="1" operator="notEqual">
      <formula>0</formula>
    </cfRule>
    <cfRule type="cellIs" dxfId="157" priority="7" stopIfTrue="1" operator="equal">
      <formula>0</formula>
    </cfRule>
    <cfRule type="cellIs" dxfId="156" priority="8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C1581-41A8-48EE-808B-97D4B64E4584}">
  <sheetPr>
    <pageSetUpPr fitToPage="1"/>
  </sheetPr>
  <dimension ref="A1:T1396"/>
  <sheetViews>
    <sheetView zoomScale="60" zoomScaleNormal="60" workbookViewId="0">
      <selection activeCell="E48" sqref="E48"/>
    </sheetView>
  </sheetViews>
  <sheetFormatPr defaultColWidth="16" defaultRowHeight="15"/>
  <cols>
    <col min="1" max="1" width="2.85546875" style="1" customWidth="1"/>
    <col min="2" max="2" width="48.7109375" style="1" bestFit="1" customWidth="1"/>
    <col min="3" max="3" width="11.5703125" style="1" customWidth="1"/>
    <col min="4" max="4" width="10.7109375" style="1" customWidth="1"/>
    <col min="5" max="5" width="19.7109375" style="5" bestFit="1" customWidth="1"/>
    <col min="6" max="6" width="18.28515625" style="1" bestFit="1" customWidth="1"/>
    <col min="7" max="7" width="18.5703125" style="1" bestFit="1" customWidth="1"/>
    <col min="8" max="9" width="18.28515625" style="1" bestFit="1" customWidth="1"/>
    <col min="10" max="10" width="4.85546875" style="1" bestFit="1" customWidth="1"/>
    <col min="11" max="11" width="22.28515625" style="1" bestFit="1" customWidth="1"/>
    <col min="12" max="12" width="18.140625" style="1" customWidth="1"/>
    <col min="13" max="13" width="18.7109375" style="1" bestFit="1" customWidth="1"/>
    <col min="14" max="14" width="19.42578125" style="1" customWidth="1"/>
    <col min="15" max="15" width="19.140625" style="1" bestFit="1" customWidth="1"/>
    <col min="16" max="18" width="18.140625" style="1" customWidth="1"/>
    <col min="19" max="19" width="5.140625" style="1" customWidth="1"/>
    <col min="20" max="20" width="41.5703125" style="1" bestFit="1" customWidth="1"/>
    <col min="21" max="16384" width="16" style="1"/>
  </cols>
  <sheetData>
    <row r="1" spans="2:20" ht="15.6" customHeight="1">
      <c r="B1" s="141" t="s">
        <v>103</v>
      </c>
      <c r="C1" s="142">
        <v>202302</v>
      </c>
      <c r="D1" s="219"/>
      <c r="E1" s="105"/>
      <c r="F1" s="105"/>
      <c r="G1" s="105"/>
      <c r="H1" s="105"/>
      <c r="I1" s="105"/>
      <c r="K1" s="137" t="s">
        <v>88</v>
      </c>
      <c r="L1" s="143" t="s">
        <v>89</v>
      </c>
      <c r="N1" s="236"/>
      <c r="O1" s="236"/>
      <c r="T1" s="216" t="s">
        <v>108</v>
      </c>
    </row>
    <row r="2" spans="2:20" ht="15.6" customHeight="1">
      <c r="D2" s="105"/>
      <c r="E2" s="105"/>
      <c r="F2" s="105"/>
      <c r="G2" s="105"/>
      <c r="H2" s="105"/>
      <c r="I2" s="105"/>
      <c r="K2" s="138"/>
      <c r="L2" s="139" t="s">
        <v>90</v>
      </c>
      <c r="N2" s="145"/>
      <c r="O2" s="145"/>
      <c r="T2" s="217" t="s">
        <v>109</v>
      </c>
    </row>
    <row r="3" spans="2:20" ht="15.6" customHeight="1">
      <c r="D3" s="105"/>
      <c r="E3" s="105"/>
      <c r="F3" s="105"/>
      <c r="G3" s="105"/>
      <c r="H3" s="105"/>
      <c r="I3" s="105"/>
      <c r="K3" s="138"/>
      <c r="L3" s="144"/>
      <c r="N3" s="215"/>
      <c r="O3" s="215"/>
      <c r="T3" s="217" t="s">
        <v>110</v>
      </c>
    </row>
    <row r="4" spans="2:20" ht="15.6" customHeight="1" thickBot="1">
      <c r="D4" s="105"/>
      <c r="E4" s="105"/>
      <c r="F4" s="105"/>
      <c r="G4" s="105"/>
      <c r="H4" s="105"/>
      <c r="I4" s="105"/>
      <c r="K4" s="138"/>
      <c r="L4" s="144"/>
      <c r="T4" s="217" t="s">
        <v>111</v>
      </c>
    </row>
    <row r="5" spans="2:20" ht="15.6" customHeight="1" thickBot="1">
      <c r="B5" s="146"/>
      <c r="C5" s="9"/>
      <c r="D5" s="9"/>
      <c r="E5" s="196" t="s">
        <v>17</v>
      </c>
      <c r="F5" s="237" t="s">
        <v>32</v>
      </c>
      <c r="G5" s="238"/>
      <c r="H5" s="237" t="s">
        <v>33</v>
      </c>
      <c r="I5" s="239"/>
      <c r="K5" s="240" t="s">
        <v>32</v>
      </c>
      <c r="L5" s="241"/>
      <c r="M5" s="241"/>
      <c r="N5" s="242"/>
      <c r="O5" s="240" t="s">
        <v>33</v>
      </c>
      <c r="P5" s="241"/>
      <c r="Q5" s="241"/>
      <c r="R5" s="242"/>
      <c r="T5" s="217" t="s">
        <v>112</v>
      </c>
    </row>
    <row r="6" spans="2:20" ht="15.6" customHeight="1" thickBot="1">
      <c r="B6" s="147" t="s">
        <v>18</v>
      </c>
      <c r="E6" s="189" t="s">
        <v>101</v>
      </c>
      <c r="F6" s="176" t="s">
        <v>2</v>
      </c>
      <c r="G6" s="177" t="s">
        <v>1</v>
      </c>
      <c r="H6" s="176" t="s">
        <v>2</v>
      </c>
      <c r="I6" s="175" t="s">
        <v>1</v>
      </c>
      <c r="K6" s="108" t="s">
        <v>24</v>
      </c>
      <c r="L6" s="106" t="s">
        <v>6</v>
      </c>
      <c r="M6" s="106" t="s">
        <v>6</v>
      </c>
      <c r="N6" s="106" t="s">
        <v>6</v>
      </c>
      <c r="O6" s="108" t="s">
        <v>24</v>
      </c>
      <c r="P6" s="106" t="s">
        <v>6</v>
      </c>
      <c r="Q6" s="106" t="s">
        <v>6</v>
      </c>
      <c r="R6" s="134" t="s">
        <v>6</v>
      </c>
      <c r="T6" s="217" t="s">
        <v>113</v>
      </c>
    </row>
    <row r="7" spans="2:20" ht="15.6" customHeight="1" thickBot="1">
      <c r="B7" s="10"/>
      <c r="E7" s="190"/>
      <c r="F7" s="178"/>
      <c r="G7" s="179"/>
      <c r="H7" s="178"/>
      <c r="I7" s="7"/>
      <c r="K7" s="109" t="s">
        <v>35</v>
      </c>
      <c r="L7" s="107" t="s">
        <v>22</v>
      </c>
      <c r="M7" s="107" t="s">
        <v>9</v>
      </c>
      <c r="N7" s="107" t="s">
        <v>7</v>
      </c>
      <c r="O7" s="109" t="s">
        <v>35</v>
      </c>
      <c r="P7" s="107" t="s">
        <v>22</v>
      </c>
      <c r="Q7" s="107" t="s">
        <v>9</v>
      </c>
      <c r="R7" s="107" t="s">
        <v>7</v>
      </c>
      <c r="T7" s="217" t="s">
        <v>114</v>
      </c>
    </row>
    <row r="8" spans="2:20" ht="15.6" customHeight="1">
      <c r="B8" s="10"/>
      <c r="E8" s="210">
        <f>F8+H8</f>
        <v>1</v>
      </c>
      <c r="F8" s="180">
        <v>0.6845</v>
      </c>
      <c r="G8" s="181">
        <f>ROUND($L$29/($L$29+$P$28),4)</f>
        <v>0.67430000000000001</v>
      </c>
      <c r="H8" s="180">
        <v>0.3155</v>
      </c>
      <c r="I8" s="148">
        <f>1-G8</f>
        <v>0.32569999999999999</v>
      </c>
      <c r="J8" s="211"/>
      <c r="K8" s="10"/>
      <c r="L8" s="2"/>
      <c r="M8" s="2"/>
      <c r="N8" s="134"/>
      <c r="O8" s="110"/>
      <c r="P8" s="111"/>
      <c r="Q8" s="111"/>
      <c r="R8" s="22"/>
      <c r="T8" s="217" t="s">
        <v>115</v>
      </c>
    </row>
    <row r="9" spans="2:20" ht="15.6" customHeight="1">
      <c r="B9" s="10"/>
      <c r="E9" s="190"/>
      <c r="F9" s="178"/>
      <c r="G9" s="179"/>
      <c r="H9" s="178"/>
      <c r="I9" s="7"/>
      <c r="K9" s="20" t="s">
        <v>28</v>
      </c>
      <c r="N9" s="7"/>
      <c r="O9" s="20" t="s">
        <v>28</v>
      </c>
      <c r="R9" s="7"/>
    </row>
    <row r="10" spans="2:20" ht="15.6" customHeight="1">
      <c r="B10" s="140" t="s">
        <v>155</v>
      </c>
      <c r="C10" s="23">
        <v>804001</v>
      </c>
      <c r="D10" s="23" t="s">
        <v>87</v>
      </c>
      <c r="E10" s="191">
        <v>2194463.23</v>
      </c>
      <c r="F10" s="182"/>
      <c r="G10" s="183"/>
      <c r="H10" s="182"/>
      <c r="I10" s="173"/>
      <c r="K10" s="21" t="s">
        <v>10</v>
      </c>
      <c r="L10" s="228">
        <v>19928457</v>
      </c>
      <c r="M10" s="156">
        <v>0.10111000000000001</v>
      </c>
      <c r="N10" s="136">
        <f t="shared" ref="N10:N16" si="0">L10*M10</f>
        <v>2014966.2872700002</v>
      </c>
      <c r="O10" s="21" t="s">
        <v>10</v>
      </c>
      <c r="P10" s="228">
        <v>10865050</v>
      </c>
      <c r="Q10" s="156">
        <v>9.1980000000000006E-2</v>
      </c>
      <c r="R10" s="136">
        <f>P10*Q10</f>
        <v>999367.29900000012</v>
      </c>
    </row>
    <row r="11" spans="2:20" ht="15.6" customHeight="1" thickBot="1">
      <c r="B11" s="140" t="s">
        <v>156</v>
      </c>
      <c r="C11" s="23">
        <v>804002</v>
      </c>
      <c r="D11" s="23" t="s">
        <v>87</v>
      </c>
      <c r="E11" s="191">
        <v>37997.24</v>
      </c>
      <c r="F11" s="182"/>
      <c r="G11" s="183"/>
      <c r="H11" s="182"/>
      <c r="I11" s="173"/>
      <c r="K11" s="21" t="s">
        <v>42</v>
      </c>
      <c r="L11" s="228">
        <v>60896</v>
      </c>
      <c r="M11" s="156">
        <v>0.10111000000000001</v>
      </c>
      <c r="N11" s="136">
        <f t="shared" si="0"/>
        <v>6157.1945599999999</v>
      </c>
      <c r="O11" s="21" t="s">
        <v>11</v>
      </c>
      <c r="P11" s="228">
        <v>2660161</v>
      </c>
      <c r="Q11" s="156">
        <f>Q10</f>
        <v>9.1980000000000006E-2</v>
      </c>
      <c r="R11" s="136">
        <f>P11*Q11</f>
        <v>244681.60878000001</v>
      </c>
    </row>
    <row r="12" spans="2:20" ht="15.6" customHeight="1" thickBot="1">
      <c r="B12" s="147" t="s">
        <v>91</v>
      </c>
      <c r="C12" s="3"/>
      <c r="D12" s="3"/>
      <c r="E12" s="192">
        <f>SUM(E10:E11)</f>
        <v>2232460.4700000002</v>
      </c>
      <c r="F12" s="184"/>
      <c r="G12" s="185"/>
      <c r="H12" s="184"/>
      <c r="I12" s="174"/>
      <c r="K12" s="21" t="s">
        <v>11</v>
      </c>
      <c r="L12" s="228">
        <v>7728313</v>
      </c>
      <c r="M12" s="156">
        <v>9.2460000000000001E-2</v>
      </c>
      <c r="N12" s="136">
        <f t="shared" si="0"/>
        <v>714559.81998000003</v>
      </c>
      <c r="O12" s="21" t="s">
        <v>12</v>
      </c>
      <c r="P12" s="228">
        <v>1166</v>
      </c>
      <c r="Q12" s="156">
        <f t="shared" ref="Q12:Q14" si="1">Q11</f>
        <v>9.1980000000000006E-2</v>
      </c>
      <c r="R12" s="136">
        <f>P12*Q12</f>
        <v>107.24868000000001</v>
      </c>
    </row>
    <row r="13" spans="2:20" ht="15.6" customHeight="1" thickBot="1">
      <c r="B13" s="10" t="s">
        <v>25</v>
      </c>
      <c r="E13" s="193">
        <f>-E11</f>
        <v>-37997.24</v>
      </c>
      <c r="F13" s="182"/>
      <c r="G13" s="183"/>
      <c r="H13" s="182"/>
      <c r="I13" s="173"/>
      <c r="K13" s="21" t="s">
        <v>12</v>
      </c>
      <c r="L13" s="228">
        <v>55024</v>
      </c>
      <c r="M13" s="156">
        <v>9.2460000000000001E-2</v>
      </c>
      <c r="N13" s="136">
        <f t="shared" si="0"/>
        <v>5087.5190400000001</v>
      </c>
      <c r="O13" s="21" t="s">
        <v>13</v>
      </c>
      <c r="P13" s="228">
        <v>0</v>
      </c>
      <c r="Q13" s="156">
        <f t="shared" si="1"/>
        <v>9.1980000000000006E-2</v>
      </c>
      <c r="R13" s="136">
        <f>P13*Q13</f>
        <v>0</v>
      </c>
    </row>
    <row r="14" spans="2:20" ht="15.6" customHeight="1" thickBot="1">
      <c r="B14" s="147" t="s">
        <v>104</v>
      </c>
      <c r="C14" s="149"/>
      <c r="D14" s="149"/>
      <c r="E14" s="192">
        <f>SUM(E12:E13)</f>
        <v>2194463.23</v>
      </c>
      <c r="F14" s="199">
        <f>E14*F8</f>
        <v>1502110.080935</v>
      </c>
      <c r="G14" s="200"/>
      <c r="H14" s="199">
        <f>E14*H8</f>
        <v>692353.14906500001</v>
      </c>
      <c r="I14" s="201"/>
      <c r="K14" s="21" t="s">
        <v>13</v>
      </c>
      <c r="L14" s="228">
        <v>0</v>
      </c>
      <c r="M14" s="156">
        <v>5.9560000000000002E-2</v>
      </c>
      <c r="N14" s="136">
        <f t="shared" si="0"/>
        <v>0</v>
      </c>
      <c r="O14" s="21" t="s">
        <v>14</v>
      </c>
      <c r="P14" s="228">
        <v>0</v>
      </c>
      <c r="Q14" s="156">
        <f t="shared" si="1"/>
        <v>9.1980000000000006E-2</v>
      </c>
      <c r="R14" s="136">
        <f>P14*Q14</f>
        <v>0</v>
      </c>
    </row>
    <row r="15" spans="2:20" ht="15.6" customHeight="1" thickBot="1">
      <c r="B15" s="10"/>
      <c r="E15" s="194"/>
      <c r="F15" s="202"/>
      <c r="G15" s="203"/>
      <c r="H15" s="202"/>
      <c r="I15" s="204"/>
      <c r="K15" s="21" t="s">
        <v>14</v>
      </c>
      <c r="L15" s="228">
        <v>229126</v>
      </c>
      <c r="M15" s="156">
        <v>5.9560000000000002E-2</v>
      </c>
      <c r="N15" s="136">
        <f t="shared" si="0"/>
        <v>13646.744560000001</v>
      </c>
      <c r="O15" s="20" t="s">
        <v>29</v>
      </c>
      <c r="P15" s="115">
        <f>SUM(P10:P14)</f>
        <v>13526377</v>
      </c>
      <c r="Q15" s="116"/>
      <c r="R15" s="18">
        <f>SUM(R10:R14)</f>
        <v>1244156.15646</v>
      </c>
    </row>
    <row r="16" spans="2:20" ht="15.6" customHeight="1" thickTop="1">
      <c r="B16" s="10"/>
      <c r="E16" s="194"/>
      <c r="F16" s="202"/>
      <c r="G16" s="203"/>
      <c r="H16" s="202"/>
      <c r="I16" s="204"/>
      <c r="K16" s="21" t="s">
        <v>20</v>
      </c>
      <c r="L16" s="228">
        <v>3276459</v>
      </c>
      <c r="M16" s="156">
        <v>5.4000000000000001E-4</v>
      </c>
      <c r="N16" s="136">
        <f t="shared" si="0"/>
        <v>1769.2878599999999</v>
      </c>
      <c r="O16" s="21"/>
      <c r="P16" s="157">
        <v>13526377</v>
      </c>
      <c r="Q16" s="12"/>
      <c r="R16" s="117"/>
    </row>
    <row r="17" spans="2:18" ht="15.6" customHeight="1" thickBot="1">
      <c r="B17" s="140" t="s">
        <v>142</v>
      </c>
      <c r="C17" s="23">
        <v>804000</v>
      </c>
      <c r="D17" s="23" t="s">
        <v>87</v>
      </c>
      <c r="E17" s="191">
        <v>21308662.32</v>
      </c>
      <c r="F17" s="205"/>
      <c r="G17" s="203"/>
      <c r="H17" s="202"/>
      <c r="I17" s="204"/>
      <c r="K17" s="20" t="s">
        <v>29</v>
      </c>
      <c r="L17" s="115">
        <f>SUM(L10:L16)</f>
        <v>31278275</v>
      </c>
      <c r="M17" s="3"/>
      <c r="N17" s="18">
        <f>SUM(N10:N16)</f>
        <v>2756186.8532700003</v>
      </c>
      <c r="O17" s="21"/>
      <c r="P17" s="114">
        <f>P15-P16</f>
        <v>0</v>
      </c>
      <c r="Q17" s="12" t="s">
        <v>23</v>
      </c>
      <c r="R17" s="19"/>
    </row>
    <row r="18" spans="2:18" ht="15.6" customHeight="1" thickTop="1">
      <c r="B18" s="140" t="s">
        <v>143</v>
      </c>
      <c r="C18" s="23">
        <v>804010</v>
      </c>
      <c r="D18" s="23" t="s">
        <v>87</v>
      </c>
      <c r="E18" s="191">
        <v>25201.35</v>
      </c>
      <c r="F18" s="202"/>
      <c r="G18" s="203"/>
      <c r="H18" s="202"/>
      <c r="I18" s="204"/>
      <c r="K18" s="11"/>
      <c r="L18" s="157">
        <v>31278275</v>
      </c>
      <c r="M18" s="12"/>
      <c r="N18" s="117"/>
      <c r="O18" s="10"/>
      <c r="Q18" s="104"/>
      <c r="R18" s="19"/>
    </row>
    <row r="19" spans="2:18" ht="15.6" customHeight="1">
      <c r="B19" s="140" t="s">
        <v>144</v>
      </c>
      <c r="C19" s="23">
        <v>804017</v>
      </c>
      <c r="D19" s="23" t="s">
        <v>87</v>
      </c>
      <c r="E19" s="191">
        <v>76086.36</v>
      </c>
      <c r="F19" s="202"/>
      <c r="G19" s="203"/>
      <c r="H19" s="202"/>
      <c r="I19" s="204"/>
      <c r="K19" s="10"/>
      <c r="L19" s="218">
        <f>L17-L18</f>
        <v>0</v>
      </c>
      <c r="M19" s="12" t="s">
        <v>23</v>
      </c>
      <c r="N19" s="7"/>
      <c r="O19" s="16"/>
      <c r="P19" s="17"/>
      <c r="R19" s="19"/>
    </row>
    <row r="20" spans="2:18" ht="15.6" customHeight="1">
      <c r="B20" s="140" t="s">
        <v>145</v>
      </c>
      <c r="C20" s="23">
        <v>804018</v>
      </c>
      <c r="D20" s="23" t="s">
        <v>87</v>
      </c>
      <c r="E20" s="191">
        <v>15795.68</v>
      </c>
      <c r="F20" s="202"/>
      <c r="G20" s="203"/>
      <c r="H20" s="202"/>
      <c r="I20" s="204"/>
      <c r="K20" s="10"/>
      <c r="M20" s="12"/>
      <c r="N20" s="7"/>
      <c r="O20" s="16"/>
      <c r="P20" s="17"/>
      <c r="R20" s="7"/>
    </row>
    <row r="21" spans="2:18" ht="15.6" customHeight="1">
      <c r="B21" s="140" t="s">
        <v>146</v>
      </c>
      <c r="C21" s="23">
        <v>804600</v>
      </c>
      <c r="D21" s="23" t="s">
        <v>87</v>
      </c>
      <c r="E21" s="191">
        <v>-659869.35</v>
      </c>
      <c r="F21" s="202"/>
      <c r="G21" s="203"/>
      <c r="H21" s="202"/>
      <c r="I21" s="204"/>
      <c r="K21" s="10"/>
      <c r="M21" s="12"/>
      <c r="N21" s="7"/>
      <c r="O21" s="16"/>
      <c r="P21" s="17"/>
      <c r="R21" s="7"/>
    </row>
    <row r="22" spans="2:18" ht="15.6" customHeight="1">
      <c r="B22" s="140" t="s">
        <v>147</v>
      </c>
      <c r="C22" s="23">
        <v>804730</v>
      </c>
      <c r="D22" s="23" t="s">
        <v>87</v>
      </c>
      <c r="E22" s="191">
        <v>968817.96</v>
      </c>
      <c r="F22" s="202"/>
      <c r="G22" s="203"/>
      <c r="H22" s="202"/>
      <c r="I22" s="204"/>
      <c r="K22" s="20" t="s">
        <v>30</v>
      </c>
      <c r="N22" s="7"/>
      <c r="O22" s="20" t="s">
        <v>30</v>
      </c>
      <c r="P22" s="15"/>
      <c r="R22" s="7"/>
    </row>
    <row r="23" spans="2:18" ht="15.6" customHeight="1">
      <c r="B23" s="140" t="s">
        <v>148</v>
      </c>
      <c r="C23" s="23">
        <v>808100</v>
      </c>
      <c r="D23" s="23" t="s">
        <v>87</v>
      </c>
      <c r="E23" s="191">
        <v>7431177.4500000002</v>
      </c>
      <c r="F23" s="202"/>
      <c r="G23" s="203"/>
      <c r="H23" s="202"/>
      <c r="I23" s="204"/>
      <c r="K23" s="21" t="s">
        <v>10</v>
      </c>
      <c r="L23" s="221">
        <f>+L10</f>
        <v>19928457</v>
      </c>
      <c r="M23" s="156">
        <v>0.35372999999999999</v>
      </c>
      <c r="N23" s="136">
        <f>L23*M23</f>
        <v>7049293.09461</v>
      </c>
      <c r="O23" s="21" t="s">
        <v>10</v>
      </c>
      <c r="P23" s="221">
        <f>+P10</f>
        <v>10865050</v>
      </c>
      <c r="Q23" s="156">
        <v>0.34877000000000002</v>
      </c>
      <c r="R23" s="136">
        <f>P23*Q23</f>
        <v>3789403.4885000004</v>
      </c>
    </row>
    <row r="24" spans="2:18" ht="15.6" customHeight="1">
      <c r="B24" s="140" t="s">
        <v>149</v>
      </c>
      <c r="C24" s="23">
        <v>808200</v>
      </c>
      <c r="D24" s="23" t="s">
        <v>87</v>
      </c>
      <c r="E24" s="191">
        <v>-119915.77</v>
      </c>
      <c r="F24" s="202"/>
      <c r="G24" s="203"/>
      <c r="H24" s="202"/>
      <c r="I24" s="204"/>
      <c r="K24" s="21" t="s">
        <v>42</v>
      </c>
      <c r="L24" s="221">
        <f t="shared" ref="L24:L28" si="2">+L11</f>
        <v>60896</v>
      </c>
      <c r="M24" s="156">
        <f>M23</f>
        <v>0.35372999999999999</v>
      </c>
      <c r="N24" s="136">
        <f t="shared" ref="N24:N28" si="3">L24*M24</f>
        <v>21540.74208</v>
      </c>
      <c r="O24" s="21" t="s">
        <v>11</v>
      </c>
      <c r="P24" s="221">
        <f t="shared" ref="P24:P27" si="4">+P11</f>
        <v>2660161</v>
      </c>
      <c r="Q24" s="156">
        <f>Q23</f>
        <v>0.34877000000000002</v>
      </c>
      <c r="R24" s="136">
        <f t="shared" ref="R24:R27" si="5">P24*Q24</f>
        <v>927784.35197000008</v>
      </c>
    </row>
    <row r="25" spans="2:18" ht="15.6" customHeight="1">
      <c r="B25" s="140" t="s">
        <v>150</v>
      </c>
      <c r="C25" s="23">
        <v>811000</v>
      </c>
      <c r="D25" s="23" t="s">
        <v>87</v>
      </c>
      <c r="E25" s="191">
        <v>-49337.39</v>
      </c>
      <c r="F25" s="202"/>
      <c r="G25" s="203"/>
      <c r="H25" s="202"/>
      <c r="I25" s="204"/>
      <c r="K25" s="21" t="s">
        <v>11</v>
      </c>
      <c r="L25" s="221">
        <f t="shared" si="2"/>
        <v>7728313</v>
      </c>
      <c r="M25" s="156">
        <f t="shared" ref="M25:M28" si="6">M24</f>
        <v>0.35372999999999999</v>
      </c>
      <c r="N25" s="136">
        <f t="shared" si="3"/>
        <v>2733736.1574900001</v>
      </c>
      <c r="O25" s="21" t="s">
        <v>12</v>
      </c>
      <c r="P25" s="221">
        <f t="shared" si="4"/>
        <v>1166</v>
      </c>
      <c r="Q25" s="156">
        <f t="shared" ref="Q25:Q27" si="7">Q24</f>
        <v>0.34877000000000002</v>
      </c>
      <c r="R25" s="136">
        <f t="shared" si="5"/>
        <v>406.66582000000005</v>
      </c>
    </row>
    <row r="26" spans="2:18" ht="15.6" customHeight="1">
      <c r="B26" s="140" t="s">
        <v>151</v>
      </c>
      <c r="C26" s="23">
        <v>483000</v>
      </c>
      <c r="D26" s="23" t="s">
        <v>87</v>
      </c>
      <c r="E26" s="191">
        <v>-7616217.8200000003</v>
      </c>
      <c r="F26" s="205"/>
      <c r="G26" s="203"/>
      <c r="H26" s="202"/>
      <c r="I26" s="204"/>
      <c r="K26" s="21" t="s">
        <v>12</v>
      </c>
      <c r="L26" s="221">
        <f t="shared" si="2"/>
        <v>55024</v>
      </c>
      <c r="M26" s="156">
        <f t="shared" si="6"/>
        <v>0.35372999999999999</v>
      </c>
      <c r="N26" s="136">
        <f t="shared" si="3"/>
        <v>19463.639520000001</v>
      </c>
      <c r="O26" s="21" t="s">
        <v>13</v>
      </c>
      <c r="P26" s="221">
        <f t="shared" si="4"/>
        <v>0</v>
      </c>
      <c r="Q26" s="156">
        <f t="shared" si="7"/>
        <v>0.34877000000000002</v>
      </c>
      <c r="R26" s="136">
        <f t="shared" si="5"/>
        <v>0</v>
      </c>
    </row>
    <row r="27" spans="2:18" ht="15.6" customHeight="1">
      <c r="B27" s="140" t="s">
        <v>152</v>
      </c>
      <c r="C27" s="23">
        <v>483600</v>
      </c>
      <c r="D27" s="23" t="s">
        <v>87</v>
      </c>
      <c r="E27" s="191">
        <v>3887278.49</v>
      </c>
      <c r="F27" s="202"/>
      <c r="G27" s="203"/>
      <c r="H27" s="202"/>
      <c r="I27" s="204"/>
      <c r="K27" s="21" t="s">
        <v>13</v>
      </c>
      <c r="L27" s="221">
        <f t="shared" si="2"/>
        <v>0</v>
      </c>
      <c r="M27" s="156">
        <f t="shared" si="6"/>
        <v>0.35372999999999999</v>
      </c>
      <c r="N27" s="136">
        <f t="shared" si="3"/>
        <v>0</v>
      </c>
      <c r="O27" s="21" t="s">
        <v>14</v>
      </c>
      <c r="P27" s="221">
        <f t="shared" si="4"/>
        <v>0</v>
      </c>
      <c r="Q27" s="156">
        <f t="shared" si="7"/>
        <v>0.34877000000000002</v>
      </c>
      <c r="R27" s="136">
        <f t="shared" si="5"/>
        <v>0</v>
      </c>
    </row>
    <row r="28" spans="2:18" ht="15.6" customHeight="1" thickBot="1">
      <c r="B28" s="140" t="s">
        <v>153</v>
      </c>
      <c r="C28" s="23">
        <v>483730</v>
      </c>
      <c r="D28" s="23" t="s">
        <v>87</v>
      </c>
      <c r="E28" s="191">
        <v>-271324.55</v>
      </c>
      <c r="F28" s="202"/>
      <c r="G28" s="203"/>
      <c r="H28" s="202"/>
      <c r="I28" s="204"/>
      <c r="K28" s="21" t="s">
        <v>14</v>
      </c>
      <c r="L28" s="221">
        <f t="shared" si="2"/>
        <v>229126</v>
      </c>
      <c r="M28" s="156">
        <f t="shared" si="6"/>
        <v>0.35372999999999999</v>
      </c>
      <c r="N28" s="136">
        <f t="shared" si="3"/>
        <v>81048.739979999998</v>
      </c>
      <c r="O28" s="20" t="s">
        <v>31</v>
      </c>
      <c r="P28" s="115">
        <f>SUM(P23:P27)</f>
        <v>13526377</v>
      </c>
      <c r="Q28" s="116"/>
      <c r="R28" s="18">
        <f>SUM(R23:R27)</f>
        <v>4717594.5062899999</v>
      </c>
    </row>
    <row r="29" spans="2:18" ht="15.6" customHeight="1" thickTop="1" thickBot="1">
      <c r="B29" s="140" t="s">
        <v>154</v>
      </c>
      <c r="C29" s="23">
        <v>495028</v>
      </c>
      <c r="D29" s="23" t="s">
        <v>87</v>
      </c>
      <c r="E29" s="191">
        <v>-468750</v>
      </c>
      <c r="F29" s="202"/>
      <c r="G29" s="203"/>
      <c r="H29" s="202"/>
      <c r="I29" s="204"/>
      <c r="K29" s="20" t="s">
        <v>31</v>
      </c>
      <c r="L29" s="115">
        <f>SUM(L23:L28)</f>
        <v>28001816</v>
      </c>
      <c r="M29" s="116"/>
      <c r="N29" s="123">
        <f>SUM(N23:N28)</f>
        <v>9905082.3736800011</v>
      </c>
      <c r="O29" s="20"/>
      <c r="P29" s="157">
        <v>13526377</v>
      </c>
      <c r="Q29" s="12"/>
      <c r="R29" s="120"/>
    </row>
    <row r="30" spans="2:18" ht="15.6" customHeight="1" thickTop="1">
      <c r="B30" s="140" t="s">
        <v>86</v>
      </c>
      <c r="C30" s="23">
        <v>495100</v>
      </c>
      <c r="D30" s="23" t="s">
        <v>87</v>
      </c>
      <c r="E30" s="191">
        <v>0</v>
      </c>
      <c r="F30" s="206"/>
      <c r="G30" s="207"/>
      <c r="H30" s="206"/>
      <c r="I30" s="208"/>
      <c r="K30" s="11"/>
      <c r="L30" s="157">
        <v>28001816</v>
      </c>
      <c r="M30" s="12"/>
      <c r="N30" s="124"/>
      <c r="O30" s="20"/>
      <c r="P30" s="114">
        <f>P28-P29</f>
        <v>0</v>
      </c>
      <c r="Q30" s="12" t="s">
        <v>23</v>
      </c>
      <c r="R30" s="19"/>
    </row>
    <row r="31" spans="2:18" ht="15.6" customHeight="1" thickBot="1">
      <c r="B31" s="11" t="s">
        <v>26</v>
      </c>
      <c r="C31" s="23"/>
      <c r="D31" s="23"/>
      <c r="E31" s="193">
        <f>-E13</f>
        <v>37997.24</v>
      </c>
      <c r="F31" s="202"/>
      <c r="G31" s="203"/>
      <c r="H31" s="202"/>
      <c r="I31" s="204"/>
      <c r="K31" s="13"/>
      <c r="L31" s="121">
        <f>L29-L30</f>
        <v>0</v>
      </c>
      <c r="M31" s="14" t="s">
        <v>23</v>
      </c>
      <c r="N31" s="122"/>
      <c r="O31" s="125"/>
      <c r="P31" s="126"/>
      <c r="Q31" s="127"/>
      <c r="R31" s="128"/>
    </row>
    <row r="32" spans="2:18" ht="15.6" customHeight="1" thickBot="1">
      <c r="B32" s="147" t="s">
        <v>27</v>
      </c>
      <c r="E32" s="192">
        <f>SUM(E17:E31)</f>
        <v>24565601.969999999</v>
      </c>
      <c r="F32" s="209"/>
      <c r="G32" s="183">
        <f>E32*G8</f>
        <v>16564585.408371</v>
      </c>
      <c r="H32" s="112"/>
      <c r="I32" s="173">
        <f>E32*I8</f>
        <v>8001016.5616289992</v>
      </c>
    </row>
    <row r="33" spans="2:16" ht="15.6" customHeight="1">
      <c r="B33" s="140" t="s">
        <v>85</v>
      </c>
      <c r="C33" s="23">
        <v>495100</v>
      </c>
      <c r="D33" s="1" t="s">
        <v>92</v>
      </c>
      <c r="E33" s="191">
        <v>0</v>
      </c>
      <c r="F33" s="206"/>
      <c r="G33" s="183">
        <f>E33</f>
        <v>0</v>
      </c>
      <c r="H33" s="112"/>
      <c r="I33" s="173"/>
      <c r="K33" s="159" t="s">
        <v>19</v>
      </c>
      <c r="L33" s="4" t="s">
        <v>8</v>
      </c>
      <c r="M33" s="4" t="s">
        <v>8</v>
      </c>
      <c r="N33" s="4" t="s">
        <v>16</v>
      </c>
      <c r="O33" s="4" t="s">
        <v>16</v>
      </c>
      <c r="P33" s="160"/>
    </row>
    <row r="34" spans="2:16" ht="15.6" customHeight="1" thickBot="1">
      <c r="B34" s="151" t="s">
        <v>84</v>
      </c>
      <c r="C34" s="23">
        <v>495100</v>
      </c>
      <c r="D34" s="1" t="s">
        <v>93</v>
      </c>
      <c r="E34" s="191">
        <v>0</v>
      </c>
      <c r="F34" s="206"/>
      <c r="G34" s="183"/>
      <c r="H34" s="112"/>
      <c r="I34" s="173">
        <f>E34</f>
        <v>0</v>
      </c>
      <c r="K34" s="147"/>
      <c r="L34" s="8" t="s">
        <v>2</v>
      </c>
      <c r="M34" s="8" t="s">
        <v>1</v>
      </c>
      <c r="N34" s="8" t="s">
        <v>2</v>
      </c>
      <c r="O34" s="8" t="s">
        <v>1</v>
      </c>
      <c r="P34" s="169" t="s">
        <v>97</v>
      </c>
    </row>
    <row r="35" spans="2:16" ht="15.6" customHeight="1">
      <c r="B35" s="11" t="s">
        <v>94</v>
      </c>
      <c r="C35" s="23">
        <v>804000</v>
      </c>
      <c r="D35" s="1" t="s">
        <v>92</v>
      </c>
      <c r="E35" s="191">
        <v>143815.22</v>
      </c>
      <c r="F35" s="202"/>
      <c r="G35" s="183">
        <f>E35</f>
        <v>143815.22</v>
      </c>
      <c r="H35" s="112"/>
      <c r="I35" s="173"/>
      <c r="K35" s="10" t="s">
        <v>99</v>
      </c>
      <c r="L35" s="113">
        <f>$F$39</f>
        <v>1502110.080935</v>
      </c>
      <c r="M35" s="113">
        <f>G39</f>
        <v>16708400.628371</v>
      </c>
      <c r="N35" s="113">
        <f>$H$39</f>
        <v>692353.14906500001</v>
      </c>
      <c r="O35" s="113">
        <f>I39</f>
        <v>8065656.401628999</v>
      </c>
      <c r="P35" s="168">
        <f>SUM(L35:O35)-E39</f>
        <v>0</v>
      </c>
    </row>
    <row r="36" spans="2:16" ht="15.6" customHeight="1" thickBot="1">
      <c r="B36" s="11" t="s">
        <v>95</v>
      </c>
      <c r="C36" s="23">
        <v>804000</v>
      </c>
      <c r="D36" s="1" t="s">
        <v>93</v>
      </c>
      <c r="E36" s="191">
        <v>64639.839999999997</v>
      </c>
      <c r="F36" s="202"/>
      <c r="G36" s="183"/>
      <c r="H36" s="112"/>
      <c r="I36" s="173">
        <f>E36</f>
        <v>64639.839999999997</v>
      </c>
      <c r="K36" s="10" t="s">
        <v>102</v>
      </c>
      <c r="L36" s="158">
        <f>-$N$17</f>
        <v>-2756186.8532700003</v>
      </c>
      <c r="M36" s="158">
        <f>-N29</f>
        <v>-9905082.3736800011</v>
      </c>
      <c r="N36" s="158">
        <f>-$R$15</f>
        <v>-1244156.15646</v>
      </c>
      <c r="O36" s="158">
        <f>-R28</f>
        <v>-4717594.5062899999</v>
      </c>
      <c r="P36" s="168">
        <f>SUM(L36:O36)+N17+N29+R15+R28</f>
        <v>0</v>
      </c>
    </row>
    <row r="37" spans="2:16" ht="15.6" customHeight="1" thickBot="1">
      <c r="B37" s="147" t="s">
        <v>105</v>
      </c>
      <c r="C37" s="23"/>
      <c r="E37" s="192">
        <f>SUM(E32:E36)</f>
        <v>24774057.029999997</v>
      </c>
      <c r="F37" s="184"/>
      <c r="G37" s="186"/>
      <c r="H37" s="184"/>
      <c r="I37" s="150"/>
      <c r="K37" s="147" t="s">
        <v>100</v>
      </c>
      <c r="L37" s="118">
        <f t="shared" ref="L37:O37" si="8">SUM(L35:L36)</f>
        <v>-1254076.7723350003</v>
      </c>
      <c r="M37" s="118">
        <f>SUM(M35:M36)</f>
        <v>6803318.2546909992</v>
      </c>
      <c r="N37" s="118">
        <f t="shared" si="8"/>
        <v>-551803.00739499996</v>
      </c>
      <c r="O37" s="118">
        <f t="shared" si="8"/>
        <v>3348061.8953389991</v>
      </c>
      <c r="P37" s="161"/>
    </row>
    <row r="38" spans="2:16" ht="15.6" customHeight="1" thickBot="1">
      <c r="B38" s="10"/>
      <c r="C38" s="6"/>
      <c r="D38" s="6"/>
      <c r="E38" s="195"/>
      <c r="F38" s="187"/>
      <c r="G38" s="188"/>
      <c r="H38" s="187"/>
      <c r="I38" s="152"/>
      <c r="K38" s="162"/>
      <c r="L38" s="132"/>
      <c r="M38" s="3"/>
      <c r="O38" s="165"/>
      <c r="P38" s="163"/>
    </row>
    <row r="39" spans="2:16" ht="15.6" customHeight="1" thickBot="1">
      <c r="B39" s="153" t="s">
        <v>96</v>
      </c>
      <c r="C39" s="154"/>
      <c r="D39" s="154"/>
      <c r="E39" s="192">
        <f>E37+E14</f>
        <v>26968520.259999998</v>
      </c>
      <c r="F39" s="197">
        <f>SUM(F14:F37)</f>
        <v>1502110.080935</v>
      </c>
      <c r="G39" s="198">
        <f t="shared" ref="G39:I39" si="9">SUM(G14:G37)</f>
        <v>16708400.628371</v>
      </c>
      <c r="H39" s="197">
        <f t="shared" si="9"/>
        <v>692353.14906500001</v>
      </c>
      <c r="I39" s="155">
        <f t="shared" si="9"/>
        <v>8065656.401628999</v>
      </c>
      <c r="K39" s="164"/>
      <c r="L39" s="166" t="s">
        <v>36</v>
      </c>
      <c r="M39" s="127">
        <f>SUM(L37:M37)</f>
        <v>5549241.4823559988</v>
      </c>
      <c r="N39" s="167" t="s">
        <v>37</v>
      </c>
      <c r="O39" s="127">
        <f>SUM(N37:O37)</f>
        <v>2796258.8879439989</v>
      </c>
      <c r="P39" s="25"/>
    </row>
    <row r="40" spans="2:16" ht="15.6" customHeight="1">
      <c r="C40" s="6"/>
      <c r="D40" s="6"/>
      <c r="E40" s="103"/>
      <c r="F40" s="103"/>
      <c r="G40" s="103"/>
      <c r="H40" s="103"/>
      <c r="I40" s="103"/>
      <c r="M40" s="24"/>
    </row>
    <row r="41" spans="2:16" ht="15.6" customHeight="1">
      <c r="B41" s="213" t="s">
        <v>107</v>
      </c>
      <c r="C41" s="212"/>
      <c r="D41" s="6" t="s">
        <v>106</v>
      </c>
      <c r="E41" s="220">
        <v>26968520.260000002</v>
      </c>
      <c r="F41" s="103"/>
      <c r="G41" s="103"/>
      <c r="H41" s="103"/>
      <c r="I41" s="103"/>
      <c r="P41" s="2"/>
    </row>
    <row r="42" spans="2:16" ht="15.6" customHeight="1">
      <c r="B42" s="145"/>
      <c r="C42" s="145"/>
      <c r="D42" s="6" t="s">
        <v>34</v>
      </c>
      <c r="E42" s="112">
        <f>ROUND(E39-E41,2)</f>
        <v>0</v>
      </c>
      <c r="F42" s="130"/>
      <c r="G42" s="130"/>
      <c r="H42" s="130"/>
      <c r="I42" s="130"/>
    </row>
    <row r="43" spans="2:16" ht="15.6" customHeight="1">
      <c r="B43" s="145"/>
      <c r="C43" s="145"/>
      <c r="E43" s="130"/>
      <c r="F43" s="130"/>
      <c r="G43" s="130"/>
      <c r="H43" s="130"/>
      <c r="I43" s="130"/>
    </row>
    <row r="44" spans="2:16" ht="15.6" customHeight="1" thickBot="1">
      <c r="B44" s="145"/>
      <c r="C44" s="145"/>
      <c r="E44" s="130"/>
      <c r="F44" s="130"/>
      <c r="G44" s="130"/>
      <c r="H44" s="130"/>
      <c r="I44" s="130"/>
    </row>
    <row r="45" spans="2:16" ht="15.6" customHeight="1" thickBot="1">
      <c r="B45" s="145"/>
      <c r="C45" s="145"/>
      <c r="E45" s="234" t="s">
        <v>98</v>
      </c>
      <c r="F45" s="235"/>
      <c r="G45" s="130"/>
      <c r="H45" s="130"/>
      <c r="I45" s="130"/>
    </row>
    <row r="46" spans="2:16" ht="15.6" customHeight="1">
      <c r="B46" s="145"/>
      <c r="C46" s="145"/>
      <c r="E46" s="140" t="s">
        <v>38</v>
      </c>
      <c r="F46" s="171" t="s">
        <v>39</v>
      </c>
      <c r="G46" s="130"/>
      <c r="H46" s="130"/>
      <c r="I46" s="130"/>
    </row>
    <row r="47" spans="2:16" ht="15.75" thickBot="1">
      <c r="E47" s="172" t="e">
        <f>SUM('191010 WA DEF'!E36:E45)+SUM('191000 WA Amort'!H36:H45)+SUM(#REF!)+SUM(#REF!)-0.01</f>
        <v>#REF!</v>
      </c>
      <c r="F47" s="170" t="e">
        <f>-E47</f>
        <v>#REF!</v>
      </c>
    </row>
    <row r="48" spans="2:16">
      <c r="E48" s="215"/>
      <c r="F48" s="215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1387" spans="1:20">
      <c r="T1387" s="5"/>
    </row>
    <row r="1388" spans="1:20" s="5" customFormat="1">
      <c r="A1388" s="1"/>
      <c r="B1388" s="1"/>
      <c r="C1388" s="1"/>
      <c r="D1388" s="1">
        <v>-2130</v>
      </c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T1388" s="1"/>
    </row>
    <row r="1395" spans="1:20">
      <c r="T1395" s="5"/>
    </row>
    <row r="1396" spans="1:20" s="5" customFormat="1">
      <c r="A1396" s="1"/>
      <c r="B1396" s="1"/>
      <c r="C1396" s="1"/>
      <c r="D1396" s="1">
        <f>7004298-2130</f>
        <v>7002168</v>
      </c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T1396" s="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55" priority="26" operator="equal">
      <formula>"ERROR"</formula>
    </cfRule>
  </conditionalFormatting>
  <conditionalFormatting sqref="E42">
    <cfRule type="cellIs" dxfId="154" priority="1" stopIfTrue="1" operator="equal">
      <formula>0</formula>
    </cfRule>
    <cfRule type="cellIs" dxfId="153" priority="2" stopIfTrue="1" operator="notEqual">
      <formula>0</formula>
    </cfRule>
    <cfRule type="cellIs" dxfId="152" priority="3" stopIfTrue="1" operator="equal">
      <formula>0</formula>
    </cfRule>
    <cfRule type="cellIs" dxfId="151" priority="4" stopIfTrue="1" operator="notEqual">
      <formula>0</formula>
    </cfRule>
  </conditionalFormatting>
  <conditionalFormatting sqref="L19">
    <cfRule type="cellIs" dxfId="150" priority="21" stopIfTrue="1" operator="equal">
      <formula>0</formula>
    </cfRule>
    <cfRule type="cellIs" dxfId="149" priority="22" stopIfTrue="1" operator="notEqual">
      <formula>0</formula>
    </cfRule>
    <cfRule type="cellIs" dxfId="148" priority="23" stopIfTrue="1" operator="equal">
      <formula>0</formula>
    </cfRule>
    <cfRule type="cellIs" dxfId="147" priority="24" stopIfTrue="1" operator="notEqual">
      <formula>0</formula>
    </cfRule>
  </conditionalFormatting>
  <conditionalFormatting sqref="L31">
    <cfRule type="cellIs" dxfId="146" priority="17" stopIfTrue="1" operator="equal">
      <formula>0</formula>
    </cfRule>
    <cfRule type="cellIs" dxfId="145" priority="18" stopIfTrue="1" operator="notEqual">
      <formula>0</formula>
    </cfRule>
    <cfRule type="cellIs" dxfId="144" priority="19" stopIfTrue="1" operator="equal">
      <formula>0</formula>
    </cfRule>
    <cfRule type="cellIs" dxfId="143" priority="20" stopIfTrue="1" operator="notEqual">
      <formula>0</formula>
    </cfRule>
  </conditionalFormatting>
  <conditionalFormatting sqref="P17">
    <cfRule type="cellIs" dxfId="142" priority="13" stopIfTrue="1" operator="equal">
      <formula>0</formula>
    </cfRule>
    <cfRule type="cellIs" dxfId="141" priority="14" stopIfTrue="1" operator="notEqual">
      <formula>0</formula>
    </cfRule>
    <cfRule type="cellIs" dxfId="140" priority="15" stopIfTrue="1" operator="equal">
      <formula>0</formula>
    </cfRule>
    <cfRule type="cellIs" dxfId="139" priority="16" stopIfTrue="1" operator="notEqual">
      <formula>0</formula>
    </cfRule>
  </conditionalFormatting>
  <conditionalFormatting sqref="P30">
    <cfRule type="cellIs" dxfId="138" priority="9" stopIfTrue="1" operator="equal">
      <formula>0</formula>
    </cfRule>
    <cfRule type="cellIs" dxfId="137" priority="10" stopIfTrue="1" operator="notEqual">
      <formula>0</formula>
    </cfRule>
    <cfRule type="cellIs" dxfId="136" priority="11" stopIfTrue="1" operator="equal">
      <formula>0</formula>
    </cfRule>
    <cfRule type="cellIs" dxfId="135" priority="12" stopIfTrue="1" operator="notEqual">
      <formula>0</formula>
    </cfRule>
  </conditionalFormatting>
  <conditionalFormatting sqref="P31">
    <cfRule type="cellIs" dxfId="134" priority="25" operator="notEqual">
      <formula>0</formula>
    </cfRule>
  </conditionalFormatting>
  <conditionalFormatting sqref="P35:P36">
    <cfRule type="cellIs" dxfId="133" priority="5" stopIfTrue="1" operator="equal">
      <formula>0</formula>
    </cfRule>
    <cfRule type="cellIs" dxfId="132" priority="6" stopIfTrue="1" operator="notEqual">
      <formula>0</formula>
    </cfRule>
    <cfRule type="cellIs" dxfId="131" priority="7" stopIfTrue="1" operator="equal">
      <formula>0</formula>
    </cfRule>
    <cfRule type="cellIs" dxfId="130" priority="8" stopIfTrue="1" operator="notEqual">
      <formula>0</formula>
    </cfRule>
  </conditionalFormatting>
  <printOptions horizontalCentered="1"/>
  <pageMargins left="0.1" right="0.1" top="0.5" bottom="0.5" header="0.3" footer="0.3"/>
  <pageSetup scale="42" orientation="landscape" r:id="rId1"/>
  <headerFooter>
    <oddFooter>&amp;R&amp;Z&amp;F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4F0C4-82AE-43D3-9BDC-F3F60BA78872}">
  <sheetPr>
    <pageSetUpPr fitToPage="1"/>
  </sheetPr>
  <dimension ref="A1:T1396"/>
  <sheetViews>
    <sheetView zoomScale="50" zoomScaleNormal="50" workbookViewId="0">
      <selection activeCell="I51" activeCellId="2" sqref="E48 F52 I51"/>
    </sheetView>
  </sheetViews>
  <sheetFormatPr defaultColWidth="16" defaultRowHeight="15"/>
  <cols>
    <col min="1" max="1" width="2.85546875" style="1" customWidth="1"/>
    <col min="2" max="2" width="48.7109375" style="1" bestFit="1" customWidth="1"/>
    <col min="3" max="3" width="11.5703125" style="1" customWidth="1"/>
    <col min="4" max="4" width="10.7109375" style="1" customWidth="1"/>
    <col min="5" max="5" width="25.140625" style="5" bestFit="1" customWidth="1"/>
    <col min="6" max="6" width="18.28515625" style="1" bestFit="1" customWidth="1"/>
    <col min="7" max="7" width="19.7109375" style="1" bestFit="1" customWidth="1"/>
    <col min="8" max="9" width="18.28515625" style="1" bestFit="1" customWidth="1"/>
    <col min="10" max="10" width="4.85546875" style="1" bestFit="1" customWidth="1"/>
    <col min="11" max="11" width="29" style="1" bestFit="1" customWidth="1"/>
    <col min="12" max="12" width="22.5703125" style="1" bestFit="1" customWidth="1"/>
    <col min="13" max="13" width="24.42578125" style="1" bestFit="1" customWidth="1"/>
    <col min="14" max="14" width="24" style="1" bestFit="1" customWidth="1"/>
    <col min="15" max="15" width="24.140625" style="1" bestFit="1" customWidth="1"/>
    <col min="16" max="17" width="18.140625" style="1" customWidth="1"/>
    <col min="18" max="18" width="23" style="1" bestFit="1" customWidth="1"/>
    <col min="19" max="19" width="5.140625" style="1" customWidth="1"/>
    <col min="20" max="20" width="41.5703125" style="1" bestFit="1" customWidth="1"/>
    <col min="21" max="16384" width="16" style="1"/>
  </cols>
  <sheetData>
    <row r="1" spans="2:20" ht="18">
      <c r="B1" s="141" t="s">
        <v>103</v>
      </c>
      <c r="C1" s="142">
        <v>202303</v>
      </c>
      <c r="D1" s="219"/>
      <c r="E1" s="105"/>
      <c r="F1" s="105"/>
      <c r="G1" s="105"/>
      <c r="H1" s="105"/>
      <c r="I1" s="105"/>
      <c r="K1" s="137" t="s">
        <v>88</v>
      </c>
      <c r="L1" s="143" t="s">
        <v>89</v>
      </c>
      <c r="N1" s="236"/>
      <c r="O1" s="236"/>
      <c r="T1" s="216" t="s">
        <v>108</v>
      </c>
    </row>
    <row r="2" spans="2:20" ht="15.6" customHeight="1">
      <c r="D2" s="105"/>
      <c r="E2" s="105"/>
      <c r="F2" s="105"/>
      <c r="G2" s="105"/>
      <c r="H2" s="105"/>
      <c r="I2" s="105"/>
      <c r="K2" s="138"/>
      <c r="L2" s="139" t="s">
        <v>90</v>
      </c>
      <c r="N2" s="145"/>
      <c r="O2" s="145"/>
      <c r="T2" s="217" t="s">
        <v>109</v>
      </c>
    </row>
    <row r="3" spans="2:20" ht="15.6" customHeight="1">
      <c r="D3" s="105"/>
      <c r="E3" s="105"/>
      <c r="F3" s="105"/>
      <c r="G3" s="105"/>
      <c r="H3" s="105"/>
      <c r="I3" s="105"/>
      <c r="K3" s="138"/>
      <c r="L3" s="144"/>
      <c r="N3" s="215"/>
      <c r="O3" s="215"/>
      <c r="T3" s="217" t="s">
        <v>110</v>
      </c>
    </row>
    <row r="4" spans="2:20" ht="15.6" customHeight="1" thickBot="1">
      <c r="D4" s="105"/>
      <c r="E4" s="105"/>
      <c r="F4" s="105"/>
      <c r="G4" s="105"/>
      <c r="H4" s="105"/>
      <c r="I4" s="105"/>
      <c r="K4" s="138"/>
      <c r="L4" s="144"/>
      <c r="T4" s="217" t="s">
        <v>111</v>
      </c>
    </row>
    <row r="5" spans="2:20" ht="15.6" customHeight="1" thickBot="1">
      <c r="B5" s="146"/>
      <c r="C5" s="9"/>
      <c r="D5" s="9"/>
      <c r="E5" s="196" t="s">
        <v>17</v>
      </c>
      <c r="F5" s="237" t="s">
        <v>32</v>
      </c>
      <c r="G5" s="238"/>
      <c r="H5" s="237" t="s">
        <v>33</v>
      </c>
      <c r="I5" s="239"/>
      <c r="K5" s="240" t="s">
        <v>32</v>
      </c>
      <c r="L5" s="241"/>
      <c r="M5" s="241"/>
      <c r="N5" s="242"/>
      <c r="O5" s="240" t="s">
        <v>33</v>
      </c>
      <c r="P5" s="241"/>
      <c r="Q5" s="241"/>
      <c r="R5" s="242"/>
      <c r="T5" s="217" t="s">
        <v>112</v>
      </c>
    </row>
    <row r="6" spans="2:20" ht="15.6" customHeight="1" thickBot="1">
      <c r="B6" s="147" t="s">
        <v>18</v>
      </c>
      <c r="E6" s="189" t="s">
        <v>101</v>
      </c>
      <c r="F6" s="176" t="s">
        <v>2</v>
      </c>
      <c r="G6" s="177" t="s">
        <v>1</v>
      </c>
      <c r="H6" s="176" t="s">
        <v>2</v>
      </c>
      <c r="I6" s="175" t="s">
        <v>1</v>
      </c>
      <c r="K6" s="108" t="s">
        <v>24</v>
      </c>
      <c r="L6" s="106" t="s">
        <v>6</v>
      </c>
      <c r="M6" s="106" t="s">
        <v>6</v>
      </c>
      <c r="N6" s="106" t="s">
        <v>6</v>
      </c>
      <c r="O6" s="108" t="s">
        <v>24</v>
      </c>
      <c r="P6" s="106" t="s">
        <v>6</v>
      </c>
      <c r="Q6" s="106" t="s">
        <v>6</v>
      </c>
      <c r="R6" s="134" t="s">
        <v>6</v>
      </c>
      <c r="T6" s="217" t="s">
        <v>113</v>
      </c>
    </row>
    <row r="7" spans="2:20" ht="15.6" customHeight="1" thickBot="1">
      <c r="B7" s="10"/>
      <c r="E7" s="190"/>
      <c r="F7" s="178"/>
      <c r="G7" s="179"/>
      <c r="H7" s="178"/>
      <c r="I7" s="7"/>
      <c r="K7" s="109" t="s">
        <v>35</v>
      </c>
      <c r="L7" s="107" t="s">
        <v>22</v>
      </c>
      <c r="M7" s="107" t="s">
        <v>9</v>
      </c>
      <c r="N7" s="107" t="s">
        <v>7</v>
      </c>
      <c r="O7" s="109" t="s">
        <v>35</v>
      </c>
      <c r="P7" s="107" t="s">
        <v>22</v>
      </c>
      <c r="Q7" s="107" t="s">
        <v>9</v>
      </c>
      <c r="R7" s="107" t="s">
        <v>7</v>
      </c>
      <c r="T7" s="217" t="s">
        <v>114</v>
      </c>
    </row>
    <row r="8" spans="2:20" ht="15.6" customHeight="1">
      <c r="B8" s="10"/>
      <c r="E8" s="210">
        <f>F8+H8</f>
        <v>1</v>
      </c>
      <c r="F8" s="180">
        <v>0.6845</v>
      </c>
      <c r="G8" s="181">
        <f>ROUND($L$29/($L$29+$P$28),4)</f>
        <v>0.66879999999999995</v>
      </c>
      <c r="H8" s="180">
        <v>0.3155</v>
      </c>
      <c r="I8" s="148">
        <f>1-G8</f>
        <v>0.33120000000000005</v>
      </c>
      <c r="J8" s="211"/>
      <c r="K8" s="10"/>
      <c r="L8" s="2"/>
      <c r="M8" s="2"/>
      <c r="N8" s="134"/>
      <c r="O8" s="110"/>
      <c r="P8" s="111"/>
      <c r="Q8" s="111"/>
      <c r="R8" s="22"/>
      <c r="T8" s="217" t="s">
        <v>115</v>
      </c>
    </row>
    <row r="9" spans="2:20" ht="15.6" customHeight="1">
      <c r="B9" s="10"/>
      <c r="E9" s="190"/>
      <c r="F9" s="178"/>
      <c r="G9" s="179"/>
      <c r="H9" s="178"/>
      <c r="I9" s="7"/>
      <c r="K9" s="20" t="s">
        <v>28</v>
      </c>
      <c r="N9" s="7"/>
      <c r="O9" s="20" t="s">
        <v>28</v>
      </c>
      <c r="R9" s="7"/>
    </row>
    <row r="10" spans="2:20" ht="15.6" customHeight="1">
      <c r="B10" s="140" t="s">
        <v>155</v>
      </c>
      <c r="C10" s="23">
        <v>804001</v>
      </c>
      <c r="D10" s="23" t="s">
        <v>87</v>
      </c>
      <c r="E10" s="191">
        <v>2344809.56</v>
      </c>
      <c r="F10" s="182"/>
      <c r="G10" s="183"/>
      <c r="H10" s="182"/>
      <c r="I10" s="173"/>
      <c r="K10" s="21" t="s">
        <v>10</v>
      </c>
      <c r="L10" s="228">
        <v>16463840</v>
      </c>
      <c r="M10" s="156">
        <v>0.10111000000000001</v>
      </c>
      <c r="N10" s="136">
        <f t="shared" ref="N10:N16" si="0">L10*M10</f>
        <v>1664658.8624</v>
      </c>
      <c r="O10" s="21" t="s">
        <v>10</v>
      </c>
      <c r="P10" s="228">
        <v>8627125</v>
      </c>
      <c r="Q10" s="156">
        <v>9.1980000000000006E-2</v>
      </c>
      <c r="R10" s="136">
        <f>P10*Q10</f>
        <v>793522.95750000002</v>
      </c>
    </row>
    <row r="11" spans="2:20" ht="15.6" customHeight="1" thickBot="1">
      <c r="B11" s="140" t="s">
        <v>156</v>
      </c>
      <c r="C11" s="23">
        <v>804002</v>
      </c>
      <c r="D11" s="23" t="s">
        <v>87</v>
      </c>
      <c r="E11" s="191">
        <v>41758.32</v>
      </c>
      <c r="F11" s="182"/>
      <c r="G11" s="183"/>
      <c r="H11" s="182"/>
      <c r="I11" s="173"/>
      <c r="K11" s="21" t="s">
        <v>42</v>
      </c>
      <c r="L11" s="228">
        <v>55607</v>
      </c>
      <c r="M11" s="156">
        <v>0.10111000000000001</v>
      </c>
      <c r="N11" s="136">
        <f t="shared" si="0"/>
        <v>5622.4237700000003</v>
      </c>
      <c r="O11" s="21" t="s">
        <v>11</v>
      </c>
      <c r="P11" s="228">
        <v>3486138</v>
      </c>
      <c r="Q11" s="156">
        <f>Q10</f>
        <v>9.1980000000000006E-2</v>
      </c>
      <c r="R11" s="136">
        <f>P11*Q11</f>
        <v>320654.97324000002</v>
      </c>
    </row>
    <row r="12" spans="2:20" ht="15.6" customHeight="1" thickBot="1">
      <c r="B12" s="147" t="s">
        <v>91</v>
      </c>
      <c r="C12" s="3"/>
      <c r="D12" s="3"/>
      <c r="E12" s="192">
        <f>SUM(E10:E11)</f>
        <v>2386567.88</v>
      </c>
      <c r="F12" s="184"/>
      <c r="G12" s="185"/>
      <c r="H12" s="184"/>
      <c r="I12" s="174"/>
      <c r="K12" s="21" t="s">
        <v>11</v>
      </c>
      <c r="L12" s="228">
        <v>7564231</v>
      </c>
      <c r="M12" s="156">
        <v>9.2460000000000001E-2</v>
      </c>
      <c r="N12" s="136">
        <f t="shared" si="0"/>
        <v>699388.79825999995</v>
      </c>
      <c r="O12" s="21" t="s">
        <v>12</v>
      </c>
      <c r="P12" s="228">
        <v>1342</v>
      </c>
      <c r="Q12" s="156">
        <f t="shared" ref="Q12:Q14" si="1">Q11</f>
        <v>9.1980000000000006E-2</v>
      </c>
      <c r="R12" s="136">
        <f>P12*Q12</f>
        <v>123.43716000000001</v>
      </c>
    </row>
    <row r="13" spans="2:20" ht="15.6" customHeight="1" thickBot="1">
      <c r="B13" s="10" t="s">
        <v>25</v>
      </c>
      <c r="E13" s="193">
        <f>-E11</f>
        <v>-41758.32</v>
      </c>
      <c r="F13" s="182"/>
      <c r="G13" s="183"/>
      <c r="H13" s="182"/>
      <c r="I13" s="173"/>
      <c r="K13" s="21" t="s">
        <v>12</v>
      </c>
      <c r="L13" s="228">
        <v>33867</v>
      </c>
      <c r="M13" s="156">
        <v>9.2460000000000001E-2</v>
      </c>
      <c r="N13" s="136">
        <f t="shared" si="0"/>
        <v>3131.3428199999998</v>
      </c>
      <c r="O13" s="21" t="s">
        <v>13</v>
      </c>
      <c r="P13" s="228">
        <v>0</v>
      </c>
      <c r="Q13" s="156">
        <f t="shared" si="1"/>
        <v>9.1980000000000006E-2</v>
      </c>
      <c r="R13" s="136">
        <f>P13*Q13</f>
        <v>0</v>
      </c>
    </row>
    <row r="14" spans="2:20" ht="15.6" customHeight="1" thickBot="1">
      <c r="B14" s="147" t="s">
        <v>104</v>
      </c>
      <c r="C14" s="149"/>
      <c r="D14" s="149"/>
      <c r="E14" s="192">
        <f>SUM(E12:E13)</f>
        <v>2344809.56</v>
      </c>
      <c r="F14" s="199">
        <f>E14*F8</f>
        <v>1605022.1438200001</v>
      </c>
      <c r="G14" s="200"/>
      <c r="H14" s="199">
        <f>E14*H8</f>
        <v>739787.41618000006</v>
      </c>
      <c r="I14" s="201"/>
      <c r="K14" s="21" t="s">
        <v>13</v>
      </c>
      <c r="L14" s="228">
        <v>0</v>
      </c>
      <c r="M14" s="156">
        <v>5.9560000000000002E-2</v>
      </c>
      <c r="N14" s="136">
        <f t="shared" si="0"/>
        <v>0</v>
      </c>
      <c r="O14" s="21" t="s">
        <v>14</v>
      </c>
      <c r="P14" s="228">
        <v>0</v>
      </c>
      <c r="Q14" s="156">
        <f t="shared" si="1"/>
        <v>9.1980000000000006E-2</v>
      </c>
      <c r="R14" s="136">
        <f>P14*Q14</f>
        <v>0</v>
      </c>
    </row>
    <row r="15" spans="2:20" ht="15.6" customHeight="1" thickBot="1">
      <c r="B15" s="10"/>
      <c r="E15" s="194"/>
      <c r="F15" s="202"/>
      <c r="G15" s="203"/>
      <c r="H15" s="202"/>
      <c r="I15" s="204"/>
      <c r="K15" s="21" t="s">
        <v>14</v>
      </c>
      <c r="L15" s="228">
        <v>349483</v>
      </c>
      <c r="M15" s="156">
        <v>5.9560000000000002E-2</v>
      </c>
      <c r="N15" s="136">
        <f t="shared" si="0"/>
        <v>20815.207480000001</v>
      </c>
      <c r="O15" s="20" t="s">
        <v>29</v>
      </c>
      <c r="P15" s="115">
        <f>SUM(P10:P14)</f>
        <v>12114605</v>
      </c>
      <c r="Q15" s="116"/>
      <c r="R15" s="18">
        <f>SUM(R10:R14)</f>
        <v>1114301.3679</v>
      </c>
    </row>
    <row r="16" spans="2:20" ht="15.6" customHeight="1" thickTop="1">
      <c r="B16" s="10"/>
      <c r="E16" s="194"/>
      <c r="F16" s="202"/>
      <c r="G16" s="203"/>
      <c r="H16" s="202"/>
      <c r="I16" s="204"/>
      <c r="K16" s="21" t="s">
        <v>20</v>
      </c>
      <c r="L16" s="228">
        <v>3218328</v>
      </c>
      <c r="M16" s="156">
        <v>5.4000000000000001E-4</v>
      </c>
      <c r="N16" s="136">
        <f t="shared" si="0"/>
        <v>1737.8971200000001</v>
      </c>
      <c r="O16" s="21"/>
      <c r="P16" s="157">
        <v>12114605</v>
      </c>
      <c r="Q16" s="12"/>
      <c r="R16" s="117"/>
    </row>
    <row r="17" spans="2:18" ht="15.6" customHeight="1" thickBot="1">
      <c r="B17" s="140" t="s">
        <v>142</v>
      </c>
      <c r="C17" s="23">
        <v>804000</v>
      </c>
      <c r="D17" s="23" t="s">
        <v>87</v>
      </c>
      <c r="E17" s="191">
        <v>13781924.27</v>
      </c>
      <c r="F17" s="205"/>
      <c r="G17" s="203"/>
      <c r="H17" s="202"/>
      <c r="I17" s="204"/>
      <c r="K17" s="20" t="s">
        <v>29</v>
      </c>
      <c r="L17" s="115">
        <f>SUM(L10:L16)</f>
        <v>27685356</v>
      </c>
      <c r="M17" s="3"/>
      <c r="N17" s="18">
        <f>SUM(N10:N16)</f>
        <v>2395354.5318499994</v>
      </c>
      <c r="O17" s="21"/>
      <c r="P17" s="114">
        <f>P15-P16</f>
        <v>0</v>
      </c>
      <c r="Q17" s="12" t="s">
        <v>23</v>
      </c>
      <c r="R17" s="19"/>
    </row>
    <row r="18" spans="2:18" ht="15.6" customHeight="1" thickTop="1">
      <c r="B18" s="140" t="s">
        <v>143</v>
      </c>
      <c r="C18" s="23">
        <v>804010</v>
      </c>
      <c r="D18" s="23" t="s">
        <v>87</v>
      </c>
      <c r="E18" s="191">
        <v>-29595.08</v>
      </c>
      <c r="F18" s="202"/>
      <c r="G18" s="203"/>
      <c r="H18" s="202"/>
      <c r="I18" s="204"/>
      <c r="K18" s="11"/>
      <c r="L18" s="157">
        <v>27685356</v>
      </c>
      <c r="M18" s="12"/>
      <c r="N18" s="117"/>
      <c r="O18" s="10"/>
      <c r="Q18" s="104"/>
      <c r="R18" s="19"/>
    </row>
    <row r="19" spans="2:18" ht="15.6" customHeight="1">
      <c r="B19" s="140" t="s">
        <v>144</v>
      </c>
      <c r="C19" s="23">
        <v>804017</v>
      </c>
      <c r="D19" s="23" t="s">
        <v>87</v>
      </c>
      <c r="E19" s="191">
        <v>42914.06</v>
      </c>
      <c r="F19" s="202"/>
      <c r="G19" s="203"/>
      <c r="H19" s="202"/>
      <c r="I19" s="204"/>
      <c r="K19" s="10"/>
      <c r="L19" s="218">
        <f>L17-L18</f>
        <v>0</v>
      </c>
      <c r="M19" s="12" t="s">
        <v>23</v>
      </c>
      <c r="N19" s="7"/>
      <c r="O19" s="16"/>
      <c r="P19" s="17"/>
      <c r="R19" s="19"/>
    </row>
    <row r="20" spans="2:18" ht="15.6" customHeight="1">
      <c r="B20" s="140" t="s">
        <v>145</v>
      </c>
      <c r="C20" s="23">
        <v>804018</v>
      </c>
      <c r="D20" s="23" t="s">
        <v>87</v>
      </c>
      <c r="E20" s="191">
        <v>13734.06</v>
      </c>
      <c r="F20" s="202"/>
      <c r="G20" s="203"/>
      <c r="H20" s="202"/>
      <c r="I20" s="204"/>
      <c r="K20" s="10"/>
      <c r="M20" s="12"/>
      <c r="N20" s="7"/>
      <c r="O20" s="16"/>
      <c r="P20" s="17"/>
      <c r="R20" s="7"/>
    </row>
    <row r="21" spans="2:18" ht="15.6" customHeight="1">
      <c r="B21" s="140" t="s">
        <v>146</v>
      </c>
      <c r="C21" s="23">
        <v>804600</v>
      </c>
      <c r="D21" s="23" t="s">
        <v>87</v>
      </c>
      <c r="E21" s="191">
        <v>2340310.48</v>
      </c>
      <c r="F21" s="202"/>
      <c r="G21" s="203"/>
      <c r="H21" s="202"/>
      <c r="I21" s="204"/>
      <c r="K21" s="10"/>
      <c r="M21" s="12"/>
      <c r="N21" s="7"/>
      <c r="O21" s="16"/>
      <c r="P21" s="17"/>
      <c r="R21" s="7"/>
    </row>
    <row r="22" spans="2:18" ht="15.6" customHeight="1">
      <c r="B22" s="140" t="s">
        <v>147</v>
      </c>
      <c r="C22" s="23">
        <v>804730</v>
      </c>
      <c r="D22" s="23" t="s">
        <v>87</v>
      </c>
      <c r="E22" s="191">
        <v>79712</v>
      </c>
      <c r="F22" s="202"/>
      <c r="G22" s="203"/>
      <c r="H22" s="202"/>
      <c r="I22" s="204"/>
      <c r="K22" s="20" t="s">
        <v>30</v>
      </c>
      <c r="N22" s="7"/>
      <c r="O22" s="20" t="s">
        <v>30</v>
      </c>
      <c r="P22" s="15"/>
      <c r="R22" s="7"/>
    </row>
    <row r="23" spans="2:18" ht="15.6" customHeight="1">
      <c r="B23" s="140" t="s">
        <v>148</v>
      </c>
      <c r="C23" s="23">
        <v>808100</v>
      </c>
      <c r="D23" s="23" t="s">
        <v>87</v>
      </c>
      <c r="E23" s="191">
        <v>10104688.99</v>
      </c>
      <c r="F23" s="202"/>
      <c r="G23" s="203"/>
      <c r="H23" s="202"/>
      <c r="I23" s="204"/>
      <c r="K23" s="21" t="s">
        <v>10</v>
      </c>
      <c r="L23" s="221">
        <f>+L10</f>
        <v>16463840</v>
      </c>
      <c r="M23" s="156">
        <v>0.35372999999999999</v>
      </c>
      <c r="N23" s="136">
        <f>L23*M23</f>
        <v>5823754.1232000003</v>
      </c>
      <c r="O23" s="21" t="s">
        <v>10</v>
      </c>
      <c r="P23" s="221">
        <f>+P10</f>
        <v>8627125</v>
      </c>
      <c r="Q23" s="156">
        <v>0.34877000000000002</v>
      </c>
      <c r="R23" s="136">
        <f>P23*Q23</f>
        <v>3008882.38625</v>
      </c>
    </row>
    <row r="24" spans="2:18" ht="15.6" customHeight="1">
      <c r="B24" s="140" t="s">
        <v>149</v>
      </c>
      <c r="C24" s="23">
        <v>808200</v>
      </c>
      <c r="D24" s="23" t="s">
        <v>87</v>
      </c>
      <c r="E24" s="191">
        <v>-1221346.52</v>
      </c>
      <c r="F24" s="202"/>
      <c r="G24" s="203"/>
      <c r="H24" s="202"/>
      <c r="I24" s="204"/>
      <c r="K24" s="21" t="s">
        <v>42</v>
      </c>
      <c r="L24" s="221">
        <f t="shared" ref="L24:L28" si="2">+L11</f>
        <v>55607</v>
      </c>
      <c r="M24" s="156">
        <f>M23</f>
        <v>0.35372999999999999</v>
      </c>
      <c r="N24" s="136">
        <f t="shared" ref="N24:N28" si="3">L24*M24</f>
        <v>19669.864109999999</v>
      </c>
      <c r="O24" s="21" t="s">
        <v>11</v>
      </c>
      <c r="P24" s="221">
        <f t="shared" ref="P24:P27" si="4">+P11</f>
        <v>3486138</v>
      </c>
      <c r="Q24" s="156">
        <f>Q23</f>
        <v>0.34877000000000002</v>
      </c>
      <c r="R24" s="136">
        <f t="shared" ref="R24:R27" si="5">P24*Q24</f>
        <v>1215860.35026</v>
      </c>
    </row>
    <row r="25" spans="2:18" ht="15.6" customHeight="1">
      <c r="B25" s="140" t="s">
        <v>150</v>
      </c>
      <c r="C25" s="23">
        <v>811000</v>
      </c>
      <c r="D25" s="23" t="s">
        <v>87</v>
      </c>
      <c r="E25" s="191">
        <v>-48303.09</v>
      </c>
      <c r="F25" s="202"/>
      <c r="G25" s="203"/>
      <c r="H25" s="202"/>
      <c r="I25" s="204"/>
      <c r="K25" s="21" t="s">
        <v>11</v>
      </c>
      <c r="L25" s="221">
        <f t="shared" si="2"/>
        <v>7564231</v>
      </c>
      <c r="M25" s="156">
        <f t="shared" ref="M25:M28" si="6">M24</f>
        <v>0.35372999999999999</v>
      </c>
      <c r="N25" s="136">
        <f t="shared" si="3"/>
        <v>2675695.43163</v>
      </c>
      <c r="O25" s="21" t="s">
        <v>12</v>
      </c>
      <c r="P25" s="221">
        <f t="shared" si="4"/>
        <v>1342</v>
      </c>
      <c r="Q25" s="156">
        <f t="shared" ref="Q25:Q27" si="7">Q24</f>
        <v>0.34877000000000002</v>
      </c>
      <c r="R25" s="136">
        <f t="shared" si="5"/>
        <v>468.04934000000003</v>
      </c>
    </row>
    <row r="26" spans="2:18" ht="15.6" customHeight="1">
      <c r="B26" s="140" t="s">
        <v>151</v>
      </c>
      <c r="C26" s="23">
        <v>483000</v>
      </c>
      <c r="D26" s="23" t="s">
        <v>87</v>
      </c>
      <c r="E26" s="191">
        <v>-7594353.4000000004</v>
      </c>
      <c r="F26" s="205"/>
      <c r="G26" s="203"/>
      <c r="H26" s="202"/>
      <c r="I26" s="204"/>
      <c r="K26" s="21" t="s">
        <v>12</v>
      </c>
      <c r="L26" s="221">
        <f t="shared" si="2"/>
        <v>33867</v>
      </c>
      <c r="M26" s="156">
        <f t="shared" si="6"/>
        <v>0.35372999999999999</v>
      </c>
      <c r="N26" s="136">
        <f t="shared" si="3"/>
        <v>11979.77391</v>
      </c>
      <c r="O26" s="21" t="s">
        <v>13</v>
      </c>
      <c r="P26" s="221">
        <f t="shared" si="4"/>
        <v>0</v>
      </c>
      <c r="Q26" s="156">
        <f t="shared" si="7"/>
        <v>0.34877000000000002</v>
      </c>
      <c r="R26" s="136">
        <f t="shared" si="5"/>
        <v>0</v>
      </c>
    </row>
    <row r="27" spans="2:18" ht="15.6" customHeight="1">
      <c r="B27" s="140" t="s">
        <v>152</v>
      </c>
      <c r="C27" s="23">
        <v>483600</v>
      </c>
      <c r="D27" s="23" t="s">
        <v>87</v>
      </c>
      <c r="E27" s="191">
        <v>-2591898.38</v>
      </c>
      <c r="F27" s="202"/>
      <c r="G27" s="203"/>
      <c r="H27" s="202"/>
      <c r="I27" s="204"/>
      <c r="K27" s="21" t="s">
        <v>13</v>
      </c>
      <c r="L27" s="221">
        <f t="shared" si="2"/>
        <v>0</v>
      </c>
      <c r="M27" s="156">
        <f t="shared" si="6"/>
        <v>0.35372999999999999</v>
      </c>
      <c r="N27" s="136">
        <f t="shared" si="3"/>
        <v>0</v>
      </c>
      <c r="O27" s="21" t="s">
        <v>14</v>
      </c>
      <c r="P27" s="221">
        <f t="shared" si="4"/>
        <v>0</v>
      </c>
      <c r="Q27" s="156">
        <f t="shared" si="7"/>
        <v>0.34877000000000002</v>
      </c>
      <c r="R27" s="136">
        <f t="shared" si="5"/>
        <v>0</v>
      </c>
    </row>
    <row r="28" spans="2:18" ht="15.6" customHeight="1" thickBot="1">
      <c r="B28" s="140" t="s">
        <v>153</v>
      </c>
      <c r="C28" s="23">
        <v>483730</v>
      </c>
      <c r="D28" s="23" t="s">
        <v>87</v>
      </c>
      <c r="E28" s="191">
        <v>-1900440.17</v>
      </c>
      <c r="F28" s="202"/>
      <c r="G28" s="203"/>
      <c r="H28" s="202"/>
      <c r="I28" s="204"/>
      <c r="K28" s="21" t="s">
        <v>14</v>
      </c>
      <c r="L28" s="221">
        <f t="shared" si="2"/>
        <v>349483</v>
      </c>
      <c r="M28" s="156">
        <f t="shared" si="6"/>
        <v>0.35372999999999999</v>
      </c>
      <c r="N28" s="136">
        <f t="shared" si="3"/>
        <v>123622.62159</v>
      </c>
      <c r="O28" s="20" t="s">
        <v>31</v>
      </c>
      <c r="P28" s="115">
        <f>SUM(P23:P27)</f>
        <v>12114605</v>
      </c>
      <c r="Q28" s="116"/>
      <c r="R28" s="18">
        <f>SUM(R23:R27)</f>
        <v>4225210.7858500006</v>
      </c>
    </row>
    <row r="29" spans="2:18" ht="15.6" customHeight="1" thickTop="1" thickBot="1">
      <c r="B29" s="140" t="s">
        <v>154</v>
      </c>
      <c r="C29" s="23">
        <v>495028</v>
      </c>
      <c r="D29" s="23" t="s">
        <v>87</v>
      </c>
      <c r="E29" s="191">
        <v>-468750</v>
      </c>
      <c r="F29" s="202"/>
      <c r="G29" s="203"/>
      <c r="H29" s="202"/>
      <c r="I29" s="204"/>
      <c r="K29" s="20" t="s">
        <v>31</v>
      </c>
      <c r="L29" s="115">
        <f>SUM(L23:L28)</f>
        <v>24467028</v>
      </c>
      <c r="M29" s="116"/>
      <c r="N29" s="123">
        <f>SUM(N23:N28)</f>
        <v>8654721.8144400008</v>
      </c>
      <c r="O29" s="20"/>
      <c r="P29" s="157">
        <v>12114605</v>
      </c>
      <c r="Q29" s="12"/>
      <c r="R29" s="120"/>
    </row>
    <row r="30" spans="2:18" ht="15.6" customHeight="1" thickTop="1">
      <c r="B30" s="140" t="s">
        <v>86</v>
      </c>
      <c r="C30" s="23">
        <v>495100</v>
      </c>
      <c r="D30" s="23" t="s">
        <v>87</v>
      </c>
      <c r="E30" s="191">
        <v>0</v>
      </c>
      <c r="F30" s="206"/>
      <c r="G30" s="207"/>
      <c r="H30" s="206"/>
      <c r="I30" s="208"/>
      <c r="K30" s="11"/>
      <c r="L30" s="157">
        <v>24467028</v>
      </c>
      <c r="M30" s="12"/>
      <c r="N30" s="124"/>
      <c r="O30" s="20"/>
      <c r="P30" s="114">
        <f>P28-P29</f>
        <v>0</v>
      </c>
      <c r="Q30" s="12" t="s">
        <v>23</v>
      </c>
      <c r="R30" s="19"/>
    </row>
    <row r="31" spans="2:18" ht="15.6" customHeight="1" thickBot="1">
      <c r="B31" s="11" t="s">
        <v>26</v>
      </c>
      <c r="C31" s="23"/>
      <c r="D31" s="23"/>
      <c r="E31" s="193">
        <f>-E13</f>
        <v>41758.32</v>
      </c>
      <c r="F31" s="202"/>
      <c r="G31" s="203"/>
      <c r="H31" s="202"/>
      <c r="I31" s="204"/>
      <c r="K31" s="13"/>
      <c r="L31" s="121">
        <f>L29-L30</f>
        <v>0</v>
      </c>
      <c r="M31" s="14" t="s">
        <v>23</v>
      </c>
      <c r="N31" s="122"/>
      <c r="O31" s="125"/>
      <c r="P31" s="126"/>
      <c r="Q31" s="127"/>
      <c r="R31" s="128"/>
    </row>
    <row r="32" spans="2:18" ht="15.6" customHeight="1" thickBot="1">
      <c r="B32" s="147" t="s">
        <v>27</v>
      </c>
      <c r="E32" s="192">
        <f>SUM(E17:E31)</f>
        <v>12550355.540000005</v>
      </c>
      <c r="F32" s="209"/>
      <c r="G32" s="183">
        <f>E32*G8</f>
        <v>8393677.7851520032</v>
      </c>
      <c r="H32" s="112"/>
      <c r="I32" s="173">
        <f>E32*I8</f>
        <v>4156677.754848002</v>
      </c>
    </row>
    <row r="33" spans="2:16" ht="15.6" customHeight="1">
      <c r="B33" s="140" t="s">
        <v>85</v>
      </c>
      <c r="C33" s="23">
        <v>495100</v>
      </c>
      <c r="D33" s="1" t="s">
        <v>92</v>
      </c>
      <c r="E33" s="191">
        <v>-327</v>
      </c>
      <c r="F33" s="206"/>
      <c r="G33" s="183">
        <f>E33</f>
        <v>-327</v>
      </c>
      <c r="H33" s="112"/>
      <c r="I33" s="173"/>
      <c r="K33" s="159" t="s">
        <v>19</v>
      </c>
      <c r="L33" s="4" t="s">
        <v>8</v>
      </c>
      <c r="M33" s="4" t="s">
        <v>8</v>
      </c>
      <c r="N33" s="4" t="s">
        <v>16</v>
      </c>
      <c r="O33" s="4" t="s">
        <v>16</v>
      </c>
      <c r="P33" s="160"/>
    </row>
    <row r="34" spans="2:16" ht="15.6" customHeight="1" thickBot="1">
      <c r="B34" s="151" t="s">
        <v>84</v>
      </c>
      <c r="C34" s="23">
        <v>495100</v>
      </c>
      <c r="D34" s="1" t="s">
        <v>93</v>
      </c>
      <c r="E34" s="191">
        <v>0</v>
      </c>
      <c r="F34" s="206"/>
      <c r="G34" s="183"/>
      <c r="H34" s="112"/>
      <c r="I34" s="173">
        <f>E34</f>
        <v>0</v>
      </c>
      <c r="K34" s="147"/>
      <c r="L34" s="8" t="s">
        <v>2</v>
      </c>
      <c r="M34" s="8" t="s">
        <v>1</v>
      </c>
      <c r="N34" s="8" t="s">
        <v>2</v>
      </c>
      <c r="O34" s="8" t="s">
        <v>1</v>
      </c>
      <c r="P34" s="169" t="s">
        <v>97</v>
      </c>
    </row>
    <row r="35" spans="2:16" ht="15.6" customHeight="1">
      <c r="B35" s="11" t="s">
        <v>94</v>
      </c>
      <c r="C35" s="23">
        <v>804000</v>
      </c>
      <c r="D35" s="1" t="s">
        <v>92</v>
      </c>
      <c r="E35" s="191">
        <v>83016.460000000006</v>
      </c>
      <c r="F35" s="202"/>
      <c r="G35" s="183">
        <f>E35</f>
        <v>83016.460000000006</v>
      </c>
      <c r="H35" s="112"/>
      <c r="I35" s="173"/>
      <c r="K35" s="10" t="s">
        <v>99</v>
      </c>
      <c r="L35" s="113">
        <f>$F$39</f>
        <v>1605022.1438200001</v>
      </c>
      <c r="M35" s="113">
        <f>G39</f>
        <v>8476367.2451520041</v>
      </c>
      <c r="N35" s="113">
        <f>$H$39</f>
        <v>739787.41618000006</v>
      </c>
      <c r="O35" s="113">
        <f>I39</f>
        <v>4194600.9948480017</v>
      </c>
      <c r="P35" s="168">
        <f>SUM(L35:O35)-E39</f>
        <v>0</v>
      </c>
    </row>
    <row r="36" spans="2:16" ht="15.6" customHeight="1" thickBot="1">
      <c r="B36" s="11" t="s">
        <v>95</v>
      </c>
      <c r="C36" s="23">
        <v>804000</v>
      </c>
      <c r="D36" s="1" t="s">
        <v>93</v>
      </c>
      <c r="E36" s="191">
        <v>37923.24</v>
      </c>
      <c r="F36" s="202"/>
      <c r="G36" s="183"/>
      <c r="H36" s="112"/>
      <c r="I36" s="173">
        <f>E36</f>
        <v>37923.24</v>
      </c>
      <c r="K36" s="10" t="s">
        <v>102</v>
      </c>
      <c r="L36" s="158">
        <f>-$N$17</f>
        <v>-2395354.5318499994</v>
      </c>
      <c r="M36" s="158">
        <f>-N29</f>
        <v>-8654721.8144400008</v>
      </c>
      <c r="N36" s="158">
        <f>-$R$15</f>
        <v>-1114301.3679</v>
      </c>
      <c r="O36" s="158">
        <f>-R28</f>
        <v>-4225210.7858500006</v>
      </c>
      <c r="P36" s="168">
        <f>SUM(L36:O36)+N17+N29+R15+R28</f>
        <v>0</v>
      </c>
    </row>
    <row r="37" spans="2:16" ht="15.6" customHeight="1" thickBot="1">
      <c r="B37" s="147" t="s">
        <v>105</v>
      </c>
      <c r="C37" s="23"/>
      <c r="E37" s="192">
        <f>SUM(E32:E36)</f>
        <v>12670968.240000006</v>
      </c>
      <c r="F37" s="184"/>
      <c r="G37" s="186"/>
      <c r="H37" s="184"/>
      <c r="I37" s="150"/>
      <c r="K37" s="147" t="s">
        <v>100</v>
      </c>
      <c r="L37" s="118">
        <f t="shared" ref="L37:O37" si="8">SUM(L35:L36)</f>
        <v>-790332.38802999933</v>
      </c>
      <c r="M37" s="118">
        <f>SUM(M35:M36)</f>
        <v>-178354.56928799674</v>
      </c>
      <c r="N37" s="118">
        <f t="shared" si="8"/>
        <v>-374513.9517199999</v>
      </c>
      <c r="O37" s="118">
        <f t="shared" si="8"/>
        <v>-30609.791001998819</v>
      </c>
      <c r="P37" s="161"/>
    </row>
    <row r="38" spans="2:16" ht="15.6" customHeight="1" thickBot="1">
      <c r="B38" s="10"/>
      <c r="C38" s="6"/>
      <c r="D38" s="6"/>
      <c r="E38" s="195"/>
      <c r="F38" s="187"/>
      <c r="G38" s="188"/>
      <c r="H38" s="187"/>
      <c r="I38" s="152"/>
      <c r="K38" s="162"/>
      <c r="L38" s="132"/>
      <c r="M38" s="3"/>
      <c r="O38" s="165"/>
      <c r="P38" s="163"/>
    </row>
    <row r="39" spans="2:16" ht="15.6" customHeight="1" thickBot="1">
      <c r="B39" s="153" t="s">
        <v>96</v>
      </c>
      <c r="C39" s="154"/>
      <c r="D39" s="154"/>
      <c r="E39" s="192">
        <f>E37+E14</f>
        <v>15015777.800000006</v>
      </c>
      <c r="F39" s="197">
        <f>SUM(F14:F37)</f>
        <v>1605022.1438200001</v>
      </c>
      <c r="G39" s="198">
        <f t="shared" ref="G39:I39" si="9">SUM(G14:G37)</f>
        <v>8476367.2451520041</v>
      </c>
      <c r="H39" s="197">
        <f t="shared" si="9"/>
        <v>739787.41618000006</v>
      </c>
      <c r="I39" s="155">
        <f t="shared" si="9"/>
        <v>4194600.9948480017</v>
      </c>
      <c r="K39" s="164"/>
      <c r="L39" s="166" t="s">
        <v>36</v>
      </c>
      <c r="M39" s="127">
        <f>SUM(L37:M37)</f>
        <v>-968686.95731799607</v>
      </c>
      <c r="N39" s="167" t="s">
        <v>37</v>
      </c>
      <c r="O39" s="127">
        <f>SUM(N37:O37)</f>
        <v>-405123.74272199871</v>
      </c>
      <c r="P39" s="25"/>
    </row>
    <row r="40" spans="2:16" ht="15.6" customHeight="1">
      <c r="C40" s="6"/>
      <c r="D40" s="6"/>
      <c r="E40" s="103"/>
      <c r="F40" s="103"/>
      <c r="G40" s="103"/>
      <c r="H40" s="103"/>
      <c r="I40" s="103"/>
      <c r="M40" s="24"/>
    </row>
    <row r="41" spans="2:16" ht="15.6" customHeight="1">
      <c r="B41" s="213" t="s">
        <v>107</v>
      </c>
      <c r="C41" s="212"/>
      <c r="D41" s="6" t="s">
        <v>106</v>
      </c>
      <c r="E41" s="220">
        <v>15015777.800000001</v>
      </c>
      <c r="F41" s="103"/>
      <c r="G41" s="103"/>
      <c r="H41" s="103"/>
      <c r="I41" s="103"/>
      <c r="P41" s="2"/>
    </row>
    <row r="42" spans="2:16" ht="15.6" customHeight="1">
      <c r="B42" s="145"/>
      <c r="C42" s="145"/>
      <c r="D42" s="6" t="s">
        <v>34</v>
      </c>
      <c r="E42" s="112">
        <f>ROUND(E39-E41,2)</f>
        <v>0</v>
      </c>
      <c r="F42" s="130"/>
      <c r="G42" s="130"/>
      <c r="H42" s="130"/>
      <c r="I42" s="130"/>
    </row>
    <row r="43" spans="2:16" ht="15.6" customHeight="1">
      <c r="B43" s="145"/>
      <c r="C43" s="145"/>
      <c r="E43" s="130"/>
      <c r="F43" s="130"/>
      <c r="G43" s="130"/>
      <c r="H43" s="130"/>
      <c r="I43" s="130"/>
    </row>
    <row r="44" spans="2:16" ht="15.6" customHeight="1" thickBot="1">
      <c r="B44" s="145"/>
      <c r="C44" s="145"/>
      <c r="E44" s="130"/>
      <c r="F44" s="130"/>
      <c r="G44" s="130"/>
      <c r="H44" s="130"/>
      <c r="I44" s="130"/>
    </row>
    <row r="45" spans="2:16" ht="15.6" customHeight="1" thickBot="1">
      <c r="B45" s="145"/>
      <c r="C45" s="145"/>
      <c r="E45" s="234" t="s">
        <v>98</v>
      </c>
      <c r="F45" s="235"/>
      <c r="G45" s="130"/>
      <c r="H45" s="130"/>
      <c r="I45" s="130"/>
    </row>
    <row r="46" spans="2:16" ht="15.6" customHeight="1">
      <c r="B46" s="145"/>
      <c r="C46" s="145"/>
      <c r="E46" s="140" t="s">
        <v>38</v>
      </c>
      <c r="F46" s="171" t="s">
        <v>39</v>
      </c>
      <c r="G46" s="130"/>
      <c r="H46" s="130"/>
      <c r="I46" s="130"/>
    </row>
    <row r="47" spans="2:16" ht="15.75" thickBot="1">
      <c r="E47" s="172" t="e">
        <f>SUM('191010 WA DEF'!E36:E45)+SUM('191000 WA Amort'!H36:H45)+SUM(#REF!)+SUM(#REF!)</f>
        <v>#REF!</v>
      </c>
      <c r="F47" s="170" t="e">
        <f>-E47</f>
        <v>#REF!</v>
      </c>
    </row>
    <row r="48" spans="2:16">
      <c r="E48" s="215"/>
      <c r="F48" s="215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1387" spans="1:20">
      <c r="T1387" s="5"/>
    </row>
    <row r="1388" spans="1:20" s="5" customFormat="1">
      <c r="A1388" s="1"/>
      <c r="B1388" s="1"/>
      <c r="C1388" s="1"/>
      <c r="D1388" s="1">
        <v>-2130</v>
      </c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T1388" s="1"/>
    </row>
    <row r="1395" spans="1:20">
      <c r="T1395" s="5"/>
    </row>
    <row r="1396" spans="1:20" s="5" customFormat="1">
      <c r="A1396" s="1"/>
      <c r="B1396" s="1"/>
      <c r="C1396" s="1"/>
      <c r="D1396" s="1">
        <f>7004298-2130</f>
        <v>7002168</v>
      </c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T1396" s="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29" priority="26" operator="equal">
      <formula>"ERROR"</formula>
    </cfRule>
  </conditionalFormatting>
  <conditionalFormatting sqref="E42">
    <cfRule type="cellIs" dxfId="128" priority="1" stopIfTrue="1" operator="equal">
      <formula>0</formula>
    </cfRule>
    <cfRule type="cellIs" dxfId="127" priority="2" stopIfTrue="1" operator="notEqual">
      <formula>0</formula>
    </cfRule>
    <cfRule type="cellIs" dxfId="126" priority="3" stopIfTrue="1" operator="equal">
      <formula>0</formula>
    </cfRule>
    <cfRule type="cellIs" dxfId="125" priority="4" stopIfTrue="1" operator="notEqual">
      <formula>0</formula>
    </cfRule>
  </conditionalFormatting>
  <conditionalFormatting sqref="L19">
    <cfRule type="cellIs" dxfId="124" priority="21" stopIfTrue="1" operator="equal">
      <formula>0</formula>
    </cfRule>
    <cfRule type="cellIs" dxfId="123" priority="22" stopIfTrue="1" operator="notEqual">
      <formula>0</formula>
    </cfRule>
    <cfRule type="cellIs" dxfId="122" priority="23" stopIfTrue="1" operator="equal">
      <formula>0</formula>
    </cfRule>
    <cfRule type="cellIs" dxfId="121" priority="24" stopIfTrue="1" operator="notEqual">
      <formula>0</formula>
    </cfRule>
  </conditionalFormatting>
  <conditionalFormatting sqref="L31">
    <cfRule type="cellIs" dxfId="120" priority="17" stopIfTrue="1" operator="equal">
      <formula>0</formula>
    </cfRule>
    <cfRule type="cellIs" dxfId="119" priority="18" stopIfTrue="1" operator="notEqual">
      <formula>0</formula>
    </cfRule>
    <cfRule type="cellIs" dxfId="118" priority="19" stopIfTrue="1" operator="equal">
      <formula>0</formula>
    </cfRule>
    <cfRule type="cellIs" dxfId="117" priority="20" stopIfTrue="1" operator="notEqual">
      <formula>0</formula>
    </cfRule>
  </conditionalFormatting>
  <conditionalFormatting sqref="P17">
    <cfRule type="cellIs" dxfId="116" priority="13" stopIfTrue="1" operator="equal">
      <formula>0</formula>
    </cfRule>
    <cfRule type="cellIs" dxfId="115" priority="14" stopIfTrue="1" operator="notEqual">
      <formula>0</formula>
    </cfRule>
    <cfRule type="cellIs" dxfId="114" priority="15" stopIfTrue="1" operator="equal">
      <formula>0</formula>
    </cfRule>
    <cfRule type="cellIs" dxfId="113" priority="16" stopIfTrue="1" operator="notEqual">
      <formula>0</formula>
    </cfRule>
  </conditionalFormatting>
  <conditionalFormatting sqref="P30">
    <cfRule type="cellIs" dxfId="112" priority="9" stopIfTrue="1" operator="equal">
      <formula>0</formula>
    </cfRule>
    <cfRule type="cellIs" dxfId="111" priority="10" stopIfTrue="1" operator="notEqual">
      <formula>0</formula>
    </cfRule>
    <cfRule type="cellIs" dxfId="110" priority="11" stopIfTrue="1" operator="equal">
      <formula>0</formula>
    </cfRule>
    <cfRule type="cellIs" dxfId="109" priority="12" stopIfTrue="1" operator="notEqual">
      <formula>0</formula>
    </cfRule>
  </conditionalFormatting>
  <conditionalFormatting sqref="P31">
    <cfRule type="cellIs" dxfId="108" priority="25" operator="notEqual">
      <formula>0</formula>
    </cfRule>
  </conditionalFormatting>
  <conditionalFormatting sqref="P35:P36">
    <cfRule type="cellIs" dxfId="107" priority="5" stopIfTrue="1" operator="equal">
      <formula>0</formula>
    </cfRule>
    <cfRule type="cellIs" dxfId="106" priority="6" stopIfTrue="1" operator="notEqual">
      <formula>0</formula>
    </cfRule>
    <cfRule type="cellIs" dxfId="105" priority="7" stopIfTrue="1" operator="equal">
      <formula>0</formula>
    </cfRule>
    <cfRule type="cellIs" dxfId="104" priority="8" stopIfTrue="1" operator="notEqual">
      <formula>0</formula>
    </cfRule>
  </conditionalFormatting>
  <printOptions horizontalCentered="1"/>
  <pageMargins left="0.1" right="0.1" top="0.5" bottom="0.5" header="0.3" footer="0.3"/>
  <pageSetup scale="39" orientation="landscape" r:id="rId1"/>
  <headerFooter>
    <oddFooter>&amp;R&amp;Z&amp;F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ACA67-C2B2-405B-A129-962DFE93E507}">
  <sheetPr>
    <pageSetUpPr fitToPage="1"/>
  </sheetPr>
  <dimension ref="A1:T1396"/>
  <sheetViews>
    <sheetView zoomScale="60" zoomScaleNormal="60" workbookViewId="0">
      <selection activeCell="I44" sqref="I44"/>
    </sheetView>
  </sheetViews>
  <sheetFormatPr defaultColWidth="16" defaultRowHeight="15"/>
  <cols>
    <col min="1" max="1" width="2.85546875" style="1" customWidth="1"/>
    <col min="2" max="2" width="48.7109375" style="1" bestFit="1" customWidth="1"/>
    <col min="3" max="3" width="11.5703125" style="1" customWidth="1"/>
    <col min="4" max="4" width="10.7109375" style="1" customWidth="1"/>
    <col min="5" max="5" width="25.140625" style="5" bestFit="1" customWidth="1"/>
    <col min="6" max="6" width="18.28515625" style="1" bestFit="1" customWidth="1"/>
    <col min="7" max="7" width="19.7109375" style="1" bestFit="1" customWidth="1"/>
    <col min="8" max="9" width="18.28515625" style="1" bestFit="1" customWidth="1"/>
    <col min="10" max="10" width="4.85546875" style="1" bestFit="1" customWidth="1"/>
    <col min="11" max="11" width="29" style="1" bestFit="1" customWidth="1"/>
    <col min="12" max="12" width="22.5703125" style="1" bestFit="1" customWidth="1"/>
    <col min="13" max="13" width="24.42578125" style="1" bestFit="1" customWidth="1"/>
    <col min="14" max="14" width="24" style="1" bestFit="1" customWidth="1"/>
    <col min="15" max="15" width="24.140625" style="1" bestFit="1" customWidth="1"/>
    <col min="16" max="17" width="18.140625" style="1" customWidth="1"/>
    <col min="18" max="18" width="23" style="1" bestFit="1" customWidth="1"/>
    <col min="19" max="19" width="5.140625" style="1" customWidth="1"/>
    <col min="20" max="20" width="41.5703125" style="1" bestFit="1" customWidth="1"/>
    <col min="21" max="16384" width="16" style="1"/>
  </cols>
  <sheetData>
    <row r="1" spans="2:20" ht="18">
      <c r="B1" s="141" t="s">
        <v>103</v>
      </c>
      <c r="C1" s="142">
        <v>202304</v>
      </c>
      <c r="D1" s="219"/>
      <c r="E1" s="105"/>
      <c r="F1" s="105"/>
      <c r="G1" s="105"/>
      <c r="H1" s="105"/>
      <c r="I1" s="105"/>
      <c r="K1" s="137" t="s">
        <v>88</v>
      </c>
      <c r="L1" s="143" t="s">
        <v>89</v>
      </c>
      <c r="N1" s="236"/>
      <c r="O1" s="236"/>
      <c r="T1" s="216" t="s">
        <v>108</v>
      </c>
    </row>
    <row r="2" spans="2:20" ht="15.6" customHeight="1">
      <c r="D2" s="105"/>
      <c r="E2" s="105"/>
      <c r="F2" s="105"/>
      <c r="G2" s="105"/>
      <c r="H2" s="105"/>
      <c r="I2" s="105"/>
      <c r="K2" s="138"/>
      <c r="L2" s="139" t="s">
        <v>90</v>
      </c>
      <c r="N2" s="145"/>
      <c r="O2" s="145"/>
      <c r="T2" s="217" t="s">
        <v>109</v>
      </c>
    </row>
    <row r="3" spans="2:20" ht="15.6" customHeight="1">
      <c r="D3" s="105"/>
      <c r="E3" s="105"/>
      <c r="F3" s="105"/>
      <c r="G3" s="105"/>
      <c r="H3" s="105"/>
      <c r="I3" s="105"/>
      <c r="K3" s="138"/>
      <c r="L3" s="144"/>
      <c r="N3" s="215"/>
      <c r="O3" s="215"/>
      <c r="T3" s="217" t="s">
        <v>110</v>
      </c>
    </row>
    <row r="4" spans="2:20" ht="15.6" customHeight="1" thickBot="1">
      <c r="D4" s="105"/>
      <c r="E4" s="105"/>
      <c r="F4" s="105"/>
      <c r="G4" s="105"/>
      <c r="H4" s="105"/>
      <c r="I4" s="105"/>
      <c r="K4" s="138"/>
      <c r="L4" s="144"/>
      <c r="T4" s="217" t="s">
        <v>111</v>
      </c>
    </row>
    <row r="5" spans="2:20" ht="15.6" customHeight="1" thickBot="1">
      <c r="B5" s="146"/>
      <c r="C5" s="9"/>
      <c r="D5" s="9"/>
      <c r="E5" s="196" t="s">
        <v>17</v>
      </c>
      <c r="F5" s="237" t="s">
        <v>32</v>
      </c>
      <c r="G5" s="238"/>
      <c r="H5" s="237" t="s">
        <v>33</v>
      </c>
      <c r="I5" s="239"/>
      <c r="K5" s="240" t="s">
        <v>32</v>
      </c>
      <c r="L5" s="241"/>
      <c r="M5" s="241"/>
      <c r="N5" s="242"/>
      <c r="O5" s="240" t="s">
        <v>33</v>
      </c>
      <c r="P5" s="241"/>
      <c r="Q5" s="241"/>
      <c r="R5" s="242"/>
      <c r="T5" s="217" t="s">
        <v>112</v>
      </c>
    </row>
    <row r="6" spans="2:20" ht="15.6" customHeight="1" thickBot="1">
      <c r="B6" s="147" t="s">
        <v>18</v>
      </c>
      <c r="E6" s="189" t="s">
        <v>101</v>
      </c>
      <c r="F6" s="176" t="s">
        <v>2</v>
      </c>
      <c r="G6" s="177" t="s">
        <v>1</v>
      </c>
      <c r="H6" s="176" t="s">
        <v>2</v>
      </c>
      <c r="I6" s="175" t="s">
        <v>1</v>
      </c>
      <c r="K6" s="108" t="s">
        <v>24</v>
      </c>
      <c r="L6" s="106" t="s">
        <v>6</v>
      </c>
      <c r="M6" s="106" t="s">
        <v>6</v>
      </c>
      <c r="N6" s="106" t="s">
        <v>6</v>
      </c>
      <c r="O6" s="108" t="s">
        <v>24</v>
      </c>
      <c r="P6" s="106" t="s">
        <v>6</v>
      </c>
      <c r="Q6" s="106" t="s">
        <v>6</v>
      </c>
      <c r="R6" s="134" t="s">
        <v>6</v>
      </c>
      <c r="T6" s="217" t="s">
        <v>113</v>
      </c>
    </row>
    <row r="7" spans="2:20" ht="15.6" customHeight="1" thickBot="1">
      <c r="B7" s="10"/>
      <c r="E7" s="190"/>
      <c r="F7" s="178"/>
      <c r="G7" s="179"/>
      <c r="H7" s="178"/>
      <c r="I7" s="7"/>
      <c r="K7" s="109" t="s">
        <v>35</v>
      </c>
      <c r="L7" s="107" t="s">
        <v>22</v>
      </c>
      <c r="M7" s="107" t="s">
        <v>9</v>
      </c>
      <c r="N7" s="107" t="s">
        <v>7</v>
      </c>
      <c r="O7" s="109" t="s">
        <v>35</v>
      </c>
      <c r="P7" s="107" t="s">
        <v>22</v>
      </c>
      <c r="Q7" s="107" t="s">
        <v>9</v>
      </c>
      <c r="R7" s="107" t="s">
        <v>7</v>
      </c>
      <c r="T7" s="217" t="s">
        <v>114</v>
      </c>
    </row>
    <row r="8" spans="2:20" ht="15.6" customHeight="1">
      <c r="B8" s="10"/>
      <c r="E8" s="210">
        <f>F8+H8</f>
        <v>1</v>
      </c>
      <c r="F8" s="180">
        <v>0.6845</v>
      </c>
      <c r="G8" s="181">
        <f>ROUND($L$29/($L$29+$P$28),4)</f>
        <v>0.6754</v>
      </c>
      <c r="H8" s="180">
        <v>0.3155</v>
      </c>
      <c r="I8" s="148">
        <f>1-G8</f>
        <v>0.3246</v>
      </c>
      <c r="J8" s="211"/>
      <c r="K8" s="10"/>
      <c r="L8" s="2"/>
      <c r="M8" s="2"/>
      <c r="N8" s="134"/>
      <c r="O8" s="110"/>
      <c r="P8" s="111"/>
      <c r="Q8" s="111"/>
      <c r="R8" s="22"/>
      <c r="T8" s="217" t="s">
        <v>115</v>
      </c>
    </row>
    <row r="9" spans="2:20" ht="15.6" customHeight="1">
      <c r="B9" s="10"/>
      <c r="E9" s="190"/>
      <c r="F9" s="178"/>
      <c r="G9" s="179"/>
      <c r="H9" s="178"/>
      <c r="I9" s="7"/>
      <c r="K9" s="20" t="s">
        <v>28</v>
      </c>
      <c r="N9" s="7"/>
      <c r="O9" s="20" t="s">
        <v>28</v>
      </c>
      <c r="R9" s="7"/>
    </row>
    <row r="10" spans="2:20" ht="15.6" customHeight="1">
      <c r="B10" s="140" t="s">
        <v>155</v>
      </c>
      <c r="C10" s="23">
        <v>804001</v>
      </c>
      <c r="D10" s="23" t="s">
        <v>87</v>
      </c>
      <c r="E10" s="191">
        <v>2252064.09</v>
      </c>
      <c r="F10" s="182"/>
      <c r="G10" s="183"/>
      <c r="H10" s="182"/>
      <c r="I10" s="173"/>
      <c r="K10" s="21" t="s">
        <v>10</v>
      </c>
      <c r="L10" s="228">
        <v>10827426</v>
      </c>
      <c r="M10" s="156">
        <v>0.10111000000000001</v>
      </c>
      <c r="N10" s="136">
        <f t="shared" ref="N10:N16" si="0">L10*M10</f>
        <v>1094761.0428600002</v>
      </c>
      <c r="O10" s="21" t="s">
        <v>10</v>
      </c>
      <c r="P10" s="228">
        <v>5612732</v>
      </c>
      <c r="Q10" s="156">
        <v>9.1980000000000006E-2</v>
      </c>
      <c r="R10" s="136">
        <f>P10*Q10</f>
        <v>516259.08936000004</v>
      </c>
    </row>
    <row r="11" spans="2:20" ht="15.6" customHeight="1" thickBot="1">
      <c r="B11" s="140" t="s">
        <v>156</v>
      </c>
      <c r="C11" s="23">
        <v>804002</v>
      </c>
      <c r="D11" s="23" t="s">
        <v>87</v>
      </c>
      <c r="E11" s="191">
        <v>32901.42</v>
      </c>
      <c r="F11" s="182"/>
      <c r="G11" s="183"/>
      <c r="H11" s="182"/>
      <c r="I11" s="173"/>
      <c r="K11" s="21" t="s">
        <v>42</v>
      </c>
      <c r="L11" s="228">
        <v>37509</v>
      </c>
      <c r="M11" s="156">
        <v>0.10111000000000001</v>
      </c>
      <c r="N11" s="136">
        <f t="shared" si="0"/>
        <v>3792.5349900000001</v>
      </c>
      <c r="O11" s="21" t="s">
        <v>11</v>
      </c>
      <c r="P11" s="228">
        <v>2081161</v>
      </c>
      <c r="Q11" s="156">
        <f>Q10</f>
        <v>9.1980000000000006E-2</v>
      </c>
      <c r="R11" s="136">
        <f>P11*Q11</f>
        <v>191425.18878000003</v>
      </c>
    </row>
    <row r="12" spans="2:20" ht="15.6" customHeight="1" thickBot="1">
      <c r="B12" s="147" t="s">
        <v>91</v>
      </c>
      <c r="C12" s="3"/>
      <c r="D12" s="3"/>
      <c r="E12" s="192">
        <f>SUM(E10:E11)</f>
        <v>2284965.5099999998</v>
      </c>
      <c r="F12" s="184"/>
      <c r="G12" s="185"/>
      <c r="H12" s="184"/>
      <c r="I12" s="174"/>
      <c r="K12" s="21" t="s">
        <v>11</v>
      </c>
      <c r="L12" s="228">
        <v>4866731</v>
      </c>
      <c r="M12" s="156">
        <v>9.2460000000000001E-2</v>
      </c>
      <c r="N12" s="136">
        <f t="shared" si="0"/>
        <v>449977.94825999998</v>
      </c>
      <c r="O12" s="21" t="s">
        <v>12</v>
      </c>
      <c r="P12" s="228">
        <v>1928</v>
      </c>
      <c r="Q12" s="156">
        <f t="shared" ref="Q12:Q14" si="1">Q11</f>
        <v>9.1980000000000006E-2</v>
      </c>
      <c r="R12" s="136">
        <f>P12*Q12</f>
        <v>177.33744000000002</v>
      </c>
    </row>
    <row r="13" spans="2:20" ht="15.6" customHeight="1" thickBot="1">
      <c r="B13" s="10" t="s">
        <v>25</v>
      </c>
      <c r="E13" s="193">
        <f>-E11</f>
        <v>-32901.42</v>
      </c>
      <c r="F13" s="182"/>
      <c r="G13" s="183"/>
      <c r="H13" s="182"/>
      <c r="I13" s="173"/>
      <c r="K13" s="21" t="s">
        <v>12</v>
      </c>
      <c r="L13" s="228">
        <v>35655</v>
      </c>
      <c r="M13" s="156">
        <v>9.2460000000000001E-2</v>
      </c>
      <c r="N13" s="136">
        <f t="shared" si="0"/>
        <v>3296.6613000000002</v>
      </c>
      <c r="O13" s="21" t="s">
        <v>13</v>
      </c>
      <c r="P13" s="228">
        <v>0</v>
      </c>
      <c r="Q13" s="156">
        <f t="shared" si="1"/>
        <v>9.1980000000000006E-2</v>
      </c>
      <c r="R13" s="136">
        <f>P13*Q13</f>
        <v>0</v>
      </c>
    </row>
    <row r="14" spans="2:20" ht="15.6" customHeight="1" thickBot="1">
      <c r="B14" s="147" t="s">
        <v>104</v>
      </c>
      <c r="C14" s="149"/>
      <c r="D14" s="149"/>
      <c r="E14" s="192">
        <f>SUM(E12:E13)</f>
        <v>2252064.09</v>
      </c>
      <c r="F14" s="199">
        <f>E14*F8</f>
        <v>1541537.8696049999</v>
      </c>
      <c r="G14" s="200"/>
      <c r="H14" s="199">
        <f>E14*H8</f>
        <v>710526.22039499995</v>
      </c>
      <c r="I14" s="201"/>
      <c r="K14" s="21" t="s">
        <v>13</v>
      </c>
      <c r="L14" s="228">
        <v>0</v>
      </c>
      <c r="M14" s="156">
        <v>5.9560000000000002E-2</v>
      </c>
      <c r="N14" s="136">
        <f t="shared" si="0"/>
        <v>0</v>
      </c>
      <c r="O14" s="21" t="s">
        <v>14</v>
      </c>
      <c r="P14" s="228">
        <v>0</v>
      </c>
      <c r="Q14" s="156">
        <f t="shared" si="1"/>
        <v>9.1980000000000006E-2</v>
      </c>
      <c r="R14" s="136">
        <f>P14*Q14</f>
        <v>0</v>
      </c>
    </row>
    <row r="15" spans="2:20" ht="15.6" customHeight="1" thickBot="1">
      <c r="B15" s="10"/>
      <c r="E15" s="194"/>
      <c r="F15" s="202"/>
      <c r="G15" s="203"/>
      <c r="H15" s="202"/>
      <c r="I15" s="204"/>
      <c r="K15" s="21" t="s">
        <v>14</v>
      </c>
      <c r="L15" s="228">
        <v>243961</v>
      </c>
      <c r="M15" s="156">
        <v>5.9560000000000002E-2</v>
      </c>
      <c r="N15" s="136">
        <f t="shared" si="0"/>
        <v>14530.317160000001</v>
      </c>
      <c r="O15" s="20" t="s">
        <v>29</v>
      </c>
      <c r="P15" s="115">
        <f>SUM(P10:P14)</f>
        <v>7695821</v>
      </c>
      <c r="Q15" s="116"/>
      <c r="R15" s="18">
        <f>SUM(R10:R14)</f>
        <v>707861.6155800001</v>
      </c>
    </row>
    <row r="16" spans="2:20" ht="15.6" customHeight="1" thickTop="1">
      <c r="B16" s="10"/>
      <c r="E16" s="194"/>
      <c r="F16" s="202"/>
      <c r="G16" s="203"/>
      <c r="H16" s="202"/>
      <c r="I16" s="204"/>
      <c r="K16" s="21" t="s">
        <v>20</v>
      </c>
      <c r="L16" s="228">
        <v>2720728</v>
      </c>
      <c r="M16" s="156">
        <v>5.4000000000000001E-4</v>
      </c>
      <c r="N16" s="136">
        <f t="shared" si="0"/>
        <v>1469.1931199999999</v>
      </c>
      <c r="O16" s="21"/>
      <c r="P16" s="157">
        <v>7695821</v>
      </c>
      <c r="Q16" s="12"/>
      <c r="R16" s="117"/>
    </row>
    <row r="17" spans="2:18" ht="15.6" customHeight="1" thickBot="1">
      <c r="B17" s="140" t="s">
        <v>142</v>
      </c>
      <c r="C17" s="23">
        <v>804000</v>
      </c>
      <c r="D17" s="23" t="s">
        <v>87</v>
      </c>
      <c r="E17" s="191">
        <v>11110710.789999999</v>
      </c>
      <c r="F17" s="205"/>
      <c r="G17" s="203"/>
      <c r="H17" s="202"/>
      <c r="I17" s="204"/>
      <c r="K17" s="20" t="s">
        <v>29</v>
      </c>
      <c r="L17" s="115">
        <f>SUM(L10:L16)</f>
        <v>18732010</v>
      </c>
      <c r="M17" s="3"/>
      <c r="N17" s="18">
        <f>SUM(N10:N16)</f>
        <v>1567827.6976900003</v>
      </c>
      <c r="O17" s="21"/>
      <c r="P17" s="114">
        <f>P15-P16</f>
        <v>0</v>
      </c>
      <c r="Q17" s="12" t="s">
        <v>23</v>
      </c>
      <c r="R17" s="19"/>
    </row>
    <row r="18" spans="2:18" ht="15.6" customHeight="1" thickTop="1">
      <c r="B18" s="140" t="s">
        <v>143</v>
      </c>
      <c r="C18" s="23">
        <v>804010</v>
      </c>
      <c r="D18" s="23" t="s">
        <v>87</v>
      </c>
      <c r="E18" s="191">
        <v>54185.35</v>
      </c>
      <c r="F18" s="202"/>
      <c r="G18" s="203"/>
      <c r="H18" s="202"/>
      <c r="I18" s="204"/>
      <c r="K18" s="11"/>
      <c r="L18" s="157">
        <v>18732010</v>
      </c>
      <c r="M18" s="12"/>
      <c r="N18" s="117"/>
      <c r="O18" s="10"/>
      <c r="Q18" s="104"/>
      <c r="R18" s="19"/>
    </row>
    <row r="19" spans="2:18" ht="15.6" customHeight="1">
      <c r="B19" s="140" t="s">
        <v>144</v>
      </c>
      <c r="C19" s="23">
        <v>804017</v>
      </c>
      <c r="D19" s="23" t="s">
        <v>87</v>
      </c>
      <c r="E19" s="191">
        <v>35550.080000000002</v>
      </c>
      <c r="F19" s="202"/>
      <c r="G19" s="203"/>
      <c r="H19" s="202"/>
      <c r="I19" s="204"/>
      <c r="K19" s="10"/>
      <c r="L19" s="218">
        <f>L17-L18</f>
        <v>0</v>
      </c>
      <c r="M19" s="12" t="s">
        <v>23</v>
      </c>
      <c r="N19" s="7"/>
      <c r="O19" s="16"/>
      <c r="P19" s="17"/>
      <c r="R19" s="19"/>
    </row>
    <row r="20" spans="2:18" ht="15.6" customHeight="1">
      <c r="B20" s="140" t="s">
        <v>145</v>
      </c>
      <c r="C20" s="23">
        <v>804018</v>
      </c>
      <c r="D20" s="23" t="s">
        <v>87</v>
      </c>
      <c r="E20" s="191">
        <v>12919.53</v>
      </c>
      <c r="F20" s="202"/>
      <c r="G20" s="203"/>
      <c r="H20" s="202"/>
      <c r="I20" s="204"/>
      <c r="K20" s="10"/>
      <c r="M20" s="12"/>
      <c r="N20" s="7"/>
      <c r="O20" s="16"/>
      <c r="P20" s="17"/>
      <c r="R20" s="7"/>
    </row>
    <row r="21" spans="2:18" ht="15.6" customHeight="1">
      <c r="B21" s="140" t="s">
        <v>146</v>
      </c>
      <c r="C21" s="23">
        <v>804600</v>
      </c>
      <c r="D21" s="23" t="s">
        <v>87</v>
      </c>
      <c r="E21" s="191">
        <v>-474458.16</v>
      </c>
      <c r="F21" s="202"/>
      <c r="G21" s="203"/>
      <c r="H21" s="202"/>
      <c r="I21" s="204"/>
      <c r="K21" s="10"/>
      <c r="M21" s="12"/>
      <c r="N21" s="7"/>
      <c r="O21" s="16"/>
      <c r="P21" s="17"/>
      <c r="R21" s="7"/>
    </row>
    <row r="22" spans="2:18" ht="15.6" customHeight="1">
      <c r="B22" s="140" t="s">
        <v>147</v>
      </c>
      <c r="C22" s="23">
        <v>804730</v>
      </c>
      <c r="D22" s="23" t="s">
        <v>87</v>
      </c>
      <c r="E22" s="191">
        <v>353909.85</v>
      </c>
      <c r="F22" s="202"/>
      <c r="G22" s="203"/>
      <c r="H22" s="202"/>
      <c r="I22" s="204"/>
      <c r="K22" s="20" t="s">
        <v>30</v>
      </c>
      <c r="N22" s="7"/>
      <c r="O22" s="20" t="s">
        <v>30</v>
      </c>
      <c r="P22" s="15"/>
      <c r="R22" s="7"/>
    </row>
    <row r="23" spans="2:18" ht="15.6" customHeight="1">
      <c r="B23" s="140" t="s">
        <v>148</v>
      </c>
      <c r="C23" s="23">
        <v>808100</v>
      </c>
      <c r="D23" s="23" t="s">
        <v>87</v>
      </c>
      <c r="E23" s="191">
        <v>1098973.08</v>
      </c>
      <c r="F23" s="202"/>
      <c r="G23" s="203"/>
      <c r="H23" s="202"/>
      <c r="I23" s="204"/>
      <c r="K23" s="21" t="s">
        <v>10</v>
      </c>
      <c r="L23" s="221">
        <f>+L10</f>
        <v>10827426</v>
      </c>
      <c r="M23" s="156">
        <v>0.35372999999999999</v>
      </c>
      <c r="N23" s="136">
        <f>L23*M23</f>
        <v>3829985.3989800001</v>
      </c>
      <c r="O23" s="21" t="s">
        <v>10</v>
      </c>
      <c r="P23" s="221">
        <f>+P10</f>
        <v>5612732</v>
      </c>
      <c r="Q23" s="156">
        <v>0.34877000000000002</v>
      </c>
      <c r="R23" s="136">
        <f>P23*Q23</f>
        <v>1957552.5396400001</v>
      </c>
    </row>
    <row r="24" spans="2:18" ht="15.6" customHeight="1">
      <c r="B24" s="140" t="s">
        <v>149</v>
      </c>
      <c r="C24" s="23">
        <v>808200</v>
      </c>
      <c r="D24" s="23" t="s">
        <v>87</v>
      </c>
      <c r="E24" s="191">
        <v>-3800615.22</v>
      </c>
      <c r="F24" s="202"/>
      <c r="G24" s="203"/>
      <c r="H24" s="202"/>
      <c r="I24" s="204"/>
      <c r="K24" s="21" t="s">
        <v>42</v>
      </c>
      <c r="L24" s="221">
        <f t="shared" ref="L24:L28" si="2">+L11</f>
        <v>37509</v>
      </c>
      <c r="M24" s="156">
        <f>M23</f>
        <v>0.35372999999999999</v>
      </c>
      <c r="N24" s="136">
        <f t="shared" ref="N24:N28" si="3">L24*M24</f>
        <v>13268.058569999999</v>
      </c>
      <c r="O24" s="21" t="s">
        <v>11</v>
      </c>
      <c r="P24" s="221">
        <f t="shared" ref="P24:P27" si="4">+P11</f>
        <v>2081161</v>
      </c>
      <c r="Q24" s="156">
        <f>Q23</f>
        <v>0.34877000000000002</v>
      </c>
      <c r="R24" s="136">
        <f t="shared" ref="R24:R27" si="5">P24*Q24</f>
        <v>725846.52197</v>
      </c>
    </row>
    <row r="25" spans="2:18" ht="15.6" customHeight="1">
      <c r="B25" s="140" t="s">
        <v>150</v>
      </c>
      <c r="C25" s="23">
        <v>811000</v>
      </c>
      <c r="D25" s="23" t="s">
        <v>87</v>
      </c>
      <c r="E25" s="191">
        <v>-53664.99</v>
      </c>
      <c r="F25" s="202"/>
      <c r="G25" s="203"/>
      <c r="H25" s="202"/>
      <c r="I25" s="204"/>
      <c r="K25" s="21" t="s">
        <v>11</v>
      </c>
      <c r="L25" s="221">
        <f t="shared" si="2"/>
        <v>4866731</v>
      </c>
      <c r="M25" s="156">
        <f t="shared" ref="M25:M28" si="6">M24</f>
        <v>0.35372999999999999</v>
      </c>
      <c r="N25" s="136">
        <f t="shared" si="3"/>
        <v>1721508.75663</v>
      </c>
      <c r="O25" s="21" t="s">
        <v>12</v>
      </c>
      <c r="P25" s="221">
        <f t="shared" si="4"/>
        <v>1928</v>
      </c>
      <c r="Q25" s="156">
        <f t="shared" ref="Q25:Q27" si="7">Q24</f>
        <v>0.34877000000000002</v>
      </c>
      <c r="R25" s="136">
        <f t="shared" si="5"/>
        <v>672.42856000000006</v>
      </c>
    </row>
    <row r="26" spans="2:18" ht="15.6" customHeight="1">
      <c r="B26" s="140" t="s">
        <v>151</v>
      </c>
      <c r="C26" s="23">
        <v>483000</v>
      </c>
      <c r="D26" s="23" t="s">
        <v>87</v>
      </c>
      <c r="E26" s="191">
        <v>-1963174.22</v>
      </c>
      <c r="F26" s="205"/>
      <c r="G26" s="203"/>
      <c r="H26" s="202"/>
      <c r="I26" s="204"/>
      <c r="K26" s="21" t="s">
        <v>12</v>
      </c>
      <c r="L26" s="221">
        <f t="shared" si="2"/>
        <v>35655</v>
      </c>
      <c r="M26" s="156">
        <f t="shared" si="6"/>
        <v>0.35372999999999999</v>
      </c>
      <c r="N26" s="136">
        <f t="shared" si="3"/>
        <v>12612.24315</v>
      </c>
      <c r="O26" s="21" t="s">
        <v>13</v>
      </c>
      <c r="P26" s="221">
        <f t="shared" si="4"/>
        <v>0</v>
      </c>
      <c r="Q26" s="156">
        <f t="shared" si="7"/>
        <v>0.34877000000000002</v>
      </c>
      <c r="R26" s="136">
        <f t="shared" si="5"/>
        <v>0</v>
      </c>
    </row>
    <row r="27" spans="2:18" ht="15.6" customHeight="1">
      <c r="B27" s="140" t="s">
        <v>152</v>
      </c>
      <c r="C27" s="23">
        <v>483600</v>
      </c>
      <c r="D27" s="23" t="s">
        <v>87</v>
      </c>
      <c r="E27" s="191">
        <v>605070</v>
      </c>
      <c r="F27" s="202"/>
      <c r="G27" s="203"/>
      <c r="H27" s="202"/>
      <c r="I27" s="204"/>
      <c r="K27" s="21" t="s">
        <v>13</v>
      </c>
      <c r="L27" s="221">
        <f t="shared" si="2"/>
        <v>0</v>
      </c>
      <c r="M27" s="156">
        <f t="shared" si="6"/>
        <v>0.35372999999999999</v>
      </c>
      <c r="N27" s="136">
        <f t="shared" si="3"/>
        <v>0</v>
      </c>
      <c r="O27" s="21" t="s">
        <v>14</v>
      </c>
      <c r="P27" s="221">
        <f t="shared" si="4"/>
        <v>0</v>
      </c>
      <c r="Q27" s="156">
        <f t="shared" si="7"/>
        <v>0.34877000000000002</v>
      </c>
      <c r="R27" s="136">
        <f t="shared" si="5"/>
        <v>0</v>
      </c>
    </row>
    <row r="28" spans="2:18" ht="15.6" customHeight="1" thickBot="1">
      <c r="B28" s="140" t="s">
        <v>153</v>
      </c>
      <c r="C28" s="23">
        <v>483730</v>
      </c>
      <c r="D28" s="23" t="s">
        <v>87</v>
      </c>
      <c r="E28" s="191">
        <v>-1264319.93</v>
      </c>
      <c r="F28" s="202"/>
      <c r="G28" s="203"/>
      <c r="H28" s="202"/>
      <c r="I28" s="204"/>
      <c r="K28" s="21" t="s">
        <v>14</v>
      </c>
      <c r="L28" s="221">
        <f t="shared" si="2"/>
        <v>243961</v>
      </c>
      <c r="M28" s="156">
        <f t="shared" si="6"/>
        <v>0.35372999999999999</v>
      </c>
      <c r="N28" s="136">
        <f t="shared" si="3"/>
        <v>86296.324529999998</v>
      </c>
      <c r="O28" s="20" t="s">
        <v>31</v>
      </c>
      <c r="P28" s="115">
        <f>SUM(P23:P27)</f>
        <v>7695821</v>
      </c>
      <c r="Q28" s="116"/>
      <c r="R28" s="18">
        <f>SUM(R23:R27)</f>
        <v>2684071.4901700001</v>
      </c>
    </row>
    <row r="29" spans="2:18" ht="15.6" customHeight="1" thickTop="1" thickBot="1">
      <c r="B29" s="140" t="s">
        <v>154</v>
      </c>
      <c r="C29" s="23">
        <v>495028</v>
      </c>
      <c r="D29" s="23" t="s">
        <v>87</v>
      </c>
      <c r="E29" s="191">
        <v>-468750</v>
      </c>
      <c r="F29" s="202"/>
      <c r="G29" s="203"/>
      <c r="H29" s="202"/>
      <c r="I29" s="204"/>
      <c r="K29" s="20" t="s">
        <v>31</v>
      </c>
      <c r="L29" s="115">
        <f>SUM(L23:L28)</f>
        <v>16011282</v>
      </c>
      <c r="M29" s="116"/>
      <c r="N29" s="123">
        <f>SUM(N23:N28)</f>
        <v>5663670.7818600005</v>
      </c>
      <c r="O29" s="20"/>
      <c r="P29" s="157">
        <v>7695821</v>
      </c>
      <c r="Q29" s="12"/>
      <c r="R29" s="120"/>
    </row>
    <row r="30" spans="2:18" ht="15.6" customHeight="1" thickTop="1">
      <c r="B30" s="140" t="s">
        <v>86</v>
      </c>
      <c r="C30" s="23">
        <v>495100</v>
      </c>
      <c r="D30" s="23" t="s">
        <v>87</v>
      </c>
      <c r="E30" s="191">
        <v>0</v>
      </c>
      <c r="F30" s="206"/>
      <c r="G30" s="207"/>
      <c r="H30" s="206"/>
      <c r="I30" s="208"/>
      <c r="K30" s="11"/>
      <c r="L30" s="157">
        <v>16011282</v>
      </c>
      <c r="M30" s="12"/>
      <c r="N30" s="124"/>
      <c r="O30" s="20"/>
      <c r="P30" s="114">
        <f>P28-P29</f>
        <v>0</v>
      </c>
      <c r="Q30" s="12" t="s">
        <v>23</v>
      </c>
      <c r="R30" s="19"/>
    </row>
    <row r="31" spans="2:18" ht="15.6" customHeight="1" thickBot="1">
      <c r="B31" s="11" t="s">
        <v>26</v>
      </c>
      <c r="C31" s="23"/>
      <c r="D31" s="23"/>
      <c r="E31" s="193">
        <f>-E13</f>
        <v>32901.42</v>
      </c>
      <c r="F31" s="202"/>
      <c r="G31" s="203"/>
      <c r="H31" s="202"/>
      <c r="I31" s="204"/>
      <c r="K31" s="13"/>
      <c r="L31" s="121">
        <f>L29-L30</f>
        <v>0</v>
      </c>
      <c r="M31" s="14" t="s">
        <v>23</v>
      </c>
      <c r="N31" s="122"/>
      <c r="O31" s="125"/>
      <c r="P31" s="126"/>
      <c r="Q31" s="127"/>
      <c r="R31" s="128"/>
    </row>
    <row r="32" spans="2:18" ht="15.6" customHeight="1" thickBot="1">
      <c r="B32" s="147" t="s">
        <v>27</v>
      </c>
      <c r="E32" s="192">
        <f>SUM(E17:E31)</f>
        <v>5279237.5799999973</v>
      </c>
      <c r="F32" s="209"/>
      <c r="G32" s="183">
        <f>E32*G8</f>
        <v>3565597.0615319982</v>
      </c>
      <c r="H32" s="112"/>
      <c r="I32" s="173">
        <f>E32*I8</f>
        <v>1713640.5184679991</v>
      </c>
    </row>
    <row r="33" spans="2:16" ht="15.6" customHeight="1">
      <c r="B33" s="140" t="s">
        <v>85</v>
      </c>
      <c r="C33" s="23">
        <v>495100</v>
      </c>
      <c r="D33" s="1" t="s">
        <v>92</v>
      </c>
      <c r="E33" s="191">
        <v>0</v>
      </c>
      <c r="F33" s="206"/>
      <c r="G33" s="183">
        <f>E33</f>
        <v>0</v>
      </c>
      <c r="H33" s="112"/>
      <c r="I33" s="173"/>
      <c r="K33" s="159" t="s">
        <v>19</v>
      </c>
      <c r="L33" s="4" t="s">
        <v>8</v>
      </c>
      <c r="M33" s="4" t="s">
        <v>8</v>
      </c>
      <c r="N33" s="4" t="s">
        <v>16</v>
      </c>
      <c r="O33" s="4" t="s">
        <v>16</v>
      </c>
      <c r="P33" s="160"/>
    </row>
    <row r="34" spans="2:16" ht="15.6" customHeight="1" thickBot="1">
      <c r="B34" s="151" t="s">
        <v>84</v>
      </c>
      <c r="C34" s="23">
        <v>495100</v>
      </c>
      <c r="D34" s="1" t="s">
        <v>93</v>
      </c>
      <c r="E34" s="191">
        <v>0</v>
      </c>
      <c r="F34" s="206"/>
      <c r="G34" s="183"/>
      <c r="H34" s="112"/>
      <c r="I34" s="173">
        <f>E34</f>
        <v>0</v>
      </c>
      <c r="K34" s="147"/>
      <c r="L34" s="8" t="s">
        <v>2</v>
      </c>
      <c r="M34" s="8" t="s">
        <v>1</v>
      </c>
      <c r="N34" s="8" t="s">
        <v>2</v>
      </c>
      <c r="O34" s="8" t="s">
        <v>1</v>
      </c>
      <c r="P34" s="169" t="s">
        <v>97</v>
      </c>
    </row>
    <row r="35" spans="2:16" ht="15.6" customHeight="1">
      <c r="B35" s="11" t="s">
        <v>94</v>
      </c>
      <c r="C35" s="23">
        <v>804000</v>
      </c>
      <c r="D35" s="1" t="s">
        <v>92</v>
      </c>
      <c r="E35" s="191">
        <v>-188508.58</v>
      </c>
      <c r="F35" s="202"/>
      <c r="G35" s="183">
        <f>E35</f>
        <v>-188508.58</v>
      </c>
      <c r="H35" s="112"/>
      <c r="I35" s="173"/>
      <c r="K35" s="10" t="s">
        <v>99</v>
      </c>
      <c r="L35" s="113">
        <f>$F$39</f>
        <v>1541537.8696049999</v>
      </c>
      <c r="M35" s="113">
        <f>G39</f>
        <v>3377088.4815319981</v>
      </c>
      <c r="N35" s="113">
        <f>$H$39</f>
        <v>710526.22039499995</v>
      </c>
      <c r="O35" s="113">
        <f>I39</f>
        <v>1623443.718467999</v>
      </c>
      <c r="P35" s="168">
        <f>SUM(L35:O35)-E39</f>
        <v>0</v>
      </c>
    </row>
    <row r="36" spans="2:16" ht="15.6" customHeight="1" thickBot="1">
      <c r="B36" s="11" t="s">
        <v>95</v>
      </c>
      <c r="C36" s="23">
        <v>804000</v>
      </c>
      <c r="D36" s="1" t="s">
        <v>93</v>
      </c>
      <c r="E36" s="191">
        <v>-90196.800000000003</v>
      </c>
      <c r="F36" s="202"/>
      <c r="G36" s="183"/>
      <c r="H36" s="112"/>
      <c r="I36" s="173">
        <f>E36</f>
        <v>-90196.800000000003</v>
      </c>
      <c r="K36" s="10" t="s">
        <v>102</v>
      </c>
      <c r="L36" s="158">
        <f>-$N$17</f>
        <v>-1567827.6976900003</v>
      </c>
      <c r="M36" s="158">
        <f>-N29</f>
        <v>-5663670.7818600005</v>
      </c>
      <c r="N36" s="158">
        <f>-$R$15</f>
        <v>-707861.6155800001</v>
      </c>
      <c r="O36" s="158">
        <f>-R28</f>
        <v>-2684071.4901700001</v>
      </c>
      <c r="P36" s="168">
        <f>SUM(L36:O36)+N17+N29+R15+R28</f>
        <v>0</v>
      </c>
    </row>
    <row r="37" spans="2:16" ht="15.6" customHeight="1" thickBot="1">
      <c r="B37" s="147" t="s">
        <v>105</v>
      </c>
      <c r="C37" s="23"/>
      <c r="E37" s="192">
        <f>SUM(E32:E36)</f>
        <v>5000532.1999999974</v>
      </c>
      <c r="F37" s="184"/>
      <c r="G37" s="186"/>
      <c r="H37" s="184"/>
      <c r="I37" s="150"/>
      <c r="K37" s="147" t="s">
        <v>100</v>
      </c>
      <c r="L37" s="118">
        <f t="shared" ref="L37:O37" si="8">SUM(L35:L36)</f>
        <v>-26289.828085000394</v>
      </c>
      <c r="M37" s="118">
        <f>SUM(M35:M36)</f>
        <v>-2286582.3003280023</v>
      </c>
      <c r="N37" s="118">
        <f t="shared" si="8"/>
        <v>2664.6048149998533</v>
      </c>
      <c r="O37" s="118">
        <f t="shared" si="8"/>
        <v>-1060627.7717020011</v>
      </c>
      <c r="P37" s="161"/>
    </row>
    <row r="38" spans="2:16" ht="15.6" customHeight="1" thickBot="1">
      <c r="B38" s="10"/>
      <c r="C38" s="6"/>
      <c r="D38" s="6"/>
      <c r="E38" s="195"/>
      <c r="F38" s="187"/>
      <c r="G38" s="188"/>
      <c r="H38" s="187"/>
      <c r="I38" s="152"/>
      <c r="K38" s="162"/>
      <c r="L38" s="132"/>
      <c r="M38" s="3"/>
      <c r="O38" s="165"/>
      <c r="P38" s="163"/>
    </row>
    <row r="39" spans="2:16" ht="15.6" customHeight="1" thickBot="1">
      <c r="B39" s="153" t="s">
        <v>96</v>
      </c>
      <c r="C39" s="154"/>
      <c r="D39" s="154"/>
      <c r="E39" s="192">
        <f>E37+E14</f>
        <v>7252596.2899999972</v>
      </c>
      <c r="F39" s="197">
        <f>SUM(F14:F37)</f>
        <v>1541537.8696049999</v>
      </c>
      <c r="G39" s="198">
        <f t="shared" ref="G39:I39" si="9">SUM(G14:G37)</f>
        <v>3377088.4815319981</v>
      </c>
      <c r="H39" s="197">
        <f t="shared" si="9"/>
        <v>710526.22039499995</v>
      </c>
      <c r="I39" s="155">
        <f t="shared" si="9"/>
        <v>1623443.718467999</v>
      </c>
      <c r="K39" s="164"/>
      <c r="L39" s="166" t="s">
        <v>36</v>
      </c>
      <c r="M39" s="127">
        <f>SUM(L37:M37)</f>
        <v>-2312872.1284130029</v>
      </c>
      <c r="N39" s="167" t="s">
        <v>37</v>
      </c>
      <c r="O39" s="127">
        <f>SUM(N37:O37)</f>
        <v>-1057963.1668870011</v>
      </c>
      <c r="P39" s="25"/>
    </row>
    <row r="40" spans="2:16" ht="15.6" customHeight="1">
      <c r="C40" s="6"/>
      <c r="D40" s="6"/>
      <c r="E40" s="103"/>
      <c r="F40" s="103"/>
      <c r="G40" s="103"/>
      <c r="H40" s="103"/>
      <c r="I40" s="103"/>
      <c r="M40" s="24"/>
    </row>
    <row r="41" spans="2:16" ht="15.6" customHeight="1">
      <c r="B41" s="213" t="s">
        <v>107</v>
      </c>
      <c r="C41" s="212"/>
      <c r="D41" s="6" t="s">
        <v>106</v>
      </c>
      <c r="E41" s="220">
        <v>7252596.29</v>
      </c>
      <c r="F41" s="103"/>
      <c r="G41" s="103"/>
      <c r="H41" s="103"/>
      <c r="I41" s="103"/>
      <c r="P41" s="2"/>
    </row>
    <row r="42" spans="2:16" ht="15.6" customHeight="1">
      <c r="B42" s="145"/>
      <c r="C42" s="145"/>
      <c r="D42" s="6" t="s">
        <v>34</v>
      </c>
      <c r="E42" s="112">
        <f>ROUND(E39-E41,2)</f>
        <v>0</v>
      </c>
      <c r="F42" s="130"/>
      <c r="G42" s="130"/>
      <c r="H42" s="130"/>
      <c r="I42" s="130"/>
    </row>
    <row r="43" spans="2:16" ht="15.6" customHeight="1">
      <c r="B43" s="145"/>
      <c r="C43" s="145"/>
      <c r="E43" s="130"/>
      <c r="F43" s="130"/>
      <c r="G43" s="130"/>
      <c r="H43" s="130"/>
      <c r="I43" s="130"/>
    </row>
    <row r="44" spans="2:16" ht="15.6" customHeight="1" thickBot="1">
      <c r="B44" s="145"/>
      <c r="C44" s="145"/>
      <c r="E44" s="130"/>
      <c r="F44" s="130"/>
      <c r="G44" s="130"/>
      <c r="H44" s="130"/>
      <c r="I44" s="130"/>
    </row>
    <row r="45" spans="2:16" ht="15.6" customHeight="1" thickBot="1">
      <c r="B45" s="145"/>
      <c r="C45" s="145"/>
      <c r="E45" s="234" t="s">
        <v>98</v>
      </c>
      <c r="F45" s="235"/>
      <c r="G45" s="130"/>
      <c r="H45" s="130"/>
      <c r="I45" s="130"/>
    </row>
    <row r="46" spans="2:16" ht="15.6" customHeight="1">
      <c r="B46" s="145"/>
      <c r="C46" s="145"/>
      <c r="E46" s="140" t="s">
        <v>38</v>
      </c>
      <c r="F46" s="171" t="s">
        <v>39</v>
      </c>
      <c r="G46" s="130"/>
      <c r="H46" s="130"/>
      <c r="I46" s="130"/>
    </row>
    <row r="47" spans="2:16" ht="15.75" thickBot="1">
      <c r="E47" s="172" t="e">
        <f>SUM('191010 WA DEF'!E36:E45)+SUM('191000 WA Amort'!H36:H45)+SUM(#REF!)+SUM(#REF!)</f>
        <v>#REF!</v>
      </c>
      <c r="F47" s="170" t="e">
        <f>-E47</f>
        <v>#REF!</v>
      </c>
    </row>
    <row r="48" spans="2:16">
      <c r="E48" s="215"/>
      <c r="F48" s="215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1387" spans="1:20">
      <c r="T1387" s="5"/>
    </row>
    <row r="1388" spans="1:20" s="5" customFormat="1">
      <c r="A1388" s="1"/>
      <c r="B1388" s="1"/>
      <c r="C1388" s="1"/>
      <c r="D1388" s="1">
        <v>-2130</v>
      </c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T1388" s="1"/>
    </row>
    <row r="1395" spans="1:20">
      <c r="T1395" s="5"/>
    </row>
    <row r="1396" spans="1:20" s="5" customFormat="1">
      <c r="A1396" s="1"/>
      <c r="B1396" s="1"/>
      <c r="C1396" s="1"/>
      <c r="D1396" s="1">
        <f>7004298-2130</f>
        <v>7002168</v>
      </c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T1396" s="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03" priority="26" operator="equal">
      <formula>"ERROR"</formula>
    </cfRule>
  </conditionalFormatting>
  <conditionalFormatting sqref="E42">
    <cfRule type="cellIs" dxfId="102" priority="1" stopIfTrue="1" operator="equal">
      <formula>0</formula>
    </cfRule>
    <cfRule type="cellIs" dxfId="101" priority="2" stopIfTrue="1" operator="notEqual">
      <formula>0</formula>
    </cfRule>
    <cfRule type="cellIs" dxfId="100" priority="3" stopIfTrue="1" operator="equal">
      <formula>0</formula>
    </cfRule>
    <cfRule type="cellIs" dxfId="99" priority="4" stopIfTrue="1" operator="notEqual">
      <formula>0</formula>
    </cfRule>
  </conditionalFormatting>
  <conditionalFormatting sqref="L19">
    <cfRule type="cellIs" dxfId="98" priority="21" stopIfTrue="1" operator="equal">
      <formula>0</formula>
    </cfRule>
    <cfRule type="cellIs" dxfId="97" priority="22" stopIfTrue="1" operator="notEqual">
      <formula>0</formula>
    </cfRule>
    <cfRule type="cellIs" dxfId="96" priority="23" stopIfTrue="1" operator="equal">
      <formula>0</formula>
    </cfRule>
    <cfRule type="cellIs" dxfId="95" priority="24" stopIfTrue="1" operator="notEqual">
      <formula>0</formula>
    </cfRule>
  </conditionalFormatting>
  <conditionalFormatting sqref="L31">
    <cfRule type="cellIs" dxfId="94" priority="17" stopIfTrue="1" operator="equal">
      <formula>0</formula>
    </cfRule>
    <cfRule type="cellIs" dxfId="93" priority="18" stopIfTrue="1" operator="notEqual">
      <formula>0</formula>
    </cfRule>
    <cfRule type="cellIs" dxfId="92" priority="19" stopIfTrue="1" operator="equal">
      <formula>0</formula>
    </cfRule>
    <cfRule type="cellIs" dxfId="91" priority="20" stopIfTrue="1" operator="notEqual">
      <formula>0</formula>
    </cfRule>
  </conditionalFormatting>
  <conditionalFormatting sqref="P17">
    <cfRule type="cellIs" dxfId="90" priority="13" stopIfTrue="1" operator="equal">
      <formula>0</formula>
    </cfRule>
    <cfRule type="cellIs" dxfId="89" priority="14" stopIfTrue="1" operator="notEqual">
      <formula>0</formula>
    </cfRule>
    <cfRule type="cellIs" dxfId="88" priority="15" stopIfTrue="1" operator="equal">
      <formula>0</formula>
    </cfRule>
    <cfRule type="cellIs" dxfId="87" priority="16" stopIfTrue="1" operator="notEqual">
      <formula>0</formula>
    </cfRule>
  </conditionalFormatting>
  <conditionalFormatting sqref="P30">
    <cfRule type="cellIs" dxfId="86" priority="9" stopIfTrue="1" operator="equal">
      <formula>0</formula>
    </cfRule>
    <cfRule type="cellIs" dxfId="85" priority="10" stopIfTrue="1" operator="notEqual">
      <formula>0</formula>
    </cfRule>
    <cfRule type="cellIs" dxfId="84" priority="11" stopIfTrue="1" operator="equal">
      <formula>0</formula>
    </cfRule>
    <cfRule type="cellIs" dxfId="83" priority="12" stopIfTrue="1" operator="notEqual">
      <formula>0</formula>
    </cfRule>
  </conditionalFormatting>
  <conditionalFormatting sqref="P31">
    <cfRule type="cellIs" dxfId="82" priority="25" operator="notEqual">
      <formula>0</formula>
    </cfRule>
  </conditionalFormatting>
  <conditionalFormatting sqref="P35:P36">
    <cfRule type="cellIs" dxfId="81" priority="5" stopIfTrue="1" operator="equal">
      <formula>0</formula>
    </cfRule>
    <cfRule type="cellIs" dxfId="80" priority="6" stopIfTrue="1" operator="notEqual">
      <formula>0</formula>
    </cfRule>
    <cfRule type="cellIs" dxfId="79" priority="7" stopIfTrue="1" operator="equal">
      <formula>0</formula>
    </cfRule>
    <cfRule type="cellIs" dxfId="78" priority="8" stopIfTrue="1" operator="notEqual">
      <formula>0</formula>
    </cfRule>
  </conditionalFormatting>
  <printOptions horizontalCentered="1"/>
  <pageMargins left="0.1" right="0.1" top="0.5" bottom="0.5" header="0.3" footer="0.3"/>
  <pageSetup scale="39" orientation="landscape" r:id="rId1"/>
  <headerFooter>
    <oddFooter>&amp;R&amp;Z&amp;F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1A375-3971-425F-AAF1-334599228387}">
  <sheetPr>
    <pageSetUpPr fitToPage="1"/>
  </sheetPr>
  <dimension ref="A1:T1396"/>
  <sheetViews>
    <sheetView zoomScale="60" zoomScaleNormal="60" workbookViewId="0">
      <selection activeCell="G51" sqref="G51"/>
    </sheetView>
  </sheetViews>
  <sheetFormatPr defaultColWidth="16" defaultRowHeight="15"/>
  <cols>
    <col min="1" max="1" width="2.85546875" style="1" customWidth="1"/>
    <col min="2" max="2" width="48.7109375" style="1" bestFit="1" customWidth="1"/>
    <col min="3" max="3" width="11.5703125" style="1" customWidth="1"/>
    <col min="4" max="4" width="10.7109375" style="1" customWidth="1"/>
    <col min="5" max="5" width="25.140625" style="5" bestFit="1" customWidth="1"/>
    <col min="6" max="6" width="18.28515625" style="1" bestFit="1" customWidth="1"/>
    <col min="7" max="7" width="19.7109375" style="1" bestFit="1" customWidth="1"/>
    <col min="8" max="9" width="18.28515625" style="1" bestFit="1" customWidth="1"/>
    <col min="10" max="10" width="4.85546875" style="1" bestFit="1" customWidth="1"/>
    <col min="11" max="11" width="29" style="1" bestFit="1" customWidth="1"/>
    <col min="12" max="13" width="24.42578125" style="1" bestFit="1" customWidth="1"/>
    <col min="14" max="14" width="24" style="1" bestFit="1" customWidth="1"/>
    <col min="15" max="15" width="24.140625" style="1" bestFit="1" customWidth="1"/>
    <col min="16" max="17" width="18.140625" style="1" customWidth="1"/>
    <col min="18" max="18" width="23" style="1" bestFit="1" customWidth="1"/>
    <col min="19" max="19" width="5.140625" style="1" customWidth="1"/>
    <col min="20" max="20" width="41.5703125" style="1" bestFit="1" customWidth="1"/>
    <col min="21" max="16384" width="16" style="1"/>
  </cols>
  <sheetData>
    <row r="1" spans="2:20" ht="18">
      <c r="B1" s="141" t="s">
        <v>103</v>
      </c>
      <c r="C1" s="142">
        <v>202305</v>
      </c>
      <c r="D1" s="219"/>
      <c r="E1" s="105"/>
      <c r="F1" s="105"/>
      <c r="G1" s="105"/>
      <c r="H1" s="105"/>
      <c r="I1" s="105"/>
      <c r="K1" s="137" t="s">
        <v>88</v>
      </c>
      <c r="L1" s="143" t="s">
        <v>89</v>
      </c>
      <c r="N1" s="236"/>
      <c r="O1" s="236"/>
      <c r="T1" s="216" t="s">
        <v>108</v>
      </c>
    </row>
    <row r="2" spans="2:20" ht="15.6" customHeight="1">
      <c r="D2" s="105"/>
      <c r="E2" s="105"/>
      <c r="F2" s="105"/>
      <c r="G2" s="105"/>
      <c r="H2" s="105"/>
      <c r="I2" s="105"/>
      <c r="K2" s="138"/>
      <c r="L2" s="139" t="s">
        <v>90</v>
      </c>
      <c r="N2" s="145"/>
      <c r="O2" s="145"/>
      <c r="T2" s="217" t="s">
        <v>109</v>
      </c>
    </row>
    <row r="3" spans="2:20" ht="15.6" customHeight="1">
      <c r="D3" s="105"/>
      <c r="E3" s="105"/>
      <c r="F3" s="105"/>
      <c r="G3" s="105"/>
      <c r="H3" s="105"/>
      <c r="I3" s="105"/>
      <c r="K3" s="138"/>
      <c r="L3" s="144"/>
      <c r="N3" s="215"/>
      <c r="O3" s="215"/>
      <c r="T3" s="217" t="s">
        <v>110</v>
      </c>
    </row>
    <row r="4" spans="2:20" ht="15.6" customHeight="1" thickBot="1">
      <c r="D4" s="105"/>
      <c r="E4" s="105"/>
      <c r="F4" s="105"/>
      <c r="G4" s="105"/>
      <c r="H4" s="105"/>
      <c r="I4" s="105"/>
      <c r="K4" s="138"/>
      <c r="L4" s="144"/>
      <c r="T4" s="217" t="s">
        <v>111</v>
      </c>
    </row>
    <row r="5" spans="2:20" ht="15.6" customHeight="1" thickBot="1">
      <c r="B5" s="146"/>
      <c r="C5" s="9"/>
      <c r="D5" s="9"/>
      <c r="E5" s="196" t="s">
        <v>17</v>
      </c>
      <c r="F5" s="237" t="s">
        <v>32</v>
      </c>
      <c r="G5" s="238"/>
      <c r="H5" s="237" t="s">
        <v>33</v>
      </c>
      <c r="I5" s="239"/>
      <c r="K5" s="240" t="s">
        <v>32</v>
      </c>
      <c r="L5" s="241"/>
      <c r="M5" s="241"/>
      <c r="N5" s="242"/>
      <c r="O5" s="240" t="s">
        <v>33</v>
      </c>
      <c r="P5" s="241"/>
      <c r="Q5" s="241"/>
      <c r="R5" s="242"/>
      <c r="T5" s="217" t="s">
        <v>112</v>
      </c>
    </row>
    <row r="6" spans="2:20" ht="15.6" customHeight="1" thickBot="1">
      <c r="B6" s="147" t="s">
        <v>18</v>
      </c>
      <c r="E6" s="189" t="s">
        <v>101</v>
      </c>
      <c r="F6" s="176" t="s">
        <v>2</v>
      </c>
      <c r="G6" s="177" t="s">
        <v>1</v>
      </c>
      <c r="H6" s="176" t="s">
        <v>2</v>
      </c>
      <c r="I6" s="175" t="s">
        <v>1</v>
      </c>
      <c r="K6" s="108" t="s">
        <v>24</v>
      </c>
      <c r="L6" s="106" t="s">
        <v>6</v>
      </c>
      <c r="M6" s="106" t="s">
        <v>6</v>
      </c>
      <c r="N6" s="106" t="s">
        <v>6</v>
      </c>
      <c r="O6" s="108" t="s">
        <v>24</v>
      </c>
      <c r="P6" s="106" t="s">
        <v>6</v>
      </c>
      <c r="Q6" s="106" t="s">
        <v>6</v>
      </c>
      <c r="R6" s="134" t="s">
        <v>6</v>
      </c>
      <c r="T6" s="217" t="s">
        <v>113</v>
      </c>
    </row>
    <row r="7" spans="2:20" ht="15.6" customHeight="1" thickBot="1">
      <c r="B7" s="10"/>
      <c r="E7" s="190"/>
      <c r="F7" s="178"/>
      <c r="G7" s="179"/>
      <c r="H7" s="178"/>
      <c r="I7" s="7"/>
      <c r="K7" s="109" t="s">
        <v>35</v>
      </c>
      <c r="L7" s="107" t="s">
        <v>22</v>
      </c>
      <c r="M7" s="107" t="s">
        <v>9</v>
      </c>
      <c r="N7" s="107" t="s">
        <v>7</v>
      </c>
      <c r="O7" s="109" t="s">
        <v>35</v>
      </c>
      <c r="P7" s="107" t="s">
        <v>22</v>
      </c>
      <c r="Q7" s="107" t="s">
        <v>9</v>
      </c>
      <c r="R7" s="107" t="s">
        <v>7</v>
      </c>
      <c r="T7" s="217" t="s">
        <v>114</v>
      </c>
    </row>
    <row r="8" spans="2:20" ht="15.6" customHeight="1">
      <c r="B8" s="10"/>
      <c r="E8" s="210">
        <f>F8+H8</f>
        <v>1</v>
      </c>
      <c r="F8" s="180">
        <v>0.6845</v>
      </c>
      <c r="G8" s="181">
        <f>ROUND($L$29/($L$29+$P$28),4)</f>
        <v>0.66800000000000004</v>
      </c>
      <c r="H8" s="180">
        <v>0.3155</v>
      </c>
      <c r="I8" s="148">
        <f>1-G8</f>
        <v>0.33199999999999996</v>
      </c>
      <c r="J8" s="211"/>
      <c r="K8" s="10"/>
      <c r="L8" s="2"/>
      <c r="M8" s="2"/>
      <c r="N8" s="134"/>
      <c r="O8" s="110"/>
      <c r="P8" s="111"/>
      <c r="Q8" s="111"/>
      <c r="R8" s="22"/>
      <c r="T8" s="217" t="s">
        <v>115</v>
      </c>
    </row>
    <row r="9" spans="2:20" ht="15.6" customHeight="1">
      <c r="B9" s="10"/>
      <c r="E9" s="190"/>
      <c r="F9" s="178"/>
      <c r="G9" s="179"/>
      <c r="H9" s="178"/>
      <c r="I9" s="7"/>
      <c r="K9" s="20" t="s">
        <v>28</v>
      </c>
      <c r="N9" s="7"/>
      <c r="O9" s="20" t="s">
        <v>28</v>
      </c>
      <c r="R9" s="7"/>
    </row>
    <row r="10" spans="2:20" ht="15.6" customHeight="1">
      <c r="B10" s="140" t="s">
        <v>155</v>
      </c>
      <c r="C10" s="23">
        <v>804001</v>
      </c>
      <c r="D10" s="23" t="s">
        <v>87</v>
      </c>
      <c r="E10" s="191">
        <v>2304747.27</v>
      </c>
      <c r="F10" s="182"/>
      <c r="G10" s="183"/>
      <c r="H10" s="182"/>
      <c r="I10" s="173"/>
      <c r="K10" s="21" t="s">
        <v>10</v>
      </c>
      <c r="L10" s="228">
        <v>3335686</v>
      </c>
      <c r="M10" s="156">
        <v>0.10111000000000001</v>
      </c>
      <c r="N10" s="136">
        <f t="shared" ref="N10:N16" si="0">L10*M10</f>
        <v>337271.21146000002</v>
      </c>
      <c r="O10" s="21" t="s">
        <v>10</v>
      </c>
      <c r="P10" s="228">
        <v>1769819</v>
      </c>
      <c r="Q10" s="156">
        <v>9.1980000000000006E-2</v>
      </c>
      <c r="R10" s="136">
        <f>P10*Q10</f>
        <v>162787.95162000001</v>
      </c>
    </row>
    <row r="11" spans="2:20" ht="15.6" customHeight="1" thickBot="1">
      <c r="B11" s="140" t="s">
        <v>156</v>
      </c>
      <c r="C11" s="23">
        <v>804002</v>
      </c>
      <c r="D11" s="23" t="s">
        <v>87</v>
      </c>
      <c r="E11" s="191">
        <v>32132.23</v>
      </c>
      <c r="F11" s="182"/>
      <c r="G11" s="183"/>
      <c r="H11" s="182"/>
      <c r="I11" s="173"/>
      <c r="K11" s="21" t="s">
        <v>42</v>
      </c>
      <c r="L11" s="228">
        <v>11814</v>
      </c>
      <c r="M11" s="156">
        <v>0.10111000000000001</v>
      </c>
      <c r="N11" s="136">
        <f t="shared" si="0"/>
        <v>1194.5135400000001</v>
      </c>
      <c r="O11" s="21" t="s">
        <v>11</v>
      </c>
      <c r="P11" s="228">
        <v>1259501</v>
      </c>
      <c r="Q11" s="156">
        <f>Q10</f>
        <v>9.1980000000000006E-2</v>
      </c>
      <c r="R11" s="136">
        <f>P11*Q11</f>
        <v>115848.90198000001</v>
      </c>
    </row>
    <row r="12" spans="2:20" ht="15.6" customHeight="1" thickBot="1">
      <c r="B12" s="147" t="s">
        <v>91</v>
      </c>
      <c r="C12" s="3"/>
      <c r="D12" s="3"/>
      <c r="E12" s="192">
        <f>SUM(E10:E11)</f>
        <v>2336879.5</v>
      </c>
      <c r="F12" s="184"/>
      <c r="G12" s="185"/>
      <c r="H12" s="184"/>
      <c r="I12" s="174"/>
      <c r="K12" s="21" t="s">
        <v>11</v>
      </c>
      <c r="L12" s="228">
        <v>2518681</v>
      </c>
      <c r="M12" s="156">
        <v>9.2460000000000001E-2</v>
      </c>
      <c r="N12" s="136">
        <f t="shared" si="0"/>
        <v>232877.24526</v>
      </c>
      <c r="O12" s="21" t="s">
        <v>12</v>
      </c>
      <c r="P12" s="228">
        <v>348</v>
      </c>
      <c r="Q12" s="156">
        <f t="shared" ref="Q12:Q14" si="1">Q11</f>
        <v>9.1980000000000006E-2</v>
      </c>
      <c r="R12" s="136">
        <f>P12*Q12</f>
        <v>32.009039999999999</v>
      </c>
    </row>
    <row r="13" spans="2:20" ht="15.6" customHeight="1" thickBot="1">
      <c r="B13" s="10" t="s">
        <v>25</v>
      </c>
      <c r="E13" s="193">
        <f>-E11</f>
        <v>-32132.23</v>
      </c>
      <c r="F13" s="182"/>
      <c r="G13" s="183"/>
      <c r="H13" s="182"/>
      <c r="I13" s="173"/>
      <c r="K13" s="21" t="s">
        <v>12</v>
      </c>
      <c r="L13" s="228">
        <v>35872</v>
      </c>
      <c r="M13" s="156">
        <v>9.2460000000000001E-2</v>
      </c>
      <c r="N13" s="136">
        <f t="shared" si="0"/>
        <v>3316.7251200000001</v>
      </c>
      <c r="O13" s="21" t="s">
        <v>13</v>
      </c>
      <c r="P13" s="228">
        <v>0</v>
      </c>
      <c r="Q13" s="156">
        <f t="shared" si="1"/>
        <v>9.1980000000000006E-2</v>
      </c>
      <c r="R13" s="136">
        <f>P13*Q13</f>
        <v>0</v>
      </c>
    </row>
    <row r="14" spans="2:20" ht="15.6" customHeight="1" thickBot="1">
      <c r="B14" s="147" t="s">
        <v>104</v>
      </c>
      <c r="C14" s="149"/>
      <c r="D14" s="149"/>
      <c r="E14" s="192">
        <f>SUM(E12:E13)</f>
        <v>2304747.27</v>
      </c>
      <c r="F14" s="199">
        <f>E14*F8</f>
        <v>1577599.5063150001</v>
      </c>
      <c r="G14" s="200"/>
      <c r="H14" s="199">
        <f>E14*H8</f>
        <v>727147.76368500001</v>
      </c>
      <c r="I14" s="201"/>
      <c r="K14" s="21" t="s">
        <v>13</v>
      </c>
      <c r="L14" s="228">
        <v>0</v>
      </c>
      <c r="M14" s="156">
        <v>5.9560000000000002E-2</v>
      </c>
      <c r="N14" s="136">
        <f t="shared" si="0"/>
        <v>0</v>
      </c>
      <c r="O14" s="21" t="s">
        <v>14</v>
      </c>
      <c r="P14" s="228">
        <v>0</v>
      </c>
      <c r="Q14" s="156">
        <f t="shared" si="1"/>
        <v>9.1980000000000006E-2</v>
      </c>
      <c r="R14" s="136">
        <f>P14*Q14</f>
        <v>0</v>
      </c>
    </row>
    <row r="15" spans="2:20" ht="15.6" customHeight="1" thickBot="1">
      <c r="B15" s="10"/>
      <c r="E15" s="194"/>
      <c r="F15" s="202"/>
      <c r="G15" s="203"/>
      <c r="H15" s="202"/>
      <c r="I15" s="204"/>
      <c r="K15" s="21" t="s">
        <v>14</v>
      </c>
      <c r="L15" s="228">
        <v>192768</v>
      </c>
      <c r="M15" s="156">
        <v>5.9560000000000002E-2</v>
      </c>
      <c r="N15" s="136">
        <f t="shared" si="0"/>
        <v>11481.26208</v>
      </c>
      <c r="O15" s="20" t="s">
        <v>29</v>
      </c>
      <c r="P15" s="115">
        <f>SUM(P10:P14)</f>
        <v>3029668</v>
      </c>
      <c r="Q15" s="116"/>
      <c r="R15" s="18">
        <f>SUM(R10:R14)</f>
        <v>278668.86264000001</v>
      </c>
    </row>
    <row r="16" spans="2:20" ht="15.6" customHeight="1" thickTop="1">
      <c r="B16" s="10"/>
      <c r="E16" s="194"/>
      <c r="F16" s="202"/>
      <c r="G16" s="203"/>
      <c r="H16" s="202"/>
      <c r="I16" s="204"/>
      <c r="K16" s="21" t="s">
        <v>20</v>
      </c>
      <c r="L16" s="228">
        <v>2247224</v>
      </c>
      <c r="M16" s="156">
        <v>5.4000000000000001E-4</v>
      </c>
      <c r="N16" s="136">
        <f t="shared" si="0"/>
        <v>1213.5009600000001</v>
      </c>
      <c r="O16" s="21"/>
      <c r="P16" s="157">
        <v>3029668</v>
      </c>
      <c r="Q16" s="12"/>
      <c r="R16" s="117"/>
    </row>
    <row r="17" spans="2:18" ht="15.6" customHeight="1" thickBot="1">
      <c r="B17" s="140" t="s">
        <v>142</v>
      </c>
      <c r="C17" s="23">
        <v>804000</v>
      </c>
      <c r="D17" s="23" t="s">
        <v>87</v>
      </c>
      <c r="E17" s="191">
        <v>6938721.7400000002</v>
      </c>
      <c r="F17" s="205"/>
      <c r="G17" s="203"/>
      <c r="H17" s="202"/>
      <c r="I17" s="204"/>
      <c r="K17" s="20" t="s">
        <v>29</v>
      </c>
      <c r="L17" s="115">
        <f>SUM(L10:L16)</f>
        <v>8342045</v>
      </c>
      <c r="M17" s="3"/>
      <c r="N17" s="18">
        <f>SUM(N10:N16)</f>
        <v>587354.45842000004</v>
      </c>
      <c r="O17" s="21"/>
      <c r="P17" s="114">
        <f>P15-P16</f>
        <v>0</v>
      </c>
      <c r="Q17" s="12" t="s">
        <v>23</v>
      </c>
      <c r="R17" s="19"/>
    </row>
    <row r="18" spans="2:18" ht="15.6" customHeight="1" thickTop="1">
      <c r="B18" s="140" t="s">
        <v>143</v>
      </c>
      <c r="C18" s="23">
        <v>804010</v>
      </c>
      <c r="D18" s="23" t="s">
        <v>87</v>
      </c>
      <c r="E18" s="191">
        <v>-18544.38</v>
      </c>
      <c r="F18" s="202"/>
      <c r="G18" s="203"/>
      <c r="H18" s="202"/>
      <c r="I18" s="204"/>
      <c r="K18" s="11"/>
      <c r="L18" s="157">
        <v>8342045</v>
      </c>
      <c r="M18" s="12"/>
      <c r="N18" s="117"/>
      <c r="O18" s="10"/>
      <c r="Q18" s="104"/>
      <c r="R18" s="19"/>
    </row>
    <row r="19" spans="2:18" ht="15.6" customHeight="1">
      <c r="B19" s="140" t="s">
        <v>144</v>
      </c>
      <c r="C19" s="23">
        <v>804017</v>
      </c>
      <c r="D19" s="23" t="s">
        <v>87</v>
      </c>
      <c r="E19" s="191">
        <v>31865.14</v>
      </c>
      <c r="F19" s="202"/>
      <c r="G19" s="203"/>
      <c r="H19" s="202"/>
      <c r="I19" s="204"/>
      <c r="K19" s="10"/>
      <c r="L19" s="218">
        <f>L17-L18</f>
        <v>0</v>
      </c>
      <c r="M19" s="12" t="s">
        <v>23</v>
      </c>
      <c r="N19" s="7"/>
      <c r="O19" s="16"/>
      <c r="P19" s="17"/>
      <c r="R19" s="19"/>
    </row>
    <row r="20" spans="2:18" ht="15.6" customHeight="1">
      <c r="B20" s="140" t="s">
        <v>145</v>
      </c>
      <c r="C20" s="23">
        <v>804018</v>
      </c>
      <c r="D20" s="23" t="s">
        <v>87</v>
      </c>
      <c r="E20" s="191">
        <v>16005.06</v>
      </c>
      <c r="F20" s="202"/>
      <c r="G20" s="203"/>
      <c r="H20" s="202"/>
      <c r="I20" s="204"/>
      <c r="K20" s="10"/>
      <c r="M20" s="12"/>
      <c r="N20" s="7"/>
      <c r="O20" s="16"/>
      <c r="P20" s="17"/>
      <c r="R20" s="7"/>
    </row>
    <row r="21" spans="2:18" ht="15.6" customHeight="1">
      <c r="B21" s="140" t="s">
        <v>146</v>
      </c>
      <c r="C21" s="23">
        <v>804600</v>
      </c>
      <c r="D21" s="23" t="s">
        <v>87</v>
      </c>
      <c r="E21" s="191">
        <v>568479.93999999994</v>
      </c>
      <c r="F21" s="202"/>
      <c r="G21" s="203"/>
      <c r="H21" s="202"/>
      <c r="I21" s="204"/>
      <c r="K21" s="10"/>
      <c r="M21" s="12"/>
      <c r="N21" s="7"/>
      <c r="O21" s="16"/>
      <c r="P21" s="17"/>
      <c r="R21" s="7"/>
    </row>
    <row r="22" spans="2:18" ht="15.6" customHeight="1">
      <c r="B22" s="140" t="s">
        <v>147</v>
      </c>
      <c r="C22" s="23">
        <v>804730</v>
      </c>
      <c r="D22" s="23" t="s">
        <v>87</v>
      </c>
      <c r="E22" s="191">
        <v>961356.08</v>
      </c>
      <c r="F22" s="202"/>
      <c r="G22" s="203"/>
      <c r="H22" s="202"/>
      <c r="I22" s="204"/>
      <c r="K22" s="20" t="s">
        <v>30</v>
      </c>
      <c r="N22" s="7"/>
      <c r="O22" s="20" t="s">
        <v>30</v>
      </c>
      <c r="P22" s="15"/>
      <c r="R22" s="7"/>
    </row>
    <row r="23" spans="2:18" ht="15.6" customHeight="1">
      <c r="B23" s="140" t="s">
        <v>148</v>
      </c>
      <c r="C23" s="23">
        <v>808100</v>
      </c>
      <c r="D23" s="23" t="s">
        <v>87</v>
      </c>
      <c r="E23" s="191">
        <v>8753.27</v>
      </c>
      <c r="F23" s="202"/>
      <c r="G23" s="203"/>
      <c r="H23" s="202"/>
      <c r="I23" s="204"/>
      <c r="K23" s="21" t="s">
        <v>10</v>
      </c>
      <c r="L23" s="221">
        <f>+L10</f>
        <v>3335686</v>
      </c>
      <c r="M23" s="156">
        <v>0.35372999999999999</v>
      </c>
      <c r="N23" s="136">
        <f>L23*M23</f>
        <v>1179932.20878</v>
      </c>
      <c r="O23" s="21" t="s">
        <v>10</v>
      </c>
      <c r="P23" s="221">
        <f>+P10</f>
        <v>1769819</v>
      </c>
      <c r="Q23" s="156">
        <v>0.34877000000000002</v>
      </c>
      <c r="R23" s="136">
        <f>P23*Q23</f>
        <v>617259.77263000002</v>
      </c>
    </row>
    <row r="24" spans="2:18" ht="15.6" customHeight="1">
      <c r="B24" s="140" t="s">
        <v>149</v>
      </c>
      <c r="C24" s="23">
        <v>808200</v>
      </c>
      <c r="D24" s="23" t="s">
        <v>87</v>
      </c>
      <c r="E24" s="191">
        <v>-4158932.8</v>
      </c>
      <c r="F24" s="202"/>
      <c r="G24" s="203"/>
      <c r="H24" s="202"/>
      <c r="I24" s="204"/>
      <c r="K24" s="21" t="s">
        <v>42</v>
      </c>
      <c r="L24" s="221">
        <f t="shared" ref="L24:L28" si="2">+L11</f>
        <v>11814</v>
      </c>
      <c r="M24" s="156">
        <f>M23</f>
        <v>0.35372999999999999</v>
      </c>
      <c r="N24" s="136">
        <f t="shared" ref="N24:N28" si="3">L24*M24</f>
        <v>4178.9662200000002</v>
      </c>
      <c r="O24" s="21" t="s">
        <v>11</v>
      </c>
      <c r="P24" s="221">
        <f t="shared" ref="P24:P27" si="4">+P11</f>
        <v>1259501</v>
      </c>
      <c r="Q24" s="156">
        <f>Q23</f>
        <v>0.34877000000000002</v>
      </c>
      <c r="R24" s="136">
        <f t="shared" ref="R24:R27" si="5">P24*Q24</f>
        <v>439276.16377000004</v>
      </c>
    </row>
    <row r="25" spans="2:18" ht="15.6" customHeight="1">
      <c r="B25" s="140" t="s">
        <v>150</v>
      </c>
      <c r="C25" s="23">
        <v>811000</v>
      </c>
      <c r="D25" s="23" t="s">
        <v>87</v>
      </c>
      <c r="E25" s="191">
        <v>-24986.51</v>
      </c>
      <c r="F25" s="202"/>
      <c r="G25" s="203"/>
      <c r="H25" s="202"/>
      <c r="I25" s="204"/>
      <c r="K25" s="21" t="s">
        <v>11</v>
      </c>
      <c r="L25" s="221">
        <f t="shared" si="2"/>
        <v>2518681</v>
      </c>
      <c r="M25" s="156">
        <f t="shared" ref="M25:M28" si="6">M24</f>
        <v>0.35372999999999999</v>
      </c>
      <c r="N25" s="136">
        <f t="shared" si="3"/>
        <v>890933.03012999997</v>
      </c>
      <c r="O25" s="21" t="s">
        <v>12</v>
      </c>
      <c r="P25" s="221">
        <f t="shared" si="4"/>
        <v>348</v>
      </c>
      <c r="Q25" s="156">
        <f t="shared" ref="Q25:Q27" si="7">Q24</f>
        <v>0.34877000000000002</v>
      </c>
      <c r="R25" s="136">
        <f t="shared" si="5"/>
        <v>121.37196</v>
      </c>
    </row>
    <row r="26" spans="2:18" ht="15.6" customHeight="1">
      <c r="B26" s="140" t="s">
        <v>151</v>
      </c>
      <c r="C26" s="23">
        <v>483000</v>
      </c>
      <c r="D26" s="23" t="s">
        <v>87</v>
      </c>
      <c r="E26" s="191">
        <v>-380223.3</v>
      </c>
      <c r="F26" s="205"/>
      <c r="G26" s="203"/>
      <c r="H26" s="202"/>
      <c r="I26" s="204"/>
      <c r="K26" s="21" t="s">
        <v>12</v>
      </c>
      <c r="L26" s="221">
        <f t="shared" si="2"/>
        <v>35872</v>
      </c>
      <c r="M26" s="156">
        <f t="shared" si="6"/>
        <v>0.35372999999999999</v>
      </c>
      <c r="N26" s="136">
        <f t="shared" si="3"/>
        <v>12689.002559999999</v>
      </c>
      <c r="O26" s="21" t="s">
        <v>13</v>
      </c>
      <c r="P26" s="221">
        <f t="shared" si="4"/>
        <v>0</v>
      </c>
      <c r="Q26" s="156">
        <f t="shared" si="7"/>
        <v>0.34877000000000002</v>
      </c>
      <c r="R26" s="136">
        <f t="shared" si="5"/>
        <v>0</v>
      </c>
    </row>
    <row r="27" spans="2:18" ht="15.6" customHeight="1">
      <c r="B27" s="140" t="s">
        <v>152</v>
      </c>
      <c r="C27" s="23">
        <v>483600</v>
      </c>
      <c r="D27" s="23" t="s">
        <v>87</v>
      </c>
      <c r="E27" s="191">
        <v>144626.62</v>
      </c>
      <c r="F27" s="202"/>
      <c r="G27" s="203"/>
      <c r="H27" s="202"/>
      <c r="I27" s="204"/>
      <c r="K27" s="21" t="s">
        <v>13</v>
      </c>
      <c r="L27" s="221">
        <f t="shared" si="2"/>
        <v>0</v>
      </c>
      <c r="M27" s="156">
        <f t="shared" si="6"/>
        <v>0.35372999999999999</v>
      </c>
      <c r="N27" s="136">
        <f t="shared" si="3"/>
        <v>0</v>
      </c>
      <c r="O27" s="21" t="s">
        <v>14</v>
      </c>
      <c r="P27" s="221">
        <f t="shared" si="4"/>
        <v>0</v>
      </c>
      <c r="Q27" s="156">
        <f t="shared" si="7"/>
        <v>0.34877000000000002</v>
      </c>
      <c r="R27" s="136">
        <f t="shared" si="5"/>
        <v>0</v>
      </c>
    </row>
    <row r="28" spans="2:18" ht="15.6" customHeight="1" thickBot="1">
      <c r="B28" s="140" t="s">
        <v>153</v>
      </c>
      <c r="C28" s="23">
        <v>483730</v>
      </c>
      <c r="D28" s="23" t="s">
        <v>87</v>
      </c>
      <c r="E28" s="191">
        <v>-1344737.21</v>
      </c>
      <c r="F28" s="202"/>
      <c r="G28" s="203"/>
      <c r="H28" s="202"/>
      <c r="I28" s="204"/>
      <c r="K28" s="21" t="s">
        <v>14</v>
      </c>
      <c r="L28" s="221">
        <f t="shared" si="2"/>
        <v>192768</v>
      </c>
      <c r="M28" s="156">
        <f t="shared" si="6"/>
        <v>0.35372999999999999</v>
      </c>
      <c r="N28" s="136">
        <f t="shared" si="3"/>
        <v>68187.824639999992</v>
      </c>
      <c r="O28" s="20" t="s">
        <v>31</v>
      </c>
      <c r="P28" s="115">
        <f>SUM(P23:P27)</f>
        <v>3029668</v>
      </c>
      <c r="Q28" s="116"/>
      <c r="R28" s="18">
        <f>SUM(R23:R27)</f>
        <v>1056657.3083599999</v>
      </c>
    </row>
    <row r="29" spans="2:18" ht="15.6" customHeight="1" thickTop="1" thickBot="1">
      <c r="B29" s="140" t="s">
        <v>154</v>
      </c>
      <c r="C29" s="23">
        <v>495028</v>
      </c>
      <c r="D29" s="23" t="s">
        <v>87</v>
      </c>
      <c r="E29" s="191">
        <v>-468750</v>
      </c>
      <c r="F29" s="202"/>
      <c r="G29" s="203"/>
      <c r="H29" s="202"/>
      <c r="I29" s="204"/>
      <c r="K29" s="20" t="s">
        <v>31</v>
      </c>
      <c r="L29" s="115">
        <f>SUM(L23:L28)</f>
        <v>6094821</v>
      </c>
      <c r="M29" s="116"/>
      <c r="N29" s="123">
        <f>SUM(N23:N28)</f>
        <v>2155921.0323299998</v>
      </c>
      <c r="O29" s="20"/>
      <c r="P29" s="157">
        <v>3029668</v>
      </c>
      <c r="Q29" s="12"/>
      <c r="R29" s="120"/>
    </row>
    <row r="30" spans="2:18" ht="15.6" customHeight="1" thickTop="1">
      <c r="B30" s="140" t="s">
        <v>86</v>
      </c>
      <c r="C30" s="23">
        <v>495100</v>
      </c>
      <c r="D30" s="23" t="s">
        <v>87</v>
      </c>
      <c r="E30" s="191">
        <v>0</v>
      </c>
      <c r="F30" s="206"/>
      <c r="G30" s="207"/>
      <c r="H30" s="206"/>
      <c r="I30" s="208"/>
      <c r="K30" s="11"/>
      <c r="L30" s="157">
        <v>6094821</v>
      </c>
      <c r="M30" s="12"/>
      <c r="N30" s="124"/>
      <c r="O30" s="20"/>
      <c r="P30" s="114">
        <f>P28-P29</f>
        <v>0</v>
      </c>
      <c r="Q30" s="12" t="s">
        <v>23</v>
      </c>
      <c r="R30" s="19"/>
    </row>
    <row r="31" spans="2:18" ht="15.6" customHeight="1" thickBot="1">
      <c r="B31" s="11" t="s">
        <v>26</v>
      </c>
      <c r="C31" s="23"/>
      <c r="D31" s="23"/>
      <c r="E31" s="193">
        <f>-E13</f>
        <v>32132.23</v>
      </c>
      <c r="F31" s="202"/>
      <c r="G31" s="203"/>
      <c r="H31" s="202"/>
      <c r="I31" s="204"/>
      <c r="K31" s="13"/>
      <c r="L31" s="121">
        <f>L29-L30</f>
        <v>0</v>
      </c>
      <c r="M31" s="14" t="s">
        <v>23</v>
      </c>
      <c r="N31" s="122"/>
      <c r="O31" s="125"/>
      <c r="P31" s="126"/>
      <c r="Q31" s="127"/>
      <c r="R31" s="128"/>
    </row>
    <row r="32" spans="2:18" ht="15.6" customHeight="1" thickBot="1">
      <c r="B32" s="147" t="s">
        <v>27</v>
      </c>
      <c r="E32" s="192">
        <f>SUM(E17:E31)</f>
        <v>2305765.8800000004</v>
      </c>
      <c r="F32" s="209"/>
      <c r="G32" s="183">
        <f>E32*G8</f>
        <v>1540251.6078400004</v>
      </c>
      <c r="H32" s="112"/>
      <c r="I32" s="173">
        <f>E32*I8</f>
        <v>765514.27216000005</v>
      </c>
    </row>
    <row r="33" spans="2:16" ht="15.6" customHeight="1">
      <c r="B33" s="140" t="s">
        <v>85</v>
      </c>
      <c r="C33" s="23">
        <v>495100</v>
      </c>
      <c r="D33" s="1" t="s">
        <v>92</v>
      </c>
      <c r="E33" s="191">
        <v>0</v>
      </c>
      <c r="F33" s="206"/>
      <c r="G33" s="183">
        <f>E33</f>
        <v>0</v>
      </c>
      <c r="H33" s="112"/>
      <c r="I33" s="173"/>
      <c r="K33" s="159" t="s">
        <v>19</v>
      </c>
      <c r="L33" s="4" t="s">
        <v>8</v>
      </c>
      <c r="M33" s="4" t="s">
        <v>8</v>
      </c>
      <c r="N33" s="4" t="s">
        <v>16</v>
      </c>
      <c r="O33" s="4" t="s">
        <v>16</v>
      </c>
      <c r="P33" s="160"/>
    </row>
    <row r="34" spans="2:16" ht="15.6" customHeight="1" thickBot="1">
      <c r="B34" s="151" t="s">
        <v>84</v>
      </c>
      <c r="C34" s="23">
        <v>495100</v>
      </c>
      <c r="D34" s="1" t="s">
        <v>93</v>
      </c>
      <c r="E34" s="191">
        <v>0</v>
      </c>
      <c r="F34" s="206"/>
      <c r="G34" s="183"/>
      <c r="H34" s="112"/>
      <c r="I34" s="173">
        <f>E34</f>
        <v>0</v>
      </c>
      <c r="K34" s="147"/>
      <c r="L34" s="8" t="s">
        <v>2</v>
      </c>
      <c r="M34" s="8" t="s">
        <v>1</v>
      </c>
      <c r="N34" s="8" t="s">
        <v>2</v>
      </c>
      <c r="O34" s="8" t="s">
        <v>1</v>
      </c>
      <c r="P34" s="169" t="s">
        <v>97</v>
      </c>
    </row>
    <row r="35" spans="2:16" ht="15.6" customHeight="1">
      <c r="B35" s="11" t="s">
        <v>94</v>
      </c>
      <c r="C35" s="23">
        <v>804000</v>
      </c>
      <c r="D35" s="1" t="s">
        <v>92</v>
      </c>
      <c r="E35" s="191">
        <v>344590.49</v>
      </c>
      <c r="F35" s="202"/>
      <c r="G35" s="183">
        <f>E35</f>
        <v>344590.49</v>
      </c>
      <c r="H35" s="112"/>
      <c r="I35" s="173"/>
      <c r="K35" s="10" t="s">
        <v>99</v>
      </c>
      <c r="L35" s="113">
        <f>$F$39</f>
        <v>1577599.5063150001</v>
      </c>
      <c r="M35" s="113">
        <f>G39</f>
        <v>1884842.0978400004</v>
      </c>
      <c r="N35" s="113">
        <f>$H$39</f>
        <v>727147.76368500001</v>
      </c>
      <c r="O35" s="113">
        <f>I39</f>
        <v>931956.17216000007</v>
      </c>
      <c r="P35" s="168">
        <f>SUM(L35:O35)-E39</f>
        <v>0</v>
      </c>
    </row>
    <row r="36" spans="2:16" ht="15.6" customHeight="1" thickBot="1">
      <c r="B36" s="11" t="s">
        <v>95</v>
      </c>
      <c r="C36" s="23">
        <v>804000</v>
      </c>
      <c r="D36" s="1" t="s">
        <v>93</v>
      </c>
      <c r="E36" s="191">
        <v>166441.9</v>
      </c>
      <c r="F36" s="202"/>
      <c r="G36" s="183"/>
      <c r="H36" s="112"/>
      <c r="I36" s="173">
        <f>E36</f>
        <v>166441.9</v>
      </c>
      <c r="K36" s="10" t="s">
        <v>102</v>
      </c>
      <c r="L36" s="158">
        <f>-$N$17</f>
        <v>-587354.45842000004</v>
      </c>
      <c r="M36" s="158">
        <f>-N29</f>
        <v>-2155921.0323299998</v>
      </c>
      <c r="N36" s="158">
        <f>-$R$15</f>
        <v>-278668.86264000001</v>
      </c>
      <c r="O36" s="158">
        <f>-R28</f>
        <v>-1056657.3083599999</v>
      </c>
      <c r="P36" s="168">
        <f>SUM(L36:O36)+N17+N29+R15+R28</f>
        <v>0</v>
      </c>
    </row>
    <row r="37" spans="2:16" ht="15.6" customHeight="1" thickBot="1">
      <c r="B37" s="147" t="s">
        <v>105</v>
      </c>
      <c r="C37" s="23"/>
      <c r="E37" s="192">
        <f>SUM(E32:E36)</f>
        <v>2816798.27</v>
      </c>
      <c r="F37" s="184"/>
      <c r="G37" s="186"/>
      <c r="H37" s="184"/>
      <c r="I37" s="150"/>
      <c r="K37" s="147" t="s">
        <v>100</v>
      </c>
      <c r="L37" s="118">
        <f t="shared" ref="L37:O37" si="8">SUM(L35:L36)</f>
        <v>990245.04789500008</v>
      </c>
      <c r="M37" s="118">
        <f>SUM(M35:M36)</f>
        <v>-271078.93448999943</v>
      </c>
      <c r="N37" s="118">
        <f t="shared" si="8"/>
        <v>448478.90104500001</v>
      </c>
      <c r="O37" s="118">
        <f t="shared" si="8"/>
        <v>-124701.13619999983</v>
      </c>
      <c r="P37" s="161"/>
    </row>
    <row r="38" spans="2:16" ht="15.6" customHeight="1" thickBot="1">
      <c r="B38" s="10"/>
      <c r="C38" s="6"/>
      <c r="D38" s="6"/>
      <c r="E38" s="195"/>
      <c r="F38" s="187"/>
      <c r="G38" s="188"/>
      <c r="H38" s="187"/>
      <c r="I38" s="152"/>
      <c r="K38" s="162"/>
      <c r="L38" s="132"/>
      <c r="M38" s="3"/>
      <c r="O38" s="165"/>
      <c r="P38" s="163"/>
    </row>
    <row r="39" spans="2:16" ht="15.6" customHeight="1" thickBot="1">
      <c r="B39" s="153" t="s">
        <v>96</v>
      </c>
      <c r="C39" s="154"/>
      <c r="D39" s="154"/>
      <c r="E39" s="192">
        <f>E37+E14</f>
        <v>5121545.54</v>
      </c>
      <c r="F39" s="197">
        <f>SUM(F14:F37)</f>
        <v>1577599.5063150001</v>
      </c>
      <c r="G39" s="198">
        <f t="shared" ref="G39:I39" si="9">SUM(G14:G37)</f>
        <v>1884842.0978400004</v>
      </c>
      <c r="H39" s="197">
        <f t="shared" si="9"/>
        <v>727147.76368500001</v>
      </c>
      <c r="I39" s="155">
        <f t="shared" si="9"/>
        <v>931956.17216000007</v>
      </c>
      <c r="K39" s="164"/>
      <c r="L39" s="166" t="s">
        <v>36</v>
      </c>
      <c r="M39" s="127">
        <f>SUM(L37:M37)</f>
        <v>719166.11340500065</v>
      </c>
      <c r="N39" s="167" t="s">
        <v>37</v>
      </c>
      <c r="O39" s="127">
        <f>SUM(N37:O37)</f>
        <v>323777.76484500017</v>
      </c>
      <c r="P39" s="25"/>
    </row>
    <row r="40" spans="2:16" ht="15.6" customHeight="1">
      <c r="C40" s="6"/>
      <c r="D40" s="6"/>
      <c r="E40" s="103"/>
      <c r="F40" s="103"/>
      <c r="G40" s="103"/>
      <c r="H40" s="103"/>
      <c r="I40" s="103"/>
      <c r="M40" s="24"/>
    </row>
    <row r="41" spans="2:16" ht="15.6" customHeight="1">
      <c r="B41" s="213" t="s">
        <v>107</v>
      </c>
      <c r="C41" s="212"/>
      <c r="D41" s="6" t="s">
        <v>106</v>
      </c>
      <c r="E41" s="220">
        <v>5121545.54</v>
      </c>
      <c r="F41" s="103"/>
      <c r="G41" s="103"/>
      <c r="H41" s="103"/>
      <c r="I41" s="103"/>
      <c r="P41" s="2"/>
    </row>
    <row r="42" spans="2:16" ht="15.6" customHeight="1">
      <c r="B42" s="145"/>
      <c r="C42" s="145"/>
      <c r="D42" s="6" t="s">
        <v>34</v>
      </c>
      <c r="E42" s="112">
        <f>ROUND(E39-E41,2)</f>
        <v>0</v>
      </c>
      <c r="F42" s="130"/>
      <c r="G42" s="130"/>
      <c r="H42" s="130"/>
      <c r="I42" s="130"/>
    </row>
    <row r="43" spans="2:16" ht="15.6" customHeight="1">
      <c r="B43" s="145"/>
      <c r="C43" s="145"/>
      <c r="E43" s="130"/>
      <c r="F43" s="130"/>
      <c r="G43" s="130"/>
      <c r="H43" s="130"/>
      <c r="I43" s="130"/>
    </row>
    <row r="44" spans="2:16" ht="15.6" customHeight="1" thickBot="1">
      <c r="B44" s="145"/>
      <c r="C44" s="145"/>
      <c r="E44" s="130"/>
      <c r="F44" s="130"/>
      <c r="G44" s="130"/>
      <c r="H44" s="130"/>
      <c r="I44" s="130"/>
    </row>
    <row r="45" spans="2:16" ht="15.6" customHeight="1" thickBot="1">
      <c r="B45" s="145"/>
      <c r="C45" s="145"/>
      <c r="E45" s="234" t="s">
        <v>98</v>
      </c>
      <c r="F45" s="235"/>
      <c r="G45" s="130"/>
      <c r="H45" s="130"/>
      <c r="I45" s="130"/>
    </row>
    <row r="46" spans="2:16" ht="15.6" customHeight="1">
      <c r="B46" s="145"/>
      <c r="C46" s="145"/>
      <c r="E46" s="140" t="s">
        <v>38</v>
      </c>
      <c r="F46" s="171" t="s">
        <v>39</v>
      </c>
      <c r="G46" s="130"/>
      <c r="H46" s="130"/>
      <c r="I46" s="130"/>
    </row>
    <row r="47" spans="2:16" ht="15.75" thickBot="1">
      <c r="E47" s="172" t="e">
        <f>SUM('191010 WA DEF'!E36:E45)+SUM('191000 WA Amort'!H36:H45)+SUM(#REF!)+SUM(#REF!)-0.01</f>
        <v>#REF!</v>
      </c>
      <c r="F47" s="170" t="e">
        <f>-E47</f>
        <v>#REF!</v>
      </c>
    </row>
    <row r="48" spans="2:16">
      <c r="E48" s="215"/>
      <c r="F48" s="215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1387" spans="1:20">
      <c r="T1387" s="5"/>
    </row>
    <row r="1388" spans="1:20" s="5" customFormat="1">
      <c r="A1388" s="1"/>
      <c r="B1388" s="1"/>
      <c r="C1388" s="1"/>
      <c r="D1388" s="1">
        <v>-2130</v>
      </c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T1388" s="1"/>
    </row>
    <row r="1395" spans="1:20">
      <c r="T1395" s="5"/>
    </row>
    <row r="1396" spans="1:20" s="5" customFormat="1">
      <c r="A1396" s="1"/>
      <c r="B1396" s="1"/>
      <c r="C1396" s="1"/>
      <c r="D1396" s="1">
        <f>7004298-2130</f>
        <v>7002168</v>
      </c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T1396" s="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77" priority="26" operator="equal">
      <formula>"ERROR"</formula>
    </cfRule>
  </conditionalFormatting>
  <conditionalFormatting sqref="E42">
    <cfRule type="cellIs" dxfId="76" priority="1" stopIfTrue="1" operator="equal">
      <formula>0</formula>
    </cfRule>
    <cfRule type="cellIs" dxfId="75" priority="2" stopIfTrue="1" operator="notEqual">
      <formula>0</formula>
    </cfRule>
    <cfRule type="cellIs" dxfId="74" priority="3" stopIfTrue="1" operator="equal">
      <formula>0</formula>
    </cfRule>
    <cfRule type="cellIs" dxfId="73" priority="4" stopIfTrue="1" operator="notEqual">
      <formula>0</formula>
    </cfRule>
  </conditionalFormatting>
  <conditionalFormatting sqref="L19">
    <cfRule type="cellIs" dxfId="72" priority="21" stopIfTrue="1" operator="equal">
      <formula>0</formula>
    </cfRule>
    <cfRule type="cellIs" dxfId="71" priority="22" stopIfTrue="1" operator="notEqual">
      <formula>0</formula>
    </cfRule>
    <cfRule type="cellIs" dxfId="70" priority="23" stopIfTrue="1" operator="equal">
      <formula>0</formula>
    </cfRule>
    <cfRule type="cellIs" dxfId="69" priority="24" stopIfTrue="1" operator="notEqual">
      <formula>0</formula>
    </cfRule>
  </conditionalFormatting>
  <conditionalFormatting sqref="L31">
    <cfRule type="cellIs" dxfId="68" priority="17" stopIfTrue="1" operator="equal">
      <formula>0</formula>
    </cfRule>
    <cfRule type="cellIs" dxfId="67" priority="18" stopIfTrue="1" operator="notEqual">
      <formula>0</formula>
    </cfRule>
    <cfRule type="cellIs" dxfId="66" priority="19" stopIfTrue="1" operator="equal">
      <formula>0</formula>
    </cfRule>
    <cfRule type="cellIs" dxfId="65" priority="20" stopIfTrue="1" operator="notEqual">
      <formula>0</formula>
    </cfRule>
  </conditionalFormatting>
  <conditionalFormatting sqref="P17">
    <cfRule type="cellIs" dxfId="64" priority="13" stopIfTrue="1" operator="equal">
      <formula>0</formula>
    </cfRule>
    <cfRule type="cellIs" dxfId="63" priority="14" stopIfTrue="1" operator="notEqual">
      <formula>0</formula>
    </cfRule>
    <cfRule type="cellIs" dxfId="62" priority="15" stopIfTrue="1" operator="equal">
      <formula>0</formula>
    </cfRule>
    <cfRule type="cellIs" dxfId="61" priority="16" stopIfTrue="1" operator="notEqual">
      <formula>0</formula>
    </cfRule>
  </conditionalFormatting>
  <conditionalFormatting sqref="P30">
    <cfRule type="cellIs" dxfId="60" priority="9" stopIfTrue="1" operator="equal">
      <formula>0</formula>
    </cfRule>
    <cfRule type="cellIs" dxfId="59" priority="10" stopIfTrue="1" operator="notEqual">
      <formula>0</formula>
    </cfRule>
    <cfRule type="cellIs" dxfId="58" priority="11" stopIfTrue="1" operator="equal">
      <formula>0</formula>
    </cfRule>
    <cfRule type="cellIs" dxfId="57" priority="12" stopIfTrue="1" operator="notEqual">
      <formula>0</formula>
    </cfRule>
  </conditionalFormatting>
  <conditionalFormatting sqref="P31">
    <cfRule type="cellIs" dxfId="56" priority="25" operator="notEqual">
      <formula>0</formula>
    </cfRule>
  </conditionalFormatting>
  <conditionalFormatting sqref="P35:P36">
    <cfRule type="cellIs" dxfId="55" priority="5" stopIfTrue="1" operator="equal">
      <formula>0</formula>
    </cfRule>
    <cfRule type="cellIs" dxfId="54" priority="6" stopIfTrue="1" operator="notEqual">
      <formula>0</formula>
    </cfRule>
    <cfRule type="cellIs" dxfId="53" priority="7" stopIfTrue="1" operator="equal">
      <formula>0</formula>
    </cfRule>
    <cfRule type="cellIs" dxfId="52" priority="8" stopIfTrue="1" operator="notEqual">
      <formula>0</formula>
    </cfRule>
  </conditionalFormatting>
  <printOptions horizontalCentered="1"/>
  <pageMargins left="0.1" right="0.1" top="0.5" bottom="0.5" header="0.3" footer="0.3"/>
  <pageSetup scale="37" orientation="landscape" r:id="rId1"/>
  <headerFooter>
    <oddFooter>&amp;R&amp;Z&amp;F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6C3EC-49EE-4204-842E-BC049012DEBA}">
  <sheetPr>
    <pageSetUpPr fitToPage="1"/>
  </sheetPr>
  <dimension ref="A1:T1396"/>
  <sheetViews>
    <sheetView zoomScale="60" zoomScaleNormal="60" workbookViewId="0">
      <selection activeCell="E48" sqref="E48"/>
    </sheetView>
  </sheetViews>
  <sheetFormatPr defaultColWidth="16" defaultRowHeight="15"/>
  <cols>
    <col min="1" max="1" width="2.85546875" style="1" customWidth="1"/>
    <col min="2" max="2" width="48.7109375" style="1" bestFit="1" customWidth="1"/>
    <col min="3" max="3" width="11.5703125" style="1" customWidth="1"/>
    <col min="4" max="4" width="10.7109375" style="1" customWidth="1"/>
    <col min="5" max="5" width="25.140625" style="5" customWidth="1"/>
    <col min="6" max="6" width="18.28515625" style="1" bestFit="1" customWidth="1"/>
    <col min="7" max="7" width="19.7109375" style="1" bestFit="1" customWidth="1"/>
    <col min="8" max="9" width="18.28515625" style="1" bestFit="1" customWidth="1"/>
    <col min="10" max="10" width="4.85546875" style="1" bestFit="1" customWidth="1"/>
    <col min="11" max="11" width="22.28515625" style="1" bestFit="1" customWidth="1"/>
    <col min="12" max="12" width="17.5703125" style="1" bestFit="1" customWidth="1"/>
    <col min="13" max="13" width="17.7109375" style="1" customWidth="1"/>
    <col min="14" max="14" width="17.5703125" style="1" bestFit="1" customWidth="1"/>
    <col min="15" max="15" width="19.140625" style="1" bestFit="1" customWidth="1"/>
    <col min="16" max="17" width="17.7109375" style="1" customWidth="1"/>
    <col min="18" max="18" width="15.7109375" style="1" bestFit="1" customWidth="1"/>
    <col min="19" max="19" width="5.140625" style="1" customWidth="1"/>
    <col min="20" max="20" width="41.5703125" style="1" bestFit="1" customWidth="1"/>
    <col min="21" max="16384" width="16" style="1"/>
  </cols>
  <sheetData>
    <row r="1" spans="2:20" ht="18">
      <c r="B1" s="141" t="s">
        <v>103</v>
      </c>
      <c r="C1" s="142">
        <v>202306</v>
      </c>
      <c r="D1" s="219"/>
      <c r="E1" s="105"/>
      <c r="F1" s="105"/>
      <c r="G1" s="105"/>
      <c r="H1" s="105"/>
      <c r="I1" s="105"/>
      <c r="K1" s="137" t="s">
        <v>88</v>
      </c>
      <c r="L1" s="143" t="s">
        <v>89</v>
      </c>
      <c r="N1" s="236"/>
      <c r="O1" s="236"/>
      <c r="T1" s="216" t="s">
        <v>108</v>
      </c>
    </row>
    <row r="2" spans="2:20" ht="15.6" customHeight="1">
      <c r="D2" s="105"/>
      <c r="E2" s="105"/>
      <c r="F2" s="105"/>
      <c r="G2" s="105"/>
      <c r="H2" s="105"/>
      <c r="I2" s="105"/>
      <c r="K2" s="138"/>
      <c r="L2" s="139" t="s">
        <v>90</v>
      </c>
      <c r="N2" s="145"/>
      <c r="O2" s="145"/>
      <c r="T2" s="217" t="s">
        <v>109</v>
      </c>
    </row>
    <row r="3" spans="2:20" ht="15.6" customHeight="1">
      <c r="D3" s="105"/>
      <c r="E3" s="105"/>
      <c r="F3" s="105"/>
      <c r="G3" s="105"/>
      <c r="H3" s="105"/>
      <c r="I3" s="105"/>
      <c r="K3" s="138"/>
      <c r="L3" s="144"/>
      <c r="N3" s="215"/>
      <c r="O3" s="215"/>
      <c r="T3" s="217" t="s">
        <v>110</v>
      </c>
    </row>
    <row r="4" spans="2:20" ht="15.6" customHeight="1" thickBot="1">
      <c r="D4" s="105"/>
      <c r="E4" s="105"/>
      <c r="F4" s="105"/>
      <c r="G4" s="105"/>
      <c r="H4" s="105"/>
      <c r="I4" s="105"/>
      <c r="K4" s="138"/>
      <c r="L4" s="144"/>
      <c r="T4" s="217" t="s">
        <v>111</v>
      </c>
    </row>
    <row r="5" spans="2:20" ht="15.6" customHeight="1" thickBot="1">
      <c r="B5" s="146"/>
      <c r="C5" s="9"/>
      <c r="D5" s="9"/>
      <c r="E5" s="196" t="s">
        <v>17</v>
      </c>
      <c r="F5" s="237" t="s">
        <v>32</v>
      </c>
      <c r="G5" s="238"/>
      <c r="H5" s="237" t="s">
        <v>33</v>
      </c>
      <c r="I5" s="239"/>
      <c r="K5" s="240" t="s">
        <v>32</v>
      </c>
      <c r="L5" s="241"/>
      <c r="M5" s="241"/>
      <c r="N5" s="242"/>
      <c r="O5" s="240" t="s">
        <v>33</v>
      </c>
      <c r="P5" s="241"/>
      <c r="Q5" s="241"/>
      <c r="R5" s="242"/>
      <c r="T5" s="217" t="s">
        <v>112</v>
      </c>
    </row>
    <row r="6" spans="2:20" ht="15.6" customHeight="1" thickBot="1">
      <c r="B6" s="147" t="s">
        <v>18</v>
      </c>
      <c r="E6" s="189" t="s">
        <v>101</v>
      </c>
      <c r="F6" s="176" t="s">
        <v>2</v>
      </c>
      <c r="G6" s="177" t="s">
        <v>1</v>
      </c>
      <c r="H6" s="176" t="s">
        <v>2</v>
      </c>
      <c r="I6" s="175" t="s">
        <v>1</v>
      </c>
      <c r="K6" s="108" t="s">
        <v>24</v>
      </c>
      <c r="L6" s="106" t="s">
        <v>6</v>
      </c>
      <c r="M6" s="106" t="s">
        <v>6</v>
      </c>
      <c r="N6" s="106" t="s">
        <v>6</v>
      </c>
      <c r="O6" s="108" t="s">
        <v>24</v>
      </c>
      <c r="P6" s="106" t="s">
        <v>6</v>
      </c>
      <c r="Q6" s="106" t="s">
        <v>6</v>
      </c>
      <c r="R6" s="134" t="s">
        <v>6</v>
      </c>
      <c r="T6" s="217" t="s">
        <v>113</v>
      </c>
    </row>
    <row r="7" spans="2:20" ht="15.6" customHeight="1" thickBot="1">
      <c r="B7" s="10"/>
      <c r="E7" s="190"/>
      <c r="F7" s="178"/>
      <c r="G7" s="179"/>
      <c r="H7" s="178"/>
      <c r="I7" s="7"/>
      <c r="K7" s="109" t="s">
        <v>35</v>
      </c>
      <c r="L7" s="107" t="s">
        <v>22</v>
      </c>
      <c r="M7" s="107" t="s">
        <v>9</v>
      </c>
      <c r="N7" s="107" t="s">
        <v>7</v>
      </c>
      <c r="O7" s="109" t="s">
        <v>35</v>
      </c>
      <c r="P7" s="107" t="s">
        <v>22</v>
      </c>
      <c r="Q7" s="107" t="s">
        <v>9</v>
      </c>
      <c r="R7" s="107" t="s">
        <v>7</v>
      </c>
      <c r="T7" s="217" t="s">
        <v>114</v>
      </c>
    </row>
    <row r="8" spans="2:20" ht="15.6" customHeight="1">
      <c r="B8" s="10"/>
      <c r="E8" s="210">
        <f>F8+H8</f>
        <v>1</v>
      </c>
      <c r="F8" s="180">
        <v>0.6845</v>
      </c>
      <c r="G8" s="181">
        <f>ROUND($L$29/($L$29+$P$28),4)</f>
        <v>0.64710000000000001</v>
      </c>
      <c r="H8" s="180">
        <v>0.3155</v>
      </c>
      <c r="I8" s="148">
        <f>1-G8</f>
        <v>0.35289999999999999</v>
      </c>
      <c r="J8" s="211"/>
      <c r="K8" s="10"/>
      <c r="L8" s="2"/>
      <c r="M8" s="2"/>
      <c r="N8" s="134"/>
      <c r="O8" s="110"/>
      <c r="P8" s="111"/>
      <c r="Q8" s="111"/>
      <c r="R8" s="22"/>
      <c r="T8" s="217" t="s">
        <v>115</v>
      </c>
    </row>
    <row r="9" spans="2:20" ht="15.6" customHeight="1">
      <c r="B9" s="10"/>
      <c r="E9" s="190"/>
      <c r="F9" s="178"/>
      <c r="G9" s="179"/>
      <c r="H9" s="178"/>
      <c r="I9" s="7"/>
      <c r="K9" s="20" t="s">
        <v>28</v>
      </c>
      <c r="N9" s="7"/>
      <c r="O9" s="20" t="s">
        <v>28</v>
      </c>
      <c r="R9" s="7"/>
    </row>
    <row r="10" spans="2:20" ht="15.6" customHeight="1">
      <c r="B10" s="140" t="s">
        <v>155</v>
      </c>
      <c r="C10" s="23">
        <v>804001</v>
      </c>
      <c r="D10" s="23" t="s">
        <v>87</v>
      </c>
      <c r="E10" s="191">
        <v>2275110.2999999998</v>
      </c>
      <c r="F10" s="182"/>
      <c r="G10" s="183"/>
      <c r="H10" s="182"/>
      <c r="I10" s="173"/>
      <c r="K10" s="21" t="s">
        <v>10</v>
      </c>
      <c r="L10" s="228">
        <v>2359733</v>
      </c>
      <c r="M10" s="156">
        <v>0.10111000000000001</v>
      </c>
      <c r="N10" s="136">
        <f t="shared" ref="N10:N16" si="0">L10*M10</f>
        <v>238592.60363000003</v>
      </c>
      <c r="O10" s="21" t="s">
        <v>10</v>
      </c>
      <c r="P10" s="228">
        <v>1270890</v>
      </c>
      <c r="Q10" s="156">
        <v>9.1980000000000006E-2</v>
      </c>
      <c r="R10" s="136">
        <f>P10*Q10</f>
        <v>116896.46220000001</v>
      </c>
    </row>
    <row r="11" spans="2:20" ht="15.6" customHeight="1" thickBot="1">
      <c r="B11" s="140" t="s">
        <v>156</v>
      </c>
      <c r="C11" s="23">
        <v>804002</v>
      </c>
      <c r="D11" s="23" t="s">
        <v>87</v>
      </c>
      <c r="E11" s="191">
        <v>30985.52</v>
      </c>
      <c r="F11" s="182"/>
      <c r="G11" s="183"/>
      <c r="H11" s="182"/>
      <c r="I11" s="173"/>
      <c r="K11" s="21" t="s">
        <v>42</v>
      </c>
      <c r="L11" s="228">
        <v>6675</v>
      </c>
      <c r="M11" s="156">
        <v>0.10111000000000001</v>
      </c>
      <c r="N11" s="136">
        <f t="shared" si="0"/>
        <v>674.90925000000004</v>
      </c>
      <c r="O11" s="21" t="s">
        <v>11</v>
      </c>
      <c r="P11" s="228">
        <v>1291787</v>
      </c>
      <c r="Q11" s="156">
        <f>Q10</f>
        <v>9.1980000000000006E-2</v>
      </c>
      <c r="R11" s="136">
        <f>P11*Q11</f>
        <v>118818.56826000001</v>
      </c>
    </row>
    <row r="12" spans="2:20" ht="15.6" customHeight="1" thickBot="1">
      <c r="B12" s="147" t="s">
        <v>91</v>
      </c>
      <c r="C12" s="3"/>
      <c r="D12" s="3"/>
      <c r="E12" s="192">
        <f>SUM(E10:E11)</f>
        <v>2306095.8199999998</v>
      </c>
      <c r="F12" s="184"/>
      <c r="G12" s="185"/>
      <c r="H12" s="184"/>
      <c r="I12" s="174"/>
      <c r="K12" s="21" t="s">
        <v>11</v>
      </c>
      <c r="L12" s="228">
        <v>2149480</v>
      </c>
      <c r="M12" s="156">
        <v>9.2460000000000001E-2</v>
      </c>
      <c r="N12" s="136">
        <f t="shared" si="0"/>
        <v>198740.92079999999</v>
      </c>
      <c r="O12" s="21" t="s">
        <v>12</v>
      </c>
      <c r="P12" s="228">
        <v>0</v>
      </c>
      <c r="Q12" s="156">
        <f t="shared" ref="Q12:Q14" si="1">Q11</f>
        <v>9.1980000000000006E-2</v>
      </c>
      <c r="R12" s="136">
        <f>P12*Q12</f>
        <v>0</v>
      </c>
    </row>
    <row r="13" spans="2:20" ht="15.6" customHeight="1" thickBot="1">
      <c r="B13" s="10" t="s">
        <v>25</v>
      </c>
      <c r="E13" s="193">
        <f>-E11</f>
        <v>-30985.52</v>
      </c>
      <c r="F13" s="182"/>
      <c r="G13" s="183"/>
      <c r="H13" s="182"/>
      <c r="I13" s="173"/>
      <c r="K13" s="21" t="s">
        <v>12</v>
      </c>
      <c r="L13" s="228">
        <v>33226</v>
      </c>
      <c r="M13" s="156">
        <v>9.2460000000000001E-2</v>
      </c>
      <c r="N13" s="136">
        <f t="shared" si="0"/>
        <v>3072.0759600000001</v>
      </c>
      <c r="O13" s="21" t="s">
        <v>13</v>
      </c>
      <c r="P13" s="228">
        <v>0</v>
      </c>
      <c r="Q13" s="156">
        <f t="shared" si="1"/>
        <v>9.1980000000000006E-2</v>
      </c>
      <c r="R13" s="136">
        <f>P13*Q13</f>
        <v>0</v>
      </c>
    </row>
    <row r="14" spans="2:20" ht="15.6" customHeight="1" thickBot="1">
      <c r="B14" s="147" t="s">
        <v>104</v>
      </c>
      <c r="C14" s="149"/>
      <c r="D14" s="149"/>
      <c r="E14" s="192">
        <f>SUM(E12:E13)</f>
        <v>2275110.2999999998</v>
      </c>
      <c r="F14" s="199">
        <f>E14*F8</f>
        <v>1557313.0003499999</v>
      </c>
      <c r="G14" s="200"/>
      <c r="H14" s="199">
        <f>E14*H8</f>
        <v>717797.29964999994</v>
      </c>
      <c r="I14" s="201"/>
      <c r="K14" s="21" t="s">
        <v>13</v>
      </c>
      <c r="L14" s="228">
        <v>0</v>
      </c>
      <c r="M14" s="156">
        <v>5.9560000000000002E-2</v>
      </c>
      <c r="N14" s="136">
        <f t="shared" si="0"/>
        <v>0</v>
      </c>
      <c r="O14" s="21" t="s">
        <v>14</v>
      </c>
      <c r="P14" s="228">
        <v>0</v>
      </c>
      <c r="Q14" s="156">
        <f t="shared" si="1"/>
        <v>9.1980000000000006E-2</v>
      </c>
      <c r="R14" s="136">
        <f>P14*Q14</f>
        <v>0</v>
      </c>
    </row>
    <row r="15" spans="2:20" ht="15.6" customHeight="1" thickBot="1">
      <c r="B15" s="10"/>
      <c r="E15" s="194"/>
      <c r="F15" s="202"/>
      <c r="G15" s="203"/>
      <c r="H15" s="202"/>
      <c r="I15" s="204"/>
      <c r="K15" s="21" t="s">
        <v>14</v>
      </c>
      <c r="L15" s="228">
        <v>149592</v>
      </c>
      <c r="M15" s="156">
        <v>5.9560000000000002E-2</v>
      </c>
      <c r="N15" s="136">
        <f t="shared" si="0"/>
        <v>8909.6995200000001</v>
      </c>
      <c r="O15" s="20" t="s">
        <v>29</v>
      </c>
      <c r="P15" s="115">
        <f>SUM(P10:P14)</f>
        <v>2562677</v>
      </c>
      <c r="Q15" s="116"/>
      <c r="R15" s="18">
        <f>SUM(R10:R14)</f>
        <v>235715.03046000004</v>
      </c>
    </row>
    <row r="16" spans="2:20" ht="15.6" customHeight="1" thickTop="1">
      <c r="B16" s="10"/>
      <c r="E16" s="194"/>
      <c r="F16" s="202"/>
      <c r="G16" s="203"/>
      <c r="H16" s="202"/>
      <c r="I16" s="204"/>
      <c r="K16" s="21" t="s">
        <v>20</v>
      </c>
      <c r="L16" s="228">
        <v>2020848</v>
      </c>
      <c r="M16" s="156">
        <v>5.4000000000000001E-4</v>
      </c>
      <c r="N16" s="136">
        <f t="shared" si="0"/>
        <v>1091.25792</v>
      </c>
      <c r="O16" s="21"/>
      <c r="P16" s="157">
        <v>2562677</v>
      </c>
      <c r="Q16" s="12"/>
      <c r="R16" s="117"/>
    </row>
    <row r="17" spans="2:18" ht="15.6" customHeight="1" thickBot="1">
      <c r="B17" s="140" t="s">
        <v>142</v>
      </c>
      <c r="C17" s="23">
        <v>804000</v>
      </c>
      <c r="D17" s="23" t="s">
        <v>87</v>
      </c>
      <c r="E17" s="191">
        <v>9200957.6099999994</v>
      </c>
      <c r="F17" s="205"/>
      <c r="G17" s="203"/>
      <c r="H17" s="202"/>
      <c r="I17" s="204"/>
      <c r="K17" s="20" t="s">
        <v>29</v>
      </c>
      <c r="L17" s="115">
        <f>SUM(L10:L16)</f>
        <v>6719554</v>
      </c>
      <c r="M17" s="3"/>
      <c r="N17" s="18">
        <f>SUM(N10:N16)</f>
        <v>451081.46708000003</v>
      </c>
      <c r="O17" s="21"/>
      <c r="P17" s="114">
        <f>P15-P16</f>
        <v>0</v>
      </c>
      <c r="Q17" s="12" t="s">
        <v>23</v>
      </c>
      <c r="R17" s="19"/>
    </row>
    <row r="18" spans="2:18" ht="15.6" customHeight="1" thickTop="1">
      <c r="B18" s="140" t="s">
        <v>143</v>
      </c>
      <c r="C18" s="23">
        <v>804010</v>
      </c>
      <c r="D18" s="23" t="s">
        <v>87</v>
      </c>
      <c r="E18" s="191">
        <v>-57587.12</v>
      </c>
      <c r="F18" s="202"/>
      <c r="G18" s="203"/>
      <c r="H18" s="202"/>
      <c r="I18" s="204"/>
      <c r="K18" s="11"/>
      <c r="L18" s="157">
        <v>6719554</v>
      </c>
      <c r="M18" s="12"/>
      <c r="N18" s="117"/>
      <c r="O18" s="10"/>
      <c r="Q18" s="104"/>
      <c r="R18" s="19"/>
    </row>
    <row r="19" spans="2:18" ht="15.6" customHeight="1">
      <c r="B19" s="140" t="s">
        <v>144</v>
      </c>
      <c r="C19" s="23">
        <v>804017</v>
      </c>
      <c r="D19" s="23" t="s">
        <v>87</v>
      </c>
      <c r="E19" s="191">
        <v>26869.84</v>
      </c>
      <c r="F19" s="202"/>
      <c r="G19" s="203"/>
      <c r="H19" s="202"/>
      <c r="I19" s="204"/>
      <c r="K19" s="10"/>
      <c r="L19" s="218">
        <f>L17-L18</f>
        <v>0</v>
      </c>
      <c r="M19" s="12" t="s">
        <v>23</v>
      </c>
      <c r="N19" s="7"/>
      <c r="O19" s="16"/>
      <c r="P19" s="17"/>
      <c r="R19" s="19"/>
    </row>
    <row r="20" spans="2:18" ht="15.6" customHeight="1">
      <c r="B20" s="140" t="s">
        <v>145</v>
      </c>
      <c r="C20" s="23">
        <v>804018</v>
      </c>
      <c r="D20" s="23" t="s">
        <v>87</v>
      </c>
      <c r="E20" s="191">
        <v>14943.58</v>
      </c>
      <c r="F20" s="202"/>
      <c r="G20" s="203"/>
      <c r="H20" s="202"/>
      <c r="I20" s="204"/>
      <c r="K20" s="10"/>
      <c r="M20" s="12"/>
      <c r="N20" s="7"/>
      <c r="O20" s="16"/>
      <c r="P20" s="17"/>
      <c r="R20" s="7"/>
    </row>
    <row r="21" spans="2:18" ht="15.6" customHeight="1">
      <c r="B21" s="140" t="s">
        <v>146</v>
      </c>
      <c r="C21" s="23">
        <v>804600</v>
      </c>
      <c r="D21" s="23" t="s">
        <v>87</v>
      </c>
      <c r="E21" s="191">
        <v>1044489.34</v>
      </c>
      <c r="F21" s="202"/>
      <c r="G21" s="203"/>
      <c r="H21" s="202"/>
      <c r="I21" s="204"/>
      <c r="K21" s="10"/>
      <c r="M21" s="12"/>
      <c r="N21" s="7"/>
      <c r="O21" s="16"/>
      <c r="P21" s="17"/>
      <c r="R21" s="7"/>
    </row>
    <row r="22" spans="2:18" ht="15.6" customHeight="1">
      <c r="B22" s="140" t="s">
        <v>147</v>
      </c>
      <c r="C22" s="23">
        <v>804730</v>
      </c>
      <c r="D22" s="23" t="s">
        <v>87</v>
      </c>
      <c r="E22" s="191">
        <v>466196.22</v>
      </c>
      <c r="F22" s="202"/>
      <c r="G22" s="203"/>
      <c r="H22" s="202"/>
      <c r="I22" s="204"/>
      <c r="K22" s="20" t="s">
        <v>30</v>
      </c>
      <c r="N22" s="7"/>
      <c r="O22" s="20" t="s">
        <v>30</v>
      </c>
      <c r="P22" s="15"/>
      <c r="R22" s="7"/>
    </row>
    <row r="23" spans="2:18" ht="15.6" customHeight="1">
      <c r="B23" s="140" t="s">
        <v>148</v>
      </c>
      <c r="C23" s="23">
        <v>808100</v>
      </c>
      <c r="D23" s="23" t="s">
        <v>87</v>
      </c>
      <c r="E23" s="191">
        <v>1625.17</v>
      </c>
      <c r="F23" s="202"/>
      <c r="G23" s="203"/>
      <c r="H23" s="202"/>
      <c r="I23" s="204"/>
      <c r="K23" s="21" t="s">
        <v>10</v>
      </c>
      <c r="L23" s="221">
        <f>+L10</f>
        <v>2359733</v>
      </c>
      <c r="M23" s="156">
        <v>0.35372999999999999</v>
      </c>
      <c r="N23" s="136">
        <f>L23*M23</f>
        <v>834708.35408999992</v>
      </c>
      <c r="O23" s="21" t="s">
        <v>10</v>
      </c>
      <c r="P23" s="221">
        <f>+P10</f>
        <v>1270890</v>
      </c>
      <c r="Q23" s="156">
        <v>0.34877000000000002</v>
      </c>
      <c r="R23" s="136">
        <f>P23*Q23</f>
        <v>443248.30530000001</v>
      </c>
    </row>
    <row r="24" spans="2:18" ht="15.6" customHeight="1">
      <c r="B24" s="140" t="s">
        <v>149</v>
      </c>
      <c r="C24" s="23">
        <v>808200</v>
      </c>
      <c r="D24" s="23" t="s">
        <v>87</v>
      </c>
      <c r="E24" s="191">
        <v>-4950950.87</v>
      </c>
      <c r="F24" s="202"/>
      <c r="G24" s="203"/>
      <c r="H24" s="202"/>
      <c r="I24" s="204"/>
      <c r="K24" s="21" t="s">
        <v>42</v>
      </c>
      <c r="L24" s="221">
        <f t="shared" ref="L24:L28" si="2">+L11</f>
        <v>6675</v>
      </c>
      <c r="M24" s="156">
        <f>M23</f>
        <v>0.35372999999999999</v>
      </c>
      <c r="N24" s="136">
        <f t="shared" ref="N24:N28" si="3">L24*M24</f>
        <v>2361.1477500000001</v>
      </c>
      <c r="O24" s="21" t="s">
        <v>11</v>
      </c>
      <c r="P24" s="221">
        <f t="shared" ref="P24:P27" si="4">+P11</f>
        <v>1291787</v>
      </c>
      <c r="Q24" s="156">
        <f>Q23</f>
        <v>0.34877000000000002</v>
      </c>
      <c r="R24" s="136">
        <f t="shared" ref="R24:R27" si="5">P24*Q24</f>
        <v>450536.55199000001</v>
      </c>
    </row>
    <row r="25" spans="2:18" ht="15.6" customHeight="1">
      <c r="B25" s="140" t="s">
        <v>150</v>
      </c>
      <c r="C25" s="23">
        <v>811000</v>
      </c>
      <c r="D25" s="23" t="s">
        <v>87</v>
      </c>
      <c r="E25" s="191">
        <v>-7216.96</v>
      </c>
      <c r="F25" s="202"/>
      <c r="G25" s="203"/>
      <c r="H25" s="202"/>
      <c r="I25" s="204"/>
      <c r="K25" s="21" t="s">
        <v>11</v>
      </c>
      <c r="L25" s="221">
        <f t="shared" si="2"/>
        <v>2149480</v>
      </c>
      <c r="M25" s="156">
        <f t="shared" ref="M25:M28" si="6">M24</f>
        <v>0.35372999999999999</v>
      </c>
      <c r="N25" s="136">
        <f t="shared" si="3"/>
        <v>760335.56039999996</v>
      </c>
      <c r="O25" s="21" t="s">
        <v>12</v>
      </c>
      <c r="P25" s="221">
        <f t="shared" si="4"/>
        <v>0</v>
      </c>
      <c r="Q25" s="156">
        <f t="shared" ref="Q25:Q27" si="7">Q24</f>
        <v>0.34877000000000002</v>
      </c>
      <c r="R25" s="136">
        <f t="shared" si="5"/>
        <v>0</v>
      </c>
    </row>
    <row r="26" spans="2:18" ht="15.6" customHeight="1">
      <c r="B26" s="140" t="s">
        <v>151</v>
      </c>
      <c r="C26" s="23">
        <v>483000</v>
      </c>
      <c r="D26" s="23" t="s">
        <v>87</v>
      </c>
      <c r="E26" s="191">
        <v>-1035730.13</v>
      </c>
      <c r="F26" s="205"/>
      <c r="G26" s="203"/>
      <c r="H26" s="202"/>
      <c r="I26" s="204"/>
      <c r="K26" s="21" t="s">
        <v>12</v>
      </c>
      <c r="L26" s="221">
        <f t="shared" si="2"/>
        <v>33226</v>
      </c>
      <c r="M26" s="156">
        <f t="shared" si="6"/>
        <v>0.35372999999999999</v>
      </c>
      <c r="N26" s="136">
        <f t="shared" si="3"/>
        <v>11753.03298</v>
      </c>
      <c r="O26" s="21" t="s">
        <v>13</v>
      </c>
      <c r="P26" s="221">
        <f t="shared" si="4"/>
        <v>0</v>
      </c>
      <c r="Q26" s="156">
        <f t="shared" si="7"/>
        <v>0.34877000000000002</v>
      </c>
      <c r="R26" s="136">
        <f t="shared" si="5"/>
        <v>0</v>
      </c>
    </row>
    <row r="27" spans="2:18" ht="15.6" customHeight="1">
      <c r="B27" s="140" t="s">
        <v>152</v>
      </c>
      <c r="C27" s="23">
        <v>483600</v>
      </c>
      <c r="D27" s="23" t="s">
        <v>87</v>
      </c>
      <c r="E27" s="191">
        <v>53257.5</v>
      </c>
      <c r="F27" s="202"/>
      <c r="G27" s="203"/>
      <c r="H27" s="202"/>
      <c r="I27" s="204"/>
      <c r="K27" s="21" t="s">
        <v>13</v>
      </c>
      <c r="L27" s="221">
        <f t="shared" si="2"/>
        <v>0</v>
      </c>
      <c r="M27" s="156">
        <f t="shared" si="6"/>
        <v>0.35372999999999999</v>
      </c>
      <c r="N27" s="136">
        <f t="shared" si="3"/>
        <v>0</v>
      </c>
      <c r="O27" s="21" t="s">
        <v>14</v>
      </c>
      <c r="P27" s="221">
        <f t="shared" si="4"/>
        <v>0</v>
      </c>
      <c r="Q27" s="156">
        <f t="shared" si="7"/>
        <v>0.34877000000000002</v>
      </c>
      <c r="R27" s="136">
        <f t="shared" si="5"/>
        <v>0</v>
      </c>
    </row>
    <row r="28" spans="2:18" ht="15.6" customHeight="1" thickBot="1">
      <c r="B28" s="140" t="s">
        <v>153</v>
      </c>
      <c r="C28" s="23">
        <v>483730</v>
      </c>
      <c r="D28" s="23" t="s">
        <v>87</v>
      </c>
      <c r="E28" s="191">
        <v>-2316818.4</v>
      </c>
      <c r="F28" s="202"/>
      <c r="G28" s="203"/>
      <c r="H28" s="202"/>
      <c r="I28" s="204"/>
      <c r="K28" s="21" t="s">
        <v>14</v>
      </c>
      <c r="L28" s="221">
        <f t="shared" si="2"/>
        <v>149592</v>
      </c>
      <c r="M28" s="156">
        <f t="shared" si="6"/>
        <v>0.35372999999999999</v>
      </c>
      <c r="N28" s="136">
        <f t="shared" si="3"/>
        <v>52915.178159999996</v>
      </c>
      <c r="O28" s="20" t="s">
        <v>31</v>
      </c>
      <c r="P28" s="115">
        <f>SUM(P23:P27)</f>
        <v>2562677</v>
      </c>
      <c r="Q28" s="116"/>
      <c r="R28" s="18">
        <f>SUM(R23:R27)</f>
        <v>893784.85728999996</v>
      </c>
    </row>
    <row r="29" spans="2:18" ht="15.6" customHeight="1" thickTop="1" thickBot="1">
      <c r="B29" s="140" t="s">
        <v>154</v>
      </c>
      <c r="C29" s="23">
        <v>495028</v>
      </c>
      <c r="D29" s="23" t="s">
        <v>87</v>
      </c>
      <c r="E29" s="191">
        <v>-468750</v>
      </c>
      <c r="F29" s="202"/>
      <c r="G29" s="203"/>
      <c r="H29" s="202"/>
      <c r="I29" s="204"/>
      <c r="K29" s="20" t="s">
        <v>31</v>
      </c>
      <c r="L29" s="115">
        <f>SUM(L23:L28)</f>
        <v>4698706</v>
      </c>
      <c r="M29" s="116"/>
      <c r="N29" s="123">
        <f>SUM(N23:N28)</f>
        <v>1662073.2733799997</v>
      </c>
      <c r="O29" s="20"/>
      <c r="P29" s="157">
        <v>2562677</v>
      </c>
      <c r="Q29" s="12"/>
      <c r="R29" s="120"/>
    </row>
    <row r="30" spans="2:18" ht="15.6" customHeight="1" thickTop="1">
      <c r="B30" s="140" t="s">
        <v>86</v>
      </c>
      <c r="C30" s="23">
        <v>495100</v>
      </c>
      <c r="D30" s="23" t="s">
        <v>87</v>
      </c>
      <c r="E30" s="191">
        <v>0</v>
      </c>
      <c r="F30" s="206"/>
      <c r="G30" s="207"/>
      <c r="H30" s="206"/>
      <c r="I30" s="208"/>
      <c r="K30" s="11"/>
      <c r="L30" s="157">
        <v>4698706</v>
      </c>
      <c r="M30" s="12"/>
      <c r="N30" s="124"/>
      <c r="O30" s="20"/>
      <c r="P30" s="114">
        <f>P28-P29</f>
        <v>0</v>
      </c>
      <c r="Q30" s="12" t="s">
        <v>23</v>
      </c>
      <c r="R30" s="19"/>
    </row>
    <row r="31" spans="2:18" ht="15.6" customHeight="1" thickBot="1">
      <c r="B31" s="11" t="s">
        <v>26</v>
      </c>
      <c r="C31" s="23"/>
      <c r="D31" s="23"/>
      <c r="E31" s="193">
        <f>-E13</f>
        <v>30985.52</v>
      </c>
      <c r="F31" s="202"/>
      <c r="G31" s="203"/>
      <c r="H31" s="202"/>
      <c r="I31" s="204"/>
      <c r="K31" s="13"/>
      <c r="L31" s="121">
        <f>L29-L30</f>
        <v>0</v>
      </c>
      <c r="M31" s="14" t="s">
        <v>23</v>
      </c>
      <c r="N31" s="122"/>
      <c r="O31" s="125"/>
      <c r="P31" s="126"/>
      <c r="Q31" s="127"/>
      <c r="R31" s="128"/>
    </row>
    <row r="32" spans="2:18" ht="15.6" customHeight="1" thickBot="1">
      <c r="B32" s="147" t="s">
        <v>27</v>
      </c>
      <c r="E32" s="192">
        <f>SUM(E17:E31)</f>
        <v>2002271.3000000007</v>
      </c>
      <c r="F32" s="209"/>
      <c r="G32" s="183">
        <f>E32*G8</f>
        <v>1295669.7582300005</v>
      </c>
      <c r="H32" s="112"/>
      <c r="I32" s="173">
        <f>E32*I8</f>
        <v>706601.54177000024</v>
      </c>
    </row>
    <row r="33" spans="2:16" ht="15.6" customHeight="1">
      <c r="B33" s="140" t="s">
        <v>85</v>
      </c>
      <c r="C33" s="23">
        <v>495100</v>
      </c>
      <c r="D33" s="1" t="s">
        <v>92</v>
      </c>
      <c r="E33" s="191">
        <v>-6313</v>
      </c>
      <c r="F33" s="206"/>
      <c r="G33" s="183">
        <f>E33</f>
        <v>-6313</v>
      </c>
      <c r="H33" s="112"/>
      <c r="I33" s="173"/>
      <c r="K33" s="159" t="s">
        <v>19</v>
      </c>
      <c r="L33" s="4" t="s">
        <v>8</v>
      </c>
      <c r="M33" s="4" t="s">
        <v>8</v>
      </c>
      <c r="N33" s="4" t="s">
        <v>16</v>
      </c>
      <c r="O33" s="4" t="s">
        <v>16</v>
      </c>
      <c r="P33" s="160"/>
    </row>
    <row r="34" spans="2:16" ht="15.6" customHeight="1" thickBot="1">
      <c r="B34" s="151" t="s">
        <v>84</v>
      </c>
      <c r="C34" s="23">
        <v>495100</v>
      </c>
      <c r="D34" s="1" t="s">
        <v>93</v>
      </c>
      <c r="E34" s="191">
        <v>-1170</v>
      </c>
      <c r="F34" s="206"/>
      <c r="G34" s="183"/>
      <c r="H34" s="112"/>
      <c r="I34" s="173">
        <f>E34</f>
        <v>-1170</v>
      </c>
      <c r="K34" s="147"/>
      <c r="L34" s="8" t="s">
        <v>2</v>
      </c>
      <c r="M34" s="8" t="s">
        <v>1</v>
      </c>
      <c r="N34" s="8" t="s">
        <v>2</v>
      </c>
      <c r="O34" s="8" t="s">
        <v>1</v>
      </c>
      <c r="P34" s="169" t="s">
        <v>97</v>
      </c>
    </row>
    <row r="35" spans="2:16" ht="15.6" customHeight="1">
      <c r="B35" s="11" t="s">
        <v>94</v>
      </c>
      <c r="C35" s="23">
        <v>804000</v>
      </c>
      <c r="D35" s="1" t="s">
        <v>92</v>
      </c>
      <c r="E35" s="191">
        <v>-93923.45</v>
      </c>
      <c r="F35" s="202"/>
      <c r="G35" s="183">
        <f>E35</f>
        <v>-93923.45</v>
      </c>
      <c r="H35" s="112"/>
      <c r="I35" s="173"/>
      <c r="K35" s="10" t="s">
        <v>99</v>
      </c>
      <c r="L35" s="113">
        <f>$F$39</f>
        <v>1557313.0003499999</v>
      </c>
      <c r="M35" s="113">
        <f>G39</f>
        <v>1195433.3082300005</v>
      </c>
      <c r="N35" s="113">
        <f>$H$39</f>
        <v>717797.29964999994</v>
      </c>
      <c r="O35" s="113">
        <f>I39</f>
        <v>654124.82177000027</v>
      </c>
      <c r="P35" s="168">
        <f>SUM(L35:O35)-E39</f>
        <v>0</v>
      </c>
    </row>
    <row r="36" spans="2:16" ht="15.6" customHeight="1" thickBot="1">
      <c r="B36" s="11" t="s">
        <v>95</v>
      </c>
      <c r="C36" s="23">
        <v>804000</v>
      </c>
      <c r="D36" s="1" t="s">
        <v>93</v>
      </c>
      <c r="E36" s="191">
        <v>-51306.720000000001</v>
      </c>
      <c r="F36" s="202"/>
      <c r="G36" s="183"/>
      <c r="H36" s="112"/>
      <c r="I36" s="173">
        <f>E36</f>
        <v>-51306.720000000001</v>
      </c>
      <c r="K36" s="10" t="s">
        <v>102</v>
      </c>
      <c r="L36" s="158">
        <f>-$N$17</f>
        <v>-451081.46708000003</v>
      </c>
      <c r="M36" s="158">
        <f>-N29</f>
        <v>-1662073.2733799997</v>
      </c>
      <c r="N36" s="158">
        <f>-$R$15</f>
        <v>-235715.03046000004</v>
      </c>
      <c r="O36" s="158">
        <f>-R28</f>
        <v>-893784.85728999996</v>
      </c>
      <c r="P36" s="168">
        <f>SUM(L36:O36)+N17+N29+R15+R28</f>
        <v>0</v>
      </c>
    </row>
    <row r="37" spans="2:16" ht="15.6" customHeight="1" thickBot="1">
      <c r="B37" s="147" t="s">
        <v>105</v>
      </c>
      <c r="C37" s="23"/>
      <c r="E37" s="192">
        <f>SUM(E32:E36)</f>
        <v>1849558.1300000008</v>
      </c>
      <c r="F37" s="184"/>
      <c r="G37" s="186"/>
      <c r="H37" s="184"/>
      <c r="I37" s="150"/>
      <c r="K37" s="147" t="s">
        <v>100</v>
      </c>
      <c r="L37" s="118">
        <f t="shared" ref="L37:O37" si="8">SUM(L35:L36)</f>
        <v>1106231.5332699998</v>
      </c>
      <c r="M37" s="118">
        <f>SUM(M35:M36)</f>
        <v>-466639.96514999913</v>
      </c>
      <c r="N37" s="118">
        <f t="shared" si="8"/>
        <v>482082.2691899999</v>
      </c>
      <c r="O37" s="118">
        <f t="shared" si="8"/>
        <v>-239660.03551999968</v>
      </c>
      <c r="P37" s="161"/>
    </row>
    <row r="38" spans="2:16" ht="15.6" customHeight="1" thickBot="1">
      <c r="B38" s="10"/>
      <c r="C38" s="6"/>
      <c r="D38" s="6"/>
      <c r="E38" s="195"/>
      <c r="F38" s="187"/>
      <c r="G38" s="188"/>
      <c r="H38" s="187"/>
      <c r="I38" s="152"/>
      <c r="K38" s="162"/>
      <c r="L38" s="132"/>
      <c r="M38" s="3"/>
      <c r="O38" s="165"/>
      <c r="P38" s="163"/>
    </row>
    <row r="39" spans="2:16" ht="15.6" customHeight="1" thickBot="1">
      <c r="B39" s="153" t="s">
        <v>96</v>
      </c>
      <c r="C39" s="154"/>
      <c r="D39" s="154"/>
      <c r="E39" s="192">
        <f>E37+E14</f>
        <v>4124668.4300000006</v>
      </c>
      <c r="F39" s="197">
        <f>SUM(F14:F37)</f>
        <v>1557313.0003499999</v>
      </c>
      <c r="G39" s="198">
        <f t="shared" ref="G39:I39" si="9">SUM(G14:G37)</f>
        <v>1195433.3082300005</v>
      </c>
      <c r="H39" s="197">
        <f t="shared" si="9"/>
        <v>717797.29964999994</v>
      </c>
      <c r="I39" s="155">
        <f t="shared" si="9"/>
        <v>654124.82177000027</v>
      </c>
      <c r="K39" s="164"/>
      <c r="L39" s="166" t="s">
        <v>36</v>
      </c>
      <c r="M39" s="127">
        <f>SUM(L37:M37)</f>
        <v>639591.56812000065</v>
      </c>
      <c r="N39" s="167" t="s">
        <v>37</v>
      </c>
      <c r="O39" s="127">
        <f>SUM(N37:O37)</f>
        <v>242422.23367000022</v>
      </c>
      <c r="P39" s="25"/>
    </row>
    <row r="40" spans="2:16" ht="15.6" customHeight="1">
      <c r="C40" s="6"/>
      <c r="D40" s="6"/>
      <c r="E40" s="103"/>
      <c r="F40" s="103"/>
      <c r="G40" s="103"/>
      <c r="H40" s="103"/>
      <c r="I40" s="103"/>
      <c r="M40" s="24"/>
    </row>
    <row r="41" spans="2:16" ht="15.6" customHeight="1">
      <c r="B41" s="213" t="s">
        <v>107</v>
      </c>
      <c r="C41" s="212"/>
      <c r="D41" s="6" t="s">
        <v>106</v>
      </c>
      <c r="E41" s="220">
        <v>4124668.43</v>
      </c>
      <c r="F41" s="103"/>
      <c r="G41" s="103"/>
      <c r="H41" s="103"/>
      <c r="I41" s="103"/>
      <c r="P41" s="2"/>
    </row>
    <row r="42" spans="2:16" ht="15.6" customHeight="1">
      <c r="B42" s="145"/>
      <c r="C42" s="145"/>
      <c r="D42" s="6" t="s">
        <v>34</v>
      </c>
      <c r="E42" s="112">
        <f>ROUND(E39-E41,2)</f>
        <v>0</v>
      </c>
      <c r="F42" s="130"/>
      <c r="G42" s="130"/>
      <c r="H42" s="130"/>
      <c r="I42" s="130"/>
    </row>
    <row r="43" spans="2:16" ht="15.6" customHeight="1">
      <c r="B43" s="145"/>
      <c r="C43" s="145"/>
      <c r="E43" s="130"/>
      <c r="F43" s="130"/>
      <c r="G43" s="130"/>
      <c r="H43" s="130"/>
      <c r="I43" s="130"/>
    </row>
    <row r="44" spans="2:16" ht="15.6" customHeight="1" thickBot="1">
      <c r="B44" s="145"/>
      <c r="C44" s="145"/>
      <c r="E44" s="130"/>
      <c r="F44" s="130"/>
      <c r="G44" s="130"/>
      <c r="H44" s="130"/>
      <c r="I44" s="130"/>
    </row>
    <row r="45" spans="2:16" ht="15.6" customHeight="1" thickBot="1">
      <c r="B45" s="145"/>
      <c r="C45" s="145"/>
      <c r="E45" s="234" t="s">
        <v>98</v>
      </c>
      <c r="F45" s="235"/>
      <c r="G45" s="130"/>
      <c r="H45" s="130"/>
      <c r="I45" s="130"/>
    </row>
    <row r="46" spans="2:16" ht="15.6" customHeight="1">
      <c r="B46" s="145"/>
      <c r="C46" s="145"/>
      <c r="E46" s="140" t="s">
        <v>38</v>
      </c>
      <c r="F46" s="171" t="s">
        <v>39</v>
      </c>
      <c r="G46" s="130"/>
      <c r="H46" s="130"/>
      <c r="I46" s="130"/>
    </row>
    <row r="47" spans="2:16" ht="15.75" thickBot="1">
      <c r="E47" s="172" t="e">
        <f>SUM('191010 WA DEF'!E36:E45)+SUM('191000 WA Amort'!H36:H45)+SUM(#REF!)+SUM(#REF!)</f>
        <v>#REF!</v>
      </c>
      <c r="F47" s="170" t="e">
        <f>-E47</f>
        <v>#REF!</v>
      </c>
    </row>
    <row r="48" spans="2:16">
      <c r="E48" s="215"/>
      <c r="F48" s="215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1387" spans="1:20">
      <c r="T1387" s="5"/>
    </row>
    <row r="1388" spans="1:20" s="5" customFormat="1">
      <c r="A1388" s="1"/>
      <c r="B1388" s="1"/>
      <c r="C1388" s="1"/>
      <c r="D1388" s="1">
        <v>-2130</v>
      </c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T1388" s="1"/>
    </row>
    <row r="1395" spans="1:20">
      <c r="T1395" s="5"/>
    </row>
    <row r="1396" spans="1:20" s="5" customFormat="1">
      <c r="A1396" s="1"/>
      <c r="B1396" s="1"/>
      <c r="C1396" s="1"/>
      <c r="D1396" s="1">
        <f>7004298-2130</f>
        <v>7002168</v>
      </c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T1396" s="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51" priority="26" operator="equal">
      <formula>"ERROR"</formula>
    </cfRule>
  </conditionalFormatting>
  <conditionalFormatting sqref="E42">
    <cfRule type="cellIs" dxfId="50" priority="1" stopIfTrue="1" operator="equal">
      <formula>0</formula>
    </cfRule>
    <cfRule type="cellIs" dxfId="49" priority="2" stopIfTrue="1" operator="notEqual">
      <formula>0</formula>
    </cfRule>
    <cfRule type="cellIs" dxfId="48" priority="3" stopIfTrue="1" operator="equal">
      <formula>0</formula>
    </cfRule>
    <cfRule type="cellIs" dxfId="47" priority="4" stopIfTrue="1" operator="notEqual">
      <formula>0</formula>
    </cfRule>
  </conditionalFormatting>
  <conditionalFormatting sqref="L19">
    <cfRule type="cellIs" dxfId="46" priority="21" stopIfTrue="1" operator="equal">
      <formula>0</formula>
    </cfRule>
    <cfRule type="cellIs" dxfId="45" priority="22" stopIfTrue="1" operator="notEqual">
      <formula>0</formula>
    </cfRule>
    <cfRule type="cellIs" dxfId="44" priority="23" stopIfTrue="1" operator="equal">
      <formula>0</formula>
    </cfRule>
    <cfRule type="cellIs" dxfId="43" priority="24" stopIfTrue="1" operator="notEqual">
      <formula>0</formula>
    </cfRule>
  </conditionalFormatting>
  <conditionalFormatting sqref="L31">
    <cfRule type="cellIs" dxfId="42" priority="17" stopIfTrue="1" operator="equal">
      <formula>0</formula>
    </cfRule>
    <cfRule type="cellIs" dxfId="41" priority="18" stopIfTrue="1" operator="notEqual">
      <formula>0</formula>
    </cfRule>
    <cfRule type="cellIs" dxfId="40" priority="19" stopIfTrue="1" operator="equal">
      <formula>0</formula>
    </cfRule>
    <cfRule type="cellIs" dxfId="39" priority="20" stopIfTrue="1" operator="notEqual">
      <formula>0</formula>
    </cfRule>
  </conditionalFormatting>
  <conditionalFormatting sqref="P17">
    <cfRule type="cellIs" dxfId="38" priority="13" stopIfTrue="1" operator="equal">
      <formula>0</formula>
    </cfRule>
    <cfRule type="cellIs" dxfId="37" priority="14" stopIfTrue="1" operator="notEqual">
      <formula>0</formula>
    </cfRule>
    <cfRule type="cellIs" dxfId="36" priority="15" stopIfTrue="1" operator="equal">
      <formula>0</formula>
    </cfRule>
    <cfRule type="cellIs" dxfId="35" priority="16" stopIfTrue="1" operator="notEqual">
      <formula>0</formula>
    </cfRule>
  </conditionalFormatting>
  <conditionalFormatting sqref="P30">
    <cfRule type="cellIs" dxfId="34" priority="9" stopIfTrue="1" operator="equal">
      <formula>0</formula>
    </cfRule>
    <cfRule type="cellIs" dxfId="33" priority="10" stopIfTrue="1" operator="notEqual">
      <formula>0</formula>
    </cfRule>
    <cfRule type="cellIs" dxfId="32" priority="11" stopIfTrue="1" operator="equal">
      <formula>0</formula>
    </cfRule>
    <cfRule type="cellIs" dxfId="31" priority="12" stopIfTrue="1" operator="notEqual">
      <formula>0</formula>
    </cfRule>
  </conditionalFormatting>
  <conditionalFormatting sqref="P31">
    <cfRule type="cellIs" dxfId="30" priority="25" operator="notEqual">
      <formula>0</formula>
    </cfRule>
  </conditionalFormatting>
  <conditionalFormatting sqref="P35:P36">
    <cfRule type="cellIs" dxfId="29" priority="5" stopIfTrue="1" operator="equal">
      <formula>0</formula>
    </cfRule>
    <cfRule type="cellIs" dxfId="28" priority="6" stopIfTrue="1" operator="notEqual">
      <formula>0</formula>
    </cfRule>
    <cfRule type="cellIs" dxfId="27" priority="7" stopIfTrue="1" operator="equal">
      <formula>0</formula>
    </cfRule>
    <cfRule type="cellIs" dxfId="26" priority="8" stopIfTrue="1" operator="notEqual">
      <formula>0</formula>
    </cfRule>
  </conditionalFormatting>
  <printOptions horizontalCentered="1"/>
  <pageMargins left="0.1" right="0.1" top="0.5" bottom="0.5" header="0.3" footer="0.3"/>
  <pageSetup scale="37" orientation="landscape" r:id="rId1"/>
  <headerFooter>
    <oddFooter>&amp;R&amp;Z&amp;F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C1829-DA7B-4559-BB24-5BAC5352695A}">
  <sheetPr>
    <pageSetUpPr fitToPage="1"/>
  </sheetPr>
  <dimension ref="A1:T1396"/>
  <sheetViews>
    <sheetView zoomScale="60" zoomScaleNormal="60" workbookViewId="0">
      <selection activeCell="P30" sqref="P30"/>
    </sheetView>
  </sheetViews>
  <sheetFormatPr defaultColWidth="16" defaultRowHeight="15"/>
  <cols>
    <col min="1" max="1" width="2.85546875" style="1" customWidth="1"/>
    <col min="2" max="2" width="48.7109375" style="1" bestFit="1" customWidth="1"/>
    <col min="3" max="3" width="11.5703125" style="1" customWidth="1"/>
    <col min="4" max="4" width="10.7109375" style="1" customWidth="1"/>
    <col min="5" max="5" width="25.140625" style="5" customWidth="1"/>
    <col min="6" max="6" width="18.28515625" style="1" bestFit="1" customWidth="1"/>
    <col min="7" max="7" width="19.7109375" style="1" bestFit="1" customWidth="1"/>
    <col min="8" max="9" width="18.28515625" style="1" bestFit="1" customWidth="1"/>
    <col min="10" max="10" width="4.85546875" style="1" bestFit="1" customWidth="1"/>
    <col min="11" max="11" width="22.28515625" style="1" bestFit="1" customWidth="1"/>
    <col min="12" max="12" width="17.5703125" style="1" bestFit="1" customWidth="1"/>
    <col min="13" max="13" width="17.7109375" style="1" customWidth="1"/>
    <col min="14" max="14" width="17.5703125" style="1" bestFit="1" customWidth="1"/>
    <col min="15" max="15" width="19.140625" style="1" bestFit="1" customWidth="1"/>
    <col min="16" max="17" width="17.7109375" style="1" customWidth="1"/>
    <col min="18" max="18" width="15.7109375" style="1" bestFit="1" customWidth="1"/>
    <col min="19" max="19" width="5.140625" style="1" customWidth="1"/>
    <col min="20" max="20" width="41.5703125" style="1" bestFit="1" customWidth="1"/>
    <col min="21" max="16384" width="16" style="1"/>
  </cols>
  <sheetData>
    <row r="1" spans="2:20" ht="18">
      <c r="B1" s="141" t="s">
        <v>103</v>
      </c>
      <c r="C1" s="142">
        <v>202307</v>
      </c>
      <c r="D1" s="219"/>
      <c r="E1" s="105"/>
      <c r="F1" s="105"/>
      <c r="G1" s="105"/>
      <c r="H1" s="105"/>
      <c r="I1" s="105"/>
      <c r="K1" s="137" t="s">
        <v>88</v>
      </c>
      <c r="L1" s="143" t="s">
        <v>89</v>
      </c>
      <c r="N1" s="236"/>
      <c r="O1" s="236"/>
      <c r="T1" s="216" t="s">
        <v>108</v>
      </c>
    </row>
    <row r="2" spans="2:20" ht="15.6" customHeight="1">
      <c r="D2" s="105"/>
      <c r="E2" s="105"/>
      <c r="F2" s="105"/>
      <c r="G2" s="105"/>
      <c r="H2" s="105"/>
      <c r="I2" s="105"/>
      <c r="K2" s="138"/>
      <c r="L2" s="139" t="s">
        <v>90</v>
      </c>
      <c r="N2" s="145"/>
      <c r="O2" s="145"/>
      <c r="T2" s="217" t="s">
        <v>109</v>
      </c>
    </row>
    <row r="3" spans="2:20" ht="15.6" customHeight="1">
      <c r="D3" s="105"/>
      <c r="E3" s="105"/>
      <c r="F3" s="105"/>
      <c r="G3" s="105"/>
      <c r="H3" s="105"/>
      <c r="I3" s="105"/>
      <c r="K3" s="138"/>
      <c r="L3" s="144"/>
      <c r="N3" s="215"/>
      <c r="O3" s="215"/>
      <c r="T3" s="217" t="s">
        <v>110</v>
      </c>
    </row>
    <row r="4" spans="2:20" ht="15.6" customHeight="1" thickBot="1">
      <c r="D4" s="105"/>
      <c r="E4" s="105"/>
      <c r="F4" s="105"/>
      <c r="G4" s="105"/>
      <c r="H4" s="105"/>
      <c r="I4" s="105"/>
      <c r="K4" s="138"/>
      <c r="L4" s="144"/>
      <c r="T4" s="217" t="s">
        <v>111</v>
      </c>
    </row>
    <row r="5" spans="2:20" ht="15.6" customHeight="1" thickBot="1">
      <c r="B5" s="146"/>
      <c r="C5" s="9"/>
      <c r="D5" s="9"/>
      <c r="E5" s="196" t="s">
        <v>17</v>
      </c>
      <c r="F5" s="237" t="s">
        <v>32</v>
      </c>
      <c r="G5" s="238"/>
      <c r="H5" s="237" t="s">
        <v>33</v>
      </c>
      <c r="I5" s="239"/>
      <c r="K5" s="240" t="s">
        <v>32</v>
      </c>
      <c r="L5" s="241"/>
      <c r="M5" s="241"/>
      <c r="N5" s="242"/>
      <c r="O5" s="240" t="s">
        <v>33</v>
      </c>
      <c r="P5" s="241"/>
      <c r="Q5" s="241"/>
      <c r="R5" s="242"/>
      <c r="T5" s="217" t="s">
        <v>112</v>
      </c>
    </row>
    <row r="6" spans="2:20" ht="15.6" customHeight="1" thickBot="1">
      <c r="B6" s="147" t="s">
        <v>18</v>
      </c>
      <c r="E6" s="189" t="s">
        <v>101</v>
      </c>
      <c r="F6" s="176" t="s">
        <v>2</v>
      </c>
      <c r="G6" s="177" t="s">
        <v>1</v>
      </c>
      <c r="H6" s="176" t="s">
        <v>2</v>
      </c>
      <c r="I6" s="175" t="s">
        <v>1</v>
      </c>
      <c r="K6" s="108" t="s">
        <v>24</v>
      </c>
      <c r="L6" s="106" t="s">
        <v>6</v>
      </c>
      <c r="M6" s="106" t="s">
        <v>6</v>
      </c>
      <c r="N6" s="106" t="s">
        <v>6</v>
      </c>
      <c r="O6" s="108" t="s">
        <v>24</v>
      </c>
      <c r="P6" s="106" t="s">
        <v>6</v>
      </c>
      <c r="Q6" s="106" t="s">
        <v>6</v>
      </c>
      <c r="R6" s="134" t="s">
        <v>6</v>
      </c>
      <c r="T6" s="217" t="s">
        <v>113</v>
      </c>
    </row>
    <row r="7" spans="2:20" ht="15.6" customHeight="1" thickBot="1">
      <c r="B7" s="10"/>
      <c r="E7" s="190"/>
      <c r="F7" s="178"/>
      <c r="G7" s="179"/>
      <c r="H7" s="178"/>
      <c r="I7" s="7"/>
      <c r="K7" s="109" t="s">
        <v>35</v>
      </c>
      <c r="L7" s="107" t="s">
        <v>22</v>
      </c>
      <c r="M7" s="107" t="s">
        <v>9</v>
      </c>
      <c r="N7" s="107" t="s">
        <v>7</v>
      </c>
      <c r="O7" s="109" t="s">
        <v>35</v>
      </c>
      <c r="P7" s="107" t="s">
        <v>22</v>
      </c>
      <c r="Q7" s="107" t="s">
        <v>9</v>
      </c>
      <c r="R7" s="107" t="s">
        <v>7</v>
      </c>
      <c r="T7" s="217" t="s">
        <v>114</v>
      </c>
    </row>
    <row r="8" spans="2:20" ht="15.6" customHeight="1">
      <c r="B8" s="10"/>
      <c r="E8" s="210">
        <f>F8+H8</f>
        <v>1</v>
      </c>
      <c r="F8" s="180">
        <v>0.6845</v>
      </c>
      <c r="G8" s="181">
        <f>ROUND($L$29/($L$29+$P$28),4)</f>
        <v>0.6472</v>
      </c>
      <c r="H8" s="180">
        <v>0.3155</v>
      </c>
      <c r="I8" s="148">
        <f>1-G8</f>
        <v>0.3528</v>
      </c>
      <c r="J8" s="211"/>
      <c r="K8" s="10"/>
      <c r="L8" s="2"/>
      <c r="M8" s="2"/>
      <c r="N8" s="134"/>
      <c r="O8" s="110"/>
      <c r="P8" s="111"/>
      <c r="Q8" s="111"/>
      <c r="R8" s="22"/>
      <c r="T8" s="217" t="s">
        <v>115</v>
      </c>
    </row>
    <row r="9" spans="2:20" ht="15.6" customHeight="1">
      <c r="B9" s="10"/>
      <c r="E9" s="190"/>
      <c r="F9" s="178"/>
      <c r="G9" s="179"/>
      <c r="H9" s="178"/>
      <c r="I9" s="7"/>
      <c r="K9" s="20" t="s">
        <v>28</v>
      </c>
      <c r="N9" s="7"/>
      <c r="O9" s="20" t="s">
        <v>28</v>
      </c>
      <c r="R9" s="7"/>
    </row>
    <row r="10" spans="2:20" ht="15.6" customHeight="1">
      <c r="B10" s="140" t="s">
        <v>155</v>
      </c>
      <c r="C10" s="23">
        <v>804001</v>
      </c>
      <c r="D10" s="23" t="s">
        <v>87</v>
      </c>
      <c r="E10" s="191">
        <v>2302829.0299999998</v>
      </c>
      <c r="F10" s="182"/>
      <c r="G10" s="183"/>
      <c r="H10" s="182"/>
      <c r="I10" s="173"/>
      <c r="K10" s="21" t="s">
        <v>10</v>
      </c>
      <c r="L10" s="228">
        <v>2176412</v>
      </c>
      <c r="M10" s="156">
        <v>0.10111000000000001</v>
      </c>
      <c r="N10" s="136">
        <f t="shared" ref="N10:N16" si="0">L10*M10</f>
        <v>220057.01732000001</v>
      </c>
      <c r="O10" s="21" t="s">
        <v>10</v>
      </c>
      <c r="P10" s="228">
        <v>1245582</v>
      </c>
      <c r="Q10" s="156">
        <v>9.1980000000000006E-2</v>
      </c>
      <c r="R10" s="136">
        <f>P10*Q10</f>
        <v>114568.63236</v>
      </c>
    </row>
    <row r="11" spans="2:20" ht="15.6" customHeight="1" thickBot="1">
      <c r="B11" s="140" t="s">
        <v>156</v>
      </c>
      <c r="C11" s="23">
        <v>804002</v>
      </c>
      <c r="D11" s="23" t="s">
        <v>87</v>
      </c>
      <c r="E11" s="191">
        <v>21807.75</v>
      </c>
      <c r="F11" s="182"/>
      <c r="G11" s="183"/>
      <c r="H11" s="182"/>
      <c r="I11" s="173"/>
      <c r="K11" s="21" t="s">
        <v>42</v>
      </c>
      <c r="L11" s="228">
        <v>6110</v>
      </c>
      <c r="M11" s="156">
        <v>0.10111000000000001</v>
      </c>
      <c r="N11" s="136">
        <f t="shared" si="0"/>
        <v>617.78210000000001</v>
      </c>
      <c r="O11" s="21" t="s">
        <v>11</v>
      </c>
      <c r="P11" s="228">
        <v>1010486</v>
      </c>
      <c r="Q11" s="156">
        <f>Q10</f>
        <v>9.1980000000000006E-2</v>
      </c>
      <c r="R11" s="136">
        <f>P11*Q11</f>
        <v>92944.502280000001</v>
      </c>
    </row>
    <row r="12" spans="2:20" ht="15.6" customHeight="1" thickBot="1">
      <c r="B12" s="147" t="s">
        <v>91</v>
      </c>
      <c r="C12" s="3"/>
      <c r="D12" s="3"/>
      <c r="E12" s="192">
        <f>SUM(E10:E11)</f>
        <v>2324636.7799999998</v>
      </c>
      <c r="F12" s="184"/>
      <c r="G12" s="185"/>
      <c r="H12" s="184"/>
      <c r="I12" s="174"/>
      <c r="K12" s="21" t="s">
        <v>11</v>
      </c>
      <c r="L12" s="228">
        <v>1799245</v>
      </c>
      <c r="M12" s="156">
        <v>9.2460000000000001E-2</v>
      </c>
      <c r="N12" s="136">
        <f t="shared" si="0"/>
        <v>166358.19270000001</v>
      </c>
      <c r="O12" s="21" t="s">
        <v>12</v>
      </c>
      <c r="P12" s="228">
        <v>3</v>
      </c>
      <c r="Q12" s="156">
        <f t="shared" ref="Q12:Q14" si="1">Q11</f>
        <v>9.1980000000000006E-2</v>
      </c>
      <c r="R12" s="136">
        <f>P12*Q12</f>
        <v>0.27594000000000002</v>
      </c>
    </row>
    <row r="13" spans="2:20" ht="15.6" customHeight="1" thickBot="1">
      <c r="B13" s="10" t="s">
        <v>25</v>
      </c>
      <c r="E13" s="193">
        <f>-E11</f>
        <v>-21807.75</v>
      </c>
      <c r="F13" s="182"/>
      <c r="G13" s="183"/>
      <c r="H13" s="182"/>
      <c r="I13" s="173"/>
      <c r="K13" s="21" t="s">
        <v>12</v>
      </c>
      <c r="L13" s="228">
        <v>29212</v>
      </c>
      <c r="M13" s="156">
        <v>9.2460000000000001E-2</v>
      </c>
      <c r="N13" s="136">
        <f t="shared" si="0"/>
        <v>2700.9415199999999</v>
      </c>
      <c r="O13" s="21" t="s">
        <v>13</v>
      </c>
      <c r="P13" s="228">
        <v>0</v>
      </c>
      <c r="Q13" s="156">
        <f t="shared" si="1"/>
        <v>9.1980000000000006E-2</v>
      </c>
      <c r="R13" s="136">
        <f>P13*Q13</f>
        <v>0</v>
      </c>
    </row>
    <row r="14" spans="2:20" ht="15.6" customHeight="1" thickBot="1">
      <c r="B14" s="147" t="s">
        <v>104</v>
      </c>
      <c r="C14" s="149"/>
      <c r="D14" s="149"/>
      <c r="E14" s="192">
        <f>SUM(E12:E13)</f>
        <v>2302829.0299999998</v>
      </c>
      <c r="F14" s="199">
        <f>E14*F8</f>
        <v>1576286.4710349999</v>
      </c>
      <c r="G14" s="200"/>
      <c r="H14" s="199">
        <f>E14*H8</f>
        <v>726542.55896499997</v>
      </c>
      <c r="I14" s="201"/>
      <c r="K14" s="21" t="s">
        <v>13</v>
      </c>
      <c r="L14" s="228">
        <v>0</v>
      </c>
      <c r="M14" s="156">
        <v>5.9560000000000002E-2</v>
      </c>
      <c r="N14" s="136">
        <f t="shared" si="0"/>
        <v>0</v>
      </c>
      <c r="O14" s="21" t="s">
        <v>14</v>
      </c>
      <c r="P14" s="228">
        <v>0</v>
      </c>
      <c r="Q14" s="156">
        <f t="shared" si="1"/>
        <v>9.1980000000000006E-2</v>
      </c>
      <c r="R14" s="136">
        <f>P14*Q14</f>
        <v>0</v>
      </c>
    </row>
    <row r="15" spans="2:20" ht="15.6" customHeight="1" thickBot="1">
      <c r="B15" s="10"/>
      <c r="E15" s="194"/>
      <c r="F15" s="202"/>
      <c r="G15" s="203"/>
      <c r="H15" s="202"/>
      <c r="I15" s="204"/>
      <c r="K15" s="21" t="s">
        <v>14</v>
      </c>
      <c r="L15" s="228">
        <v>127723</v>
      </c>
      <c r="M15" s="156">
        <v>5.9560000000000002E-2</v>
      </c>
      <c r="N15" s="136">
        <f t="shared" si="0"/>
        <v>7607.1818800000001</v>
      </c>
      <c r="O15" s="20" t="s">
        <v>29</v>
      </c>
      <c r="P15" s="115">
        <f>SUM(P10:P14)</f>
        <v>2256071</v>
      </c>
      <c r="Q15" s="116"/>
      <c r="R15" s="18">
        <f>SUM(R10:R14)</f>
        <v>207513.41058</v>
      </c>
    </row>
    <row r="16" spans="2:20" ht="15.6" customHeight="1" thickTop="1">
      <c r="B16" s="10"/>
      <c r="E16" s="194"/>
      <c r="F16" s="202"/>
      <c r="G16" s="203"/>
      <c r="H16" s="202"/>
      <c r="I16" s="204"/>
      <c r="K16" s="21" t="s">
        <v>20</v>
      </c>
      <c r="L16" s="228">
        <v>2003182</v>
      </c>
      <c r="M16" s="156">
        <v>5.4000000000000001E-4</v>
      </c>
      <c r="N16" s="136">
        <f t="shared" si="0"/>
        <v>1081.71828</v>
      </c>
      <c r="O16" s="21"/>
      <c r="P16" s="157">
        <v>2256071</v>
      </c>
      <c r="Q16" s="12"/>
      <c r="R16" s="117"/>
    </row>
    <row r="17" spans="2:18" ht="15.6" customHeight="1" thickBot="1">
      <c r="B17" s="140" t="s">
        <v>142</v>
      </c>
      <c r="C17" s="23">
        <v>804000</v>
      </c>
      <c r="D17" s="23" t="s">
        <v>87</v>
      </c>
      <c r="E17" s="191">
        <v>6402313.0999999996</v>
      </c>
      <c r="F17" s="205"/>
      <c r="G17" s="203"/>
      <c r="H17" s="202"/>
      <c r="I17" s="204"/>
      <c r="K17" s="20" t="s">
        <v>29</v>
      </c>
      <c r="L17" s="115">
        <f>SUM(L10:L16)</f>
        <v>6141884</v>
      </c>
      <c r="M17" s="3"/>
      <c r="N17" s="18">
        <f>SUM(N10:N16)</f>
        <v>398422.83380000002</v>
      </c>
      <c r="O17" s="21"/>
      <c r="P17" s="114">
        <f>P15-P16</f>
        <v>0</v>
      </c>
      <c r="Q17" s="12" t="s">
        <v>23</v>
      </c>
      <c r="R17" s="19"/>
    </row>
    <row r="18" spans="2:18" ht="15.6" customHeight="1" thickTop="1">
      <c r="B18" s="140" t="s">
        <v>143</v>
      </c>
      <c r="C18" s="23">
        <v>804010</v>
      </c>
      <c r="D18" s="23" t="s">
        <v>87</v>
      </c>
      <c r="E18" s="191">
        <v>21305.83</v>
      </c>
      <c r="F18" s="202"/>
      <c r="G18" s="203"/>
      <c r="H18" s="202"/>
      <c r="I18" s="204"/>
      <c r="K18" s="11"/>
      <c r="L18" s="157">
        <v>6141884</v>
      </c>
      <c r="M18" s="12"/>
      <c r="N18" s="117"/>
      <c r="O18" s="10"/>
      <c r="Q18" s="104"/>
      <c r="R18" s="19"/>
    </row>
    <row r="19" spans="2:18" ht="15.6" customHeight="1">
      <c r="B19" s="140" t="s">
        <v>144</v>
      </c>
      <c r="C19" s="23">
        <v>804017</v>
      </c>
      <c r="D19" s="23" t="s">
        <v>87</v>
      </c>
      <c r="E19" s="191">
        <v>24019.24</v>
      </c>
      <c r="F19" s="202"/>
      <c r="G19" s="203"/>
      <c r="H19" s="202"/>
      <c r="I19" s="204"/>
      <c r="K19" s="10"/>
      <c r="L19" s="218">
        <f>L17-L18</f>
        <v>0</v>
      </c>
      <c r="M19" s="12" t="s">
        <v>23</v>
      </c>
      <c r="N19" s="7"/>
      <c r="O19" s="16"/>
      <c r="P19" s="17"/>
      <c r="R19" s="19"/>
    </row>
    <row r="20" spans="2:18" ht="15.6" customHeight="1">
      <c r="B20" s="140" t="s">
        <v>145</v>
      </c>
      <c r="C20" s="23">
        <v>804018</v>
      </c>
      <c r="D20" s="23" t="s">
        <v>87</v>
      </c>
      <c r="E20" s="191">
        <v>16315.93</v>
      </c>
      <c r="F20" s="202"/>
      <c r="G20" s="203"/>
      <c r="H20" s="202"/>
      <c r="I20" s="204"/>
      <c r="K20" s="10"/>
      <c r="M20" s="12"/>
      <c r="N20" s="7"/>
      <c r="O20" s="16"/>
      <c r="P20" s="17"/>
      <c r="R20" s="7"/>
    </row>
    <row r="21" spans="2:18" ht="15.6" customHeight="1">
      <c r="B21" s="140" t="s">
        <v>146</v>
      </c>
      <c r="C21" s="23">
        <v>804600</v>
      </c>
      <c r="D21" s="23" t="s">
        <v>87</v>
      </c>
      <c r="E21" s="191">
        <v>461030.08</v>
      </c>
      <c r="F21" s="202"/>
      <c r="G21" s="203"/>
      <c r="H21" s="202"/>
      <c r="I21" s="204"/>
      <c r="K21" s="10"/>
      <c r="M21" s="12"/>
      <c r="N21" s="7"/>
      <c r="O21" s="16"/>
      <c r="P21" s="17"/>
      <c r="R21" s="7"/>
    </row>
    <row r="22" spans="2:18" ht="15.6" customHeight="1">
      <c r="B22" s="140" t="s">
        <v>147</v>
      </c>
      <c r="C22" s="23">
        <v>804730</v>
      </c>
      <c r="D22" s="23" t="s">
        <v>87</v>
      </c>
      <c r="E22" s="191">
        <v>471303.61</v>
      </c>
      <c r="F22" s="202"/>
      <c r="G22" s="203"/>
      <c r="H22" s="202"/>
      <c r="I22" s="204"/>
      <c r="K22" s="20" t="s">
        <v>30</v>
      </c>
      <c r="N22" s="7"/>
      <c r="O22" s="20" t="s">
        <v>30</v>
      </c>
      <c r="P22" s="15"/>
      <c r="R22" s="7"/>
    </row>
    <row r="23" spans="2:18" ht="15.6" customHeight="1">
      <c r="B23" s="140" t="s">
        <v>148</v>
      </c>
      <c r="C23" s="23">
        <v>808100</v>
      </c>
      <c r="D23" s="23" t="s">
        <v>87</v>
      </c>
      <c r="E23" s="191">
        <v>942785.3</v>
      </c>
      <c r="F23" s="202"/>
      <c r="G23" s="203"/>
      <c r="H23" s="202"/>
      <c r="I23" s="204"/>
      <c r="K23" s="21" t="s">
        <v>10</v>
      </c>
      <c r="L23" s="221">
        <f>+L10</f>
        <v>2176412</v>
      </c>
      <c r="M23" s="156">
        <v>0.35372999999999999</v>
      </c>
      <c r="N23" s="136">
        <f>L23*M23</f>
        <v>769862.21675999998</v>
      </c>
      <c r="O23" s="21" t="s">
        <v>10</v>
      </c>
      <c r="P23" s="221">
        <f>+P10</f>
        <v>1245582</v>
      </c>
      <c r="Q23" s="156">
        <v>0.34877000000000002</v>
      </c>
      <c r="R23" s="136">
        <f>P23*Q23</f>
        <v>434421.63414000004</v>
      </c>
    </row>
    <row r="24" spans="2:18" ht="15.6" customHeight="1">
      <c r="B24" s="140" t="s">
        <v>149</v>
      </c>
      <c r="C24" s="23">
        <v>808200</v>
      </c>
      <c r="D24" s="23" t="s">
        <v>87</v>
      </c>
      <c r="E24" s="191">
        <v>-2180573.69</v>
      </c>
      <c r="F24" s="202"/>
      <c r="G24" s="203"/>
      <c r="H24" s="202"/>
      <c r="I24" s="204"/>
      <c r="K24" s="21" t="s">
        <v>42</v>
      </c>
      <c r="L24" s="221">
        <f t="shared" ref="L24:L28" si="2">+L11</f>
        <v>6110</v>
      </c>
      <c r="M24" s="156">
        <f>M23</f>
        <v>0.35372999999999999</v>
      </c>
      <c r="N24" s="136">
        <f t="shared" ref="N24:N28" si="3">L24*M24</f>
        <v>2161.2903000000001</v>
      </c>
      <c r="O24" s="21" t="s">
        <v>11</v>
      </c>
      <c r="P24" s="221">
        <f t="shared" ref="P24:P27" si="4">+P11</f>
        <v>1010486</v>
      </c>
      <c r="Q24" s="156">
        <f>Q23</f>
        <v>0.34877000000000002</v>
      </c>
      <c r="R24" s="136">
        <f t="shared" ref="R24:R27" si="5">P24*Q24</f>
        <v>352427.20222000004</v>
      </c>
    </row>
    <row r="25" spans="2:18" ht="15.6" customHeight="1">
      <c r="B25" s="140" t="s">
        <v>150</v>
      </c>
      <c r="C25" s="23">
        <v>811000</v>
      </c>
      <c r="D25" s="23" t="s">
        <v>87</v>
      </c>
      <c r="E25" s="191">
        <v>-21832.61</v>
      </c>
      <c r="F25" s="202"/>
      <c r="G25" s="203"/>
      <c r="H25" s="202"/>
      <c r="I25" s="204"/>
      <c r="K25" s="21" t="s">
        <v>11</v>
      </c>
      <c r="L25" s="221">
        <f t="shared" si="2"/>
        <v>1799245</v>
      </c>
      <c r="M25" s="156">
        <f t="shared" ref="M25:M28" si="6">M24</f>
        <v>0.35372999999999999</v>
      </c>
      <c r="N25" s="136">
        <f t="shared" si="3"/>
        <v>636446.93385000003</v>
      </c>
      <c r="O25" s="21" t="s">
        <v>12</v>
      </c>
      <c r="P25" s="221">
        <f t="shared" si="4"/>
        <v>3</v>
      </c>
      <c r="Q25" s="156">
        <f t="shared" ref="Q25:Q27" si="7">Q24</f>
        <v>0.34877000000000002</v>
      </c>
      <c r="R25" s="136">
        <f t="shared" si="5"/>
        <v>1.0463100000000001</v>
      </c>
    </row>
    <row r="26" spans="2:18" ht="15.6" customHeight="1">
      <c r="B26" s="140" t="s">
        <v>151</v>
      </c>
      <c r="C26" s="23">
        <v>483000</v>
      </c>
      <c r="D26" s="23" t="s">
        <v>87</v>
      </c>
      <c r="E26" s="191">
        <v>-2660665.36</v>
      </c>
      <c r="F26" s="205"/>
      <c r="G26" s="203"/>
      <c r="H26" s="202"/>
      <c r="I26" s="204"/>
      <c r="K26" s="21" t="s">
        <v>12</v>
      </c>
      <c r="L26" s="221">
        <f t="shared" si="2"/>
        <v>29212</v>
      </c>
      <c r="M26" s="156">
        <f t="shared" si="6"/>
        <v>0.35372999999999999</v>
      </c>
      <c r="N26" s="136">
        <f t="shared" si="3"/>
        <v>10333.160759999999</v>
      </c>
      <c r="O26" s="21" t="s">
        <v>13</v>
      </c>
      <c r="P26" s="221">
        <f t="shared" si="4"/>
        <v>0</v>
      </c>
      <c r="Q26" s="156">
        <f t="shared" si="7"/>
        <v>0.34877000000000002</v>
      </c>
      <c r="R26" s="136">
        <f t="shared" si="5"/>
        <v>0</v>
      </c>
    </row>
    <row r="27" spans="2:18" ht="15.6" customHeight="1">
      <c r="B27" s="140" t="s">
        <v>152</v>
      </c>
      <c r="C27" s="23">
        <v>483600</v>
      </c>
      <c r="D27" s="23" t="s">
        <v>87</v>
      </c>
      <c r="E27" s="191">
        <v>232337.25</v>
      </c>
      <c r="F27" s="202"/>
      <c r="G27" s="203"/>
      <c r="H27" s="202"/>
      <c r="I27" s="204"/>
      <c r="K27" s="21" t="s">
        <v>13</v>
      </c>
      <c r="L27" s="221">
        <f t="shared" si="2"/>
        <v>0</v>
      </c>
      <c r="M27" s="156">
        <f t="shared" si="6"/>
        <v>0.35372999999999999</v>
      </c>
      <c r="N27" s="136">
        <f t="shared" si="3"/>
        <v>0</v>
      </c>
      <c r="O27" s="21" t="s">
        <v>14</v>
      </c>
      <c r="P27" s="221">
        <f t="shared" si="4"/>
        <v>0</v>
      </c>
      <c r="Q27" s="156">
        <f t="shared" si="7"/>
        <v>0.34877000000000002</v>
      </c>
      <c r="R27" s="136">
        <f t="shared" si="5"/>
        <v>0</v>
      </c>
    </row>
    <row r="28" spans="2:18" ht="15.6" customHeight="1" thickBot="1">
      <c r="B28" s="140" t="s">
        <v>153</v>
      </c>
      <c r="C28" s="23">
        <v>483730</v>
      </c>
      <c r="D28" s="23" t="s">
        <v>87</v>
      </c>
      <c r="E28" s="191">
        <v>-3299222.72</v>
      </c>
      <c r="F28" s="202"/>
      <c r="G28" s="203"/>
      <c r="H28" s="202"/>
      <c r="I28" s="204"/>
      <c r="K28" s="21" t="s">
        <v>14</v>
      </c>
      <c r="L28" s="221">
        <f t="shared" si="2"/>
        <v>127723</v>
      </c>
      <c r="M28" s="156">
        <f t="shared" si="6"/>
        <v>0.35372999999999999</v>
      </c>
      <c r="N28" s="136">
        <f t="shared" si="3"/>
        <v>45179.456789999997</v>
      </c>
      <c r="O28" s="20" t="s">
        <v>31</v>
      </c>
      <c r="P28" s="115">
        <f>SUM(P23:P27)</f>
        <v>2256071</v>
      </c>
      <c r="Q28" s="116"/>
      <c r="R28" s="18">
        <f>SUM(R23:R27)</f>
        <v>786849.88267000008</v>
      </c>
    </row>
    <row r="29" spans="2:18" ht="15.6" customHeight="1" thickTop="1" thickBot="1">
      <c r="B29" s="140" t="s">
        <v>154</v>
      </c>
      <c r="C29" s="23">
        <v>495028</v>
      </c>
      <c r="D29" s="23" t="s">
        <v>87</v>
      </c>
      <c r="E29" s="191">
        <v>-468750</v>
      </c>
      <c r="F29" s="202"/>
      <c r="G29" s="203"/>
      <c r="H29" s="202"/>
      <c r="I29" s="204"/>
      <c r="K29" s="20" t="s">
        <v>31</v>
      </c>
      <c r="L29" s="115">
        <f>SUM(L23:L28)</f>
        <v>4138702</v>
      </c>
      <c r="M29" s="116"/>
      <c r="N29" s="123">
        <f>SUM(N23:N28)</f>
        <v>1463983.0584599997</v>
      </c>
      <c r="O29" s="20"/>
      <c r="P29" s="157">
        <v>2256071</v>
      </c>
      <c r="Q29" s="12"/>
      <c r="R29" s="120"/>
    </row>
    <row r="30" spans="2:18" ht="15.6" customHeight="1" thickTop="1">
      <c r="B30" s="140" t="s">
        <v>86</v>
      </c>
      <c r="C30" s="23">
        <v>495100</v>
      </c>
      <c r="D30" s="23" t="s">
        <v>87</v>
      </c>
      <c r="E30" s="191">
        <v>0</v>
      </c>
      <c r="F30" s="206"/>
      <c r="G30" s="207"/>
      <c r="H30" s="206"/>
      <c r="I30" s="208"/>
      <c r="K30" s="11"/>
      <c r="L30" s="157">
        <v>4138702</v>
      </c>
      <c r="M30" s="12"/>
      <c r="N30" s="124"/>
      <c r="O30" s="20"/>
      <c r="P30" s="114">
        <f>P28-P29</f>
        <v>0</v>
      </c>
      <c r="Q30" s="12" t="s">
        <v>23</v>
      </c>
      <c r="R30" s="19"/>
    </row>
    <row r="31" spans="2:18" ht="15.6" customHeight="1" thickBot="1">
      <c r="B31" s="11" t="s">
        <v>26</v>
      </c>
      <c r="C31" s="23"/>
      <c r="D31" s="23"/>
      <c r="E31" s="193">
        <f>-E13</f>
        <v>21807.75</v>
      </c>
      <c r="F31" s="202"/>
      <c r="G31" s="203"/>
      <c r="H31" s="202"/>
      <c r="I31" s="204"/>
      <c r="K31" s="13"/>
      <c r="L31" s="121">
        <f>L29-L30</f>
        <v>0</v>
      </c>
      <c r="M31" s="14" t="s">
        <v>23</v>
      </c>
      <c r="N31" s="122"/>
      <c r="O31" s="125"/>
      <c r="P31" s="126"/>
      <c r="Q31" s="127"/>
      <c r="R31" s="128"/>
    </row>
    <row r="32" spans="2:18" ht="15.6" customHeight="1" thickBot="1">
      <c r="B32" s="147" t="s">
        <v>27</v>
      </c>
      <c r="E32" s="192">
        <f>SUM(E17:E31)</f>
        <v>-37826.290000000037</v>
      </c>
      <c r="F32" s="209"/>
      <c r="G32" s="183">
        <f>E32*G8</f>
        <v>-24481.174888000023</v>
      </c>
      <c r="H32" s="112"/>
      <c r="I32" s="173">
        <f>E32*I8</f>
        <v>-13345.115112000014</v>
      </c>
    </row>
    <row r="33" spans="2:16" ht="15.6" customHeight="1">
      <c r="B33" s="140" t="s">
        <v>85</v>
      </c>
      <c r="C33" s="23">
        <v>495100</v>
      </c>
      <c r="D33" s="1" t="s">
        <v>92</v>
      </c>
      <c r="E33" s="191">
        <v>0</v>
      </c>
      <c r="F33" s="206"/>
      <c r="G33" s="183">
        <f>E33</f>
        <v>0</v>
      </c>
      <c r="H33" s="112"/>
      <c r="I33" s="173"/>
      <c r="K33" s="159" t="s">
        <v>19</v>
      </c>
      <c r="L33" s="4" t="s">
        <v>8</v>
      </c>
      <c r="M33" s="4" t="s">
        <v>8</v>
      </c>
      <c r="N33" s="4" t="s">
        <v>16</v>
      </c>
      <c r="O33" s="4" t="s">
        <v>16</v>
      </c>
      <c r="P33" s="160"/>
    </row>
    <row r="34" spans="2:16" ht="15.6" customHeight="1" thickBot="1">
      <c r="B34" s="151" t="s">
        <v>84</v>
      </c>
      <c r="C34" s="23">
        <v>495100</v>
      </c>
      <c r="D34" s="1" t="s">
        <v>93</v>
      </c>
      <c r="E34" s="191">
        <v>-12651</v>
      </c>
      <c r="F34" s="206"/>
      <c r="G34" s="183"/>
      <c r="H34" s="112"/>
      <c r="I34" s="173">
        <f>E34</f>
        <v>-12651</v>
      </c>
      <c r="K34" s="147"/>
      <c r="L34" s="8" t="s">
        <v>2</v>
      </c>
      <c r="M34" s="8" t="s">
        <v>1</v>
      </c>
      <c r="N34" s="8" t="s">
        <v>2</v>
      </c>
      <c r="O34" s="8" t="s">
        <v>1</v>
      </c>
      <c r="P34" s="169" t="s">
        <v>97</v>
      </c>
    </row>
    <row r="35" spans="2:16" ht="15.6" customHeight="1">
      <c r="B35" s="11" t="s">
        <v>94</v>
      </c>
      <c r="C35" s="23">
        <v>804000</v>
      </c>
      <c r="D35" s="1" t="s">
        <v>92</v>
      </c>
      <c r="E35" s="191">
        <v>-74457.08</v>
      </c>
      <c r="F35" s="202"/>
      <c r="G35" s="183">
        <f>E35</f>
        <v>-74457.08</v>
      </c>
      <c r="H35" s="112"/>
      <c r="I35" s="173"/>
      <c r="K35" s="10" t="s">
        <v>99</v>
      </c>
      <c r="L35" s="113">
        <f>$F$39</f>
        <v>1576286.4710349999</v>
      </c>
      <c r="M35" s="113">
        <f>G39</f>
        <v>-98938.254888000025</v>
      </c>
      <c r="N35" s="113">
        <f>$H$39</f>
        <v>726542.55896499997</v>
      </c>
      <c r="O35" s="113">
        <f>I39</f>
        <v>-67773.145112000013</v>
      </c>
      <c r="P35" s="168">
        <f>SUM(L35:O35)-E39</f>
        <v>0</v>
      </c>
    </row>
    <row r="36" spans="2:16" ht="15.6" customHeight="1" thickBot="1">
      <c r="B36" s="11" t="s">
        <v>95</v>
      </c>
      <c r="C36" s="23">
        <v>804000</v>
      </c>
      <c r="D36" s="1" t="s">
        <v>93</v>
      </c>
      <c r="E36" s="191">
        <v>-41777.03</v>
      </c>
      <c r="F36" s="202"/>
      <c r="G36" s="183"/>
      <c r="H36" s="112"/>
      <c r="I36" s="173">
        <f>E36</f>
        <v>-41777.03</v>
      </c>
      <c r="K36" s="10" t="s">
        <v>102</v>
      </c>
      <c r="L36" s="158">
        <f>-$N$17</f>
        <v>-398422.83380000002</v>
      </c>
      <c r="M36" s="158">
        <f>-N29</f>
        <v>-1463983.0584599997</v>
      </c>
      <c r="N36" s="158">
        <f>-$R$15</f>
        <v>-207513.41058</v>
      </c>
      <c r="O36" s="158">
        <f>-R28</f>
        <v>-786849.88267000008</v>
      </c>
      <c r="P36" s="168">
        <f>SUM(L36:O36)+N17+N29+R15+R28</f>
        <v>0</v>
      </c>
    </row>
    <row r="37" spans="2:16" ht="15.6" customHeight="1" thickBot="1">
      <c r="B37" s="147" t="s">
        <v>105</v>
      </c>
      <c r="C37" s="23"/>
      <c r="E37" s="192">
        <f>SUM(E32:E36)</f>
        <v>-166711.40000000002</v>
      </c>
      <c r="F37" s="184"/>
      <c r="G37" s="186"/>
      <c r="H37" s="184"/>
      <c r="I37" s="150"/>
      <c r="K37" s="147" t="s">
        <v>100</v>
      </c>
      <c r="L37" s="118">
        <f t="shared" ref="L37:O37" si="8">SUM(L35:L36)</f>
        <v>1177863.6372349998</v>
      </c>
      <c r="M37" s="118">
        <f>SUM(M35:M36)</f>
        <v>-1562921.3133479997</v>
      </c>
      <c r="N37" s="118">
        <f t="shared" si="8"/>
        <v>519029.14838499995</v>
      </c>
      <c r="O37" s="118">
        <f t="shared" si="8"/>
        <v>-854623.02778200014</v>
      </c>
      <c r="P37" s="161"/>
    </row>
    <row r="38" spans="2:16" ht="15.6" customHeight="1" thickBot="1">
      <c r="B38" s="10"/>
      <c r="C38" s="6"/>
      <c r="D38" s="6"/>
      <c r="E38" s="195"/>
      <c r="F38" s="187"/>
      <c r="G38" s="188"/>
      <c r="H38" s="187"/>
      <c r="I38" s="152"/>
      <c r="K38" s="162"/>
      <c r="L38" s="132"/>
      <c r="M38" s="3"/>
      <c r="O38" s="165"/>
      <c r="P38" s="163"/>
    </row>
    <row r="39" spans="2:16" ht="15.6" customHeight="1" thickBot="1">
      <c r="B39" s="153" t="s">
        <v>96</v>
      </c>
      <c r="C39" s="154"/>
      <c r="D39" s="154"/>
      <c r="E39" s="192">
        <f>E37+E14</f>
        <v>2136117.63</v>
      </c>
      <c r="F39" s="197">
        <f>SUM(F14:F37)</f>
        <v>1576286.4710349999</v>
      </c>
      <c r="G39" s="198">
        <f t="shared" ref="G39:I39" si="9">SUM(G14:G37)</f>
        <v>-98938.254888000025</v>
      </c>
      <c r="H39" s="197">
        <f t="shared" si="9"/>
        <v>726542.55896499997</v>
      </c>
      <c r="I39" s="155">
        <f t="shared" si="9"/>
        <v>-67773.145112000013</v>
      </c>
      <c r="K39" s="164"/>
      <c r="L39" s="166" t="s">
        <v>36</v>
      </c>
      <c r="M39" s="127">
        <f>SUM(L37:M37)</f>
        <v>-385057.67611299991</v>
      </c>
      <c r="N39" s="167" t="s">
        <v>37</v>
      </c>
      <c r="O39" s="127">
        <f>SUM(N37:O37)</f>
        <v>-335593.87939700019</v>
      </c>
      <c r="P39" s="25"/>
    </row>
    <row r="40" spans="2:16" ht="15.6" customHeight="1">
      <c r="C40" s="6"/>
      <c r="D40" s="6"/>
      <c r="E40" s="103"/>
      <c r="F40" s="103"/>
      <c r="G40" s="103"/>
      <c r="H40" s="103"/>
      <c r="I40" s="103"/>
      <c r="M40" s="24"/>
    </row>
    <row r="41" spans="2:16" ht="15.6" customHeight="1">
      <c r="B41" s="213" t="s">
        <v>107</v>
      </c>
      <c r="C41" s="212"/>
      <c r="D41" s="6" t="s">
        <v>106</v>
      </c>
      <c r="E41" s="220">
        <v>2136117.63</v>
      </c>
      <c r="F41" s="103"/>
      <c r="G41" s="103"/>
      <c r="H41" s="103"/>
      <c r="I41" s="103"/>
      <c r="P41" s="2"/>
    </row>
    <row r="42" spans="2:16" ht="15.6" customHeight="1">
      <c r="B42" s="145"/>
      <c r="C42" s="145"/>
      <c r="D42" s="6" t="s">
        <v>34</v>
      </c>
      <c r="E42" s="112">
        <f>ROUND(E39-E41,2)</f>
        <v>0</v>
      </c>
      <c r="F42" s="130"/>
      <c r="G42" s="130"/>
      <c r="H42" s="130"/>
      <c r="I42" s="130"/>
    </row>
    <row r="43" spans="2:16" ht="15.6" customHeight="1">
      <c r="B43" s="145"/>
      <c r="C43" s="145"/>
      <c r="E43" s="130"/>
      <c r="F43" s="130"/>
      <c r="G43" s="130"/>
      <c r="H43" s="130"/>
      <c r="I43" s="130"/>
    </row>
    <row r="44" spans="2:16" ht="15.6" customHeight="1" thickBot="1">
      <c r="B44" s="145"/>
      <c r="C44" s="145"/>
      <c r="E44" s="130"/>
      <c r="F44" s="130"/>
      <c r="G44" s="130"/>
      <c r="H44" s="130"/>
      <c r="I44" s="130"/>
    </row>
    <row r="45" spans="2:16" ht="15.6" customHeight="1" thickBot="1">
      <c r="B45" s="145"/>
      <c r="C45" s="145"/>
      <c r="E45" s="234" t="s">
        <v>98</v>
      </c>
      <c r="F45" s="235"/>
      <c r="G45" s="130"/>
      <c r="H45" s="130"/>
      <c r="I45" s="130"/>
    </row>
    <row r="46" spans="2:16" ht="15.6" customHeight="1">
      <c r="B46" s="145"/>
      <c r="C46" s="145"/>
      <c r="E46" s="140" t="s">
        <v>38</v>
      </c>
      <c r="F46" s="171" t="s">
        <v>39</v>
      </c>
      <c r="G46" s="130"/>
      <c r="H46" s="130"/>
      <c r="I46" s="130"/>
    </row>
    <row r="47" spans="2:16" ht="15.75" thickBot="1">
      <c r="E47" s="172" t="e">
        <f>SUM('191010 WA DEF'!E36:E45)+SUM('191000 WA Amort'!H36:H45)+SUM(#REF!)+SUM(#REF!)</f>
        <v>#REF!</v>
      </c>
      <c r="F47" s="170" t="e">
        <f>-E47</f>
        <v>#REF!</v>
      </c>
    </row>
    <row r="48" spans="2:16">
      <c r="E48" s="215"/>
      <c r="F48" s="215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1387" spans="1:20">
      <c r="T1387" s="5"/>
    </row>
    <row r="1388" spans="1:20" s="5" customFormat="1">
      <c r="A1388" s="1"/>
      <c r="B1388" s="1"/>
      <c r="C1388" s="1"/>
      <c r="D1388" s="1">
        <v>-2130</v>
      </c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T1388" s="1"/>
    </row>
    <row r="1395" spans="1:20">
      <c r="T1395" s="5"/>
    </row>
    <row r="1396" spans="1:20" s="5" customFormat="1">
      <c r="A1396" s="1"/>
      <c r="B1396" s="1"/>
      <c r="C1396" s="1"/>
      <c r="D1396" s="1">
        <f>7004298-2130</f>
        <v>7002168</v>
      </c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T1396" s="1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5" priority="26" operator="equal">
      <formula>"ERROR"</formula>
    </cfRule>
  </conditionalFormatting>
  <conditionalFormatting sqref="E42">
    <cfRule type="cellIs" dxfId="24" priority="1" stopIfTrue="1" operator="equal">
      <formula>0</formula>
    </cfRule>
    <cfRule type="cellIs" dxfId="23" priority="2" stopIfTrue="1" operator="notEqual">
      <formula>0</formula>
    </cfRule>
    <cfRule type="cellIs" dxfId="22" priority="3" stopIfTrue="1" operator="equal">
      <formula>0</formula>
    </cfRule>
    <cfRule type="cellIs" dxfId="21" priority="4" stopIfTrue="1" operator="notEqual">
      <formula>0</formula>
    </cfRule>
  </conditionalFormatting>
  <conditionalFormatting sqref="L19">
    <cfRule type="cellIs" dxfId="20" priority="21" stopIfTrue="1" operator="equal">
      <formula>0</formula>
    </cfRule>
    <cfRule type="cellIs" dxfId="19" priority="22" stopIfTrue="1" operator="notEqual">
      <formula>0</formula>
    </cfRule>
    <cfRule type="cellIs" dxfId="18" priority="23" stopIfTrue="1" operator="equal">
      <formula>0</formula>
    </cfRule>
    <cfRule type="cellIs" dxfId="17" priority="24" stopIfTrue="1" operator="notEqual">
      <formula>0</formula>
    </cfRule>
  </conditionalFormatting>
  <conditionalFormatting sqref="L31">
    <cfRule type="cellIs" dxfId="16" priority="17" stopIfTrue="1" operator="equal">
      <formula>0</formula>
    </cfRule>
    <cfRule type="cellIs" dxfId="15" priority="18" stopIfTrue="1" operator="notEqual">
      <formula>0</formula>
    </cfRule>
    <cfRule type="cellIs" dxfId="14" priority="19" stopIfTrue="1" operator="equal">
      <formula>0</formula>
    </cfRule>
    <cfRule type="cellIs" dxfId="13" priority="20" stopIfTrue="1" operator="notEqual">
      <formula>0</formula>
    </cfRule>
  </conditionalFormatting>
  <conditionalFormatting sqref="P17">
    <cfRule type="cellIs" dxfId="12" priority="13" stopIfTrue="1" operator="equal">
      <formula>0</formula>
    </cfRule>
    <cfRule type="cellIs" dxfId="11" priority="14" stopIfTrue="1" operator="notEqual">
      <formula>0</formula>
    </cfRule>
    <cfRule type="cellIs" dxfId="10" priority="15" stopIfTrue="1" operator="equal">
      <formula>0</formula>
    </cfRule>
    <cfRule type="cellIs" dxfId="9" priority="16" stopIfTrue="1" operator="notEqual">
      <formula>0</formula>
    </cfRule>
  </conditionalFormatting>
  <conditionalFormatting sqref="P30">
    <cfRule type="cellIs" dxfId="8" priority="9" stopIfTrue="1" operator="equal">
      <formula>0</formula>
    </cfRule>
    <cfRule type="cellIs" dxfId="7" priority="10" stopIfTrue="1" operator="notEqual">
      <formula>0</formula>
    </cfRule>
    <cfRule type="cellIs" dxfId="6" priority="11" stopIfTrue="1" operator="equal">
      <formula>0</formula>
    </cfRule>
    <cfRule type="cellIs" dxfId="5" priority="12" stopIfTrue="1" operator="notEqual">
      <formula>0</formula>
    </cfRule>
  </conditionalFormatting>
  <conditionalFormatting sqref="P31">
    <cfRule type="cellIs" dxfId="4" priority="25" operator="notEqual">
      <formula>0</formula>
    </cfRule>
  </conditionalFormatting>
  <conditionalFormatting sqref="P35:P36">
    <cfRule type="cellIs" dxfId="3" priority="5" stopIfTrue="1" operator="equal">
      <formula>0</formula>
    </cfRule>
    <cfRule type="cellIs" dxfId="2" priority="6" stopIfTrue="1" operator="notEqual">
      <formula>0</formula>
    </cfRule>
    <cfRule type="cellIs" dxfId="1" priority="7" stopIfTrue="1" operator="equal">
      <formula>0</formula>
    </cfRule>
    <cfRule type="cellIs" dxfId="0" priority="8" stopIfTrue="1" operator="notEqual">
      <formula>0</formula>
    </cfRule>
  </conditionalFormatting>
  <printOptions horizontalCentered="1"/>
  <pageMargins left="0.1" right="0.1" top="0.5" bottom="0.5" header="0.3" footer="0.3"/>
  <pageSetup scale="37" orientation="landscape" r:id="rId1"/>
  <headerFooter>
    <oddFooter>&amp;R&amp;Z&amp;F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T45"/>
  <sheetViews>
    <sheetView tabSelected="1" zoomScale="90" zoomScaleNormal="90" workbookViewId="0">
      <pane ySplit="6" topLeftCell="A7" activePane="bottomLeft" state="frozen"/>
      <selection activeCell="I19" sqref="I19"/>
      <selection pane="bottomLeft" activeCell="E8" sqref="E8"/>
    </sheetView>
  </sheetViews>
  <sheetFormatPr defaultColWidth="8.85546875" defaultRowHeight="15"/>
  <cols>
    <col min="1" max="1" width="9.140625" style="26" customWidth="1"/>
    <col min="2" max="2" width="8.85546875" style="26"/>
    <col min="3" max="3" width="1.7109375" style="26" customWidth="1"/>
    <col min="4" max="4" width="13.7109375" style="26" customWidth="1"/>
    <col min="5" max="6" width="14.28515625" style="26" customWidth="1"/>
    <col min="7" max="7" width="14.7109375" style="26" bestFit="1" customWidth="1"/>
    <col min="8" max="8" width="12.140625" style="26" customWidth="1"/>
    <col min="9" max="9" width="15.28515625" style="26" bestFit="1" customWidth="1"/>
    <col min="10" max="10" width="1.7109375" style="26" customWidth="1"/>
    <col min="11" max="11" width="14.28515625" style="26" bestFit="1" customWidth="1"/>
    <col min="12" max="12" width="13.85546875" style="26" bestFit="1" customWidth="1"/>
    <col min="13" max="13" width="6.140625" style="26" customWidth="1"/>
    <col min="14" max="14" width="12.42578125" style="26" bestFit="1" customWidth="1"/>
    <col min="15" max="16" width="8.85546875" style="26"/>
    <col min="17" max="17" width="12.7109375" style="26" customWidth="1"/>
    <col min="18" max="19" width="13.140625" style="26" bestFit="1" customWidth="1"/>
    <col min="20" max="16384" width="8.85546875" style="26"/>
  </cols>
  <sheetData>
    <row r="1" spans="1:15" s="29" customFormat="1" ht="15.75">
      <c r="A1" s="27" t="s">
        <v>4</v>
      </c>
      <c r="B1" s="28"/>
      <c r="C1" s="28"/>
      <c r="D1" s="28"/>
      <c r="E1" s="28"/>
      <c r="F1" s="28"/>
      <c r="G1" s="28"/>
    </row>
    <row r="2" spans="1:15" s="29" customFormat="1" ht="15.75">
      <c r="A2" s="27" t="s">
        <v>0</v>
      </c>
      <c r="B2" s="28"/>
      <c r="C2" s="28"/>
      <c r="D2" s="28"/>
      <c r="E2" s="28"/>
      <c r="F2" s="28"/>
      <c r="G2" s="28"/>
    </row>
    <row r="3" spans="1:15" s="29" customFormat="1" ht="15.75">
      <c r="A3" s="27" t="s">
        <v>79</v>
      </c>
      <c r="B3" s="28"/>
      <c r="C3" s="28"/>
      <c r="D3" s="28"/>
      <c r="E3" s="28"/>
      <c r="F3" s="28"/>
      <c r="G3" s="28"/>
    </row>
    <row r="4" spans="1:15" s="29" customFormat="1" ht="15.75">
      <c r="A4" s="27" t="s">
        <v>80</v>
      </c>
      <c r="B4" s="28"/>
      <c r="C4" s="28"/>
      <c r="D4" s="28"/>
      <c r="E4" s="28"/>
      <c r="F4" s="28"/>
      <c r="G4" s="28"/>
    </row>
    <row r="5" spans="1:15" s="32" customFormat="1" ht="18.75">
      <c r="A5" s="30"/>
      <c r="B5" s="31"/>
      <c r="C5" s="31"/>
      <c r="D5" s="31"/>
      <c r="E5" s="31"/>
      <c r="F5" s="31"/>
      <c r="G5" s="31"/>
    </row>
    <row r="6" spans="1:15" s="33" customFormat="1" ht="56.45" customHeight="1">
      <c r="A6" s="34" t="s">
        <v>43</v>
      </c>
      <c r="B6" s="35" t="s">
        <v>41</v>
      </c>
      <c r="C6" s="36"/>
      <c r="D6" s="35" t="s">
        <v>47</v>
      </c>
      <c r="E6" s="35" t="s">
        <v>40</v>
      </c>
      <c r="F6" s="35" t="s">
        <v>1</v>
      </c>
      <c r="G6" s="35" t="s">
        <v>2</v>
      </c>
      <c r="H6" s="35" t="s">
        <v>3</v>
      </c>
      <c r="I6" s="35" t="s">
        <v>15</v>
      </c>
      <c r="J6" s="36"/>
      <c r="K6" s="37" t="s">
        <v>44</v>
      </c>
      <c r="L6" s="37" t="s">
        <v>45</v>
      </c>
      <c r="M6" s="36"/>
    </row>
    <row r="7" spans="1:15" s="33" customFormat="1" ht="15.75">
      <c r="A7" s="67">
        <v>202201</v>
      </c>
      <c r="B7" s="68">
        <v>3.2500000000000001E-2</v>
      </c>
      <c r="C7" s="49"/>
      <c r="D7" s="69">
        <v>0</v>
      </c>
      <c r="E7" s="70">
        <v>3047879.7558939951</v>
      </c>
      <c r="F7" s="69">
        <v>4404617.2834499981</v>
      </c>
      <c r="G7" s="69">
        <v>-1414616.2167429999</v>
      </c>
      <c r="H7" s="222">
        <v>12303.63</v>
      </c>
      <c r="I7" s="70">
        <v>6050184.4526009932</v>
      </c>
      <c r="J7" s="51"/>
      <c r="K7" s="71">
        <v>6050182.3399999999</v>
      </c>
      <c r="L7" s="72">
        <v>-2.1126009933650494</v>
      </c>
      <c r="M7" s="62"/>
      <c r="N7" s="101" t="s">
        <v>141</v>
      </c>
    </row>
    <row r="8" spans="1:15" s="33" customFormat="1" ht="15.75">
      <c r="A8" s="63">
        <f>A7+1</f>
        <v>202202</v>
      </c>
      <c r="B8" s="68">
        <v>3.2500000000000001E-2</v>
      </c>
      <c r="C8" s="49"/>
      <c r="D8" s="52">
        <v>0</v>
      </c>
      <c r="E8" s="70">
        <f t="shared" ref="E8:E17" si="0">I7+D8</f>
        <v>6050184.4526009932</v>
      </c>
      <c r="F8" s="69">
        <v>2954218.8408320006</v>
      </c>
      <c r="G8" s="69">
        <v>-1006837.3153379997</v>
      </c>
      <c r="H8" s="50">
        <f t="shared" ref="H8" si="1">ROUND(((E8)*(B8/12))+((SUM(F8:G8)/2)*(B8/12)),2)</f>
        <v>19023</v>
      </c>
      <c r="I8" s="88">
        <f t="shared" ref="I8:I12" si="2">SUM(E8:H8)</f>
        <v>8016588.9780949941</v>
      </c>
      <c r="J8" s="51"/>
      <c r="K8" s="71">
        <v>8016588.9699999997</v>
      </c>
      <c r="L8" s="72">
        <f t="shared" ref="L8" si="3">K8-I8</f>
        <v>-8.0949943512678146E-3</v>
      </c>
      <c r="M8" s="62"/>
    </row>
    <row r="9" spans="1:15" s="33" customFormat="1" ht="15.75">
      <c r="A9" s="63">
        <f t="shared" ref="A9:A18" si="4">A8+1</f>
        <v>202203</v>
      </c>
      <c r="B9" s="68">
        <v>3.2500000000000001E-2</v>
      </c>
      <c r="C9" s="49"/>
      <c r="D9" s="52">
        <v>0</v>
      </c>
      <c r="E9" s="70">
        <f t="shared" si="0"/>
        <v>8016588.9780949941</v>
      </c>
      <c r="F9" s="69">
        <v>1397465.5280680005</v>
      </c>
      <c r="G9" s="69">
        <v>-287194.87563999998</v>
      </c>
      <c r="H9" s="50">
        <f>ROUND(((E9)*(B9/12))+((SUM(F9:G9)/2)*(B9/12)),2)</f>
        <v>23215.09</v>
      </c>
      <c r="I9" s="88">
        <f t="shared" si="2"/>
        <v>9150074.7205229942</v>
      </c>
      <c r="J9" s="51"/>
      <c r="K9" s="71">
        <v>9150074.7100000009</v>
      </c>
      <c r="L9" s="72">
        <f t="shared" ref="L9" si="5">K9-I9</f>
        <v>-1.052299328148365E-2</v>
      </c>
      <c r="M9" s="62"/>
    </row>
    <row r="10" spans="1:15" s="33" customFormat="1" ht="15.75">
      <c r="A10" s="63">
        <f t="shared" si="4"/>
        <v>202204</v>
      </c>
      <c r="B10" s="68">
        <v>3.2500000000000001E-2</v>
      </c>
      <c r="C10" s="49"/>
      <c r="D10" s="52">
        <v>0</v>
      </c>
      <c r="E10" s="70">
        <f t="shared" si="0"/>
        <v>9150074.7205229942</v>
      </c>
      <c r="F10" s="69">
        <v>3922154.6497640009</v>
      </c>
      <c r="G10" s="69">
        <v>-55329.702875999967</v>
      </c>
      <c r="H10" s="50">
        <f t="shared" ref="H10:H18" si="6">ROUND(((E10)*(B10/12))+((SUM(F10:G10)/2)*(B10/12)),2)</f>
        <v>30017.78</v>
      </c>
      <c r="I10" s="88">
        <f t="shared" si="2"/>
        <v>13046917.447410995</v>
      </c>
      <c r="J10" s="51"/>
      <c r="K10" s="71">
        <v>13046917.439999999</v>
      </c>
      <c r="L10" s="72">
        <f t="shared" ref="L10" si="7">K10-I10</f>
        <v>-7.4109956622123718E-3</v>
      </c>
      <c r="M10" s="62"/>
      <c r="N10" s="214"/>
      <c r="O10" s="214"/>
    </row>
    <row r="11" spans="1:15" s="33" customFormat="1" ht="15.75">
      <c r="A11" s="63">
        <f t="shared" si="4"/>
        <v>202205</v>
      </c>
      <c r="B11" s="68">
        <v>3.2500000000000001E-2</v>
      </c>
      <c r="C11" s="49"/>
      <c r="D11" s="52">
        <v>0</v>
      </c>
      <c r="E11" s="70">
        <f t="shared" si="0"/>
        <v>13046917.447410995</v>
      </c>
      <c r="F11" s="69">
        <v>2304917.315699996</v>
      </c>
      <c r="G11" s="69">
        <v>560217.39907500008</v>
      </c>
      <c r="H11" s="50">
        <f t="shared" si="6"/>
        <v>39215.269999999997</v>
      </c>
      <c r="I11" s="88">
        <f t="shared" si="2"/>
        <v>15951267.432185991</v>
      </c>
      <c r="J11" s="51"/>
      <c r="K11" s="71">
        <v>15951267.42</v>
      </c>
      <c r="L11" s="72">
        <f t="shared" ref="L11" si="8">K11-I11</f>
        <v>-1.2185990810394287E-2</v>
      </c>
      <c r="M11" s="62"/>
      <c r="N11" s="214"/>
      <c r="O11" s="214"/>
    </row>
    <row r="12" spans="1:15" s="33" customFormat="1" ht="15.75">
      <c r="A12" s="63">
        <f t="shared" si="4"/>
        <v>202206</v>
      </c>
      <c r="B12" s="68">
        <v>3.2500000000000001E-2</v>
      </c>
      <c r="C12" s="49"/>
      <c r="D12" s="52">
        <v>0</v>
      </c>
      <c r="E12" s="70">
        <f t="shared" si="0"/>
        <v>15951267.432185991</v>
      </c>
      <c r="F12" s="69">
        <v>362036.44918000046</v>
      </c>
      <c r="G12" s="69">
        <v>992540.13287099998</v>
      </c>
      <c r="H12" s="50">
        <f t="shared" si="6"/>
        <v>45035.67</v>
      </c>
      <c r="I12" s="88">
        <f t="shared" si="2"/>
        <v>17350879.684236992</v>
      </c>
      <c r="J12" s="51"/>
      <c r="K12" s="71">
        <v>17350879.670000002</v>
      </c>
      <c r="L12" s="72">
        <f t="shared" ref="L12" si="9">K12-I12</f>
        <v>-1.4236990362405777E-2</v>
      </c>
      <c r="M12" s="62"/>
      <c r="N12" s="214"/>
      <c r="O12" s="214"/>
    </row>
    <row r="13" spans="1:15" s="33" customFormat="1" ht="15.75">
      <c r="A13" s="63">
        <f t="shared" si="4"/>
        <v>202207</v>
      </c>
      <c r="B13" s="68">
        <v>3.5999999999999997E-2</v>
      </c>
      <c r="C13" s="49"/>
      <c r="D13" s="52">
        <v>0</v>
      </c>
      <c r="E13" s="70">
        <f t="shared" si="0"/>
        <v>17350879.684236992</v>
      </c>
      <c r="F13" s="69">
        <v>-993656.17931799591</v>
      </c>
      <c r="G13" s="69">
        <v>1216959.2114270001</v>
      </c>
      <c r="H13" s="50">
        <f t="shared" si="6"/>
        <v>52387.59</v>
      </c>
      <c r="I13" s="88">
        <f>SUM(E13:H13)</f>
        <v>17626570.306345996</v>
      </c>
      <c r="J13" s="51"/>
      <c r="K13" s="71">
        <v>17626570.289999999</v>
      </c>
      <c r="L13" s="72">
        <f t="shared" ref="L13" si="10">K13-I13</f>
        <v>-1.6345996409654617E-2</v>
      </c>
      <c r="M13" s="62"/>
      <c r="N13" s="214"/>
    </row>
    <row r="14" spans="1:15" s="33" customFormat="1" ht="15.75">
      <c r="A14" s="63">
        <f t="shared" si="4"/>
        <v>202208</v>
      </c>
      <c r="B14" s="68">
        <v>3.5999999999999997E-2</v>
      </c>
      <c r="C14" s="49"/>
      <c r="D14" s="52">
        <v>0</v>
      </c>
      <c r="E14" s="70">
        <f t="shared" si="0"/>
        <v>17626570.306345996</v>
      </c>
      <c r="F14" s="69">
        <v>-1367094.4645960005</v>
      </c>
      <c r="G14" s="69">
        <v>1183681.9972710002</v>
      </c>
      <c r="H14" s="50">
        <f t="shared" si="6"/>
        <v>52604.59</v>
      </c>
      <c r="I14" s="88">
        <f>SUM(E14:H14)</f>
        <v>17495762.429020997</v>
      </c>
      <c r="J14" s="51"/>
      <c r="K14" s="71">
        <v>17495762.41</v>
      </c>
      <c r="L14" s="72">
        <f t="shared" ref="L14" si="11">K14-I14</f>
        <v>-1.9020996987819672E-2</v>
      </c>
      <c r="M14" s="62"/>
    </row>
    <row r="15" spans="1:15" s="33" customFormat="1" ht="15.75">
      <c r="A15" s="63">
        <f t="shared" si="4"/>
        <v>202209</v>
      </c>
      <c r="B15" s="68">
        <v>3.5999999999999997E-2</v>
      </c>
      <c r="C15" s="49"/>
      <c r="D15" s="52">
        <v>0</v>
      </c>
      <c r="E15" s="70">
        <f t="shared" si="0"/>
        <v>17495762.429020997</v>
      </c>
      <c r="F15" s="69">
        <v>-1576980.8520129996</v>
      </c>
      <c r="G15" s="69">
        <v>1031870.533733</v>
      </c>
      <c r="H15" s="50">
        <f t="shared" si="6"/>
        <v>51669.62</v>
      </c>
      <c r="I15" s="88">
        <f t="shared" ref="I15:I16" si="12">SUM(E15:H15)</f>
        <v>17002321.730740998</v>
      </c>
      <c r="J15" s="51"/>
      <c r="K15" s="71">
        <v>17002321.710000001</v>
      </c>
      <c r="L15" s="72">
        <f t="shared" ref="L15" si="13">K15-I15</f>
        <v>-2.0740997046232224E-2</v>
      </c>
      <c r="M15" s="62"/>
    </row>
    <row r="16" spans="1:15" s="33" customFormat="1" ht="15.75">
      <c r="A16" s="63">
        <f t="shared" si="4"/>
        <v>202210</v>
      </c>
      <c r="B16" s="68">
        <v>4.9099999999999998E-2</v>
      </c>
      <c r="C16" s="49"/>
      <c r="D16" s="52">
        <v>0</v>
      </c>
      <c r="E16" s="70">
        <f t="shared" si="0"/>
        <v>17002321.730740998</v>
      </c>
      <c r="F16" s="69">
        <v>-1152988.7195379995</v>
      </c>
      <c r="G16" s="69">
        <v>701395.85690899997</v>
      </c>
      <c r="H16" s="50">
        <f t="shared" si="6"/>
        <v>68643.95</v>
      </c>
      <c r="I16" s="88">
        <f t="shared" si="12"/>
        <v>16619372.818111997</v>
      </c>
      <c r="J16" s="51"/>
      <c r="K16" s="71">
        <v>16619372.82</v>
      </c>
      <c r="L16" s="72">
        <f t="shared" ref="L16" si="14">K16-I16</f>
        <v>1.8880032002925873E-3</v>
      </c>
      <c r="M16" s="62"/>
    </row>
    <row r="17" spans="1:20" s="33" customFormat="1" ht="15.75">
      <c r="A17" s="63">
        <f t="shared" si="4"/>
        <v>202211</v>
      </c>
      <c r="B17" s="68">
        <v>4.9099999999999998E-2</v>
      </c>
      <c r="C17" s="49"/>
      <c r="D17" s="52">
        <f>-I16</f>
        <v>-16619372.818111997</v>
      </c>
      <c r="E17" s="70">
        <f t="shared" si="0"/>
        <v>0</v>
      </c>
      <c r="F17" s="69">
        <v>3047676.4409279972</v>
      </c>
      <c r="G17" s="69">
        <v>-1357589.193805</v>
      </c>
      <c r="H17" s="50">
        <f t="shared" si="6"/>
        <v>3457.64</v>
      </c>
      <c r="I17" s="88">
        <f>SUM(E17:H17)</f>
        <v>1693544.8871229971</v>
      </c>
      <c r="J17" s="51"/>
      <c r="K17" s="71">
        <v>1693544.89</v>
      </c>
      <c r="L17" s="72">
        <f t="shared" ref="L17" si="15">K17-I17</f>
        <v>2.877002814784646E-3</v>
      </c>
      <c r="M17" s="39"/>
    </row>
    <row r="18" spans="1:20" s="33" customFormat="1" ht="16.5" thickBot="1">
      <c r="A18" s="64">
        <f t="shared" si="4"/>
        <v>202212</v>
      </c>
      <c r="B18" s="53">
        <v>4.9099999999999998E-2</v>
      </c>
      <c r="C18" s="65"/>
      <c r="D18" s="54">
        <v>0</v>
      </c>
      <c r="E18" s="55">
        <f>I17+D18</f>
        <v>1693544.8871229971</v>
      </c>
      <c r="F18" s="54">
        <v>22030617.912720002</v>
      </c>
      <c r="G18" s="54">
        <v>-6679319.3721549995</v>
      </c>
      <c r="H18" s="55">
        <f t="shared" si="6"/>
        <v>38335.620000000003</v>
      </c>
      <c r="I18" s="95">
        <f t="shared" ref="I18" si="16">SUM(E18:H18)</f>
        <v>17083179.047688</v>
      </c>
      <c r="J18" s="66"/>
      <c r="K18" s="56">
        <v>17083179.050000001</v>
      </c>
      <c r="L18" s="57">
        <f t="shared" ref="L18:L19" si="17">K18-I18</f>
        <v>2.3120008409023285E-3</v>
      </c>
      <c r="M18" s="62"/>
    </row>
    <row r="19" spans="1:20" s="33" customFormat="1" ht="15.75">
      <c r="A19" s="67">
        <v>202301</v>
      </c>
      <c r="B19" s="68">
        <v>6.3100000000000003E-2</v>
      </c>
      <c r="C19" s="49"/>
      <c r="D19" s="69">
        <v>0</v>
      </c>
      <c r="E19" s="70">
        <f t="shared" ref="E19:E29" si="18">I18+D19</f>
        <v>17083179.047688</v>
      </c>
      <c r="F19" s="69">
        <f>'Jan 23'!M$37</f>
        <v>35985521.384848014</v>
      </c>
      <c r="G19" s="69">
        <f>'Jan 23'!L$37</f>
        <v>-1602431.3337900005</v>
      </c>
      <c r="H19" s="222">
        <f>ROUND(((E19)*(B19/12))+((SUM(F19:G19)/2)*(B19/12)),2)</f>
        <v>180227.92</v>
      </c>
      <c r="I19" s="70">
        <f>SUM(E19:H19)</f>
        <v>51646497.018746018</v>
      </c>
      <c r="J19" s="51"/>
      <c r="K19" s="71">
        <v>51646497.020000003</v>
      </c>
      <c r="L19" s="72">
        <f t="shared" si="17"/>
        <v>1.2539848685264587E-3</v>
      </c>
      <c r="M19" s="62"/>
      <c r="N19" s="101"/>
    </row>
    <row r="20" spans="1:20" s="33" customFormat="1" ht="15.75">
      <c r="A20" s="63">
        <f>A19+1</f>
        <v>202302</v>
      </c>
      <c r="B20" s="68">
        <v>6.3100000000000003E-2</v>
      </c>
      <c r="C20" s="49"/>
      <c r="D20" s="52">
        <v>0</v>
      </c>
      <c r="E20" s="70">
        <f t="shared" si="18"/>
        <v>51646497.018746018</v>
      </c>
      <c r="F20" s="69">
        <f>'Feb 23'!M$37</f>
        <v>6803318.2546909992</v>
      </c>
      <c r="G20" s="69">
        <f>'Feb 23'!L$37</f>
        <v>-1254076.7723350003</v>
      </c>
      <c r="H20" s="50">
        <f t="shared" ref="H20" si="19">ROUND(((E20)*(B20/12))+((SUM(F20:G20)/2)*(B20/12)),2)</f>
        <v>286164.38</v>
      </c>
      <c r="I20" s="88">
        <f t="shared" ref="I20:I24" si="20">SUM(E20:H20)</f>
        <v>57481902.881102018</v>
      </c>
      <c r="J20" s="51"/>
      <c r="K20" s="71">
        <v>57481902.880000003</v>
      </c>
      <c r="L20" s="72">
        <f t="shared" ref="L20" si="21">K20-I20</f>
        <v>-1.1020153760910034E-3</v>
      </c>
      <c r="M20" s="62"/>
    </row>
    <row r="21" spans="1:20" s="33" customFormat="1" ht="15.75">
      <c r="A21" s="63">
        <f t="shared" ref="A21:A30" si="22">A20+1</f>
        <v>202303</v>
      </c>
      <c r="B21" s="68">
        <v>6.3100000000000003E-2</v>
      </c>
      <c r="C21" s="49"/>
      <c r="D21" s="52">
        <v>0</v>
      </c>
      <c r="E21" s="70">
        <f t="shared" si="18"/>
        <v>57481902.881102018</v>
      </c>
      <c r="F21" s="69">
        <f>'Mar 23'!M$37</f>
        <v>-178354.56928799674</v>
      </c>
      <c r="G21" s="69">
        <f>'Mar 23'!L$37</f>
        <v>-790332.38802999933</v>
      </c>
      <c r="H21" s="50">
        <f>ROUND(((E21)*(B21/12))+((SUM(F21:G21)/2)*(B21/12)),2)</f>
        <v>299712.17</v>
      </c>
      <c r="I21" s="88">
        <f t="shared" si="20"/>
        <v>56812928.093784027</v>
      </c>
      <c r="J21" s="51"/>
      <c r="K21" s="71">
        <v>56812928.090000004</v>
      </c>
      <c r="L21" s="72">
        <f t="shared" ref="L21" si="23">K21-I21</f>
        <v>-3.7840232253074646E-3</v>
      </c>
      <c r="M21" s="62"/>
    </row>
    <row r="22" spans="1:20" s="33" customFormat="1" ht="15.75">
      <c r="A22" s="63">
        <f t="shared" si="22"/>
        <v>202304</v>
      </c>
      <c r="B22" s="68">
        <v>7.4999999999999997E-2</v>
      </c>
      <c r="C22" s="49"/>
      <c r="D22" s="52">
        <v>0</v>
      </c>
      <c r="E22" s="70">
        <f t="shared" si="18"/>
        <v>56812928.093784027</v>
      </c>
      <c r="F22" s="69">
        <f>'Apr 23'!M$37</f>
        <v>-2286582.3003280023</v>
      </c>
      <c r="G22" s="69">
        <f>'Apr 23'!L$37</f>
        <v>-26289.828085000394</v>
      </c>
      <c r="H22" s="50">
        <f t="shared" ref="H22:H30" si="24">ROUND(((E22)*(B22/12))+((SUM(F22:G22)/2)*(B22/12)),2)</f>
        <v>347853.08</v>
      </c>
      <c r="I22" s="88">
        <f t="shared" si="20"/>
        <v>54847909.045371026</v>
      </c>
      <c r="J22" s="51"/>
      <c r="K22" s="71">
        <v>54847909.039999999</v>
      </c>
      <c r="L22" s="72">
        <f t="shared" ref="L22" si="25">K22-I22</f>
        <v>-5.3710266947746277E-3</v>
      </c>
      <c r="M22" s="62"/>
      <c r="N22" s="214"/>
      <c r="O22" s="214"/>
    </row>
    <row r="23" spans="1:20" s="33" customFormat="1" ht="15.75">
      <c r="A23" s="63">
        <f t="shared" si="22"/>
        <v>202305</v>
      </c>
      <c r="B23" s="68">
        <v>7.4999999999999997E-2</v>
      </c>
      <c r="C23" s="49"/>
      <c r="D23" s="52">
        <v>0</v>
      </c>
      <c r="E23" s="70">
        <f t="shared" si="18"/>
        <v>54847909.045371026</v>
      </c>
      <c r="F23" s="69">
        <f>'May 23'!M$37</f>
        <v>-271078.93448999943</v>
      </c>
      <c r="G23" s="69">
        <f>'May 23'!L$37</f>
        <v>990245.04789500008</v>
      </c>
      <c r="H23" s="50">
        <f t="shared" si="24"/>
        <v>345046.83</v>
      </c>
      <c r="I23" s="88">
        <f t="shared" si="20"/>
        <v>55912121.988776021</v>
      </c>
      <c r="J23" s="51"/>
      <c r="K23" s="71">
        <v>55912121.979999997</v>
      </c>
      <c r="L23" s="72">
        <f t="shared" ref="L23" si="26">K23-I23</f>
        <v>-8.7760239839553833E-3</v>
      </c>
      <c r="M23" s="62"/>
      <c r="N23" s="214"/>
      <c r="O23" s="214"/>
    </row>
    <row r="24" spans="1:20" s="33" customFormat="1" ht="15.75">
      <c r="A24" s="63">
        <f t="shared" si="22"/>
        <v>202306</v>
      </c>
      <c r="B24" s="68">
        <v>7.4999999999999997E-2</v>
      </c>
      <c r="C24" s="49"/>
      <c r="D24" s="52">
        <v>0</v>
      </c>
      <c r="E24" s="70">
        <f t="shared" si="18"/>
        <v>55912121.988776021</v>
      </c>
      <c r="F24" s="69">
        <f>'Jun 23'!M$37</f>
        <v>-466639.96514999913</v>
      </c>
      <c r="G24" s="69">
        <f>'Jun 23'!L$37</f>
        <v>1106231.5332699998</v>
      </c>
      <c r="H24" s="50">
        <f t="shared" si="24"/>
        <v>351449.49</v>
      </c>
      <c r="I24" s="88">
        <f t="shared" si="20"/>
        <v>56903163.046896026</v>
      </c>
      <c r="J24" s="51"/>
      <c r="K24" s="71">
        <v>56903163.039999999</v>
      </c>
      <c r="L24" s="72">
        <f>K24-I24</f>
        <v>-6.8960264325141907E-3</v>
      </c>
      <c r="M24" s="62"/>
      <c r="N24" s="214"/>
      <c r="O24" s="214"/>
    </row>
    <row r="25" spans="1:20" s="33" customFormat="1" ht="15.75">
      <c r="A25" s="63">
        <f t="shared" si="22"/>
        <v>202307</v>
      </c>
      <c r="B25" s="68">
        <v>8.0199999999999994E-2</v>
      </c>
      <c r="C25" s="49"/>
      <c r="D25" s="52">
        <v>0</v>
      </c>
      <c r="E25" s="70">
        <f t="shared" si="18"/>
        <v>56903163.046896026</v>
      </c>
      <c r="F25" s="69">
        <f>'Jul 23'!M$37</f>
        <v>-1562921.3133479997</v>
      </c>
      <c r="G25" s="69">
        <f>'Jul 23'!L$37</f>
        <v>1177863.6372349998</v>
      </c>
      <c r="H25" s="50">
        <f t="shared" si="24"/>
        <v>379016.07</v>
      </c>
      <c r="I25" s="88">
        <f>SUM(E25:H25)</f>
        <v>56897121.440783024</v>
      </c>
      <c r="J25" s="51"/>
      <c r="K25" s="71">
        <v>56897121.43</v>
      </c>
      <c r="L25" s="72">
        <f>K25-I25</f>
        <v>-1.078302413225174E-2</v>
      </c>
      <c r="M25" s="62"/>
      <c r="N25" s="214"/>
    </row>
    <row r="26" spans="1:20" s="33" customFormat="1" ht="15.75">
      <c r="A26" s="63">
        <f t="shared" si="22"/>
        <v>202308</v>
      </c>
      <c r="B26" s="68"/>
      <c r="C26" s="49"/>
      <c r="D26" s="52">
        <v>0</v>
      </c>
      <c r="E26" s="70">
        <f t="shared" si="18"/>
        <v>56897121.440783024</v>
      </c>
      <c r="F26" s="69"/>
      <c r="G26" s="69"/>
      <c r="H26" s="50">
        <f t="shared" si="24"/>
        <v>0</v>
      </c>
      <c r="I26" s="88">
        <f>SUM(E26:H26)</f>
        <v>56897121.440783024</v>
      </c>
      <c r="J26" s="51"/>
      <c r="K26" s="71"/>
      <c r="L26" s="72"/>
      <c r="M26" s="62"/>
    </row>
    <row r="27" spans="1:20" s="33" customFormat="1" ht="15.75">
      <c r="A27" s="63">
        <f t="shared" si="22"/>
        <v>202309</v>
      </c>
      <c r="B27" s="68"/>
      <c r="C27" s="49"/>
      <c r="D27" s="52">
        <v>0</v>
      </c>
      <c r="E27" s="70">
        <f t="shared" si="18"/>
        <v>56897121.440783024</v>
      </c>
      <c r="F27" s="69"/>
      <c r="G27" s="69"/>
      <c r="H27" s="50">
        <f t="shared" si="24"/>
        <v>0</v>
      </c>
      <c r="I27" s="88">
        <f t="shared" ref="I27:I28" si="27">SUM(E27:H27)</f>
        <v>56897121.440783024</v>
      </c>
      <c r="J27" s="51"/>
      <c r="K27" s="71"/>
      <c r="L27" s="72"/>
      <c r="M27" s="62"/>
    </row>
    <row r="28" spans="1:20" s="33" customFormat="1" ht="15.75">
      <c r="A28" s="63">
        <f t="shared" si="22"/>
        <v>202310</v>
      </c>
      <c r="B28" s="68"/>
      <c r="C28" s="49"/>
      <c r="D28" s="52">
        <v>0</v>
      </c>
      <c r="E28" s="70">
        <f t="shared" si="18"/>
        <v>56897121.440783024</v>
      </c>
      <c r="F28" s="69"/>
      <c r="G28" s="69"/>
      <c r="H28" s="50">
        <f t="shared" si="24"/>
        <v>0</v>
      </c>
      <c r="I28" s="88">
        <f t="shared" si="27"/>
        <v>56897121.440783024</v>
      </c>
      <c r="J28" s="51"/>
      <c r="K28" s="71"/>
      <c r="L28" s="72"/>
      <c r="M28" s="62"/>
    </row>
    <row r="29" spans="1:20" s="33" customFormat="1" ht="15.75">
      <c r="A29" s="63">
        <f t="shared" si="22"/>
        <v>202311</v>
      </c>
      <c r="B29" s="68"/>
      <c r="C29" s="49"/>
      <c r="D29" s="52"/>
      <c r="E29" s="70">
        <f t="shared" si="18"/>
        <v>56897121.440783024</v>
      </c>
      <c r="F29" s="69"/>
      <c r="G29" s="69"/>
      <c r="H29" s="50">
        <f t="shared" si="24"/>
        <v>0</v>
      </c>
      <c r="I29" s="88">
        <f>SUM(E29:H29)</f>
        <v>56897121.440783024</v>
      </c>
      <c r="J29" s="51"/>
      <c r="K29" s="71"/>
      <c r="L29" s="72"/>
      <c r="M29" s="39"/>
    </row>
    <row r="30" spans="1:20" s="33" customFormat="1" ht="16.5" thickBot="1">
      <c r="A30" s="64">
        <f t="shared" si="22"/>
        <v>202312</v>
      </c>
      <c r="B30" s="53"/>
      <c r="C30" s="65"/>
      <c r="D30" s="54">
        <v>0</v>
      </c>
      <c r="E30" s="55">
        <f>I29+D30</f>
        <v>56897121.440783024</v>
      </c>
      <c r="F30" s="54"/>
      <c r="G30" s="54"/>
      <c r="H30" s="55">
        <f t="shared" si="24"/>
        <v>0</v>
      </c>
      <c r="I30" s="95">
        <f t="shared" ref="I30" si="28">SUM(E30:H30)</f>
        <v>56897121.440783024</v>
      </c>
      <c r="J30" s="51"/>
      <c r="K30" s="56"/>
      <c r="L30" s="57"/>
      <c r="M30" s="62"/>
    </row>
    <row r="31" spans="1:20" ht="15.75">
      <c r="A31" s="48"/>
      <c r="B31" s="48"/>
      <c r="C31" s="48"/>
      <c r="D31" s="58">
        <f>SUMIF($A$7:$A$30,$D34,D$7:D$30)</f>
        <v>0</v>
      </c>
      <c r="E31" s="48"/>
      <c r="F31" s="58">
        <f>SUMIF($A$7:$A$30,$D34,F$7:F$30)</f>
        <v>-1562921.3133479997</v>
      </c>
      <c r="G31" s="58">
        <f>SUMIF($A$7:$A$30,$D34,G$7:G$30)</f>
        <v>1177863.6372349998</v>
      </c>
      <c r="H31" s="58">
        <f>SUMIF($A$7:$A$30,$D34,H$7:H$30)</f>
        <v>379016.07</v>
      </c>
      <c r="I31" s="42" t="s">
        <v>49</v>
      </c>
      <c r="J31" s="48"/>
      <c r="K31" s="48"/>
      <c r="L31" s="48"/>
      <c r="M31" s="48"/>
      <c r="Q31" s="38"/>
      <c r="R31" s="39"/>
      <c r="S31" s="39"/>
      <c r="T31" s="40"/>
    </row>
    <row r="32" spans="1:20" s="98" customFormat="1">
      <c r="A32" s="61"/>
      <c r="B32" s="61"/>
      <c r="C32" s="61"/>
      <c r="D32" s="97" t="s">
        <v>67</v>
      </c>
      <c r="E32" s="61"/>
      <c r="F32" s="97" t="s">
        <v>60</v>
      </c>
      <c r="G32" s="97" t="s">
        <v>61</v>
      </c>
      <c r="H32" s="97" t="s">
        <v>62</v>
      </c>
      <c r="I32" s="61"/>
      <c r="J32" s="61"/>
      <c r="K32" s="61"/>
      <c r="L32" s="61"/>
      <c r="M32" s="61"/>
    </row>
    <row r="33" spans="1:14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</row>
    <row r="34" spans="1:14">
      <c r="A34" s="48"/>
      <c r="B34" s="48"/>
      <c r="C34" s="48"/>
      <c r="D34" s="41">
        <v>202307</v>
      </c>
      <c r="E34" s="42" t="s">
        <v>50</v>
      </c>
      <c r="F34" s="43"/>
      <c r="G34" s="48"/>
      <c r="H34" s="48"/>
      <c r="I34" s="48"/>
      <c r="J34" s="48"/>
      <c r="K34" s="48"/>
      <c r="L34" s="48"/>
      <c r="M34" s="48"/>
    </row>
    <row r="35" spans="1:14">
      <c r="A35" s="48"/>
      <c r="B35" s="48"/>
      <c r="C35" s="48"/>
      <c r="D35" s="44" t="s">
        <v>51</v>
      </c>
      <c r="E35" s="44" t="s">
        <v>52</v>
      </c>
      <c r="F35" s="44" t="s">
        <v>53</v>
      </c>
      <c r="G35" s="48"/>
      <c r="H35" s="48"/>
      <c r="I35" s="48"/>
      <c r="J35" s="48"/>
      <c r="K35" s="48"/>
      <c r="L35" s="48"/>
      <c r="M35" s="48"/>
    </row>
    <row r="36" spans="1:14">
      <c r="A36" s="48"/>
      <c r="B36" s="48"/>
      <c r="C36" s="59" t="s">
        <v>21</v>
      </c>
      <c r="D36" s="45" t="s">
        <v>54</v>
      </c>
      <c r="E36" s="46"/>
      <c r="F36" s="47">
        <f>IF($H$31&gt;0,ABS($H$31),"")</f>
        <v>379016.07</v>
      </c>
      <c r="G36" s="61" t="s">
        <v>62</v>
      </c>
      <c r="H36" s="48"/>
      <c r="I36" s="59"/>
      <c r="J36" s="59"/>
      <c r="K36" s="229"/>
      <c r="L36" s="229"/>
      <c r="M36" s="230"/>
      <c r="N36" s="231"/>
    </row>
    <row r="37" spans="1:14">
      <c r="A37" s="48"/>
      <c r="B37" s="48"/>
      <c r="C37" s="59" t="s">
        <v>58</v>
      </c>
      <c r="D37" s="45" t="s">
        <v>55</v>
      </c>
      <c r="E37" s="47" t="str">
        <f>IF($H$31&lt;0,ABS($H$31),"")</f>
        <v/>
      </c>
      <c r="F37" s="46"/>
      <c r="G37" s="61" t="s">
        <v>62</v>
      </c>
      <c r="H37" s="48"/>
      <c r="I37" s="59"/>
      <c r="J37" s="59"/>
      <c r="K37" s="229"/>
      <c r="L37" s="229"/>
      <c r="M37" s="230"/>
      <c r="N37" s="231"/>
    </row>
    <row r="38" spans="1:14">
      <c r="A38" s="48"/>
      <c r="B38" s="48"/>
      <c r="C38" s="59" t="s">
        <v>82</v>
      </c>
      <c r="D38" s="45" t="s">
        <v>56</v>
      </c>
      <c r="E38" s="47" t="str">
        <f>IF($F$31+$G$31+H31&gt;0,ABS($F$31+$G$31+H31),"")</f>
        <v/>
      </c>
      <c r="F38" s="47">
        <f>IF($F$31+$G$31+H31&lt;0,ABS($F$31+$G$31+H31),"")</f>
        <v>6041.6061129998998</v>
      </c>
      <c r="G38" s="61" t="s">
        <v>63</v>
      </c>
      <c r="H38" s="48"/>
      <c r="I38" s="59"/>
      <c r="J38" s="59"/>
      <c r="K38" s="229"/>
      <c r="L38" s="229"/>
      <c r="M38" s="230"/>
      <c r="N38" s="231"/>
    </row>
    <row r="39" spans="1:14">
      <c r="A39" s="48"/>
      <c r="B39" s="48"/>
      <c r="C39" s="59" t="s">
        <v>59</v>
      </c>
      <c r="D39" s="45" t="s">
        <v>57</v>
      </c>
      <c r="E39" s="47">
        <f>IF($F$31+$G$31&lt;0,ABS($F$31+$G$31),"")</f>
        <v>385057.67611299991</v>
      </c>
      <c r="F39" s="47" t="str">
        <f>IF($F$31+$G$31&gt;0,ABS($F$31+$G$31),"")</f>
        <v/>
      </c>
      <c r="G39" s="61" t="s">
        <v>64</v>
      </c>
      <c r="H39" s="48"/>
      <c r="I39" s="59"/>
      <c r="J39" s="59"/>
      <c r="K39" s="229"/>
      <c r="L39" s="229"/>
      <c r="M39" s="230"/>
      <c r="N39" s="231"/>
    </row>
    <row r="40" spans="1:14">
      <c r="A40" s="48"/>
      <c r="B40" s="48"/>
      <c r="C40" s="48"/>
      <c r="D40" s="48"/>
      <c r="E40" s="48"/>
      <c r="F40" s="48"/>
      <c r="G40" s="61"/>
      <c r="H40" s="48"/>
      <c r="I40" s="48"/>
      <c r="J40" s="48"/>
      <c r="K40" s="48"/>
      <c r="L40" s="48"/>
      <c r="M40" s="48"/>
    </row>
    <row r="41" spans="1:14">
      <c r="A41" s="48"/>
      <c r="B41" s="48"/>
      <c r="C41" s="48"/>
      <c r="D41" s="48"/>
      <c r="E41" s="48"/>
      <c r="F41" s="60">
        <f>SUM(E36:E39)-SUM(F36:F39)</f>
        <v>0</v>
      </c>
      <c r="G41" s="61" t="s">
        <v>65</v>
      </c>
      <c r="H41" s="48"/>
      <c r="I41" s="48"/>
      <c r="J41" s="48"/>
      <c r="K41" s="48"/>
      <c r="L41" s="48"/>
      <c r="M41" s="48"/>
    </row>
    <row r="42" spans="1:14">
      <c r="G42" s="98"/>
    </row>
    <row r="43" spans="1:14" ht="15.75">
      <c r="D43" s="44" t="s">
        <v>66</v>
      </c>
      <c r="E43" s="232"/>
      <c r="F43" s="233"/>
      <c r="G43" s="99"/>
    </row>
    <row r="44" spans="1:14">
      <c r="D44" s="45" t="s">
        <v>56</v>
      </c>
      <c r="E44" s="47"/>
      <c r="F44" s="75"/>
      <c r="G44" s="61" t="s">
        <v>67</v>
      </c>
    </row>
    <row r="45" spans="1:14">
      <c r="D45" s="74" t="s">
        <v>68</v>
      </c>
      <c r="E45" s="75"/>
      <c r="F45" s="47"/>
      <c r="G45" s="76"/>
    </row>
  </sheetData>
  <printOptions horizontalCentered="1"/>
  <pageMargins left="0.25" right="0.25" top="0.5" bottom="0.5" header="0.3" footer="0.3"/>
  <pageSetup scale="74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U45"/>
  <sheetViews>
    <sheetView zoomScale="90" zoomScaleNormal="90" workbookViewId="0">
      <pane ySplit="6" topLeftCell="A16" activePane="bottomLeft" state="frozen"/>
      <selection activeCell="I19" sqref="I19"/>
      <selection pane="bottomLeft" activeCell="G24" sqref="G24"/>
    </sheetView>
  </sheetViews>
  <sheetFormatPr defaultColWidth="8.85546875" defaultRowHeight="12.75" outlineLevelCol="1"/>
  <cols>
    <col min="1" max="1" width="9.140625" style="48" customWidth="1"/>
    <col min="2" max="2" width="9" style="48" bestFit="1" customWidth="1"/>
    <col min="3" max="3" width="14.140625" style="48" bestFit="1" customWidth="1"/>
    <col min="4" max="4" width="12.85546875" style="48" bestFit="1" customWidth="1"/>
    <col min="5" max="5" width="14.140625" style="48" bestFit="1" customWidth="1"/>
    <col min="6" max="6" width="14.28515625" style="48" bestFit="1" customWidth="1"/>
    <col min="7" max="7" width="12.42578125" style="48" customWidth="1"/>
    <col min="8" max="8" width="13.7109375" style="48" bestFit="1" customWidth="1"/>
    <col min="9" max="9" width="11.5703125" style="48" bestFit="1" customWidth="1"/>
    <col min="10" max="10" width="10.140625" style="48" bestFit="1" customWidth="1"/>
    <col min="11" max="11" width="13.7109375" style="48" bestFit="1" customWidth="1"/>
    <col min="12" max="12" width="11.5703125" style="48" hidden="1" customWidth="1" outlineLevel="1"/>
    <col min="13" max="13" width="11" style="48" hidden="1" customWidth="1" outlineLevel="1"/>
    <col min="14" max="14" width="11.5703125" style="48" hidden="1" customWidth="1" outlineLevel="1"/>
    <col min="15" max="15" width="11.28515625" style="48" bestFit="1" customWidth="1" collapsed="1"/>
    <col min="16" max="16" width="14.140625" style="48" bestFit="1" customWidth="1"/>
    <col min="17" max="17" width="1.7109375" style="48" customWidth="1"/>
    <col min="18" max="18" width="14.140625" style="48" bestFit="1" customWidth="1"/>
    <col min="19" max="19" width="13.28515625" style="48" bestFit="1" customWidth="1"/>
    <col min="20" max="20" width="13.5703125" style="48" customWidth="1"/>
    <col min="21" max="21" width="13.85546875" style="48" bestFit="1" customWidth="1"/>
    <col min="22" max="24" width="8.85546875" style="48"/>
    <col min="25" max="25" width="12.7109375" style="48" customWidth="1"/>
    <col min="26" max="27" width="13.140625" style="48" bestFit="1" customWidth="1"/>
    <col min="28" max="16384" width="8.85546875" style="48"/>
  </cols>
  <sheetData>
    <row r="1" spans="1:21" s="29" customFormat="1" ht="15.75">
      <c r="A1" s="78" t="s">
        <v>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21" s="29" customFormat="1" ht="15.75">
      <c r="A2" s="7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21" s="29" customFormat="1" ht="15.75">
      <c r="A3" s="78" t="s">
        <v>81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21" s="29" customFormat="1" ht="15.75">
      <c r="A4" s="78" t="s">
        <v>46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21" s="32" customFormat="1" ht="13.5" thickBot="1">
      <c r="A5" s="77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21" s="40" customFormat="1" ht="56.45" customHeight="1">
      <c r="A6" s="35" t="s">
        <v>43</v>
      </c>
      <c r="B6" s="35" t="s">
        <v>41</v>
      </c>
      <c r="C6" s="35" t="s">
        <v>69</v>
      </c>
      <c r="D6" s="35" t="s">
        <v>72</v>
      </c>
      <c r="E6" s="90" t="s">
        <v>40</v>
      </c>
      <c r="F6" s="82" t="s">
        <v>76</v>
      </c>
      <c r="G6" s="83" t="s">
        <v>70</v>
      </c>
      <c r="H6" s="84" t="s">
        <v>48</v>
      </c>
      <c r="I6" s="82" t="s">
        <v>77</v>
      </c>
      <c r="J6" s="83" t="s">
        <v>70</v>
      </c>
      <c r="K6" s="84" t="s">
        <v>48</v>
      </c>
      <c r="L6" s="82" t="s">
        <v>78</v>
      </c>
      <c r="M6" s="83" t="s">
        <v>70</v>
      </c>
      <c r="N6" s="84" t="s">
        <v>48</v>
      </c>
      <c r="O6" s="92" t="s">
        <v>3</v>
      </c>
      <c r="P6" s="35" t="s">
        <v>15</v>
      </c>
      <c r="Q6" s="36"/>
      <c r="R6" s="37" t="s">
        <v>44</v>
      </c>
      <c r="S6" s="37" t="s">
        <v>45</v>
      </c>
    </row>
    <row r="7" spans="1:21">
      <c r="A7" s="119" t="s">
        <v>116</v>
      </c>
      <c r="B7" s="79">
        <v>3.2500000000000001E-2</v>
      </c>
      <c r="C7" s="69">
        <v>0</v>
      </c>
      <c r="D7" s="69">
        <v>0</v>
      </c>
      <c r="E7" s="81">
        <v>8371608.9742069989</v>
      </c>
      <c r="F7" s="225">
        <v>24141718</v>
      </c>
      <c r="G7" s="80">
        <v>-2.0060000000000001E-2</v>
      </c>
      <c r="H7" s="91">
        <v>-484282.86308000004</v>
      </c>
      <c r="I7" s="225">
        <v>8902067</v>
      </c>
      <c r="J7" s="80">
        <v>-2.9020000000000001E-2</v>
      </c>
      <c r="K7" s="91">
        <v>-258337.98434</v>
      </c>
      <c r="L7" s="89"/>
      <c r="M7" s="80"/>
      <c r="N7" s="91">
        <v>0</v>
      </c>
      <c r="O7" s="87">
        <v>21667.48</v>
      </c>
      <c r="P7" s="70">
        <v>7650655.6067869989</v>
      </c>
      <c r="Q7" s="39"/>
      <c r="R7" s="71">
        <v>7650655.5899999999</v>
      </c>
      <c r="S7" s="72">
        <v>-1.6786999069154263E-2</v>
      </c>
    </row>
    <row r="8" spans="1:21">
      <c r="A8" s="119" t="s">
        <v>117</v>
      </c>
      <c r="B8" s="79">
        <v>3.2500000000000001E-2</v>
      </c>
      <c r="C8" s="52">
        <v>0</v>
      </c>
      <c r="D8" s="52">
        <v>0</v>
      </c>
      <c r="E8" s="81">
        <f t="shared" ref="E8:E18" si="0">P7+C8+D8</f>
        <v>7650655.6067869989</v>
      </c>
      <c r="F8" s="224">
        <f>19884076+50305</f>
        <v>19934381</v>
      </c>
      <c r="G8" s="80">
        <v>-2.0060000000000001E-2</v>
      </c>
      <c r="H8" s="91">
        <f t="shared" ref="H8:H16" si="1">F8*G8</f>
        <v>-399883.68286</v>
      </c>
      <c r="I8" s="224">
        <v>7967454</v>
      </c>
      <c r="J8" s="80">
        <v>-2.9020000000000001E-2</v>
      </c>
      <c r="K8" s="91">
        <f t="shared" ref="K8:K16" si="2">I8*J8</f>
        <v>-231215.51508000001</v>
      </c>
      <c r="L8" s="89"/>
      <c r="M8" s="80"/>
      <c r="N8" s="91">
        <f t="shared" ref="N8:N16" si="3">L8*M8</f>
        <v>0</v>
      </c>
      <c r="O8" s="88">
        <f t="shared" ref="O8:O11" si="4">ROUND(((E8*(B8/12))+(H8+K8+N8)/2*(B8/12)),2)</f>
        <v>19865.91</v>
      </c>
      <c r="P8" s="50">
        <f t="shared" ref="P8:P16" si="5">E8+H8+K8+N8+O8</f>
        <v>7039422.3188469987</v>
      </c>
      <c r="Q8" s="39"/>
      <c r="R8" s="71">
        <v>7039422.2999999998</v>
      </c>
      <c r="S8" s="72">
        <f t="shared" ref="S8:S12" si="6">R8-P8</f>
        <v>-1.8846998922526836E-2</v>
      </c>
    </row>
    <row r="9" spans="1:21">
      <c r="A9" s="119" t="s">
        <v>118</v>
      </c>
      <c r="B9" s="79">
        <v>3.2500000000000001E-2</v>
      </c>
      <c r="C9" s="52">
        <v>0</v>
      </c>
      <c r="D9" s="52">
        <v>0</v>
      </c>
      <c r="E9" s="81">
        <f t="shared" si="0"/>
        <v>7039422.3188469987</v>
      </c>
      <c r="F9" s="224">
        <f>14466885+38681</f>
        <v>14505566</v>
      </c>
      <c r="G9" s="80">
        <v>-2.0060000000000001E-2</v>
      </c>
      <c r="H9" s="91">
        <f t="shared" si="1"/>
        <v>-290981.65396000003</v>
      </c>
      <c r="I9" s="224">
        <v>6530840</v>
      </c>
      <c r="J9" s="80">
        <v>-2.9020000000000001E-2</v>
      </c>
      <c r="K9" s="91">
        <f t="shared" si="2"/>
        <v>-189524.9768</v>
      </c>
      <c r="L9" s="89"/>
      <c r="M9" s="80"/>
      <c r="N9" s="91">
        <f t="shared" si="3"/>
        <v>0</v>
      </c>
      <c r="O9" s="88">
        <f t="shared" si="4"/>
        <v>18414.419999999998</v>
      </c>
      <c r="P9" s="50">
        <f t="shared" si="5"/>
        <v>6577330.1080869986</v>
      </c>
      <c r="Q9" s="39"/>
      <c r="R9" s="71">
        <v>6577330.0899999999</v>
      </c>
      <c r="S9" s="72">
        <f t="shared" si="6"/>
        <v>-1.8086998723447323E-2</v>
      </c>
    </row>
    <row r="10" spans="1:21">
      <c r="A10" s="119" t="s">
        <v>119</v>
      </c>
      <c r="B10" s="79">
        <v>3.2500000000000001E-2</v>
      </c>
      <c r="C10" s="52">
        <v>0</v>
      </c>
      <c r="D10" s="52">
        <v>0</v>
      </c>
      <c r="E10" s="81">
        <f t="shared" si="0"/>
        <v>6577330.1080869986</v>
      </c>
      <c r="F10" s="224">
        <f>12130478+33753</f>
        <v>12164231</v>
      </c>
      <c r="G10" s="80">
        <v>-2.0060000000000001E-2</v>
      </c>
      <c r="H10" s="91">
        <f t="shared" si="1"/>
        <v>-244014.47386000003</v>
      </c>
      <c r="I10" s="224">
        <v>5534897</v>
      </c>
      <c r="J10" s="80">
        <v>-2.9020000000000001E-2</v>
      </c>
      <c r="K10" s="91">
        <f t="shared" si="2"/>
        <v>-160622.71093999999</v>
      </c>
      <c r="L10" s="89"/>
      <c r="M10" s="80"/>
      <c r="N10" s="91">
        <f t="shared" si="3"/>
        <v>0</v>
      </c>
      <c r="O10" s="88">
        <f t="shared" si="4"/>
        <v>17265.66</v>
      </c>
      <c r="P10" s="50">
        <f t="shared" si="5"/>
        <v>6189958.5832869988</v>
      </c>
      <c r="Q10" s="39"/>
      <c r="R10" s="71">
        <v>6189958.5700000003</v>
      </c>
      <c r="S10" s="72">
        <f t="shared" si="6"/>
        <v>-1.3286998495459557E-2</v>
      </c>
    </row>
    <row r="11" spans="1:21">
      <c r="A11" s="119" t="s">
        <v>120</v>
      </c>
      <c r="B11" s="79">
        <v>3.2500000000000001E-2</v>
      </c>
      <c r="C11" s="52">
        <v>0</v>
      </c>
      <c r="D11" s="52">
        <v>0</v>
      </c>
      <c r="E11" s="81">
        <f t="shared" si="0"/>
        <v>6189958.5832869988</v>
      </c>
      <c r="F11" s="224">
        <f>7528936+22516</f>
        <v>7551452</v>
      </c>
      <c r="G11" s="80">
        <v>-2.0060000000000001E-2</v>
      </c>
      <c r="H11" s="91">
        <f t="shared" si="1"/>
        <v>-151482.12712000002</v>
      </c>
      <c r="I11" s="224">
        <v>3861543</v>
      </c>
      <c r="J11" s="80">
        <v>-2.9020000000000001E-2</v>
      </c>
      <c r="K11" s="91">
        <f t="shared" si="2"/>
        <v>-112061.97786</v>
      </c>
      <c r="L11" s="89"/>
      <c r="M11" s="80"/>
      <c r="N11" s="91">
        <f t="shared" si="3"/>
        <v>0</v>
      </c>
      <c r="O11" s="88">
        <f t="shared" si="4"/>
        <v>16407.59</v>
      </c>
      <c r="P11" s="50">
        <f t="shared" si="5"/>
        <v>5942822.0683069983</v>
      </c>
      <c r="Q11" s="39"/>
      <c r="R11" s="71">
        <v>5942822.0599999996</v>
      </c>
      <c r="S11" s="72">
        <f t="shared" si="6"/>
        <v>-8.3069987595081329E-3</v>
      </c>
    </row>
    <row r="12" spans="1:21">
      <c r="A12" s="119" t="s">
        <v>121</v>
      </c>
      <c r="B12" s="79">
        <v>3.2500000000000001E-2</v>
      </c>
      <c r="C12" s="52">
        <v>0</v>
      </c>
      <c r="D12" s="52">
        <v>0</v>
      </c>
      <c r="E12" s="81">
        <f t="shared" si="0"/>
        <v>5942822.0683069983</v>
      </c>
      <c r="F12" s="224">
        <f>3513630+10109</f>
        <v>3523739</v>
      </c>
      <c r="G12" s="80">
        <v>-2.0060000000000001E-2</v>
      </c>
      <c r="H12" s="91">
        <f t="shared" si="1"/>
        <v>-70686.204340000011</v>
      </c>
      <c r="I12" s="224">
        <v>2400538</v>
      </c>
      <c r="J12" s="80">
        <v>-2.9020000000000001E-2</v>
      </c>
      <c r="K12" s="91">
        <f t="shared" si="2"/>
        <v>-69663.612760000004</v>
      </c>
      <c r="L12" s="89"/>
      <c r="M12" s="80"/>
      <c r="N12" s="91">
        <f t="shared" si="3"/>
        <v>0</v>
      </c>
      <c r="O12" s="88">
        <f>ROUND(((E12*(B12/12))+(H12+K12+N12)/2*(B12/12)),2)</f>
        <v>15905.09</v>
      </c>
      <c r="P12" s="50">
        <f t="shared" si="5"/>
        <v>5818377.3412069986</v>
      </c>
      <c r="Q12" s="39"/>
      <c r="R12" s="71">
        <v>5818377.3300000001</v>
      </c>
      <c r="S12" s="72">
        <f t="shared" si="6"/>
        <v>-1.1206998489797115E-2</v>
      </c>
    </row>
    <row r="13" spans="1:21">
      <c r="A13" s="119" t="s">
        <v>122</v>
      </c>
      <c r="B13" s="79">
        <v>3.5999999999999997E-2</v>
      </c>
      <c r="C13" s="52">
        <v>0</v>
      </c>
      <c r="D13" s="52">
        <v>0</v>
      </c>
      <c r="E13" s="81">
        <f t="shared" si="0"/>
        <v>5818377.3412069986</v>
      </c>
      <c r="F13" s="224">
        <f>2224703+5190</f>
        <v>2229893</v>
      </c>
      <c r="G13" s="80">
        <v>-2.0060000000000001E-2</v>
      </c>
      <c r="H13" s="91">
        <f t="shared" si="1"/>
        <v>-44731.653580000006</v>
      </c>
      <c r="I13" s="224">
        <v>1968103</v>
      </c>
      <c r="J13" s="80">
        <v>-2.9020000000000001E-2</v>
      </c>
      <c r="K13" s="91">
        <f t="shared" si="2"/>
        <v>-57114.34906</v>
      </c>
      <c r="L13" s="89"/>
      <c r="M13" s="80"/>
      <c r="N13" s="91">
        <f t="shared" si="3"/>
        <v>0</v>
      </c>
      <c r="O13" s="88">
        <f t="shared" ref="O13:O18" si="7">ROUND(((E13*(B13/12))+(H13+K13+N13)/2*(B13/12)),2)</f>
        <v>17302.36</v>
      </c>
      <c r="P13" s="50">
        <f t="shared" si="5"/>
        <v>5733833.6985669993</v>
      </c>
      <c r="Q13" s="39"/>
      <c r="R13" s="71">
        <v>5733833.6900000004</v>
      </c>
      <c r="S13" s="72">
        <f t="shared" ref="S13" si="8">R13-P13</f>
        <v>-8.5669988766312599E-3</v>
      </c>
    </row>
    <row r="14" spans="1:21">
      <c r="A14" s="119" t="s">
        <v>123</v>
      </c>
      <c r="B14" s="79">
        <v>3.5999999999999997E-2</v>
      </c>
      <c r="C14" s="52">
        <v>0</v>
      </c>
      <c r="D14" s="52">
        <v>0</v>
      </c>
      <c r="E14" s="81">
        <f t="shared" si="0"/>
        <v>5733833.6985669993</v>
      </c>
      <c r="F14" s="224">
        <f>1985915+4782</f>
        <v>1990697</v>
      </c>
      <c r="G14" s="80">
        <v>-2.0060000000000001E-2</v>
      </c>
      <c r="H14" s="91">
        <f t="shared" si="1"/>
        <v>-39933.381820000002</v>
      </c>
      <c r="I14" s="224">
        <v>1803204</v>
      </c>
      <c r="J14" s="80">
        <v>-2.9020000000000001E-2</v>
      </c>
      <c r="K14" s="91">
        <f t="shared" si="2"/>
        <v>-52328.980080000001</v>
      </c>
      <c r="L14" s="89"/>
      <c r="M14" s="80"/>
      <c r="N14" s="91">
        <f t="shared" si="3"/>
        <v>0</v>
      </c>
      <c r="O14" s="88">
        <f t="shared" si="7"/>
        <v>17063.11</v>
      </c>
      <c r="P14" s="50">
        <f t="shared" si="5"/>
        <v>5658634.4466669997</v>
      </c>
      <c r="Q14" s="39"/>
      <c r="R14" s="71">
        <v>5658634.4400000004</v>
      </c>
      <c r="S14" s="72">
        <f t="shared" ref="S14" si="9">R14-P14</f>
        <v>-6.6669993102550507E-3</v>
      </c>
      <c r="U14" s="129"/>
    </row>
    <row r="15" spans="1:21">
      <c r="A15" s="119" t="s">
        <v>124</v>
      </c>
      <c r="B15" s="79">
        <v>3.5999999999999997E-2</v>
      </c>
      <c r="C15" s="52">
        <v>0</v>
      </c>
      <c r="D15" s="52">
        <v>0</v>
      </c>
      <c r="E15" s="81">
        <f t="shared" si="0"/>
        <v>5658634.4466669997</v>
      </c>
      <c r="F15" s="224">
        <f>2606125+6911</f>
        <v>2613036</v>
      </c>
      <c r="G15" s="80">
        <v>-2.0060000000000001E-2</v>
      </c>
      <c r="H15" s="91">
        <f t="shared" si="1"/>
        <v>-52417.502160000004</v>
      </c>
      <c r="I15" s="224">
        <v>2229934</v>
      </c>
      <c r="J15" s="80">
        <v>-2.9020000000000001E-2</v>
      </c>
      <c r="K15" s="91">
        <f t="shared" si="2"/>
        <v>-64712.684679999998</v>
      </c>
      <c r="L15" s="89"/>
      <c r="M15" s="80"/>
      <c r="N15" s="91">
        <f t="shared" si="3"/>
        <v>0</v>
      </c>
      <c r="O15" s="88">
        <f t="shared" si="7"/>
        <v>16800.21</v>
      </c>
      <c r="P15" s="50">
        <f t="shared" si="5"/>
        <v>5558304.4698270001</v>
      </c>
      <c r="Q15" s="39"/>
      <c r="R15" s="71">
        <v>5558304.46</v>
      </c>
      <c r="S15" s="72">
        <f t="shared" ref="S15" si="10">R15-P15</f>
        <v>-9.8270000889897346E-3</v>
      </c>
    </row>
    <row r="16" spans="1:21">
      <c r="A16" s="119" t="s">
        <v>125</v>
      </c>
      <c r="B16" s="79">
        <v>4.9099999999999998E-2</v>
      </c>
      <c r="C16" s="52">
        <v>0</v>
      </c>
      <c r="D16" s="52">
        <v>0</v>
      </c>
      <c r="E16" s="81">
        <f t="shared" si="0"/>
        <v>5558304.4698270001</v>
      </c>
      <c r="F16" s="224">
        <f>5688582+17723</f>
        <v>5706305</v>
      </c>
      <c r="G16" s="80">
        <v>-2.0060000000000001E-2</v>
      </c>
      <c r="H16" s="91">
        <f t="shared" si="1"/>
        <v>-114468.4783</v>
      </c>
      <c r="I16" s="224">
        <v>4185171</v>
      </c>
      <c r="J16" s="80">
        <v>-2.9020000000000001E-2</v>
      </c>
      <c r="K16" s="91">
        <f t="shared" si="2"/>
        <v>-121453.66242000001</v>
      </c>
      <c r="L16" s="89"/>
      <c r="M16" s="80"/>
      <c r="N16" s="91">
        <f t="shared" si="3"/>
        <v>0</v>
      </c>
      <c r="O16" s="88">
        <f t="shared" si="7"/>
        <v>22260.07</v>
      </c>
      <c r="P16" s="50">
        <f t="shared" si="5"/>
        <v>5344642.3991070008</v>
      </c>
      <c r="Q16" s="39"/>
      <c r="R16" s="71">
        <v>5344642.4000000004</v>
      </c>
      <c r="S16" s="72">
        <f t="shared" ref="S16" si="11">R16-P16</f>
        <v>8.9299958199262619E-4</v>
      </c>
    </row>
    <row r="17" spans="1:21">
      <c r="A17" s="119" t="s">
        <v>126</v>
      </c>
      <c r="B17" s="79">
        <v>4.9099999999999998E-2</v>
      </c>
      <c r="C17" s="52">
        <f>-'191010 WA DEF'!D17</f>
        <v>16619372.818111997</v>
      </c>
      <c r="D17" s="52">
        <v>-57695.35</v>
      </c>
      <c r="E17" s="81">
        <f t="shared" si="0"/>
        <v>21906319.867218997</v>
      </c>
      <c r="F17" s="224">
        <f>21123575+64852</f>
        <v>21188427</v>
      </c>
      <c r="G17" s="69" t="s">
        <v>71</v>
      </c>
      <c r="H17" s="85">
        <f>-1566507-4817</f>
        <v>-1571324</v>
      </c>
      <c r="I17" s="224">
        <v>8371710</v>
      </c>
      <c r="J17" s="69" t="s">
        <v>71</v>
      </c>
      <c r="K17" s="85">
        <v>-959889</v>
      </c>
      <c r="L17" s="89"/>
      <c r="M17" s="69" t="s">
        <v>71</v>
      </c>
      <c r="N17" s="85">
        <v>0</v>
      </c>
      <c r="O17" s="88">
        <f t="shared" si="7"/>
        <v>84454.92</v>
      </c>
      <c r="P17" s="50">
        <f>E17+H17+K17+N17+O17</f>
        <v>19459561.787218999</v>
      </c>
      <c r="Q17" s="39"/>
      <c r="R17" s="71">
        <v>19459561.789999999</v>
      </c>
      <c r="S17" s="72">
        <f t="shared" ref="S17" si="12">R17-P17</f>
        <v>2.7809999883174896E-3</v>
      </c>
    </row>
    <row r="18" spans="1:21" ht="13.5" thickBot="1">
      <c r="A18" s="135" t="s">
        <v>127</v>
      </c>
      <c r="B18" s="93">
        <v>4.9099999999999998E-2</v>
      </c>
      <c r="C18" s="54">
        <v>0</v>
      </c>
      <c r="D18" s="54">
        <v>0</v>
      </c>
      <c r="E18" s="223">
        <f t="shared" si="0"/>
        <v>19459561.787218999</v>
      </c>
      <c r="F18" s="227">
        <f>26566755+77956</f>
        <v>26644711</v>
      </c>
      <c r="G18" s="73" t="s">
        <v>71</v>
      </c>
      <c r="H18" s="86">
        <f>-2122942-6215</f>
        <v>-2129157</v>
      </c>
      <c r="I18" s="226">
        <v>10057384</v>
      </c>
      <c r="J18" s="73" t="s">
        <v>71</v>
      </c>
      <c r="K18" s="86">
        <v>-1116927</v>
      </c>
      <c r="L18" s="94"/>
      <c r="M18" s="73" t="s">
        <v>71</v>
      </c>
      <c r="N18" s="86">
        <v>0</v>
      </c>
      <c r="O18" s="95">
        <f t="shared" si="7"/>
        <v>72981.09</v>
      </c>
      <c r="P18" s="55">
        <f t="shared" ref="P18:P28" si="13">E18+H18+K18+N18+O18</f>
        <v>16286458.877218999</v>
      </c>
      <c r="Q18" s="96"/>
      <c r="R18" s="56">
        <v>16286458.880000001</v>
      </c>
      <c r="S18" s="57">
        <f t="shared" ref="S18:S19" si="14">R18-P18</f>
        <v>2.7810018509626389E-3</v>
      </c>
    </row>
    <row r="19" spans="1:21">
      <c r="A19" s="119" t="s">
        <v>129</v>
      </c>
      <c r="B19" s="79">
        <v>6.3100000000000003E-2</v>
      </c>
      <c r="C19" s="69">
        <v>0</v>
      </c>
      <c r="D19" s="69">
        <v>0</v>
      </c>
      <c r="E19" s="81">
        <f>P18+C19+D19</f>
        <v>16286458.877218999</v>
      </c>
      <c r="F19" s="225">
        <f>22533765+68120</f>
        <v>22601885</v>
      </c>
      <c r="G19" s="80">
        <v>-7.9930000000000001E-2</v>
      </c>
      <c r="H19" s="91">
        <f>F19*G19</f>
        <v>-1806568.66805</v>
      </c>
      <c r="I19" s="225">
        <v>9462702</v>
      </c>
      <c r="J19" s="80">
        <v>-0.1129</v>
      </c>
      <c r="K19" s="91">
        <f>I19*J19</f>
        <v>-1068339.0558</v>
      </c>
      <c r="L19" s="89"/>
      <c r="M19" s="80"/>
      <c r="N19" s="91">
        <f>L19*M19</f>
        <v>0</v>
      </c>
      <c r="O19" s="87">
        <f>ROUND(((E19*(B19/12))+(H19+K19+N19)/2*(B19/12)),2)</f>
        <v>78081.02</v>
      </c>
      <c r="P19" s="70">
        <f t="shared" si="13"/>
        <v>13489632.173368998</v>
      </c>
      <c r="Q19" s="39"/>
      <c r="R19" s="71">
        <v>13489632.18</v>
      </c>
      <c r="S19" s="72">
        <f t="shared" si="14"/>
        <v>6.6310018301010132E-3</v>
      </c>
    </row>
    <row r="20" spans="1:21">
      <c r="A20" s="119" t="s">
        <v>130</v>
      </c>
      <c r="B20" s="79">
        <v>6.3100000000000003E-2</v>
      </c>
      <c r="C20" s="52">
        <v>0</v>
      </c>
      <c r="D20" s="52">
        <v>0</v>
      </c>
      <c r="E20" s="81">
        <f t="shared" ref="E20:E30" si="15">P19+C20+D20</f>
        <v>13489632.173368998</v>
      </c>
      <c r="F20" s="224">
        <f>19928457+60896</f>
        <v>19989353</v>
      </c>
      <c r="G20" s="80">
        <v>-7.9930000000000001E-2</v>
      </c>
      <c r="H20" s="91">
        <f t="shared" ref="H20:H28" si="16">F20*G20</f>
        <v>-1597748.98529</v>
      </c>
      <c r="I20" s="224">
        <v>7728313</v>
      </c>
      <c r="J20" s="80">
        <v>-0.1129</v>
      </c>
      <c r="K20" s="91">
        <f t="shared" ref="K20:K28" si="17">I20*J20</f>
        <v>-872526.53769999999</v>
      </c>
      <c r="L20" s="89"/>
      <c r="M20" s="80"/>
      <c r="N20" s="91">
        <f t="shared" ref="N20:N28" si="18">L20*M20</f>
        <v>0</v>
      </c>
      <c r="O20" s="88">
        <f t="shared" ref="O20:O23" si="19">ROUND(((E20*(B20/12))+(H20+K20+N20)/2*(B20/12)),2)</f>
        <v>64438.22</v>
      </c>
      <c r="P20" s="50">
        <f t="shared" si="13"/>
        <v>11083794.870378999</v>
      </c>
      <c r="Q20" s="39"/>
      <c r="R20" s="71">
        <v>11083794.880000001</v>
      </c>
      <c r="S20" s="72">
        <f t="shared" ref="S20" si="20">R20-P20</f>
        <v>9.6210017800331116E-3</v>
      </c>
    </row>
    <row r="21" spans="1:21">
      <c r="A21" s="119" t="s">
        <v>131</v>
      </c>
      <c r="B21" s="79">
        <v>6.3100000000000003E-2</v>
      </c>
      <c r="C21" s="52">
        <v>0</v>
      </c>
      <c r="D21" s="52">
        <v>0</v>
      </c>
      <c r="E21" s="81">
        <f t="shared" si="15"/>
        <v>11083794.870378999</v>
      </c>
      <c r="F21" s="224">
        <f>16463840+55607</f>
        <v>16519447</v>
      </c>
      <c r="G21" s="80">
        <v>-7.9930000000000001E-2</v>
      </c>
      <c r="H21" s="91">
        <f t="shared" si="16"/>
        <v>-1320399.3987100001</v>
      </c>
      <c r="I21" s="224">
        <v>7564231</v>
      </c>
      <c r="J21" s="80">
        <v>-0.1129</v>
      </c>
      <c r="K21" s="91">
        <f t="shared" si="17"/>
        <v>-854001.67989999999</v>
      </c>
      <c r="L21" s="89"/>
      <c r="M21" s="80"/>
      <c r="N21" s="91">
        <f t="shared" si="18"/>
        <v>0</v>
      </c>
      <c r="O21" s="88">
        <f t="shared" si="19"/>
        <v>52565.43</v>
      </c>
      <c r="P21" s="50">
        <f t="shared" si="13"/>
        <v>8961959.2217689995</v>
      </c>
      <c r="Q21" s="39"/>
      <c r="R21" s="71">
        <v>8961959.2300000004</v>
      </c>
      <c r="S21" s="72">
        <f t="shared" ref="S21" si="21">R21-P21</f>
        <v>8.2310009747743607E-3</v>
      </c>
    </row>
    <row r="22" spans="1:21">
      <c r="A22" s="119" t="s">
        <v>132</v>
      </c>
      <c r="B22" s="79">
        <v>7.4999999999999997E-2</v>
      </c>
      <c r="C22" s="52">
        <v>0</v>
      </c>
      <c r="D22" s="52">
        <v>0</v>
      </c>
      <c r="E22" s="81">
        <f t="shared" si="15"/>
        <v>8961959.2217689995</v>
      </c>
      <c r="F22" s="224">
        <f>10827426+37509</f>
        <v>10864935</v>
      </c>
      <c r="G22" s="80">
        <v>-7.9930000000000001E-2</v>
      </c>
      <c r="H22" s="91">
        <f t="shared" si="16"/>
        <v>-868434.25454999995</v>
      </c>
      <c r="I22" s="224">
        <v>4866731</v>
      </c>
      <c r="J22" s="80">
        <v>-0.1129</v>
      </c>
      <c r="K22" s="91">
        <f t="shared" si="17"/>
        <v>-549453.92989999999</v>
      </c>
      <c r="L22" s="89"/>
      <c r="M22" s="80"/>
      <c r="N22" s="91">
        <f t="shared" si="18"/>
        <v>0</v>
      </c>
      <c r="O22" s="88">
        <f t="shared" si="19"/>
        <v>51581.34</v>
      </c>
      <c r="P22" s="50">
        <f t="shared" si="13"/>
        <v>7595652.3773189997</v>
      </c>
      <c r="Q22" s="39"/>
      <c r="R22" s="71">
        <v>7595652.3899999997</v>
      </c>
      <c r="S22" s="72">
        <f t="shared" ref="S22" si="22">R22-P22</f>
        <v>1.2680999934673309E-2</v>
      </c>
    </row>
    <row r="23" spans="1:21">
      <c r="A23" s="119" t="s">
        <v>133</v>
      </c>
      <c r="B23" s="79">
        <v>7.4999999999999997E-2</v>
      </c>
      <c r="C23" s="52">
        <v>0</v>
      </c>
      <c r="D23" s="52">
        <v>0</v>
      </c>
      <c r="E23" s="81">
        <f t="shared" si="15"/>
        <v>7595652.3773189997</v>
      </c>
      <c r="F23" s="224">
        <f>3335686+11814</f>
        <v>3347500</v>
      </c>
      <c r="G23" s="69" t="s">
        <v>71</v>
      </c>
      <c r="H23" s="85">
        <v>-1186097</v>
      </c>
      <c r="I23" s="224">
        <v>2518681</v>
      </c>
      <c r="J23" s="80">
        <v>-0.1129</v>
      </c>
      <c r="K23" s="91">
        <f t="shared" si="17"/>
        <v>-284359.08490000002</v>
      </c>
      <c r="L23" s="89"/>
      <c r="M23" s="80"/>
      <c r="N23" s="91">
        <f t="shared" si="18"/>
        <v>0</v>
      </c>
      <c r="O23" s="88">
        <f t="shared" si="19"/>
        <v>42877.65</v>
      </c>
      <c r="P23" s="50">
        <f t="shared" si="13"/>
        <v>6168073.942419</v>
      </c>
      <c r="Q23" s="39"/>
      <c r="R23" s="71">
        <v>6168073.96</v>
      </c>
      <c r="S23" s="72">
        <f t="shared" ref="S23" si="23">R23-P23</f>
        <v>1.7580999992787838E-2</v>
      </c>
    </row>
    <row r="24" spans="1:21">
      <c r="A24" s="119" t="s">
        <v>134</v>
      </c>
      <c r="B24" s="79">
        <v>7.4999999999999997E-2</v>
      </c>
      <c r="C24" s="52">
        <v>0</v>
      </c>
      <c r="D24" s="52">
        <v>0</v>
      </c>
      <c r="E24" s="81">
        <f t="shared" si="15"/>
        <v>6168073.942419</v>
      </c>
      <c r="F24" s="224">
        <f>2359733+6675</f>
        <v>2366408</v>
      </c>
      <c r="G24" s="69" t="s">
        <v>71</v>
      </c>
      <c r="H24" s="85">
        <v>-747901</v>
      </c>
      <c r="I24" s="224">
        <v>2149480</v>
      </c>
      <c r="J24" s="80">
        <v>-0.1129</v>
      </c>
      <c r="K24" s="91">
        <f t="shared" si="17"/>
        <v>-242676.29199999999</v>
      </c>
      <c r="L24" s="89"/>
      <c r="M24" s="80"/>
      <c r="N24" s="91">
        <f t="shared" si="18"/>
        <v>0</v>
      </c>
      <c r="O24" s="88">
        <f>ROUND(((E24*(B24/12))+(H24+K24+N24)/2*(B24/12)),2)</f>
        <v>35454.910000000003</v>
      </c>
      <c r="P24" s="50">
        <f t="shared" si="13"/>
        <v>5212951.5604189998</v>
      </c>
      <c r="Q24" s="39"/>
      <c r="R24" s="71">
        <v>5212951.58</v>
      </c>
      <c r="S24" s="72">
        <f t="shared" ref="S24" si="24">R24-P24</f>
        <v>1.9581000320613384E-2</v>
      </c>
    </row>
    <row r="25" spans="1:21">
      <c r="A25" s="119" t="s">
        <v>135</v>
      </c>
      <c r="B25" s="79">
        <v>8.0199999999999994E-2</v>
      </c>
      <c r="C25" s="52">
        <v>0</v>
      </c>
      <c r="D25" s="52">
        <v>0</v>
      </c>
      <c r="E25" s="81">
        <f t="shared" si="15"/>
        <v>5212951.5604189998</v>
      </c>
      <c r="F25" s="224">
        <f>2176412+6110</f>
        <v>2182522</v>
      </c>
      <c r="G25" s="80">
        <v>-0.31641999999999998</v>
      </c>
      <c r="H25" s="91">
        <f t="shared" si="16"/>
        <v>-690593.61124</v>
      </c>
      <c r="I25" s="224">
        <v>1799245</v>
      </c>
      <c r="J25" s="80">
        <v>-0.1129</v>
      </c>
      <c r="K25" s="91">
        <f t="shared" si="17"/>
        <v>-203134.7605</v>
      </c>
      <c r="L25" s="89"/>
      <c r="M25" s="80"/>
      <c r="N25" s="91">
        <f t="shared" si="18"/>
        <v>0</v>
      </c>
      <c r="O25" s="88">
        <f t="shared" ref="O25:O30" si="25">ROUND(((E25*(B25/12))+(H25+K25+N25)/2*(B25/12)),2)</f>
        <v>31853.35</v>
      </c>
      <c r="P25" s="50">
        <f t="shared" si="13"/>
        <v>4351076.5386789991</v>
      </c>
      <c r="Q25" s="39"/>
      <c r="R25" s="71">
        <v>4351076.5599999996</v>
      </c>
      <c r="S25" s="72">
        <f t="shared" ref="S25" si="26">R25-P25</f>
        <v>2.1321000531315804E-2</v>
      </c>
    </row>
    <row r="26" spans="1:21">
      <c r="A26" s="119" t="s">
        <v>136</v>
      </c>
      <c r="B26" s="79"/>
      <c r="C26" s="52">
        <v>0</v>
      </c>
      <c r="D26" s="52">
        <v>0</v>
      </c>
      <c r="E26" s="81">
        <f t="shared" si="15"/>
        <v>4351076.5386789991</v>
      </c>
      <c r="F26" s="224"/>
      <c r="G26" s="80"/>
      <c r="H26" s="91">
        <f t="shared" si="16"/>
        <v>0</v>
      </c>
      <c r="I26" s="224"/>
      <c r="J26" s="80"/>
      <c r="K26" s="91">
        <f t="shared" si="17"/>
        <v>0</v>
      </c>
      <c r="L26" s="89"/>
      <c r="M26" s="80"/>
      <c r="N26" s="91">
        <f t="shared" si="18"/>
        <v>0</v>
      </c>
      <c r="O26" s="88">
        <f t="shared" si="25"/>
        <v>0</v>
      </c>
      <c r="P26" s="50">
        <f t="shared" si="13"/>
        <v>4351076.5386789991</v>
      </c>
      <c r="Q26" s="39"/>
      <c r="R26" s="71"/>
      <c r="S26" s="72"/>
      <c r="U26" s="129"/>
    </row>
    <row r="27" spans="1:21">
      <c r="A27" s="119" t="s">
        <v>137</v>
      </c>
      <c r="B27" s="79"/>
      <c r="C27" s="52">
        <v>0</v>
      </c>
      <c r="D27" s="52">
        <v>0</v>
      </c>
      <c r="E27" s="81">
        <f t="shared" si="15"/>
        <v>4351076.5386789991</v>
      </c>
      <c r="F27" s="224"/>
      <c r="G27" s="80"/>
      <c r="H27" s="91">
        <f t="shared" si="16"/>
        <v>0</v>
      </c>
      <c r="I27" s="224"/>
      <c r="J27" s="80"/>
      <c r="K27" s="91">
        <f t="shared" si="17"/>
        <v>0</v>
      </c>
      <c r="L27" s="89"/>
      <c r="M27" s="80"/>
      <c r="N27" s="91">
        <f t="shared" si="18"/>
        <v>0</v>
      </c>
      <c r="O27" s="88">
        <f t="shared" si="25"/>
        <v>0</v>
      </c>
      <c r="P27" s="50">
        <f t="shared" si="13"/>
        <v>4351076.5386789991</v>
      </c>
      <c r="Q27" s="39"/>
      <c r="R27" s="71"/>
      <c r="S27" s="72"/>
    </row>
    <row r="28" spans="1:21">
      <c r="A28" s="119" t="s">
        <v>138</v>
      </c>
      <c r="B28" s="79"/>
      <c r="C28" s="52">
        <v>0</v>
      </c>
      <c r="D28" s="52">
        <v>0</v>
      </c>
      <c r="E28" s="81">
        <f t="shared" si="15"/>
        <v>4351076.5386789991</v>
      </c>
      <c r="F28" s="224"/>
      <c r="G28" s="80"/>
      <c r="H28" s="91">
        <f t="shared" si="16"/>
        <v>0</v>
      </c>
      <c r="I28" s="224"/>
      <c r="J28" s="80"/>
      <c r="K28" s="91">
        <f t="shared" si="17"/>
        <v>0</v>
      </c>
      <c r="L28" s="89"/>
      <c r="M28" s="80"/>
      <c r="N28" s="91">
        <f t="shared" si="18"/>
        <v>0</v>
      </c>
      <c r="O28" s="88">
        <f t="shared" si="25"/>
        <v>0</v>
      </c>
      <c r="P28" s="50">
        <f t="shared" si="13"/>
        <v>4351076.5386789991</v>
      </c>
      <c r="Q28" s="39"/>
      <c r="R28" s="71"/>
      <c r="S28" s="72"/>
    </row>
    <row r="29" spans="1:21">
      <c r="A29" s="119" t="s">
        <v>139</v>
      </c>
      <c r="B29" s="79"/>
      <c r="C29" s="52"/>
      <c r="D29" s="52"/>
      <c r="E29" s="81">
        <f t="shared" si="15"/>
        <v>4351076.5386789991</v>
      </c>
      <c r="F29" s="224"/>
      <c r="G29" s="69" t="s">
        <v>71</v>
      </c>
      <c r="H29" s="85"/>
      <c r="I29" s="224"/>
      <c r="J29" s="69" t="s">
        <v>71</v>
      </c>
      <c r="K29" s="85"/>
      <c r="L29" s="89"/>
      <c r="M29" s="69" t="s">
        <v>71</v>
      </c>
      <c r="N29" s="85">
        <v>0</v>
      </c>
      <c r="O29" s="88">
        <f t="shared" si="25"/>
        <v>0</v>
      </c>
      <c r="P29" s="50">
        <f>E29+H29+K29+N29+O29</f>
        <v>4351076.5386789991</v>
      </c>
      <c r="Q29" s="39"/>
      <c r="R29" s="71"/>
      <c r="S29" s="72"/>
    </row>
    <row r="30" spans="1:21" ht="13.5" thickBot="1">
      <c r="A30" s="135" t="s">
        <v>140</v>
      </c>
      <c r="B30" s="93"/>
      <c r="C30" s="54">
        <v>0</v>
      </c>
      <c r="D30" s="54">
        <v>0</v>
      </c>
      <c r="E30" s="223">
        <f t="shared" si="15"/>
        <v>4351076.5386789991</v>
      </c>
      <c r="F30" s="227"/>
      <c r="G30" s="73" t="s">
        <v>71</v>
      </c>
      <c r="H30" s="86"/>
      <c r="I30" s="226"/>
      <c r="J30" s="73" t="s">
        <v>71</v>
      </c>
      <c r="K30" s="86"/>
      <c r="L30" s="94"/>
      <c r="M30" s="73" t="s">
        <v>71</v>
      </c>
      <c r="N30" s="86">
        <v>0</v>
      </c>
      <c r="O30" s="95">
        <f t="shared" si="25"/>
        <v>0</v>
      </c>
      <c r="P30" s="55">
        <f t="shared" ref="P30" si="27">E30+H30+K30+N30+O30</f>
        <v>4351076.5386789991</v>
      </c>
      <c r="Q30" s="96"/>
      <c r="R30" s="56"/>
      <c r="S30" s="57"/>
    </row>
    <row r="31" spans="1:21" s="98" customFormat="1" ht="15.75">
      <c r="A31" s="61"/>
      <c r="B31" s="61"/>
      <c r="C31" s="61"/>
      <c r="D31" s="58">
        <f>SUMIF($A$7:$A$18,$G34,D$7:D$18)</f>
        <v>0</v>
      </c>
      <c r="E31" s="58"/>
      <c r="F31" s="58"/>
      <c r="G31" s="58"/>
      <c r="H31" s="58">
        <f>SUMIF($A$7:$A$30,$G34,H$7:H$30)</f>
        <v>-690593.61124</v>
      </c>
      <c r="I31" s="42"/>
      <c r="J31" s="61"/>
      <c r="K31" s="58">
        <f>SUMIF($A$7:$A$30,$G34,K$7:K$30)</f>
        <v>-203134.7605</v>
      </c>
      <c r="L31" s="61"/>
      <c r="M31" s="61"/>
      <c r="N31" s="58" t="e">
        <f>SUMIF(#REF!,$G34,#REF!)</f>
        <v>#REF!</v>
      </c>
      <c r="O31" s="58">
        <f>SUMIF($A$7:$A$30,$G34,O$7:O$30)</f>
        <v>31853.35</v>
      </c>
      <c r="P31" s="42" t="s">
        <v>49</v>
      </c>
      <c r="Q31" s="100"/>
      <c r="R31" s="101"/>
      <c r="S31" s="101"/>
      <c r="T31" s="102"/>
    </row>
    <row r="32" spans="1:21" s="98" customFormat="1" ht="15">
      <c r="A32" s="61"/>
      <c r="B32" s="61"/>
      <c r="C32" s="61"/>
      <c r="D32" s="97" t="s">
        <v>62</v>
      </c>
      <c r="E32" s="97"/>
      <c r="F32" s="97"/>
      <c r="G32" s="97"/>
      <c r="H32" s="97" t="s">
        <v>60</v>
      </c>
      <c r="I32" s="61"/>
      <c r="J32" s="61"/>
      <c r="K32" s="97" t="s">
        <v>60</v>
      </c>
      <c r="L32" s="97"/>
      <c r="M32" s="97"/>
      <c r="N32" s="97" t="s">
        <v>60</v>
      </c>
      <c r="O32" s="97" t="s">
        <v>61</v>
      </c>
    </row>
    <row r="33" spans="4:16" s="26" customFormat="1" ht="15"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4:16" s="26" customFormat="1" ht="15">
      <c r="D34" s="48"/>
      <c r="E34" s="48"/>
      <c r="F34" s="48"/>
      <c r="G34" s="41">
        <v>202307</v>
      </c>
      <c r="H34" s="42" t="s">
        <v>50</v>
      </c>
      <c r="I34" s="43"/>
      <c r="J34" s="48"/>
      <c r="K34" s="48"/>
      <c r="L34" s="48"/>
      <c r="M34" s="48"/>
      <c r="N34" s="48"/>
      <c r="O34" s="48"/>
      <c r="P34" s="48"/>
    </row>
    <row r="35" spans="4:16" s="26" customFormat="1" ht="15">
      <c r="D35" s="48"/>
      <c r="E35" s="48"/>
      <c r="F35" s="48"/>
      <c r="G35" s="44" t="s">
        <v>51</v>
      </c>
      <c r="H35" s="44" t="s">
        <v>52</v>
      </c>
      <c r="I35" s="44" t="s">
        <v>53</v>
      </c>
      <c r="J35" s="48"/>
      <c r="K35" s="48"/>
      <c r="L35" s="48"/>
      <c r="M35" s="48"/>
      <c r="N35" s="48"/>
      <c r="O35" s="48"/>
      <c r="P35" s="48"/>
    </row>
    <row r="36" spans="4:16" s="26" customFormat="1" ht="15">
      <c r="D36" s="48"/>
      <c r="E36" s="48"/>
      <c r="F36" s="59" t="s">
        <v>21</v>
      </c>
      <c r="G36" s="45" t="s">
        <v>54</v>
      </c>
      <c r="H36" s="46"/>
      <c r="I36" s="47">
        <f>IF($O$31&gt;0,ABS($O$31),"")</f>
        <v>31853.35</v>
      </c>
      <c r="J36" s="61" t="s">
        <v>61</v>
      </c>
      <c r="K36" s="48"/>
      <c r="L36" s="48"/>
      <c r="M36" s="129"/>
      <c r="N36" s="39"/>
      <c r="O36" s="48"/>
      <c r="P36" s="48"/>
    </row>
    <row r="37" spans="4:16" s="26" customFormat="1" ht="15">
      <c r="D37" s="48"/>
      <c r="E37" s="48"/>
      <c r="F37" s="59" t="s">
        <v>58</v>
      </c>
      <c r="G37" s="45" t="s">
        <v>55</v>
      </c>
      <c r="H37" s="47" t="str">
        <f>IF($O$31&lt;0,ABS($O$31),"")</f>
        <v/>
      </c>
      <c r="I37" s="46"/>
      <c r="J37" s="61" t="s">
        <v>83</v>
      </c>
      <c r="K37" s="48"/>
      <c r="L37" s="131"/>
      <c r="M37" s="131"/>
      <c r="N37" s="61"/>
      <c r="O37" s="48"/>
      <c r="P37" s="48"/>
    </row>
    <row r="38" spans="4:16" s="26" customFormat="1" ht="15">
      <c r="D38" s="48"/>
      <c r="E38" s="48"/>
      <c r="F38" s="59" t="s">
        <v>5</v>
      </c>
      <c r="G38" s="45" t="s">
        <v>68</v>
      </c>
      <c r="H38" s="47" t="e">
        <f>IF(H31+$K$31+$N$31+O31&gt;0,ABS(H31+$K$31+$N$31+O31),"")</f>
        <v>#REF!</v>
      </c>
      <c r="I38" s="47" t="e">
        <f>IF(H31+$K$31+$N$31+O31&lt;0,ABS(H31+$K$31+$N$31+O31),"")</f>
        <v>#REF!</v>
      </c>
      <c r="J38" s="61" t="s">
        <v>74</v>
      </c>
      <c r="K38" s="48"/>
      <c r="L38" s="133"/>
      <c r="M38" s="131"/>
      <c r="N38" s="61"/>
      <c r="O38" s="48"/>
      <c r="P38" s="48"/>
    </row>
    <row r="39" spans="4:16" s="26" customFormat="1" ht="15">
      <c r="D39" s="48"/>
      <c r="E39" s="48"/>
      <c r="F39" s="59" t="s">
        <v>75</v>
      </c>
      <c r="G39" s="45" t="s">
        <v>73</v>
      </c>
      <c r="H39" s="47" t="e">
        <f>IF(H31+$K$31+$N$31&lt;0,ABS(H31+$K$31+$N$31),"")</f>
        <v>#REF!</v>
      </c>
      <c r="I39" s="47" t="e">
        <f>IF(H31+$K$31+$N$31&gt;0,ABS(H31+$K$31+$N$31),"")</f>
        <v>#REF!</v>
      </c>
      <c r="J39" s="61" t="s">
        <v>60</v>
      </c>
      <c r="K39" s="48"/>
      <c r="L39" s="133"/>
      <c r="M39" s="131"/>
      <c r="N39" s="61"/>
      <c r="O39" s="48"/>
      <c r="P39" s="48"/>
    </row>
    <row r="40" spans="4:16" s="26" customFormat="1" ht="15">
      <c r="D40" s="48"/>
      <c r="E40" s="48"/>
      <c r="F40" s="48"/>
      <c r="G40" s="48"/>
      <c r="H40" s="48"/>
      <c r="I40" s="48"/>
      <c r="J40" s="61"/>
      <c r="K40" s="48"/>
      <c r="L40" s="133"/>
      <c r="M40" s="131"/>
      <c r="N40" s="131"/>
      <c r="O40" s="48"/>
      <c r="P40" s="48"/>
    </row>
    <row r="41" spans="4:16" s="26" customFormat="1" ht="15">
      <c r="D41" s="48"/>
      <c r="E41" s="48"/>
      <c r="F41" s="48"/>
      <c r="G41" s="48"/>
      <c r="H41" s="48"/>
      <c r="I41" s="60" t="e">
        <f>SUM(H36:H39)-SUM(I36:I39)</f>
        <v>#REF!</v>
      </c>
      <c r="J41" s="61" t="s">
        <v>65</v>
      </c>
      <c r="K41" s="48"/>
      <c r="L41" s="48"/>
      <c r="M41" s="48"/>
      <c r="N41" s="48"/>
      <c r="O41" s="48"/>
      <c r="P41" s="48"/>
    </row>
    <row r="42" spans="4:16" s="26" customFormat="1" ht="15">
      <c r="J42" s="98"/>
    </row>
    <row r="43" spans="4:16" s="26" customFormat="1" ht="15.75">
      <c r="G43" s="44" t="s">
        <v>128</v>
      </c>
      <c r="H43" s="232"/>
      <c r="I43" s="233"/>
      <c r="J43" s="99"/>
    </row>
    <row r="44" spans="4:16" s="26" customFormat="1" ht="15">
      <c r="G44" s="74" t="s">
        <v>68</v>
      </c>
      <c r="H44" s="47"/>
      <c r="I44" s="75"/>
      <c r="J44" s="61" t="s">
        <v>62</v>
      </c>
    </row>
    <row r="45" spans="4:16" s="26" customFormat="1" ht="15">
      <c r="G45" s="74" t="s">
        <v>73</v>
      </c>
      <c r="H45" s="75"/>
      <c r="I45" s="47"/>
      <c r="J45" s="76"/>
    </row>
  </sheetData>
  <printOptions horizontalCentered="1"/>
  <pageMargins left="0.2" right="0.2" top="0.75" bottom="0.75" header="0.3" footer="0.3"/>
  <pageSetup scale="72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B054EC1887D74429605D7DD4B8E3D51" ma:contentTypeVersion="28" ma:contentTypeDescription="" ma:contentTypeScope="" ma:versionID="e777ddca35cd8986cff22a475a433c2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2022-09-02T07:00:00+00:00</OpenedDate>
    <SignificantOrder xmlns="dc463f71-b30c-4ab2-9473-d307f9d35888">false</SignificantOrder>
    <Date1 xmlns="dc463f71-b30c-4ab2-9473-d307f9d35888">2023-08-25T07:00:00+00:00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220670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40071D2-65CB-4F9C-8E77-0118EF0EC2CF}"/>
</file>

<file path=customXml/itemProps2.xml><?xml version="1.0" encoding="utf-8"?>
<ds:datastoreItem xmlns:ds="http://schemas.openxmlformats.org/officeDocument/2006/customXml" ds:itemID="{AFA5973D-8ECE-43B1-A0FE-7CDB497F0748}"/>
</file>

<file path=customXml/itemProps3.xml><?xml version="1.0" encoding="utf-8"?>
<ds:datastoreItem xmlns:ds="http://schemas.openxmlformats.org/officeDocument/2006/customXml" ds:itemID="{5133C39B-FC27-4DAE-AF0B-E0C6D57EE715}"/>
</file>

<file path=customXml/itemProps4.xml><?xml version="1.0" encoding="utf-8"?>
<ds:datastoreItem xmlns:ds="http://schemas.openxmlformats.org/officeDocument/2006/customXml" ds:itemID="{FB844E6E-F78D-4ADD-99DB-2BEB06D6AA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Jan 23</vt:lpstr>
      <vt:lpstr>Feb 23</vt:lpstr>
      <vt:lpstr>Mar 23</vt:lpstr>
      <vt:lpstr>Apr 23</vt:lpstr>
      <vt:lpstr>May 23</vt:lpstr>
      <vt:lpstr>Jun 23</vt:lpstr>
      <vt:lpstr>Jul 23</vt:lpstr>
      <vt:lpstr>191010 WA DEF</vt:lpstr>
      <vt:lpstr>191000 WA Amort</vt:lpstr>
      <vt:lpstr>'191000 WA Amort'!Print_Area</vt:lpstr>
      <vt:lpstr>'191010 WA DEF'!Print_Area</vt:lpstr>
      <vt:lpstr>'Apr 23'!Print_Area</vt:lpstr>
      <vt:lpstr>'Feb 23'!Print_Area</vt:lpstr>
      <vt:lpstr>'Jan 23'!Print_Area</vt:lpstr>
      <vt:lpstr>'Jul 23'!Print_Area</vt:lpstr>
      <vt:lpstr>'Jun 23'!Print_Area</vt:lpstr>
      <vt:lpstr>'Mar 23'!Print_Area</vt:lpstr>
      <vt:lpstr>'May 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Doyle, Andrew (UTC)</cp:lastModifiedBy>
  <cp:lastPrinted>2023-06-06T22:17:19Z</cp:lastPrinted>
  <dcterms:created xsi:type="dcterms:W3CDTF">2003-05-01T14:02:57Z</dcterms:created>
  <dcterms:modified xsi:type="dcterms:W3CDTF">2023-08-25T17:00:44Z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0x0101006E56B4D1795A2E4DB2F0B01679ED314A007B054EC1887D74429605D7DD4B8E3D51</vt:lpwstr>
  </property>
  <property fmtid="{D5CDD505-2E9C-101B-9397-08002B2CF9AE}" pid="5" name="_docset_NoMedatataSyncRequired">
    <vt:lpwstr>False</vt:lpwstr>
  </property>
</Properties>
</file>