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drawings/drawing2.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docProps/custom.xml" ContentType="application/vnd.openxmlformats-officedocument.custom-properties+xml"/>
  <Override PartName="/xl/externalLinks/externalLink1.xml" ContentType="application/vnd.openxmlformats-officedocument.spreadsheetml.externalLink+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2-Budget &amp; Administration\Reporting\WUTC\2019\2019 Annual Report\Sept 2020 Re-file\"/>
    </mc:Choice>
  </mc:AlternateContent>
  <bookViews>
    <workbookView xWindow="0" yWindow="0" windowWidth="23040" windowHeight="8390" tabRatio="719" activeTab="1"/>
  </bookViews>
  <sheets>
    <sheet name="Background" sheetId="21" r:id="rId1"/>
    <sheet name="Conservation Report" sheetId="18" r:id="rId2"/>
    <sheet name="Data" sheetId="19" state="hidden" r:id="rId3"/>
  </sheets>
  <externalReferences>
    <externalReference r:id="rId4"/>
  </externalReferences>
  <definedNames>
    <definedName name="CON_2018_Agriculture_Expend">'Conservation Report'!$D$19</definedName>
    <definedName name="CON_2018_Agriculture_MWH">'Conservation Report'!$C$19</definedName>
    <definedName name="CON_2018_Commercial_Expend">'Conservation Report'!$D$17</definedName>
    <definedName name="CON_2018_Commercial_MWH">'Conservation Report'!$C$17</definedName>
    <definedName name="CON_2018_Distribution_Expend">'Conservation Report'!$D$20</definedName>
    <definedName name="CON_2018_Distribution_MWH">'Conservation Report'!$C$20</definedName>
    <definedName name="CON_2018_Expenditures">'Conservation Report'!$D$29</definedName>
    <definedName name="CON_2018_Industrial_Expend">'Conservation Report'!$D$18</definedName>
    <definedName name="CON_2018_Industrial_MWH">'Conservation Report'!$C$18</definedName>
    <definedName name="CON_2018_MWH">'Conservation Report'!$C$29</definedName>
    <definedName name="CON_2018_NEEA_Expend">'Conservation Report'!$D$22</definedName>
    <definedName name="CON_2018_NEEA_MWH">'Conservation Report'!$C$22</definedName>
    <definedName name="CON_2018_OtherSector1_Expend">'Conservation Report'!$D$23</definedName>
    <definedName name="CON_2018_OtherSector1_MWH">'Conservation Report'!$C$23</definedName>
    <definedName name="CON_2018_OtherSector2_Expend">'Conservation Report'!$D$24</definedName>
    <definedName name="CON_2018_OtherSector2_MWH">'Conservation Report'!$C$24</definedName>
    <definedName name="CON_2018_Production_Expend">'Conservation Report'!$D$21</definedName>
    <definedName name="CON_2018_Production_MWH">'Conservation Report'!$C$21</definedName>
    <definedName name="CON_2018_Program1_Expend">'Conservation Report'!$D$26</definedName>
    <definedName name="CON_2018_Program2_Expend">'Conservation Report'!$D$28</definedName>
    <definedName name="CON_2018_Residential_Expend">'Conservation Report'!$D$16</definedName>
    <definedName name="CON_2018_Residential_MWH">'Conservation Report'!$C$16</definedName>
    <definedName name="CON_2019_Agriculture_Expend">'Conservation Report'!$G$19</definedName>
    <definedName name="CON_2019_Agriculture_MWH">'Conservation Report'!$F$19</definedName>
    <definedName name="CON_2019_Commercial_Expend">'Conservation Report'!$G$17</definedName>
    <definedName name="CON_2019_Commercial_MWH">'Conservation Report'!$F$17</definedName>
    <definedName name="CON_2019_Distribution_Expend">'Conservation Report'!$G$20</definedName>
    <definedName name="CON_2019_Distribution_MWH">'Conservation Report'!$F$20</definedName>
    <definedName name="CON_2019_Expenditures">'Conservation Report'!$G$29</definedName>
    <definedName name="CON_2019_Industrial_Expend">'Conservation Report'!$G$18</definedName>
    <definedName name="CON_2019_Industrial_MWH">'Conservation Report'!$F$18</definedName>
    <definedName name="CON_2019_MWH">'Conservation Report'!$F$29</definedName>
    <definedName name="CON_2019_NEEA_Expend">'Conservation Report'!$G$22</definedName>
    <definedName name="CON_2019_NEEA_MWH">'Conservation Report'!$F$22</definedName>
    <definedName name="CON_2019_OtherSector1_Expend">'Conservation Report'!$G$23</definedName>
    <definedName name="CON_2019_OtherSector1_MWH">'Conservation Report'!$F$23</definedName>
    <definedName name="CON_2019_OtherSector2_Expend">'Conservation Report'!$G$24</definedName>
    <definedName name="CON_2019_OtherSector2_MWH">'Conservation Report'!$F$24</definedName>
    <definedName name="CON_2019_Production_Expend">'Conservation Report'!$G$21</definedName>
    <definedName name="CON_2019_Production_MWH">'Conservation Report'!$F$21</definedName>
    <definedName name="CON_2019_Program1_Expend">'Conservation Report'!$G$26</definedName>
    <definedName name="CON_2019_Program2_Expend">'Conservation Report'!$G$28</definedName>
    <definedName name="CON_2019_Residential_Expend">'Conservation Report'!$G$16</definedName>
    <definedName name="CON_2019_Residential_MWH">'Conservation Report'!$F$16</definedName>
    <definedName name="CON_Contact_Name">'Conservation Report'!$B$7</definedName>
    <definedName name="CON_Email">'Conservation Report'!$B$9</definedName>
    <definedName name="CON_Phone">'Conservation Report'!$B$8</definedName>
    <definedName name="CON_Potential_2018_2027">'Conservation Report'!$G$8</definedName>
    <definedName name="CON_Potential_2020_2029">'Conservation Report'!$I$8</definedName>
    <definedName name="CON_Report_Date">'Conservation Report'!$B$6</definedName>
    <definedName name="CON_Target_2018_2019">'Conservation Report'!$G$9</definedName>
    <definedName name="CON_Target_2020_2021">'Conservation Report'!$I$9</definedName>
    <definedName name="CON_Utility_Name">'Conservation Report'!$B$5</definedName>
    <definedName name="_xlnm.Print_Area" localSheetId="1">'Conservation Report'!$A$3:$I$35</definedName>
    <definedName name="UtilityList">#REF!</definedName>
  </definedNames>
  <calcPr calcId="162913"/>
</workbook>
</file>

<file path=xl/calcChain.xml><?xml version="1.0" encoding="utf-8"?>
<calcChain xmlns="http://schemas.openxmlformats.org/spreadsheetml/2006/main">
  <c r="F16" i="18" l="1"/>
  <c r="F22" i="18" l="1"/>
  <c r="G18" i="18" l="1"/>
  <c r="G17" i="18"/>
  <c r="F18" i="18"/>
  <c r="F17" i="18"/>
  <c r="D18" i="18" l="1"/>
  <c r="C18" i="18"/>
  <c r="D17" i="18"/>
  <c r="C17" i="18"/>
  <c r="G9" i="18"/>
  <c r="G8" i="18"/>
  <c r="F29" i="18"/>
  <c r="BA2" i="19" l="1"/>
  <c r="AX2" i="19"/>
  <c r="AZ2" i="19" l="1"/>
  <c r="AW2" i="19" l="1"/>
  <c r="A2" i="19" l="1"/>
  <c r="AS2" i="19" l="1"/>
  <c r="W2" i="19"/>
  <c r="E2" i="19"/>
  <c r="AY2" i="19" l="1"/>
  <c r="AV2" i="19"/>
  <c r="AU2" i="19"/>
  <c r="AT2" i="19"/>
  <c r="AR2" i="19"/>
  <c r="AQ2" i="19"/>
  <c r="AP2" i="19"/>
  <c r="AO2" i="19"/>
  <c r="AN2" i="19"/>
  <c r="AM2" i="19"/>
  <c r="AL2" i="19"/>
  <c r="AK2" i="19"/>
  <c r="AJ2" i="19"/>
  <c r="AI2" i="19"/>
  <c r="AH2" i="19"/>
  <c r="AF2" i="19"/>
  <c r="AE2" i="19"/>
  <c r="AC2" i="19"/>
  <c r="AB2" i="19"/>
  <c r="AA2" i="19"/>
  <c r="Z2" i="19"/>
  <c r="Y2" i="19"/>
  <c r="X2" i="19"/>
  <c r="V2" i="19"/>
  <c r="U2" i="19"/>
  <c r="T2" i="19"/>
  <c r="S2" i="19"/>
  <c r="R2" i="19"/>
  <c r="Q2" i="19"/>
  <c r="P2" i="19"/>
  <c r="O2" i="19"/>
  <c r="N2" i="19"/>
  <c r="M2" i="19"/>
  <c r="L2" i="19"/>
  <c r="J2" i="19"/>
  <c r="I2" i="19"/>
  <c r="G2" i="19"/>
  <c r="F2" i="19"/>
  <c r="D2" i="19"/>
  <c r="C2" i="19"/>
  <c r="B2" i="19"/>
  <c r="G29" i="18" l="1"/>
  <c r="AD2" i="19" s="1"/>
  <c r="AG2" i="19"/>
  <c r="B31" i="18" l="1"/>
  <c r="D29" i="18" l="1"/>
  <c r="H2" i="19" s="1"/>
  <c r="C29" i="18"/>
  <c r="G10" i="18" s="1"/>
  <c r="G11" i="18" s="1"/>
  <c r="K2" i="19" l="1"/>
</calcChain>
</file>

<file path=xl/comments1.xml><?xml version="1.0" encoding="utf-8"?>
<comments xmlns="http://schemas.openxmlformats.org/spreadsheetml/2006/main">
  <authors>
    <author>Blackmon, Glenn (COM)</author>
  </authors>
  <commentList>
    <comment ref="A9" authorId="0" shapeId="0">
      <text>
        <r>
          <rPr>
            <b/>
            <sz val="9"/>
            <color indexed="81"/>
            <rFont val="Tahoma"/>
            <family val="2"/>
          </rPr>
          <t xml:space="preserve">Note:
</t>
        </r>
        <r>
          <rPr>
            <sz val="9"/>
            <color indexed="81"/>
            <rFont val="Tahoma"/>
            <family val="2"/>
          </rPr>
          <t xml:space="preserve">Separate multiple email addresses with a semicolon
</t>
        </r>
      </text>
    </comment>
    <comment ref="F11" authorId="0" shapeId="0">
      <text>
        <r>
          <rPr>
            <b/>
            <sz val="9"/>
            <color indexed="81"/>
            <rFont val="Tahoma"/>
            <family val="2"/>
          </rPr>
          <t>Note:</t>
        </r>
        <r>
          <rPr>
            <sz val="9"/>
            <color indexed="81"/>
            <rFont val="Tahoma"/>
            <family val="2"/>
          </rPr>
          <t xml:space="preserve">
If the utility relies on excess conservation from 2014-15 or 2016-17 to meet the 2018-19 target, report that information in the Notes section below.</t>
        </r>
      </text>
    </comment>
  </commentList>
</comments>
</file>

<file path=xl/sharedStrings.xml><?xml version="1.0" encoding="utf-8"?>
<sst xmlns="http://schemas.openxmlformats.org/spreadsheetml/2006/main" count="128" uniqueCount="121">
  <si>
    <t>Phone</t>
  </si>
  <si>
    <t>Email</t>
  </si>
  <si>
    <t>Achievement</t>
  </si>
  <si>
    <t>Utility</t>
  </si>
  <si>
    <t xml:space="preserve"> NEEA</t>
  </si>
  <si>
    <t>Total</t>
  </si>
  <si>
    <t>MWh</t>
  </si>
  <si>
    <t>Utility Expenditures ($)</t>
  </si>
  <si>
    <t xml:space="preserve"> Residential </t>
  </si>
  <si>
    <t xml:space="preserve"> Commercial</t>
  </si>
  <si>
    <t xml:space="preserve"> Industrial</t>
  </si>
  <si>
    <t xml:space="preserve"> Agriculture</t>
  </si>
  <si>
    <t xml:space="preserve"> Distribution Efficiency</t>
  </si>
  <si>
    <t xml:space="preserve"> Production Efficiency</t>
  </si>
  <si>
    <t>Conservation by Sector</t>
  </si>
  <si>
    <r>
      <t xml:space="preserve">Conservation expenditures </t>
    </r>
    <r>
      <rPr>
        <i/>
        <sz val="10"/>
        <color theme="1"/>
        <rFont val="Arial"/>
        <family val="2"/>
      </rPr>
      <t xml:space="preserve">NOT </t>
    </r>
    <r>
      <rPr>
        <sz val="10"/>
        <color theme="1"/>
        <rFont val="Arial"/>
        <family val="2"/>
      </rPr>
      <t>included in sector expenditures</t>
    </r>
  </si>
  <si>
    <t>Contact Name/Dept</t>
  </si>
  <si>
    <t>Report Date</t>
  </si>
  <si>
    <t>CON_Contact_Name</t>
  </si>
  <si>
    <t>CON_Email</t>
  </si>
  <si>
    <t>CON_Phone</t>
  </si>
  <si>
    <t>CON_Report_Date</t>
  </si>
  <si>
    <t>CON_Utility_Name</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</si>
  <si>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</si>
  <si>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Notes, including a brief description of the methodology used to establish the utility's ten-year potential and biennial target to capture cost-effective conservation:</t>
  </si>
  <si>
    <t>Enter information in green-shaded fields.</t>
  </si>
  <si>
    <t>Do not modify blue-shaded fields.</t>
  </si>
  <si>
    <t>Summary of Achievement and Targets (MWh)</t>
  </si>
  <si>
    <t>2018-2019</t>
  </si>
  <si>
    <t>Biennial</t>
  </si>
  <si>
    <r>
      <t xml:space="preserve">Energy Independence Act (I-937) </t>
    </r>
    <r>
      <rPr>
        <sz val="11"/>
        <color rgb="FF000000"/>
        <rFont val="Arial Black"/>
        <family val="2"/>
      </rPr>
      <t>Conservation Report Workbook</t>
    </r>
  </si>
  <si>
    <t>CON_Potential_2018_2027</t>
  </si>
  <si>
    <t>CON_Target_2018_2019</t>
  </si>
  <si>
    <r>
      <t>Questions:</t>
    </r>
    <r>
      <rPr>
        <sz val="11"/>
        <color rgb="FF000000"/>
        <rFont val="Arial"/>
        <family val="2"/>
      </rPr>
      <t xml:space="preserve"> Glenn Blackmon, State Energy Office, (360) 339-5619, </t>
    </r>
    <r>
      <rPr>
        <b/>
        <sz val="11"/>
        <color theme="3"/>
        <rFont val="Arial"/>
        <family val="2"/>
      </rPr>
      <t>glenn.blackmon@commerce.wa.gov</t>
    </r>
  </si>
  <si>
    <t>Target 2018-2019</t>
  </si>
  <si>
    <t>2018 Achievement</t>
  </si>
  <si>
    <t>2019 Achievement</t>
  </si>
  <si>
    <t>Potential 2018-2027</t>
  </si>
  <si>
    <t>CON_2018_Agriculture_Expend</t>
  </si>
  <si>
    <t>CON_2018_Agriculture_MWH</t>
  </si>
  <si>
    <t>CON_2018_Commercial_Expend</t>
  </si>
  <si>
    <t>CON_2018_Commercial_MWH</t>
  </si>
  <si>
    <t>CON_2018_Distribution_Expend</t>
  </si>
  <si>
    <t>CON_2018_Distribution_MWH</t>
  </si>
  <si>
    <t>CON_2018_Expenditures</t>
  </si>
  <si>
    <t>CON_2018_Industrial_Expend</t>
  </si>
  <si>
    <t>CON_2018_Industrial_MWH</t>
  </si>
  <si>
    <t>CON_2018_MWH</t>
  </si>
  <si>
    <t>CON_2018_NEEA_Expend</t>
  </si>
  <si>
    <t>CON_2018_NEEA_MWH</t>
  </si>
  <si>
    <t>CON_2018_OtherSector1_Expend</t>
  </si>
  <si>
    <t>CON_2018_OtherSector1_MWH</t>
  </si>
  <si>
    <t>CON_2018_OtherSector2_Expend</t>
  </si>
  <si>
    <t>CON_2018_OtherSector2_MWH</t>
  </si>
  <si>
    <t>CON_2018_Production_Expend</t>
  </si>
  <si>
    <t>CON_2018_Production_MWH</t>
  </si>
  <si>
    <t>CON_2018_Program1_Expend</t>
  </si>
  <si>
    <t>CON_2018_Program2_Expend</t>
  </si>
  <si>
    <t>CON_2018_Residential_Expend</t>
  </si>
  <si>
    <t>CON_2018_Residential_MWH</t>
  </si>
  <si>
    <t>CON_2019_Agriculture_Expend</t>
  </si>
  <si>
    <t>CON_2019_Agriculture_MWH</t>
  </si>
  <si>
    <t>CON_2019_Commercial_Expend</t>
  </si>
  <si>
    <t>CON_2019_Commercial_MWH</t>
  </si>
  <si>
    <t>CON_2019_Distribution_Expend</t>
  </si>
  <si>
    <t>CON_2019_Distribution_MWH</t>
  </si>
  <si>
    <t>CON_2019_Expenditures</t>
  </si>
  <si>
    <t>CON_2019_Industrial_Expend</t>
  </si>
  <si>
    <t>CON_2019_Industrial_MWH</t>
  </si>
  <si>
    <t>CON_2019_MWH</t>
  </si>
  <si>
    <t>CON_2019_NEEA_Expend</t>
  </si>
  <si>
    <t>CON_2019_NEEA_MWH</t>
  </si>
  <si>
    <t>CON_2019_OtherSector1_Expend</t>
  </si>
  <si>
    <t>CON_2019_OtherSector1_MWH</t>
  </si>
  <si>
    <t>CON_2019_OtherSector2_Expend</t>
  </si>
  <si>
    <t>CON_2019_OtherSector2_MWH</t>
  </si>
  <si>
    <t>CON_2019_Production_Expend</t>
  </si>
  <si>
    <t>CON_2019_Production_MWH</t>
  </si>
  <si>
    <t>CON_2019_Program1_Expend</t>
  </si>
  <si>
    <t>CON_2019_Program2_Expend</t>
  </si>
  <si>
    <t>CON_2019_Residential_Expend</t>
  </si>
  <si>
    <t>CON_2019_Residential_MWH</t>
  </si>
  <si>
    <r>
      <rPr>
        <sz val="12"/>
        <color theme="1"/>
        <rFont val="Arial"/>
        <family val="2"/>
      </rPr>
      <t xml:space="preserve">Energy Independence Act (I-937) </t>
    </r>
    <r>
      <rPr>
        <sz val="12"/>
        <color theme="1"/>
        <rFont val="Arial Black"/>
        <family val="2"/>
      </rPr>
      <t>Conservation Report 2018-2019</t>
    </r>
  </si>
  <si>
    <t>Biennial Period</t>
  </si>
  <si>
    <t>Potential 2020-2029</t>
  </si>
  <si>
    <t>Target 2020-2021</t>
  </si>
  <si>
    <t>Achievement 2018-2019</t>
  </si>
  <si>
    <t>CON_Potential_2020_2029</t>
  </si>
  <si>
    <t>CON_Target_2020_2021</t>
  </si>
  <si>
    <t>2020-2021</t>
  </si>
  <si>
    <t>Excess (Deficit)</t>
  </si>
  <si>
    <t>Published March 31, 2020</t>
  </si>
  <si>
    <r>
      <t>Deadline:</t>
    </r>
    <r>
      <rPr>
        <sz val="11"/>
        <color rgb="FF000000"/>
        <rFont val="Arial"/>
        <family val="2"/>
      </rPr>
      <t xml:space="preserve"> June 1, 2020</t>
    </r>
  </si>
  <si>
    <t>Definition</t>
  </si>
  <si>
    <t>CPA Pro-Rata Share</t>
  </si>
  <si>
    <t xml:space="preserve">Pro-rata share of the utilities IRP's Conservation Potential Assessment's 10-year potential or 2 year total (whichever is greater).
Includes NEEA.
</t>
  </si>
  <si>
    <t>EIA Target</t>
  </si>
  <si>
    <t xml:space="preserve">[(CPA Pro-Rata Share) + (other programs/measures with confident savings that were omitted from CPA)]
</t>
  </si>
  <si>
    <r>
      <t xml:space="preserve">Decoupling </t>
    </r>
    <r>
      <rPr>
        <b/>
        <sz val="11"/>
        <color rgb="FF000000"/>
        <rFont val="Calibri"/>
        <family val="2"/>
      </rPr>
      <t>Threshold</t>
    </r>
  </si>
  <si>
    <t>[EIA Target * 0.05]</t>
  </si>
  <si>
    <t>Total Utility Conservation Goal/Achievement</t>
  </si>
  <si>
    <r>
      <t>All savings programs funded by Conservation Riders 
[EIA Target + Decoupling Threshold</t>
    </r>
    <r>
      <rPr>
        <sz val="11"/>
        <color theme="1"/>
        <rFont val="Calibri"/>
        <family val="2"/>
      </rPr>
      <t>]</t>
    </r>
  </si>
  <si>
    <t>Excluded Programs</t>
  </si>
  <si>
    <t xml:space="preserve">Programs approved by the Commission to be excluded from a Penalty Threshold. For last three biennia, these included NEEA and Pilots with Uncertain Savings.
</t>
  </si>
  <si>
    <t>Utility-Specific Conservation Goal/Achievement</t>
  </si>
  <si>
    <t>[Total Utility Conservation Goal/Achievement – (Excluded programs (for instance, NEEA, Pilots with uncertain savings, retail wheeling accounts, etc.) + adjustments)]</t>
  </si>
  <si>
    <t>EIA Penalty Threshold</t>
  </si>
  <si>
    <t xml:space="preserve">[Utility-Specific Conservation - Decoupling Threshold] </t>
  </si>
  <si>
    <t>Excess Savings
(Dept of Commerce driven)</t>
  </si>
  <si>
    <r>
      <rPr>
        <sz val="11"/>
        <color rgb="FF00B050"/>
        <rFont val="Calibri"/>
        <family val="2"/>
      </rPr>
      <t>(Referencing results)</t>
    </r>
    <r>
      <rPr>
        <sz val="11"/>
        <color rgb="FF000000"/>
        <rFont val="Calibri"/>
        <family val="2"/>
      </rPr>
      <t xml:space="preserve">
The difference of [Total Utility</t>
    </r>
    <r>
      <rPr>
        <sz val="11"/>
        <color rgb="FF000000"/>
        <rFont val="Calibri"/>
        <family val="2"/>
      </rPr>
      <t xml:space="preserve"> Conservation Achievement – Total Utility Conservation Goal]</t>
    </r>
  </si>
  <si>
    <t>PSE Excess Savings for Penalty Thresholds
(UTC Driven)</t>
  </si>
  <si>
    <r>
      <rPr>
        <sz val="11"/>
        <color rgb="FF00B050"/>
        <rFont val="Calibri"/>
        <family val="2"/>
      </rPr>
      <t xml:space="preserve">(Referencing results) </t>
    </r>
    <r>
      <rPr>
        <sz val="11"/>
        <color rgb="FF000000"/>
        <rFont val="Calibri"/>
        <family val="2"/>
      </rPr>
      <t xml:space="preserve">
The difference of Total </t>
    </r>
    <r>
      <rPr>
        <sz val="11"/>
        <color theme="1"/>
        <rFont val="Calibri"/>
        <family val="2"/>
      </rPr>
      <t>Utility-Specific</t>
    </r>
    <r>
      <rPr>
        <sz val="11"/>
        <color rgb="FF000000"/>
        <rFont val="Calibri"/>
        <family val="2"/>
      </rPr>
      <t xml:space="preserve"> Conservation Achievement - Goal.</t>
    </r>
  </si>
  <si>
    <t>Savings Terminology</t>
  </si>
  <si>
    <t>Puget Sound Energy</t>
  </si>
  <si>
    <t>Dan Anderson, Budget, Administration &amp; Regulatory</t>
  </si>
  <si>
    <t>425 424-6837</t>
  </si>
  <si>
    <t>Dan.Anderson@pse.com</t>
  </si>
  <si>
    <t>Portfolio Support</t>
  </si>
  <si>
    <t>Research &amp; Compliance</t>
  </si>
  <si>
    <t>Other Electric</t>
  </si>
  <si>
    <t>Pilots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</si>
</sst>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_);_(* \(#,##0.0\);_(* &quot;-&quot;??_);_(@_)"/>
    <numFmt numFmtId="165" formatCode="_(* #,##0_);_(* \(#,##0\);_(* &quot;-&quot;??_);_(@_)"/>
    <numFmt numFmtId="166" formatCode="[$-409]mmmm\ d\,\ yyyy;@"/>
    <numFmt numFmtId="167" formatCode="&quot;$&quot;#,##0"/>
  </numFmts>
  <fonts count="26" x14ac:knownFonts="1">
    <font>
      <sz val="11"/>
      <color theme="1"/>
      <name val="Calibri"/>
      <family val="2"/>
      <scheme val="minor"/>
    </font>
    <font>
      <sz val="10"/>
      <name val="Arial"/>
      <family val="2"/>
    </font>
    <font>
      <b/>
      <sz val="10"/>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i/>
      <sz val="10"/>
      <color theme="1"/>
      <name val="Arial"/>
      <family val="2"/>
    </font>
    <font>
      <sz val="12"/>
      <color theme="1"/>
      <name val="Arial Black"/>
      <family val="2"/>
    </font>
    <font>
      <sz val="12"/>
      <color theme="1"/>
      <name val="Arial"/>
      <family val="2"/>
    </font>
    <font>
      <sz val="11"/>
      <color rgb="FF000000"/>
      <name val="Arial Black"/>
      <family val="2"/>
    </font>
    <font>
      <sz val="11"/>
      <color rgb="FF000000"/>
      <name val="Arial"/>
      <family val="2"/>
    </font>
    <font>
      <b/>
      <sz val="11"/>
      <color rgb="FF000000"/>
      <name val="Arial"/>
      <family val="2"/>
    </font>
    <font>
      <b/>
      <sz val="11"/>
      <color rgb="FF993300"/>
      <name val="Arial"/>
      <family val="2"/>
    </font>
    <font>
      <b/>
      <sz val="11"/>
      <color theme="3"/>
      <name val="Arial"/>
      <family val="2"/>
    </font>
    <font>
      <sz val="11"/>
      <name val="Arial"/>
      <family val="2"/>
    </font>
    <font>
      <sz val="9"/>
      <color indexed="81"/>
      <name val="Tahoma"/>
      <family val="2"/>
    </font>
    <font>
      <b/>
      <sz val="9"/>
      <color indexed="81"/>
      <name val="Tahoma"/>
      <family val="2"/>
    </font>
    <font>
      <b/>
      <sz val="12"/>
      <color rgb="FF000000"/>
      <name val="Calibri"/>
      <family val="2"/>
    </font>
    <font>
      <b/>
      <sz val="11"/>
      <color rgb="FF000000"/>
      <name val="Calibri"/>
      <family val="2"/>
    </font>
    <font>
      <sz val="11"/>
      <color rgb="FF000000"/>
      <name val="Calibri"/>
      <family val="2"/>
    </font>
    <font>
      <sz val="11"/>
      <color theme="1"/>
      <name val="Calibri"/>
      <family val="2"/>
    </font>
    <font>
      <sz val="11"/>
      <color rgb="FF00B050"/>
      <name val="Calibri"/>
      <family val="2"/>
    </font>
    <font>
      <b/>
      <sz val="11"/>
      <color theme="1"/>
      <name val="Calibri"/>
      <family val="2"/>
    </font>
    <font>
      <sz val="8"/>
      <color theme="1"/>
      <name val="Arial"/>
      <family val="2"/>
    </font>
    <font>
      <sz val="9"/>
      <color theme="1"/>
      <name val="Arial"/>
      <family val="2"/>
    </font>
  </fonts>
  <fills count="11">
    <fill>
      <patternFill patternType="none"/>
    </fill>
    <fill>
      <patternFill patternType="gray125"/>
    </fill>
    <fill>
      <patternFill patternType="solid">
        <fgColor theme="0"/>
        <bgColor indexed="64"/>
      </patternFill>
    </fill>
    <fill>
      <patternFill patternType="darkGray">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DDEBF7"/>
        <bgColor indexed="64"/>
      </patternFill>
    </fill>
    <fill>
      <patternFill patternType="solid">
        <fgColor rgb="FFEBF1DE"/>
        <bgColor indexed="64"/>
      </patternFill>
    </fill>
  </fills>
  <borders count="25">
    <border>
      <left/>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thick">
        <color indexed="64"/>
      </top>
      <bottom/>
      <diagonal/>
    </border>
    <border>
      <left/>
      <right/>
      <top/>
      <bottom style="thin">
        <color indexed="64"/>
      </bottom>
      <diagonal/>
    </border>
    <border>
      <left/>
      <right style="thin">
        <color indexed="64"/>
      </right>
      <top/>
      <bottom/>
      <diagonal/>
    </border>
    <border>
      <left/>
      <right/>
      <top/>
      <bottom style="medium">
        <color indexed="64"/>
      </bottom>
      <diagonal/>
    </border>
    <border>
      <left/>
      <right/>
      <top style="medium">
        <color indexed="64"/>
      </top>
      <bottom/>
      <diagonal/>
    </border>
    <border>
      <left style="hair">
        <color indexed="64"/>
      </left>
      <right style="hair">
        <color indexed="64"/>
      </right>
      <top style="thin">
        <color indexed="64"/>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bottom/>
      <diagonal/>
    </border>
  </borders>
  <cellStyleXfs count="4">
    <xf numFmtId="0" fontId="0"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cellStyleXfs>
  <cellXfs count="80">
    <xf numFmtId="0" fontId="0" fillId="0" borderId="0" xfId="0"/>
    <xf numFmtId="0" fontId="5" fillId="2" borderId="0" xfId="0" applyFont="1" applyFill="1"/>
    <xf numFmtId="0" fontId="1" fillId="2" borderId="7" xfId="0" applyFont="1" applyFill="1" applyBorder="1" applyAlignment="1" applyProtection="1">
      <alignment horizontal="right"/>
    </xf>
    <xf numFmtId="0" fontId="0" fillId="0" borderId="0" xfId="0" applyNumberFormat="1"/>
    <xf numFmtId="0" fontId="12" fillId="4" borderId="0" xfId="0" applyFont="1" applyFill="1" applyBorder="1" applyAlignment="1">
      <alignment vertical="center" wrapText="1"/>
    </xf>
    <xf numFmtId="0" fontId="11" fillId="4" borderId="0" xfId="0" applyFont="1" applyFill="1" applyBorder="1" applyAlignment="1">
      <alignment vertical="center"/>
    </xf>
    <xf numFmtId="0" fontId="12" fillId="6" borderId="0"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5" fillId="2" borderId="0" xfId="0" applyFont="1" applyFill="1" applyProtection="1">
      <protection locked="0"/>
    </xf>
    <xf numFmtId="165" fontId="5" fillId="6" borderId="4" xfId="1" applyNumberFormat="1" applyFont="1" applyFill="1" applyBorder="1" applyAlignment="1" applyProtection="1">
      <alignment horizontal="center"/>
      <protection locked="0"/>
    </xf>
    <xf numFmtId="167" fontId="5" fillId="6" borderId="12" xfId="1" applyNumberFormat="1" applyFont="1" applyFill="1" applyBorder="1" applyAlignment="1" applyProtection="1">
      <alignment horizontal="right"/>
      <protection locked="0"/>
    </xf>
    <xf numFmtId="165" fontId="5" fillId="6" borderId="4" xfId="0" applyNumberFormat="1" applyFont="1" applyFill="1" applyBorder="1" applyAlignment="1" applyProtection="1">
      <alignment horizontal="center"/>
      <protection locked="0"/>
    </xf>
    <xf numFmtId="0" fontId="6" fillId="6" borderId="7" xfId="0" applyFont="1" applyFill="1" applyBorder="1" applyProtection="1">
      <protection locked="0"/>
    </xf>
    <xf numFmtId="0" fontId="5" fillId="2" borderId="0" xfId="0" applyFont="1" applyFill="1" applyProtection="1"/>
    <xf numFmtId="0" fontId="8" fillId="2" borderId="0" xfId="0" applyFont="1" applyFill="1" applyBorder="1" applyAlignment="1" applyProtection="1"/>
    <xf numFmtId="0" fontId="5" fillId="2" borderId="0" xfId="0" applyFont="1" applyFill="1" applyBorder="1" applyProtection="1"/>
    <xf numFmtId="0" fontId="6" fillId="2" borderId="0" xfId="0" applyFont="1" applyFill="1" applyBorder="1" applyAlignment="1" applyProtection="1"/>
    <xf numFmtId="0" fontId="6" fillId="2" borderId="0" xfId="0" applyFont="1" applyFill="1" applyBorder="1" applyAlignment="1" applyProtection="1">
      <alignment horizontal="right"/>
    </xf>
    <xf numFmtId="0" fontId="5" fillId="2" borderId="0" xfId="0" applyNumberFormat="1" applyFont="1" applyFill="1" applyProtection="1"/>
    <xf numFmtId="0" fontId="5" fillId="2" borderId="0" xfId="0" applyFont="1" applyFill="1" applyBorder="1" applyAlignment="1" applyProtection="1">
      <alignment horizontal="right"/>
    </xf>
    <xf numFmtId="0" fontId="7" fillId="2" borderId="0" xfId="0" applyFont="1" applyFill="1" applyBorder="1" applyProtection="1"/>
    <xf numFmtId="0" fontId="5" fillId="2" borderId="0" xfId="0" applyFont="1" applyFill="1" applyAlignment="1" applyProtection="1">
      <alignment horizontal="right"/>
    </xf>
    <xf numFmtId="0" fontId="5" fillId="2" borderId="0" xfId="0" applyFont="1" applyFill="1" applyBorder="1" applyAlignment="1" applyProtection="1"/>
    <xf numFmtId="0" fontId="5" fillId="2" borderId="3" xfId="0" applyFont="1" applyFill="1" applyBorder="1" applyProtection="1"/>
    <xf numFmtId="0" fontId="6" fillId="2" borderId="4" xfId="0" applyFont="1" applyFill="1" applyBorder="1" applyAlignment="1" applyProtection="1">
      <alignment horizontal="right"/>
    </xf>
    <xf numFmtId="0" fontId="6" fillId="2" borderId="2" xfId="0" applyFont="1" applyFill="1" applyBorder="1" applyAlignment="1" applyProtection="1">
      <alignment horizontal="center" wrapText="1"/>
    </xf>
    <xf numFmtId="0" fontId="5" fillId="2" borderId="7" xfId="0" applyFont="1" applyFill="1" applyBorder="1" applyAlignment="1" applyProtection="1">
      <alignment horizontal="right"/>
    </xf>
    <xf numFmtId="167" fontId="5" fillId="2" borderId="0" xfId="0" applyNumberFormat="1" applyFont="1" applyFill="1" applyAlignment="1" applyProtection="1">
      <alignment horizontal="right"/>
    </xf>
    <xf numFmtId="164" fontId="5" fillId="3" borderId="13" xfId="0" applyNumberFormat="1" applyFont="1" applyFill="1" applyBorder="1" applyAlignment="1" applyProtection="1">
      <alignment horizontal="center"/>
    </xf>
    <xf numFmtId="164" fontId="5" fillId="3" borderId="14" xfId="0" applyNumberFormat="1" applyFont="1" applyFill="1" applyBorder="1" applyAlignment="1" applyProtection="1">
      <alignment horizontal="center"/>
    </xf>
    <xf numFmtId="0" fontId="6" fillId="2" borderId="8" xfId="0" applyFont="1" applyFill="1" applyBorder="1" applyProtection="1"/>
    <xf numFmtId="165" fontId="6" fillId="5" borderId="6" xfId="0" applyNumberFormat="1" applyFont="1" applyFill="1" applyBorder="1" applyAlignment="1" applyProtection="1">
      <alignment horizontal="center"/>
    </xf>
    <xf numFmtId="167" fontId="6" fillId="5" borderId="1" xfId="1" applyNumberFormat="1" applyFont="1" applyFill="1" applyBorder="1" applyAlignment="1" applyProtection="1">
      <alignment horizontal="right"/>
    </xf>
    <xf numFmtId="0" fontId="6" fillId="2" borderId="0" xfId="0" applyFont="1" applyFill="1" applyBorder="1" applyProtection="1"/>
    <xf numFmtId="165" fontId="6" fillId="2" borderId="0" xfId="0" applyNumberFormat="1" applyFont="1" applyFill="1" applyBorder="1" applyAlignment="1" applyProtection="1">
      <alignment horizontal="center"/>
    </xf>
    <xf numFmtId="165" fontId="6" fillId="2" borderId="0" xfId="1" applyNumberFormat="1" applyFont="1" applyFill="1" applyBorder="1" applyAlignment="1" applyProtection="1">
      <alignment horizontal="center"/>
    </xf>
    <xf numFmtId="0" fontId="6" fillId="2" borderId="0" xfId="0" applyFont="1" applyFill="1" applyAlignment="1" applyProtection="1">
      <alignment horizontal="right"/>
    </xf>
    <xf numFmtId="0" fontId="6" fillId="2" borderId="0" xfId="0" applyFont="1" applyFill="1" applyBorder="1" applyAlignment="1" applyProtection="1">
      <alignment horizontal="center"/>
    </xf>
    <xf numFmtId="0" fontId="0" fillId="0" borderId="0" xfId="0" applyAlignment="1">
      <alignment textRotation="90"/>
    </xf>
    <xf numFmtId="0" fontId="6" fillId="0" borderId="2" xfId="0" applyFont="1" applyFill="1" applyBorder="1" applyAlignment="1" applyProtection="1">
      <alignment horizontal="center" wrapText="1"/>
    </xf>
    <xf numFmtId="0" fontId="2" fillId="2" borderId="19" xfId="0" applyFont="1" applyFill="1" applyBorder="1" applyAlignment="1">
      <alignment horizontal="center"/>
    </xf>
    <xf numFmtId="0" fontId="6" fillId="2" borderId="0" xfId="0" applyFont="1" applyFill="1" applyAlignment="1">
      <alignment horizontal="center"/>
    </xf>
    <xf numFmtId="0" fontId="1" fillId="2" borderId="0" xfId="0" applyFont="1" applyFill="1" applyAlignment="1">
      <alignment horizontal="right"/>
    </xf>
    <xf numFmtId="166" fontId="15" fillId="0" borderId="0" xfId="0" applyNumberFormat="1" applyFont="1" applyFill="1" applyBorder="1" applyAlignment="1">
      <alignment horizontal="left" vertical="center"/>
    </xf>
    <xf numFmtId="165" fontId="5" fillId="6" borderId="20" xfId="1" applyNumberFormat="1" applyFont="1" applyFill="1" applyBorder="1" applyAlignment="1">
      <alignment horizontal="right"/>
    </xf>
    <xf numFmtId="165" fontId="5" fillId="6" borderId="12" xfId="1" applyNumberFormat="1" applyFont="1" applyFill="1" applyBorder="1" applyAlignment="1">
      <alignment horizontal="right"/>
    </xf>
    <xf numFmtId="165" fontId="5" fillId="5" borderId="21" xfId="1" applyNumberFormat="1" applyFont="1" applyFill="1" applyBorder="1"/>
    <xf numFmtId="0" fontId="18" fillId="8" borderId="22" xfId="0" applyFont="1" applyFill="1" applyBorder="1" applyAlignment="1">
      <alignment horizontal="center" vertical="center" wrapText="1"/>
    </xf>
    <xf numFmtId="0" fontId="19" fillId="9" borderId="22" xfId="0" applyFont="1" applyFill="1" applyBorder="1" applyAlignment="1">
      <alignment horizontal="center" vertical="center" wrapText="1"/>
    </xf>
    <xf numFmtId="0" fontId="23" fillId="9" borderId="22" xfId="0" applyFont="1" applyFill="1" applyBorder="1" applyAlignment="1">
      <alignment horizontal="center" vertical="center" wrapText="1"/>
    </xf>
    <xf numFmtId="165" fontId="5" fillId="10" borderId="1" xfId="1" applyNumberFormat="1" applyFont="1" applyFill="1" applyBorder="1" applyAlignment="1">
      <alignment horizontal="right"/>
    </xf>
    <xf numFmtId="164" fontId="5" fillId="3" borderId="24" xfId="0" applyNumberFormat="1" applyFont="1" applyFill="1" applyBorder="1" applyAlignment="1" applyProtection="1">
      <alignment horizontal="center"/>
    </xf>
    <xf numFmtId="0" fontId="5" fillId="6" borderId="7" xfId="0" applyFont="1" applyFill="1" applyBorder="1" applyAlignment="1" applyProtection="1">
      <alignment vertical="center" wrapText="1"/>
      <protection locked="0"/>
    </xf>
    <xf numFmtId="0" fontId="24" fillId="6" borderId="7" xfId="0" applyFont="1" applyFill="1" applyBorder="1" applyAlignment="1" applyProtection="1">
      <alignment vertical="center" wrapText="1"/>
      <protection locked="0"/>
    </xf>
    <xf numFmtId="0" fontId="25" fillId="6" borderId="7" xfId="0" applyFont="1" applyFill="1" applyBorder="1" applyAlignment="1" applyProtection="1">
      <alignment vertical="center" wrapText="1"/>
      <protection locked="0"/>
    </xf>
    <xf numFmtId="0" fontId="5" fillId="6" borderId="7" xfId="0" applyFont="1" applyFill="1" applyBorder="1" applyAlignment="1" applyProtection="1">
      <alignment horizontal="right"/>
      <protection locked="0"/>
    </xf>
    <xf numFmtId="0" fontId="21" fillId="0" borderId="22"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2" xfId="0" applyFont="1" applyBorder="1" applyAlignment="1">
      <alignment horizontal="center" vertical="center" wrapText="1"/>
    </xf>
    <xf numFmtId="0" fontId="6" fillId="2" borderId="0" xfId="0" applyFont="1" applyFill="1" applyAlignment="1" applyProtection="1">
      <alignment horizontal="left" vertical="top" wrapText="1"/>
    </xf>
    <xf numFmtId="0" fontId="6" fillId="2" borderId="5" xfId="0" applyFont="1" applyFill="1" applyBorder="1" applyAlignment="1" applyProtection="1">
      <alignment horizontal="center"/>
    </xf>
    <xf numFmtId="0" fontId="5" fillId="2" borderId="0" xfId="0" applyFont="1" applyFill="1" applyAlignment="1" applyProtection="1">
      <alignment horizontal="left" vertical="top" wrapText="1"/>
      <protection locked="0"/>
    </xf>
    <xf numFmtId="0" fontId="18" fillId="8" borderId="22" xfId="0" applyFont="1" applyFill="1" applyBorder="1" applyAlignment="1">
      <alignment horizontal="center" vertical="center" wrapText="1"/>
    </xf>
    <xf numFmtId="0" fontId="12" fillId="6" borderId="0" xfId="0" applyFont="1" applyFill="1" applyBorder="1" applyAlignment="1" applyProtection="1">
      <alignment horizontal="center" vertical="center" wrapText="1"/>
    </xf>
    <xf numFmtId="0" fontId="12" fillId="7" borderId="0" xfId="0" applyFont="1" applyFill="1" applyBorder="1" applyAlignment="1" applyProtection="1">
      <alignment horizontal="center" vertical="center" wrapText="1"/>
    </xf>
    <xf numFmtId="0" fontId="6" fillId="5" borderId="11" xfId="0" applyFont="1" applyFill="1" applyBorder="1" applyAlignment="1" applyProtection="1">
      <alignment horizontal="center"/>
    </xf>
    <xf numFmtId="0" fontId="6" fillId="2" borderId="15" xfId="0" applyFont="1" applyFill="1" applyBorder="1" applyAlignment="1" applyProtection="1"/>
    <xf numFmtId="0" fontId="5" fillId="2" borderId="0" xfId="0" applyFont="1" applyFill="1" applyBorder="1" applyAlignment="1" applyProtection="1">
      <alignment horizontal="right" wrapText="1"/>
    </xf>
    <xf numFmtId="0" fontId="5" fillId="2" borderId="17" xfId="0" applyFont="1" applyFill="1" applyBorder="1" applyAlignment="1" applyProtection="1">
      <alignment horizontal="right" wrapText="1"/>
    </xf>
    <xf numFmtId="0" fontId="6" fillId="2" borderId="16" xfId="0" applyFont="1" applyFill="1" applyBorder="1" applyAlignment="1" applyProtection="1">
      <alignment horizontal="center"/>
    </xf>
    <xf numFmtId="0" fontId="6" fillId="0" borderId="16" xfId="0" applyFont="1" applyFill="1" applyBorder="1" applyAlignment="1" applyProtection="1">
      <alignment horizontal="center"/>
    </xf>
    <xf numFmtId="0" fontId="6" fillId="6" borderId="23" xfId="0" applyFont="1" applyFill="1" applyBorder="1" applyAlignment="1" applyProtection="1">
      <alignment horizontal="center"/>
      <protection locked="0"/>
    </xf>
    <xf numFmtId="0" fontId="6" fillId="2" borderId="18" xfId="0" applyFont="1" applyFill="1" applyBorder="1" applyAlignment="1">
      <alignment horizontal="center"/>
    </xf>
    <xf numFmtId="166" fontId="7" fillId="6" borderId="9" xfId="0" applyNumberFormat="1" applyFont="1" applyFill="1" applyBorder="1" applyAlignment="1" applyProtection="1">
      <alignment horizontal="left"/>
      <protection locked="0"/>
    </xf>
    <xf numFmtId="166" fontId="5" fillId="6" borderId="9" xfId="0" applyNumberFormat="1" applyFont="1" applyFill="1" applyBorder="1" applyAlignment="1" applyProtection="1">
      <alignment horizontal="left"/>
      <protection locked="0"/>
    </xf>
    <xf numFmtId="0" fontId="6" fillId="6" borderId="9" xfId="0" applyFont="1" applyFill="1" applyBorder="1" applyAlignment="1" applyProtection="1">
      <alignment horizontal="left"/>
      <protection locked="0"/>
    </xf>
    <xf numFmtId="0" fontId="5" fillId="6" borderId="9" xfId="0" applyFont="1" applyFill="1" applyBorder="1" applyAlignment="1" applyProtection="1">
      <alignment horizontal="left"/>
      <protection locked="0"/>
    </xf>
    <xf numFmtId="0" fontId="5" fillId="10" borderId="9" xfId="0" applyFont="1" applyFill="1" applyBorder="1" applyAlignment="1" applyProtection="1">
      <alignment horizontal="left"/>
      <protection locked="0"/>
    </xf>
    <xf numFmtId="0" fontId="4" fillId="6" borderId="10" xfId="2" applyFill="1" applyBorder="1" applyAlignment="1" applyProtection="1">
      <alignment horizontal="left"/>
      <protection locked="0"/>
    </xf>
    <xf numFmtId="0" fontId="5" fillId="6" borderId="10" xfId="0" applyFont="1" applyFill="1" applyBorder="1" applyAlignment="1" applyProtection="1">
      <alignment horizontal="left"/>
      <protection locked="0"/>
    </xf>
  </cellXfs>
  <cellStyles count="4">
    <cellStyle name="Comma" xfId="1" builtinId="3"/>
    <cellStyle name="Hyperlink" xfId="2" builtinId="8"/>
    <cellStyle name="Normal" xfId="0" builtinId="0"/>
    <cellStyle name="Normal 2" xfId="3"/>
  </cellStyles>
  <dxfs count="0"/>
  <tableStyles count="0" defaultTableStyle="TableStyleMedium9"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19050</xdr:colOff>
      <xdr:row>11</xdr:row>
      <xdr:rowOff>19050</xdr:rowOff>
    </xdr:from>
    <xdr:to>
      <xdr:col>0</xdr:col>
      <xdr:colOff>9001125</xdr:colOff>
      <xdr:row>41</xdr:row>
      <xdr:rowOff>19050</xdr:rowOff>
    </xdr:to>
    <xdr:sp macro="" textlink="">
      <xdr:nvSpPr>
        <xdr:cNvPr id="2" name="TextBox 1"/>
        <xdr:cNvSpPr txBox="1"/>
      </xdr:nvSpPr>
      <xdr:spPr>
        <a:xfrm>
          <a:off x="19050" y="2162175"/>
          <a:ext cx="8982075" cy="571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baseline="0">
              <a:effectLst/>
            </a:rPr>
            <a:t>     </a:t>
          </a:r>
          <a:r>
            <a:rPr lang="en-US">
              <a:effectLst/>
            </a:rPr>
            <a:t>(1) On or before June 1, 2012, and annually thereafter, each qualifying utility shall report to the department on its progress in the preceding year in meeting the targets established in RCW </a:t>
          </a:r>
          <a:r>
            <a:rPr lang="en-US">
              <a:effectLst/>
              <a:hlinkClick xmlns:r="http://schemas.openxmlformats.org/officeDocument/2006/relationships" r:id=""/>
            </a:rPr>
            <a:t>19.285.040</a:t>
          </a:r>
          <a:r>
            <a:rPr lang="en-US">
              <a:effectLst/>
            </a:rPr>
            <a:t>,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a:t>
          </a:r>
          <a:r>
            <a:rPr lang="en-US">
              <a:effectLst/>
              <a:hlinkClick xmlns:r="http://schemas.openxmlformats.org/officeDocument/2006/relationships" r:id=""/>
            </a:rPr>
            <a:t>19.285.040</a:t>
          </a:r>
          <a:r>
            <a:rPr lang="en-US">
              <a:effectLst/>
            </a:rPr>
            <a:t>(2) (d) or (i) or </a:t>
          </a:r>
          <a:r>
            <a:rPr lang="en-US">
              <a:effectLst/>
              <a:hlinkClick xmlns:r="http://schemas.openxmlformats.org/officeDocument/2006/relationships" r:id=""/>
            </a:rPr>
            <a:t>19.285.050</a:t>
          </a:r>
          <a:r>
            <a:rPr lang="en-US">
              <a:effectLst/>
            </a:rPr>
            <a:t>(1), it must include in its annual report relevant data to demonstrate that it met the criteria in that section. A qualifying utility may submit its report to the department in conjunction with its annual obligations in chapter </a:t>
          </a:r>
          <a:r>
            <a:rPr lang="en-US">
              <a:effectLst/>
              <a:hlinkClick xmlns:r="http://schemas.openxmlformats.org/officeDocument/2006/relationships" r:id=""/>
            </a:rPr>
            <a:t>19.29A</a:t>
          </a:r>
          <a:r>
            <a:rPr lang="en-US">
              <a:effectLst/>
            </a:rPr>
            <a:t> RCW.</a:t>
          </a:r>
        </a:p>
        <a:p>
          <a:r>
            <a:rPr lang="en-US">
              <a:effectLst/>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p>
        <a:p>
          <a:r>
            <a:rPr lang="en-US">
              <a:effectLst/>
            </a:rPr>
            <a:t>     (3) A qualifying utility shall also make reports required in this section available to its customers.</a:t>
          </a:r>
        </a:p>
        <a:p>
          <a:endParaRPr lang="en-US" b="1">
            <a:effectLst/>
          </a:endParaRPr>
        </a:p>
        <a:p>
          <a:r>
            <a:rPr lang="en-US" b="1">
              <a:effectLst/>
            </a:rPr>
            <a:t>WAC 194-37-060</a:t>
          </a:r>
        </a:p>
        <a:p>
          <a:r>
            <a:rPr lang="en-US" b="1">
              <a:effectLst/>
            </a:rPr>
            <a:t>Conservation reporting requirements.</a:t>
          </a:r>
        </a:p>
        <a:p>
          <a:r>
            <a:rPr lang="en-US">
              <a:effectLst/>
            </a:rPr>
            <a:t>     Each utility shall submit an annual conservation report to the department by June 1st using a form provided by the department. The conservation report must show the utility's progress in the preceding year in meeting the conservation targets established in RCW </a:t>
          </a:r>
          <a:r>
            <a:rPr lang="en-US">
              <a:effectLst/>
              <a:hlinkClick xmlns:r="http://schemas.openxmlformats.org/officeDocument/2006/relationships" r:id=""/>
            </a:rPr>
            <a:t>19.285.040</a:t>
          </a:r>
          <a:r>
            <a:rPr lang="en-US">
              <a:effectLst/>
            </a:rPr>
            <a:t> and must include the following:</a:t>
          </a:r>
        </a:p>
        <a:p>
          <a:r>
            <a:rPr lang="en-US">
              <a:effectLst/>
            </a:rPr>
            <a:t>     (1) The total electricity savings and expenditures for conservation by the following sectors: Residential, commercial, industrial, agricultural, distribution system, and production system. A utility may report results achieved through nonutility programs, as identified in WAC </a:t>
          </a:r>
          <a:r>
            <a:rPr lang="en-US">
              <a:effectLst/>
              <a:hlinkClick xmlns:r="http://schemas.openxmlformats.org/officeDocument/2006/relationships" r:id=""/>
            </a:rPr>
            <a:t>194-37-080</a:t>
          </a:r>
          <a:r>
            <a:rPr lang="en-US">
              <a:effectLst/>
            </a:rPr>
            <a:t>(5), by program, if the results are not included in the reported results by customer sector. Reports submitted in odd-numbered years must include an estimate of savings and expenditures in the prior year. Reports submitted in even-numbered years must include the amount of savings and expenditures in the prior two years. All savings must be documented pursuant to WAC </a:t>
          </a:r>
          <a:r>
            <a:rPr lang="en-US">
              <a:effectLst/>
              <a:hlinkClick xmlns:r="http://schemas.openxmlformats.org/officeDocument/2006/relationships" r:id=""/>
            </a:rPr>
            <a:t>194-37-080</a:t>
          </a:r>
          <a:r>
            <a:rPr lang="en-US">
              <a:effectLst/>
            </a:rPr>
            <a:t>.</a:t>
          </a:r>
        </a:p>
        <a:p>
          <a:r>
            <a:rPr lang="en-US">
              <a:effectLst/>
            </a:rPr>
            <a:t>     (2) A brief description of the methodology used to establish the utility's ten-year potential and biennial target to capture cost-effective conservation.</a:t>
          </a:r>
        </a:p>
        <a:p>
          <a:r>
            <a:rPr lang="en-US">
              <a:effectLst/>
            </a:rPr>
            <a:t>     (3) In even-numbered years the report must include the utility's ten-year conservation potential and biennial targets established pursuant to WAC </a:t>
          </a:r>
          <a:r>
            <a:rPr lang="en-US">
              <a:effectLst/>
              <a:hlinkClick xmlns:r="http://schemas.openxmlformats.org/officeDocument/2006/relationships" r:id=""/>
            </a:rPr>
            <a:t>194-37-070</a:t>
          </a:r>
          <a:r>
            <a:rPr lang="en-US">
              <a:effectLst/>
            </a:rPr>
            <a:t>.</a:t>
          </a:r>
        </a:p>
        <a:p>
          <a:endParaRPr lang="en-US" sz="1100"/>
        </a:p>
        <a:p>
          <a:r>
            <a:rPr lang="en-US" b="1">
              <a:effectLst/>
            </a:rPr>
            <a:t>WAC 194-37-110</a:t>
          </a:r>
        </a:p>
        <a:p>
          <a:r>
            <a:rPr lang="en-US" b="1">
              <a:effectLst/>
            </a:rPr>
            <a:t>Renewable resource energy reporting.</a:t>
          </a:r>
        </a:p>
        <a:p>
          <a:r>
            <a:rPr lang="en-US" sz="1100"/>
            <a:t>&lt;Separate worksheet used for renewable reporting.&gt;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247650</xdr:colOff>
      <xdr:row>14</xdr:row>
      <xdr:rowOff>361950</xdr:rowOff>
    </xdr:from>
    <xdr:to>
      <xdr:col>8</xdr:col>
      <xdr:colOff>552450</xdr:colOff>
      <xdr:row>21</xdr:row>
      <xdr:rowOff>133350</xdr:rowOff>
    </xdr:to>
    <xdr:sp macro="" textlink="">
      <xdr:nvSpPr>
        <xdr:cNvPr id="4" name="TextBox 3"/>
        <xdr:cNvSpPr txBox="1"/>
      </xdr:nvSpPr>
      <xdr:spPr>
        <a:xfrm>
          <a:off x="7172325" y="3676650"/>
          <a:ext cx="1123950"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Note: Expenditure</a:t>
          </a:r>
          <a:r>
            <a:rPr lang="en-US" sz="1100" i="1" baseline="0"/>
            <a:t> amounts do not include any customer or other non-utility costs.</a:t>
          </a:r>
          <a:endParaRPr lang="en-US" sz="1100" i="1"/>
        </a:p>
      </xdr:txBody>
    </xdr:sp>
    <xdr:clientData/>
  </xdr:twoCellAnchor>
  <xdr:twoCellAnchor>
    <xdr:from>
      <xdr:col>0</xdr:col>
      <xdr:colOff>38100</xdr:colOff>
      <xdr:row>33</xdr:row>
      <xdr:rowOff>352425</xdr:rowOff>
    </xdr:from>
    <xdr:to>
      <xdr:col>9</xdr:col>
      <xdr:colOff>548640</xdr:colOff>
      <xdr:row>51</xdr:row>
      <xdr:rowOff>95250</xdr:rowOff>
    </xdr:to>
    <xdr:sp macro="" textlink="">
      <xdr:nvSpPr>
        <xdr:cNvPr id="2" name="TextBox 1"/>
        <xdr:cNvSpPr txBox="1"/>
      </xdr:nvSpPr>
      <xdr:spPr>
        <a:xfrm>
          <a:off x="38100" y="6911975"/>
          <a:ext cx="9775190" cy="608012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1) "Target" = Total Utility Conservation Goal:</a:t>
          </a:r>
          <a:r>
            <a:rPr lang="en-US" sz="1100" baseline="0">
              <a:solidFill>
                <a:schemeClr val="dk1"/>
              </a:solidFill>
              <a:effectLst/>
              <a:latin typeface="+mn-lt"/>
              <a:ea typeface="+mn-ea"/>
              <a:cs typeface="+mn-cs"/>
            </a:rPr>
            <a:t> EIA Penalty Threshold + Decoupling Threshold + NEEA + Pilots with Uncertain Savings + Retail Wheeling customers. Also referred to as Total Portfolio.</a:t>
          </a:r>
        </a:p>
        <a:p>
          <a:endParaRPr lang="en-US">
            <a:effectLst/>
          </a:endParaRPr>
        </a:p>
        <a:p>
          <a:r>
            <a:rPr lang="en-US" sz="1100" baseline="0">
              <a:solidFill>
                <a:schemeClr val="dk1"/>
              </a:solidFill>
              <a:effectLst/>
              <a:latin typeface="+mn-lt"/>
              <a:ea typeface="+mn-ea"/>
              <a:cs typeface="+mn-cs"/>
            </a:rPr>
            <a:t>2) "Other Electric Programs" = Net Metering administrative costs, allowed by UTC, Electric Vehicle Charger Incentive pilot study close-out, and Demand Response pilot study close-out.</a:t>
          </a:r>
        </a:p>
        <a:p>
          <a:endParaRPr lang="en-US">
            <a:effectLst/>
          </a:endParaRPr>
        </a:p>
        <a:p>
          <a:pPr eaLnBrk="1" fontAlgn="auto" latinLnBrk="0" hangingPunct="1"/>
          <a:r>
            <a:rPr lang="en-US" sz="1100" baseline="0">
              <a:solidFill>
                <a:schemeClr val="dk1"/>
              </a:solidFill>
              <a:effectLst/>
              <a:latin typeface="+mn-lt"/>
              <a:ea typeface="+mn-ea"/>
              <a:cs typeface="+mn-cs"/>
            </a:rPr>
            <a:t>3) PSE's 2-year 2018-2019 EIA Penalty Threshold of 448,109 MWh is based on a derivation of the pro-rata share of its 1.799 million MWh 10-year potential, as discussed in PSE's 2017 IRP.  Exhibit i of PSE's 2018-2019 Biennial Conservtion Plan  indicates that the actual 1/5 share of the 10-year potential was 359,830 MWh. </a:t>
          </a:r>
          <a:r>
            <a:rPr lang="en-US" sz="1100">
              <a:solidFill>
                <a:schemeClr val="dk1"/>
              </a:solidFill>
              <a:effectLst/>
              <a:latin typeface="+mn-lt"/>
              <a:ea typeface="+mn-ea"/>
              <a:cs typeface="+mn-cs"/>
            </a:rPr>
            <a:t>The pro rata IRP conservation potential does not represent the highest amount of achievable economic conservation potential in 2018-2019, however. PSE compared the timing of 2018-2019 savings potential with the ramp rates modeled in the IRP with the two-year pro rata share of the ten-year potential and selected the greater of those values as the guidance from the IRP.  This</a:t>
          </a:r>
          <a:r>
            <a:rPr lang="en-US" sz="1100" baseline="0">
              <a:solidFill>
                <a:schemeClr val="dk1"/>
              </a:solidFill>
              <a:effectLst/>
              <a:latin typeface="+mn-lt"/>
              <a:ea typeface="+mn-ea"/>
              <a:cs typeface="+mn-cs"/>
            </a:rPr>
            <a:t> resulted in the CPA Pro-Rata Share (or baseline) of 473,163 MWh. </a:t>
          </a:r>
          <a:r>
            <a:rPr lang="en-US" sz="1100">
              <a:solidFill>
                <a:schemeClr val="dk1"/>
              </a:solidFill>
              <a:effectLst/>
              <a:latin typeface="+mn-lt"/>
              <a:ea typeface="+mn-ea"/>
              <a:cs typeface="+mn-cs"/>
            </a:rPr>
            <a:t>UTC-approved exclusions</a:t>
          </a:r>
          <a:r>
            <a:rPr lang="en-US" sz="1100" baseline="0">
              <a:solidFill>
                <a:schemeClr val="dk1"/>
              </a:solidFill>
              <a:effectLst/>
              <a:latin typeface="+mn-lt"/>
              <a:ea typeface="+mn-ea"/>
              <a:cs typeface="+mn-cs"/>
            </a:rPr>
            <a:t> (NEEA, Pilots, and Retail Wheeling) resulted in the UTC-approved EIA Penalty Threshold of 448,109 MWh. Exhibit i is also filed in the UTC Docket UE-171087. </a:t>
          </a:r>
        </a:p>
        <a:p>
          <a:pPr eaLnBrk="1" fontAlgn="auto" latinLnBrk="0" hangingPunct="1"/>
          <a:endParaRPr lang="en-US">
            <a:effectLst/>
          </a:endParaRPr>
        </a:p>
        <a:p>
          <a:pPr eaLnBrk="1" fontAlgn="auto" latinLnBrk="0" hangingPunct="1"/>
          <a:r>
            <a:rPr lang="en-US" sz="1100" baseline="0">
              <a:solidFill>
                <a:schemeClr val="dk1"/>
              </a:solidFill>
              <a:effectLst/>
              <a:latin typeface="+mn-lt"/>
              <a:ea typeface="+mn-ea"/>
              <a:cs typeface="+mn-cs"/>
            </a:rPr>
            <a:t>4) Exhibit i, which references to PSE's 2017 IRP, indicates that--with the exception of Retail Wheeling customers--all cost-effective, reliable and feasible conservation measures were identififed in its Conservation Potential Assessment. The </a:t>
          </a:r>
          <a:r>
            <a:rPr lang="en-US" sz="1100">
              <a:solidFill>
                <a:schemeClr val="dk1"/>
              </a:solidFill>
              <a:effectLst/>
              <a:latin typeface="+mn-lt"/>
              <a:ea typeface="+mn-ea"/>
              <a:cs typeface="+mn-cs"/>
            </a:rPr>
            <a:t>UTC</a:t>
          </a:r>
          <a:r>
            <a:rPr lang="en-US" sz="1100" baseline="0">
              <a:solidFill>
                <a:schemeClr val="dk1"/>
              </a:solidFill>
              <a:effectLst/>
              <a:latin typeface="+mn-lt"/>
              <a:ea typeface="+mn-ea"/>
              <a:cs typeface="+mn-cs"/>
            </a:rPr>
            <a:t>, consistent with its standard practice, indicated that it is appropriate for pilot programs with uncertain savings and Northwest Energy Efficiency Alliance (NEEA) to be excluded from PSE's EIA Penalty Threshold.</a:t>
          </a:r>
        </a:p>
        <a:p>
          <a:pPr eaLnBrk="1" fontAlgn="auto" latinLnBrk="0" hangingPunct="1"/>
          <a:endParaRPr lang="en-US">
            <a:effectLst/>
          </a:endParaRPr>
        </a:p>
        <a:p>
          <a:pPr eaLnBrk="1" fontAlgn="auto" latinLnBrk="0" hangingPunct="1"/>
          <a:r>
            <a:rPr lang="en-US" sz="1100" baseline="0">
              <a:solidFill>
                <a:schemeClr val="dk1"/>
              </a:solidFill>
              <a:effectLst/>
              <a:latin typeface="+mn-lt"/>
              <a:ea typeface="+mn-ea"/>
              <a:cs typeface="+mn-cs"/>
            </a:rPr>
            <a:t>5) PSE's 2018-2019 Decoupling  Threshold is required to be 5 percent above its EIA Penalty Threshold. The actual Decoupling Penalty Threshold is slightly over that, at 23,658 MWh, which is 5 percent above the CPA Pro-Rata Share. </a:t>
          </a:r>
        </a:p>
        <a:p>
          <a:pPr eaLnBrk="1" fontAlgn="auto" latinLnBrk="0" hangingPunct="1"/>
          <a:endParaRPr lang="en-US">
            <a:effectLst/>
          </a:endParaRPr>
        </a:p>
        <a:p>
          <a:pPr eaLnBrk="1" fontAlgn="auto" latinLnBrk="0" hangingPunct="1"/>
          <a:r>
            <a:rPr lang="en-US" sz="1100" baseline="0">
              <a:solidFill>
                <a:schemeClr val="dk1"/>
              </a:solidFill>
              <a:effectLst/>
              <a:latin typeface="+mn-lt"/>
              <a:ea typeface="+mn-ea"/>
              <a:cs typeface="+mn-cs"/>
            </a:rPr>
            <a:t>6) It isn't possible to attribute decoupling savings to a particular program, measure,  or time period; PSE does not calculate savings for this target on an annual basis.</a:t>
          </a:r>
        </a:p>
        <a:p>
          <a:pPr eaLnBrk="1" fontAlgn="auto" latinLnBrk="0" hangingPunct="1"/>
          <a:endParaRPr lang="en-US">
            <a:effectLst/>
          </a:endParaRPr>
        </a:p>
        <a:p>
          <a:r>
            <a:rPr lang="en-US" sz="1100" baseline="0">
              <a:solidFill>
                <a:schemeClr val="dk1"/>
              </a:solidFill>
              <a:effectLst/>
              <a:latin typeface="+mn-lt"/>
              <a:ea typeface="+mn-ea"/>
              <a:cs typeface="+mn-cs"/>
            </a:rPr>
            <a:t>7) </a:t>
          </a:r>
          <a:r>
            <a:rPr lang="en-US" sz="1100">
              <a:solidFill>
                <a:schemeClr val="dk1"/>
              </a:solidFill>
              <a:effectLst/>
              <a:latin typeface="+mn-lt"/>
              <a:ea typeface="+mn-ea"/>
              <a:cs typeface="+mn-cs"/>
            </a:rPr>
            <a:t>2018</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achievement</a:t>
          </a:r>
          <a:r>
            <a:rPr lang="en-US" sz="1100" baseline="0">
              <a:solidFill>
                <a:schemeClr val="dk1"/>
              </a:solidFill>
              <a:effectLst/>
              <a:latin typeface="+mn-lt"/>
              <a:ea typeface="+mn-ea"/>
              <a:cs typeface="+mn-cs"/>
            </a:rPr>
            <a:t> figures are detailed in PSE's 2018 Annual Report of Energy Conservation Accomplishments, including program-specific discussions of  adaptive management  and hard-to-reach segments initiatives. The Report is filed with the Washington Utilities and Transportation Commission ("UTC" or "Commission") in Docket UE-171087.</a:t>
          </a:r>
        </a:p>
        <a:p>
          <a:endParaRPr lang="en-US">
            <a:effectLst/>
          </a:endParaRPr>
        </a:p>
        <a:p>
          <a:pPr eaLnBrk="1" fontAlgn="auto" latinLnBrk="0" hangingPunct="1"/>
          <a:r>
            <a:rPr lang="en-US" sz="1100">
              <a:solidFill>
                <a:schemeClr val="dk1"/>
              </a:solidFill>
              <a:effectLst/>
              <a:latin typeface="+mn-lt"/>
              <a:ea typeface="+mn-ea"/>
              <a:cs typeface="+mn-cs"/>
            </a:rPr>
            <a:t>8) Funding for</a:t>
          </a:r>
          <a:r>
            <a:rPr lang="en-US" sz="1100" baseline="0">
              <a:solidFill>
                <a:schemeClr val="dk1"/>
              </a:solidFill>
              <a:effectLst/>
              <a:latin typeface="+mn-lt"/>
              <a:ea typeface="+mn-ea"/>
              <a:cs typeface="+mn-cs"/>
            </a:rPr>
            <a:t> distribution and generation efficiency measures is through PSE general rate cases, per condition (9)(c) in Attachment A of Order 01 in Docket UE-171087.</a:t>
          </a:r>
        </a:p>
        <a:p>
          <a:pPr eaLnBrk="1" fontAlgn="auto" latinLnBrk="0" hangingPunct="1"/>
          <a:endParaRPr lang="en-US">
            <a:effectLst/>
          </a:endParaRPr>
        </a:p>
        <a:p>
          <a:pPr eaLnBrk="1" fontAlgn="auto" latinLnBrk="0" hangingPunct="1"/>
          <a:r>
            <a:rPr lang="en-US" sz="1100" baseline="0">
              <a:solidFill>
                <a:schemeClr val="dk1"/>
              </a:solidFill>
              <a:effectLst/>
              <a:latin typeface="+mn-lt"/>
              <a:ea typeface="+mn-ea"/>
              <a:cs typeface="+mn-cs"/>
            </a:rPr>
            <a:t>9) The below table provides PSE's savings terminology used in the 2018 Annual Report (extracted from the Glossary chapter of the Report). PSE is transitioning to updated/consistent terminology applicable to 2018-2019 savings in collaboration with WA statewide advisory groups:</a:t>
          </a:r>
          <a:endParaRPr lang="en-US">
            <a:effectLst/>
          </a:endParaRPr>
        </a:p>
        <a:p>
          <a:endParaRPr lang="en-US" sz="1100"/>
        </a:p>
        <a:p>
          <a:r>
            <a:rPr lang="en-US" sz="1100"/>
            <a:t>10) The indicated</a:t>
          </a:r>
          <a:r>
            <a:rPr lang="en-US" sz="1100" baseline="0"/>
            <a:t> 2020-2021 two-year EIA Target is updated, based on the Commission's May 21 ruling on PSE's savings revision petition, Order 02.</a:t>
          </a:r>
        </a:p>
        <a:p>
          <a:endParaRPr lang="en-US" sz="1100" baseline="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Budget%20&amp;%20Administration/Reporting/WUTC/2019/UE-171087-Energy-EIA-2019-ConservationReportWorkbook-(06-01-2019).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ground"/>
      <sheetName val="Conservation Report"/>
      <sheetName val="Prior Report Data"/>
      <sheetName val="Data"/>
    </sheetNames>
    <sheetDataSet>
      <sheetData sheetId="0"/>
      <sheetData sheetId="1"/>
      <sheetData sheetId="2">
        <row r="5">
          <cell r="A5" t="str">
            <v>Avista</v>
          </cell>
          <cell r="B5">
            <v>368000</v>
          </cell>
          <cell r="C5">
            <v>94260</v>
          </cell>
        </row>
        <row r="6">
          <cell r="A6" t="str">
            <v>Clark Public Utilities</v>
          </cell>
          <cell r="B6">
            <v>123340.8</v>
          </cell>
          <cell r="C6">
            <v>19710</v>
          </cell>
        </row>
        <row r="7">
          <cell r="A7" t="str">
            <v>Cowlitz County PUD</v>
          </cell>
          <cell r="B7">
            <v>102713.301934827</v>
          </cell>
          <cell r="C7">
            <v>21199.200000000001</v>
          </cell>
        </row>
        <row r="8">
          <cell r="A8" t="str">
            <v>Inland Power and Light Co.</v>
          </cell>
          <cell r="B8">
            <v>65612.400000000009</v>
          </cell>
          <cell r="C8">
            <v>9198</v>
          </cell>
        </row>
        <row r="9">
          <cell r="A9" t="str">
            <v>Lewis County PUD</v>
          </cell>
          <cell r="B9">
            <v>407252</v>
          </cell>
          <cell r="C9">
            <v>85760</v>
          </cell>
        </row>
        <row r="10">
          <cell r="A10" t="str">
            <v>Mason County PUD No. 3</v>
          </cell>
          <cell r="B10">
            <v>326310</v>
          </cell>
          <cell r="C10">
            <v>61145</v>
          </cell>
        </row>
        <row r="11">
          <cell r="A11" t="str">
            <v>Pacific Power &amp; Light Company</v>
          </cell>
          <cell r="B11">
            <v>195523</v>
          </cell>
          <cell r="C11">
            <v>32149</v>
          </cell>
        </row>
        <row r="12">
          <cell r="A12" t="str">
            <v>Peninsula Light Company</v>
          </cell>
          <cell r="B12">
            <v>86110.8</v>
          </cell>
          <cell r="C12">
            <v>12789.6</v>
          </cell>
        </row>
        <row r="13">
          <cell r="A13" t="str">
            <v>Public Utility District No. 1 of Benton County</v>
          </cell>
          <cell r="B13">
            <v>63510</v>
          </cell>
          <cell r="C13">
            <v>9811</v>
          </cell>
        </row>
        <row r="14">
          <cell r="A14" t="str">
            <v>Public Utility District No. 1 of Chelan County</v>
          </cell>
          <cell r="B14">
            <v>75161</v>
          </cell>
          <cell r="C14">
            <v>10337</v>
          </cell>
        </row>
        <row r="15">
          <cell r="A15" t="str">
            <v>Public Utility District No. 2 of Grant County</v>
          </cell>
          <cell r="B15">
            <v>35828</v>
          </cell>
          <cell r="C15">
            <v>5050</v>
          </cell>
        </row>
        <row r="16">
          <cell r="A16" t="str">
            <v>PUD #1 of Clallam County</v>
          </cell>
          <cell r="B16">
            <v>394473</v>
          </cell>
          <cell r="C16">
            <v>79509</v>
          </cell>
        </row>
        <row r="17">
          <cell r="A17" t="str">
            <v>PUD #1 of Grays Harbor County</v>
          </cell>
          <cell r="B17">
            <v>39595.199999999997</v>
          </cell>
          <cell r="C17">
            <v>7884</v>
          </cell>
        </row>
        <row r="18">
          <cell r="A18" t="str">
            <v>Puget Sound Energy</v>
          </cell>
          <cell r="B18">
            <v>1799149</v>
          </cell>
          <cell r="C18">
            <v>520456</v>
          </cell>
        </row>
        <row r="19">
          <cell r="A19" t="str">
            <v>Seattle City Light</v>
          </cell>
          <cell r="B19">
            <v>791028</v>
          </cell>
          <cell r="C19">
            <v>214620</v>
          </cell>
        </row>
        <row r="20">
          <cell r="A20" t="str">
            <v>Snohomish County PUD</v>
          </cell>
          <cell r="B20">
            <v>812052</v>
          </cell>
          <cell r="C20">
            <v>127983.59999999999</v>
          </cell>
        </row>
        <row r="21">
          <cell r="A21" t="str">
            <v>Tacoma Power</v>
          </cell>
          <cell r="B21">
            <v>277692</v>
          </cell>
          <cell r="C21">
            <v>55538.400000000001</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9"/>
  <sheetViews>
    <sheetView workbookViewId="0">
      <selection activeCell="B12" sqref="B12"/>
    </sheetView>
  </sheetViews>
  <sheetFormatPr defaultRowHeight="14.5" x14ac:dyDescent="0.35"/>
  <cols>
    <col min="1" max="1" width="135.1796875" customWidth="1"/>
    <col min="14" max="14" width="11.81640625" customWidth="1"/>
  </cols>
  <sheetData>
    <row r="1" spans="1:14" ht="17" x14ac:dyDescent="0.35">
      <c r="A1" s="5" t="s">
        <v>30</v>
      </c>
    </row>
    <row r="2" spans="1:14" x14ac:dyDescent="0.35">
      <c r="A2" s="43" t="s">
        <v>91</v>
      </c>
    </row>
    <row r="3" spans="1:14" x14ac:dyDescent="0.35">
      <c r="A3" s="5"/>
      <c r="N3" s="3"/>
    </row>
    <row r="4" spans="1:14" x14ac:dyDescent="0.35">
      <c r="A4" s="4" t="s">
        <v>92</v>
      </c>
    </row>
    <row r="5" spans="1:14" x14ac:dyDescent="0.35">
      <c r="A5" s="4" t="s">
        <v>23</v>
      </c>
    </row>
    <row r="6" spans="1:14" x14ac:dyDescent="0.35">
      <c r="A6" s="4" t="s">
        <v>33</v>
      </c>
    </row>
    <row r="8" spans="1:14" x14ac:dyDescent="0.35">
      <c r="A8" s="6" t="s">
        <v>25</v>
      </c>
    </row>
    <row r="9" spans="1:14" x14ac:dyDescent="0.35">
      <c r="A9" s="7" t="s">
        <v>26</v>
      </c>
    </row>
  </sheetData>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6"/>
    <pageSetUpPr fitToPage="1"/>
  </sheetPr>
  <dimension ref="A1:K64"/>
  <sheetViews>
    <sheetView tabSelected="1" topLeftCell="A9" zoomScaleNormal="100" workbookViewId="0">
      <selection activeCell="J15" sqref="J15"/>
    </sheetView>
  </sheetViews>
  <sheetFormatPr defaultColWidth="9.1796875" defaultRowHeight="12.5" x14ac:dyDescent="0.25"/>
  <cols>
    <col min="1" max="2" width="16.81640625" style="13" customWidth="1"/>
    <col min="3" max="3" width="17.1796875" style="13" customWidth="1"/>
    <col min="4" max="4" width="16" style="13" customWidth="1"/>
    <col min="5" max="5" width="4.453125" style="13" customWidth="1"/>
    <col min="6" max="6" width="14.453125" style="13" customWidth="1"/>
    <col min="7" max="7" width="15.453125" style="13" customWidth="1"/>
    <col min="8" max="8" width="17.90625" style="13" customWidth="1"/>
    <col min="9" max="9" width="13.54296875" style="13" customWidth="1"/>
    <col min="10" max="10" width="9.1796875" style="13"/>
    <col min="11" max="11" width="11.81640625" style="13" customWidth="1"/>
    <col min="12" max="16384" width="9.1796875" style="13"/>
  </cols>
  <sheetData>
    <row r="1" spans="1:11" ht="14" x14ac:dyDescent="0.25">
      <c r="A1" s="63" t="s">
        <v>25</v>
      </c>
      <c r="B1" s="63"/>
      <c r="C1" s="63"/>
      <c r="D1" s="63"/>
      <c r="E1" s="63"/>
      <c r="F1" s="63"/>
      <c r="G1" s="63"/>
      <c r="H1" s="63"/>
      <c r="I1" s="63"/>
    </row>
    <row r="2" spans="1:11" ht="14" x14ac:dyDescent="0.25">
      <c r="A2" s="64" t="s">
        <v>26</v>
      </c>
      <c r="B2" s="64"/>
      <c r="C2" s="64"/>
      <c r="D2" s="64"/>
      <c r="E2" s="64"/>
      <c r="F2" s="64"/>
      <c r="G2" s="64"/>
      <c r="H2" s="64"/>
      <c r="I2" s="64"/>
    </row>
    <row r="3" spans="1:11" s="15" customFormat="1" ht="18" x14ac:dyDescent="0.5">
      <c r="A3" s="14" t="s">
        <v>82</v>
      </c>
    </row>
    <row r="4" spans="1:11" ht="15" customHeight="1" x14ac:dyDescent="0.3">
      <c r="A4" s="16"/>
    </row>
    <row r="5" spans="1:11" ht="14.25" customHeight="1" thickBot="1" x14ac:dyDescent="0.35">
      <c r="A5" s="19" t="s">
        <v>3</v>
      </c>
      <c r="B5" s="71" t="s">
        <v>113</v>
      </c>
      <c r="C5" s="71"/>
      <c r="D5" s="71"/>
      <c r="F5" s="72" t="s">
        <v>27</v>
      </c>
      <c r="G5" s="72"/>
      <c r="H5" s="72"/>
      <c r="I5" s="72"/>
      <c r="K5" s="18"/>
    </row>
    <row r="6" spans="1:11" ht="15" customHeight="1" x14ac:dyDescent="0.3">
      <c r="A6" s="19" t="s">
        <v>17</v>
      </c>
      <c r="B6" s="73">
        <v>43617</v>
      </c>
      <c r="C6" s="74"/>
      <c r="D6" s="74"/>
      <c r="E6" s="20"/>
      <c r="F6" s="1"/>
      <c r="G6" s="40" t="s">
        <v>28</v>
      </c>
      <c r="I6" s="40" t="s">
        <v>89</v>
      </c>
    </row>
    <row r="7" spans="1:11" ht="15" customHeight="1" x14ac:dyDescent="0.3">
      <c r="A7" s="21" t="s">
        <v>16</v>
      </c>
      <c r="B7" s="75" t="s">
        <v>114</v>
      </c>
      <c r="C7" s="76"/>
      <c r="D7" s="76"/>
      <c r="E7" s="15"/>
      <c r="F7" s="1"/>
      <c r="G7" s="41" t="s">
        <v>29</v>
      </c>
      <c r="I7" s="41" t="s">
        <v>29</v>
      </c>
    </row>
    <row r="8" spans="1:11" ht="15" customHeight="1" x14ac:dyDescent="0.25">
      <c r="A8" s="21" t="s">
        <v>0</v>
      </c>
      <c r="B8" s="77" t="s">
        <v>115</v>
      </c>
      <c r="C8" s="77"/>
      <c r="D8" s="77"/>
      <c r="E8" s="15"/>
      <c r="F8" s="21" t="s">
        <v>37</v>
      </c>
      <c r="G8" s="50">
        <f>VLOOKUP(CON_Utility_Name,'[1]Prior Report Data'!$A$5:$C$21,2)</f>
        <v>1799149</v>
      </c>
      <c r="H8" s="21" t="s">
        <v>84</v>
      </c>
      <c r="I8" s="44">
        <v>1799149</v>
      </c>
    </row>
    <row r="9" spans="1:11" ht="15" customHeight="1" x14ac:dyDescent="0.3">
      <c r="A9" s="21" t="s">
        <v>1</v>
      </c>
      <c r="B9" s="78" t="s">
        <v>116</v>
      </c>
      <c r="C9" s="79"/>
      <c r="D9" s="79"/>
      <c r="E9" s="15"/>
      <c r="F9" s="42" t="s">
        <v>34</v>
      </c>
      <c r="G9" s="50">
        <f>VLOOKUP(CON_Utility_Name,'[1]Prior Report Data'!$A$5:$C$21,3)</f>
        <v>520456</v>
      </c>
      <c r="H9" s="42" t="s">
        <v>85</v>
      </c>
      <c r="I9" s="45">
        <v>526044</v>
      </c>
    </row>
    <row r="10" spans="1:11" ht="15" customHeight="1" thickBot="1" x14ac:dyDescent="0.3">
      <c r="A10" s="21"/>
      <c r="B10" s="21"/>
      <c r="C10" s="21"/>
      <c r="D10" s="21"/>
      <c r="E10" s="15"/>
      <c r="F10" s="42" t="s">
        <v>86</v>
      </c>
      <c r="G10" s="46">
        <f>CON_2018_MWH+CON_2019_MWH</f>
        <v>546744</v>
      </c>
      <c r="I10" s="1"/>
    </row>
    <row r="11" spans="1:11" s="15" customFormat="1" ht="13" thickBot="1" x14ac:dyDescent="0.3">
      <c r="E11" s="22"/>
      <c r="F11" s="13" t="s">
        <v>90</v>
      </c>
      <c r="G11" s="46">
        <f>G10-CON_Target_2018_2019</f>
        <v>26288</v>
      </c>
      <c r="H11" s="13"/>
      <c r="I11" s="13"/>
    </row>
    <row r="12" spans="1:11" s="15" customFormat="1" ht="13" thickBot="1" x14ac:dyDescent="0.3">
      <c r="E12" s="22"/>
      <c r="F12" s="13"/>
      <c r="G12" s="13"/>
      <c r="H12" s="13"/>
      <c r="I12" s="13"/>
    </row>
    <row r="13" spans="1:11" ht="13.5" thickTop="1" x14ac:dyDescent="0.3">
      <c r="A13" s="66" t="s">
        <v>2</v>
      </c>
      <c r="B13" s="66"/>
      <c r="C13" s="66"/>
      <c r="D13" s="66"/>
      <c r="E13" s="66"/>
      <c r="F13" s="66"/>
      <c r="G13" s="66"/>
    </row>
    <row r="14" spans="1:11" ht="15" customHeight="1" x14ac:dyDescent="0.3">
      <c r="A14" s="23"/>
      <c r="C14" s="69" t="s">
        <v>35</v>
      </c>
      <c r="D14" s="69"/>
      <c r="F14" s="70" t="s">
        <v>36</v>
      </c>
      <c r="G14" s="70"/>
    </row>
    <row r="15" spans="1:11" ht="30.75" customHeight="1" x14ac:dyDescent="0.3">
      <c r="B15" s="24" t="s">
        <v>14</v>
      </c>
      <c r="C15" s="25" t="s">
        <v>6</v>
      </c>
      <c r="D15" s="25" t="s">
        <v>7</v>
      </c>
      <c r="F15" s="39" t="s">
        <v>6</v>
      </c>
      <c r="G15" s="39" t="s">
        <v>7</v>
      </c>
    </row>
    <row r="16" spans="1:11" ht="15" customHeight="1" x14ac:dyDescent="0.25">
      <c r="B16" s="2" t="s">
        <v>8</v>
      </c>
      <c r="C16" s="9">
        <v>134680</v>
      </c>
      <c r="D16" s="10">
        <v>35316606</v>
      </c>
      <c r="F16" s="9">
        <f>111566+3257+2891</f>
        <v>117714</v>
      </c>
      <c r="G16" s="10">
        <v>35216613</v>
      </c>
    </row>
    <row r="17" spans="1:7" ht="15" customHeight="1" x14ac:dyDescent="0.25">
      <c r="B17" s="2" t="s">
        <v>9</v>
      </c>
      <c r="C17" s="9">
        <f>150681*0.9</f>
        <v>135612.9</v>
      </c>
      <c r="D17" s="10">
        <f>40064876*0.9</f>
        <v>36058388.399999999</v>
      </c>
      <c r="F17" s="9">
        <f>112018*0.9</f>
        <v>100816.2</v>
      </c>
      <c r="G17" s="10">
        <f>23482780*0.9</f>
        <v>21134502</v>
      </c>
    </row>
    <row r="18" spans="1:7" ht="15" customHeight="1" x14ac:dyDescent="0.25">
      <c r="B18" s="2" t="s">
        <v>10</v>
      </c>
      <c r="C18" s="9">
        <f>150681*0.1</f>
        <v>15068.1</v>
      </c>
      <c r="D18" s="10">
        <f>40064876*0.1</f>
        <v>4006487.6</v>
      </c>
      <c r="F18" s="9">
        <f>112018*0.1</f>
        <v>11201.800000000001</v>
      </c>
      <c r="G18" s="10">
        <f>23482780*0.1</f>
        <v>2348278</v>
      </c>
    </row>
    <row r="19" spans="1:7" ht="15" customHeight="1" x14ac:dyDescent="0.25">
      <c r="B19" s="2" t="s">
        <v>11</v>
      </c>
      <c r="C19" s="9">
        <v>0</v>
      </c>
      <c r="D19" s="10">
        <v>0</v>
      </c>
      <c r="F19" s="9">
        <v>0</v>
      </c>
      <c r="G19" s="10">
        <v>0</v>
      </c>
    </row>
    <row r="20" spans="1:7" ht="15" customHeight="1" x14ac:dyDescent="0.25">
      <c r="B20" s="2" t="s">
        <v>12</v>
      </c>
      <c r="C20" s="9">
        <v>3782</v>
      </c>
      <c r="D20" s="10">
        <v>0</v>
      </c>
      <c r="F20" s="9">
        <v>670</v>
      </c>
      <c r="G20" s="10">
        <v>0</v>
      </c>
    </row>
    <row r="21" spans="1:7" ht="15" customHeight="1" x14ac:dyDescent="0.25">
      <c r="B21" s="26" t="s">
        <v>13</v>
      </c>
      <c r="C21" s="9">
        <v>0</v>
      </c>
      <c r="D21" s="10">
        <v>0</v>
      </c>
      <c r="F21" s="9">
        <v>0</v>
      </c>
      <c r="G21" s="10">
        <v>0</v>
      </c>
    </row>
    <row r="22" spans="1:7" ht="15" customHeight="1" x14ac:dyDescent="0.25">
      <c r="B22" s="26" t="s">
        <v>4</v>
      </c>
      <c r="C22" s="11">
        <v>10775</v>
      </c>
      <c r="D22" s="10">
        <v>4033724</v>
      </c>
      <c r="F22" s="11">
        <f>11300+5124</f>
        <v>16424</v>
      </c>
      <c r="G22" s="10">
        <v>4052907</v>
      </c>
    </row>
    <row r="23" spans="1:7" ht="15" customHeight="1" x14ac:dyDescent="0.25">
      <c r="B23" s="55" t="s">
        <v>120</v>
      </c>
      <c r="C23" s="11">
        <v>0</v>
      </c>
      <c r="D23" s="10">
        <v>13728</v>
      </c>
      <c r="F23" s="11"/>
      <c r="G23" s="10">
        <v>20565</v>
      </c>
    </row>
    <row r="24" spans="1:7" ht="15" customHeight="1" x14ac:dyDescent="0.3">
      <c r="B24" s="12"/>
      <c r="C24" s="11"/>
      <c r="D24" s="10"/>
      <c r="F24" s="11"/>
      <c r="G24" s="10"/>
    </row>
    <row r="25" spans="1:7" ht="30.75" customHeight="1" x14ac:dyDescent="0.25">
      <c r="A25" s="67" t="s">
        <v>15</v>
      </c>
      <c r="B25" s="68"/>
      <c r="D25" s="27"/>
      <c r="G25" s="27"/>
    </row>
    <row r="26" spans="1:7" ht="15" customHeight="1" x14ac:dyDescent="0.25">
      <c r="B26" s="52" t="s">
        <v>117</v>
      </c>
      <c r="C26" s="28"/>
      <c r="D26" s="10">
        <v>6856030</v>
      </c>
      <c r="F26" s="28"/>
      <c r="G26" s="10">
        <v>6358021</v>
      </c>
    </row>
    <row r="27" spans="1:7" ht="15" customHeight="1" x14ac:dyDescent="0.25">
      <c r="B27" s="53" t="s">
        <v>118</v>
      </c>
      <c r="C27" s="51"/>
      <c r="D27" s="10">
        <v>3537407</v>
      </c>
      <c r="F27" s="51"/>
      <c r="G27" s="10">
        <v>2733257</v>
      </c>
    </row>
    <row r="28" spans="1:7" ht="15" customHeight="1" x14ac:dyDescent="0.25">
      <c r="B28" s="54" t="s">
        <v>119</v>
      </c>
      <c r="C28" s="29"/>
      <c r="D28" s="10">
        <v>1264225</v>
      </c>
      <c r="F28" s="29"/>
      <c r="G28" s="10">
        <v>1534295</v>
      </c>
    </row>
    <row r="29" spans="1:7" ht="15" customHeight="1" x14ac:dyDescent="0.3">
      <c r="B29" s="30" t="s">
        <v>5</v>
      </c>
      <c r="C29" s="31">
        <f>SUM(C16:C24)</f>
        <v>299918</v>
      </c>
      <c r="D29" s="32">
        <f>SUM(D16:D28)</f>
        <v>91086596</v>
      </c>
      <c r="F29" s="31">
        <f>SUM(F16:F24)</f>
        <v>246826</v>
      </c>
      <c r="G29" s="32">
        <f>SUM(G16:G28)</f>
        <v>73398438</v>
      </c>
    </row>
    <row r="30" spans="1:7" ht="15" customHeight="1" x14ac:dyDescent="0.3">
      <c r="A30" s="33"/>
      <c r="B30" s="34"/>
      <c r="C30" s="35"/>
      <c r="D30" s="34"/>
      <c r="E30" s="35"/>
    </row>
    <row r="31" spans="1:7" s="15" customFormat="1" ht="15" customHeight="1" x14ac:dyDescent="0.3">
      <c r="A31" s="17" t="s">
        <v>3</v>
      </c>
      <c r="B31" s="65" t="str">
        <f>CON_Utility_Name</f>
        <v>Puget Sound Energy</v>
      </c>
      <c r="C31" s="65"/>
      <c r="D31" s="65"/>
      <c r="E31" s="65"/>
      <c r="F31" s="13"/>
      <c r="G31" s="13"/>
    </row>
    <row r="32" spans="1:7" s="15" customFormat="1" ht="13" x14ac:dyDescent="0.3">
      <c r="A32" s="36" t="s">
        <v>83</v>
      </c>
      <c r="B32" s="60" t="s">
        <v>28</v>
      </c>
      <c r="C32" s="60"/>
      <c r="D32" s="60"/>
      <c r="E32" s="60"/>
    </row>
    <row r="33" spans="1:9" s="15" customFormat="1" ht="13" x14ac:dyDescent="0.3">
      <c r="A33" s="36"/>
      <c r="B33" s="37"/>
      <c r="C33" s="37"/>
      <c r="D33" s="37"/>
      <c r="E33" s="37"/>
    </row>
    <row r="34" spans="1:9" ht="28.5" customHeight="1" x14ac:dyDescent="0.25">
      <c r="A34" s="59" t="s">
        <v>24</v>
      </c>
      <c r="B34" s="59"/>
      <c r="C34" s="59"/>
      <c r="D34" s="59"/>
      <c r="E34" s="59"/>
      <c r="F34" s="59"/>
      <c r="G34" s="59"/>
      <c r="H34" s="59"/>
      <c r="I34" s="59"/>
    </row>
    <row r="35" spans="1:9" s="8" customFormat="1" ht="270.75" customHeight="1" x14ac:dyDescent="0.25">
      <c r="A35" s="61"/>
      <c r="B35" s="61"/>
      <c r="C35" s="61"/>
      <c r="D35" s="61"/>
      <c r="E35" s="61"/>
      <c r="F35" s="61"/>
      <c r="G35" s="61"/>
      <c r="H35" s="61"/>
      <c r="I35" s="61"/>
    </row>
    <row r="36" spans="1:9" s="8" customFormat="1" x14ac:dyDescent="0.25"/>
    <row r="37" spans="1:9" s="8" customFormat="1" x14ac:dyDescent="0.25"/>
    <row r="38" spans="1:9" s="8" customFormat="1" x14ac:dyDescent="0.25"/>
    <row r="39" spans="1:9" s="8" customFormat="1" x14ac:dyDescent="0.25"/>
    <row r="40" spans="1:9" s="8" customFormat="1" x14ac:dyDescent="0.25"/>
    <row r="41" spans="1:9" s="8" customFormat="1" x14ac:dyDescent="0.25"/>
    <row r="42" spans="1:9" s="8" customFormat="1" x14ac:dyDescent="0.25"/>
    <row r="43" spans="1:9" s="8" customFormat="1" x14ac:dyDescent="0.25"/>
    <row r="44" spans="1:9" s="8" customFormat="1" x14ac:dyDescent="0.25"/>
    <row r="45" spans="1:9" s="8" customFormat="1" x14ac:dyDescent="0.25"/>
    <row r="46" spans="1:9" s="8" customFormat="1" x14ac:dyDescent="0.25"/>
    <row r="47" spans="1:9" s="8" customFormat="1" x14ac:dyDescent="0.25"/>
    <row r="48" spans="1:9" s="8" customFormat="1" x14ac:dyDescent="0.25"/>
    <row r="49" spans="1:10" s="8" customFormat="1" x14ac:dyDescent="0.25"/>
    <row r="50" spans="1:10" s="8" customFormat="1" x14ac:dyDescent="0.25"/>
    <row r="51" spans="1:10" s="8" customFormat="1" x14ac:dyDescent="0.25"/>
    <row r="52" spans="1:10" s="8" customFormat="1" x14ac:dyDescent="0.25"/>
    <row r="53" spans="1:10" s="8" customFormat="1" x14ac:dyDescent="0.25"/>
    <row r="54" spans="1:10" s="8" customFormat="1" x14ac:dyDescent="0.25"/>
    <row r="55" spans="1:10" s="8" customFormat="1" ht="31" x14ac:dyDescent="0.25">
      <c r="A55" s="47" t="s">
        <v>112</v>
      </c>
      <c r="B55" s="62" t="s">
        <v>93</v>
      </c>
      <c r="C55" s="62"/>
      <c r="D55" s="62"/>
      <c r="E55" s="62"/>
      <c r="F55" s="62"/>
      <c r="G55" s="62"/>
      <c r="H55" s="62"/>
      <c r="I55" s="62"/>
      <c r="J55" s="62"/>
    </row>
    <row r="56" spans="1:10" s="8" customFormat="1" ht="39.65" customHeight="1" x14ac:dyDescent="0.25">
      <c r="A56" s="48" t="s">
        <v>94</v>
      </c>
      <c r="B56" s="58" t="s">
        <v>95</v>
      </c>
      <c r="C56" s="58"/>
      <c r="D56" s="58"/>
      <c r="E56" s="58"/>
      <c r="F56" s="58"/>
      <c r="G56" s="58"/>
      <c r="H56" s="58"/>
      <c r="I56" s="58"/>
      <c r="J56" s="58"/>
    </row>
    <row r="57" spans="1:10" s="8" customFormat="1" ht="25.25" customHeight="1" x14ac:dyDescent="0.25">
      <c r="A57" s="48" t="s">
        <v>96</v>
      </c>
      <c r="B57" s="58" t="s">
        <v>97</v>
      </c>
      <c r="C57" s="58"/>
      <c r="D57" s="58"/>
      <c r="E57" s="58"/>
      <c r="F57" s="58"/>
      <c r="G57" s="58"/>
      <c r="H57" s="58"/>
      <c r="I57" s="58"/>
      <c r="J57" s="58"/>
    </row>
    <row r="58" spans="1:10" ht="29" x14ac:dyDescent="0.25">
      <c r="A58" s="48" t="s">
        <v>98</v>
      </c>
      <c r="B58" s="58" t="s">
        <v>99</v>
      </c>
      <c r="C58" s="58"/>
      <c r="D58" s="58"/>
      <c r="E58" s="58"/>
      <c r="F58" s="58"/>
      <c r="G58" s="58"/>
      <c r="H58" s="58"/>
      <c r="I58" s="58"/>
      <c r="J58" s="58"/>
    </row>
    <row r="59" spans="1:10" ht="43.5" x14ac:dyDescent="0.25">
      <c r="A59" s="48" t="s">
        <v>100</v>
      </c>
      <c r="B59" s="57" t="s">
        <v>101</v>
      </c>
      <c r="C59" s="57"/>
      <c r="D59" s="57"/>
      <c r="E59" s="57"/>
      <c r="F59" s="57"/>
      <c r="G59" s="57"/>
      <c r="H59" s="57"/>
      <c r="I59" s="57"/>
      <c r="J59" s="57"/>
    </row>
    <row r="60" spans="1:10" ht="43.75" customHeight="1" x14ac:dyDescent="0.25">
      <c r="A60" s="48" t="s">
        <v>102</v>
      </c>
      <c r="B60" s="57" t="s">
        <v>103</v>
      </c>
      <c r="C60" s="57"/>
      <c r="D60" s="57"/>
      <c r="E60" s="57"/>
      <c r="F60" s="57"/>
      <c r="G60" s="57"/>
      <c r="H60" s="57"/>
      <c r="I60" s="57"/>
      <c r="J60" s="57"/>
    </row>
    <row r="61" spans="1:10" ht="43.5" x14ac:dyDescent="0.25">
      <c r="A61" s="48" t="s">
        <v>104</v>
      </c>
      <c r="B61" s="57" t="s">
        <v>105</v>
      </c>
      <c r="C61" s="57"/>
      <c r="D61" s="57"/>
      <c r="E61" s="57"/>
      <c r="F61" s="57"/>
      <c r="G61" s="57"/>
      <c r="H61" s="57"/>
      <c r="I61" s="57"/>
      <c r="J61" s="57"/>
    </row>
    <row r="62" spans="1:10" ht="29" x14ac:dyDescent="0.25">
      <c r="A62" s="48" t="s">
        <v>106</v>
      </c>
      <c r="B62" s="56" t="s">
        <v>107</v>
      </c>
      <c r="C62" s="56"/>
      <c r="D62" s="56"/>
      <c r="E62" s="56"/>
      <c r="F62" s="56"/>
      <c r="G62" s="56"/>
      <c r="H62" s="56"/>
      <c r="I62" s="56"/>
      <c r="J62" s="56"/>
    </row>
    <row r="63" spans="1:10" ht="43.5" x14ac:dyDescent="0.25">
      <c r="A63" s="48" t="s">
        <v>108</v>
      </c>
      <c r="B63" s="57" t="s">
        <v>109</v>
      </c>
      <c r="C63" s="57"/>
      <c r="D63" s="57"/>
      <c r="E63" s="57"/>
      <c r="F63" s="57"/>
      <c r="G63" s="57"/>
      <c r="H63" s="57"/>
      <c r="I63" s="57"/>
      <c r="J63" s="57"/>
    </row>
    <row r="64" spans="1:10" ht="58" x14ac:dyDescent="0.25">
      <c r="A64" s="49" t="s">
        <v>110</v>
      </c>
      <c r="B64" s="57" t="s">
        <v>111</v>
      </c>
      <c r="C64" s="57"/>
      <c r="D64" s="57"/>
      <c r="E64" s="57"/>
      <c r="F64" s="57"/>
      <c r="G64" s="57"/>
      <c r="H64" s="57"/>
      <c r="I64" s="57"/>
      <c r="J64" s="57"/>
    </row>
  </sheetData>
  <mergeCells count="27">
    <mergeCell ref="A1:I1"/>
    <mergeCell ref="A2:I2"/>
    <mergeCell ref="B31:E31"/>
    <mergeCell ref="F13:G13"/>
    <mergeCell ref="A13:E13"/>
    <mergeCell ref="A25:B25"/>
    <mergeCell ref="C14:D14"/>
    <mergeCell ref="F14:G14"/>
    <mergeCell ref="B5:D5"/>
    <mergeCell ref="F5:I5"/>
    <mergeCell ref="B6:D6"/>
    <mergeCell ref="B7:D7"/>
    <mergeCell ref="B8:D8"/>
    <mergeCell ref="B9:D9"/>
    <mergeCell ref="A34:I34"/>
    <mergeCell ref="B32:E32"/>
    <mergeCell ref="A35:I35"/>
    <mergeCell ref="B55:J55"/>
    <mergeCell ref="B56:J56"/>
    <mergeCell ref="B62:J62"/>
    <mergeCell ref="B63:J63"/>
    <mergeCell ref="B64:J64"/>
    <mergeCell ref="B57:J57"/>
    <mergeCell ref="B58:J58"/>
    <mergeCell ref="B59:J59"/>
    <mergeCell ref="B60:J60"/>
    <mergeCell ref="B61:J61"/>
  </mergeCells>
  <dataValidations count="2">
    <dataValidation allowBlank="1" showInputMessage="1" showErrorMessage="1" prompt="Achievement in 2019 will be included in the report submitted in 2020." sqref="F16:G29"/>
    <dataValidation type="list" allowBlank="1" showInputMessage="1" showErrorMessage="1" sqref="B5:D5">
      <formula1>UtilityList</formula1>
    </dataValidation>
  </dataValidations>
  <pageMargins left="0.7" right="0.7" top="0.75" bottom="0.75" header="0.3" footer="0.3"/>
  <pageSetup scale="97" fitToHeight="0" orientation="landscape" r:id="rId1"/>
  <rowBreaks count="1" manualBreakCount="1">
    <brk id="29"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
  <sheetViews>
    <sheetView workbookViewId="0">
      <selection activeCell="A6" sqref="A6:XFD15"/>
    </sheetView>
  </sheetViews>
  <sheetFormatPr defaultRowHeight="14.5" x14ac:dyDescent="0.35"/>
  <cols>
    <col min="1" max="1" width="36.1796875" bestFit="1" customWidth="1"/>
    <col min="3" max="3" width="10.54296875" customWidth="1"/>
    <col min="12" max="12" width="10.54296875" customWidth="1"/>
  </cols>
  <sheetData>
    <row r="1" spans="1:82" ht="161" x14ac:dyDescent="0.35">
      <c r="A1" s="38" t="s">
        <v>22</v>
      </c>
      <c r="B1" s="38" t="s">
        <v>38</v>
      </c>
      <c r="C1" s="38" t="s">
        <v>39</v>
      </c>
      <c r="D1" s="38" t="s">
        <v>40</v>
      </c>
      <c r="E1" s="38" t="s">
        <v>41</v>
      </c>
      <c r="F1" s="38" t="s">
        <v>42</v>
      </c>
      <c r="G1" s="38" t="s">
        <v>43</v>
      </c>
      <c r="H1" s="38" t="s">
        <v>44</v>
      </c>
      <c r="I1" s="38" t="s">
        <v>45</v>
      </c>
      <c r="J1" s="38" t="s">
        <v>46</v>
      </c>
      <c r="K1" s="38" t="s">
        <v>47</v>
      </c>
      <c r="L1" s="38" t="s">
        <v>48</v>
      </c>
      <c r="M1" s="38" t="s">
        <v>49</v>
      </c>
      <c r="N1" s="38" t="s">
        <v>50</v>
      </c>
      <c r="O1" s="38" t="s">
        <v>51</v>
      </c>
      <c r="P1" s="38" t="s">
        <v>52</v>
      </c>
      <c r="Q1" s="38" t="s">
        <v>53</v>
      </c>
      <c r="R1" s="38" t="s">
        <v>54</v>
      </c>
      <c r="S1" s="38" t="s">
        <v>55</v>
      </c>
      <c r="T1" s="38" t="s">
        <v>56</v>
      </c>
      <c r="U1" s="38" t="s">
        <v>57</v>
      </c>
      <c r="V1" s="38" t="s">
        <v>58</v>
      </c>
      <c r="W1" s="38" t="s">
        <v>59</v>
      </c>
      <c r="X1" s="38" t="s">
        <v>60</v>
      </c>
      <c r="Y1" s="38" t="s">
        <v>61</v>
      </c>
      <c r="Z1" s="38" t="s">
        <v>62</v>
      </c>
      <c r="AA1" s="38" t="s">
        <v>63</v>
      </c>
      <c r="AB1" s="38" t="s">
        <v>64</v>
      </c>
      <c r="AC1" s="38" t="s">
        <v>65</v>
      </c>
      <c r="AD1" s="38" t="s">
        <v>66</v>
      </c>
      <c r="AE1" s="38" t="s">
        <v>67</v>
      </c>
      <c r="AF1" s="38" t="s">
        <v>68</v>
      </c>
      <c r="AG1" s="38" t="s">
        <v>69</v>
      </c>
      <c r="AH1" s="38" t="s">
        <v>70</v>
      </c>
      <c r="AI1" s="38" t="s">
        <v>71</v>
      </c>
      <c r="AJ1" s="38" t="s">
        <v>72</v>
      </c>
      <c r="AK1" s="38" t="s">
        <v>73</v>
      </c>
      <c r="AL1" s="38" t="s">
        <v>74</v>
      </c>
      <c r="AM1" s="38" t="s">
        <v>75</v>
      </c>
      <c r="AN1" s="38" t="s">
        <v>76</v>
      </c>
      <c r="AO1" s="38" t="s">
        <v>77</v>
      </c>
      <c r="AP1" s="38" t="s">
        <v>78</v>
      </c>
      <c r="AQ1" s="38" t="s">
        <v>79</v>
      </c>
      <c r="AR1" s="38" t="s">
        <v>80</v>
      </c>
      <c r="AS1" s="38" t="s">
        <v>81</v>
      </c>
      <c r="AT1" s="38" t="s">
        <v>18</v>
      </c>
      <c r="AU1" s="38" t="s">
        <v>19</v>
      </c>
      <c r="AV1" s="38" t="s">
        <v>20</v>
      </c>
      <c r="AW1" s="38" t="s">
        <v>31</v>
      </c>
      <c r="AX1" s="38" t="s">
        <v>87</v>
      </c>
      <c r="AY1" s="38" t="s">
        <v>21</v>
      </c>
      <c r="AZ1" s="38" t="s">
        <v>32</v>
      </c>
      <c r="BA1" s="38" t="s">
        <v>88</v>
      </c>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row>
    <row r="2" spans="1:82" x14ac:dyDescent="0.35">
      <c r="A2" t="str">
        <f>CON_Utility_Name</f>
        <v>Puget Sound Energy</v>
      </c>
      <c r="B2">
        <f>+CON_2018_Agriculture_Expend</f>
        <v>0</v>
      </c>
      <c r="C2">
        <f>+CON_2018_Agriculture_MWH</f>
        <v>0</v>
      </c>
      <c r="D2">
        <f>+CON_2018_Commercial_Expend</f>
        <v>36058388.399999999</v>
      </c>
      <c r="E2">
        <f>+CON_2018_Commercial_MWH</f>
        <v>135612.9</v>
      </c>
      <c r="F2">
        <f>+CON_2018_Distribution_Expend</f>
        <v>0</v>
      </c>
      <c r="G2">
        <f>+CON_2018_Distribution_MWH</f>
        <v>3782</v>
      </c>
      <c r="H2">
        <f>+CON_2018_Expenditures</f>
        <v>91086596</v>
      </c>
      <c r="I2">
        <f>+CON_2018_Industrial_Expend</f>
        <v>4006487.6</v>
      </c>
      <c r="J2">
        <f>+CON_2018_Industrial_MWH</f>
        <v>15068.1</v>
      </c>
      <c r="K2">
        <f>+CON_2018_MWH</f>
        <v>299918</v>
      </c>
      <c r="L2">
        <f>+CON_2018_NEEA_Expend</f>
        <v>4033724</v>
      </c>
      <c r="M2">
        <f>+CON_2018_NEEA_MWH</f>
        <v>10775</v>
      </c>
      <c r="N2">
        <f>+CON_2018_OtherSector1_Expend</f>
        <v>13728</v>
      </c>
      <c r="O2">
        <f>+CON_2018_OtherSector1_MWH</f>
        <v>0</v>
      </c>
      <c r="P2">
        <f>+CON_2018_OtherSector2_Expend</f>
        <v>0</v>
      </c>
      <c r="Q2">
        <f>+CON_2018_OtherSector2_MWH</f>
        <v>0</v>
      </c>
      <c r="R2">
        <f>+CON_2018_Production_Expend</f>
        <v>0</v>
      </c>
      <c r="S2">
        <f>+CON_2018_Production_MWH</f>
        <v>0</v>
      </c>
      <c r="T2">
        <f>+CON_2018_Program1_Expend</f>
        <v>6856030</v>
      </c>
      <c r="U2">
        <f>+CON_2018_Program2_Expend</f>
        <v>1264225</v>
      </c>
      <c r="V2">
        <f>+CON_2018_Residential_Expend</f>
        <v>35316606</v>
      </c>
      <c r="W2">
        <f>+CON_2018_Residential_MWH</f>
        <v>134680</v>
      </c>
      <c r="X2">
        <f>+CON_2019_Agriculture_Expend</f>
        <v>0</v>
      </c>
      <c r="Y2">
        <f>+CON_2019_Agriculture_MWH</f>
        <v>0</v>
      </c>
      <c r="Z2">
        <f>+CON_2019_Commercial_Expend</f>
        <v>21134502</v>
      </c>
      <c r="AA2">
        <f>+CON_2019_Commercial_MWH</f>
        <v>100816.2</v>
      </c>
      <c r="AB2">
        <f>+CON_2019_Distribution_Expend</f>
        <v>0</v>
      </c>
      <c r="AC2">
        <f>+CON_2019_Distribution_MWH</f>
        <v>670</v>
      </c>
      <c r="AD2">
        <f>+CON_2019_Expenditures</f>
        <v>73398438</v>
      </c>
      <c r="AE2">
        <f>+CON_2019_Industrial_Expend</f>
        <v>2348278</v>
      </c>
      <c r="AF2">
        <f>+CON_2019_Industrial_MWH</f>
        <v>11201.800000000001</v>
      </c>
      <c r="AG2">
        <f>+CON_2019_MWH</f>
        <v>246826</v>
      </c>
      <c r="AH2">
        <f>+CON_2019_NEEA_Expend</f>
        <v>4052907</v>
      </c>
      <c r="AI2">
        <f>+CON_2019_NEEA_MWH</f>
        <v>16424</v>
      </c>
      <c r="AJ2">
        <f>+CON_2019_OtherSector1_Expend</f>
        <v>20565</v>
      </c>
      <c r="AK2">
        <f>+CON_2019_OtherSector1_MWH</f>
        <v>0</v>
      </c>
      <c r="AL2">
        <f>+CON_2019_OtherSector2_Expend</f>
        <v>0</v>
      </c>
      <c r="AM2">
        <f>+CON_2019_OtherSector2_MWH</f>
        <v>0</v>
      </c>
      <c r="AN2">
        <f>+CON_2019_Production_Expend</f>
        <v>0</v>
      </c>
      <c r="AO2">
        <f>+CON_2019_Production_MWH</f>
        <v>0</v>
      </c>
      <c r="AP2">
        <f>+CON_2019_Program1_Expend</f>
        <v>6358021</v>
      </c>
      <c r="AQ2">
        <f>+CON_2019_Program2_Expend</f>
        <v>1534295</v>
      </c>
      <c r="AR2">
        <f>+CON_2019_Residential_Expend</f>
        <v>35216613</v>
      </c>
      <c r="AS2">
        <f>+CON_2019_Residential_MWH</f>
        <v>117714</v>
      </c>
      <c r="AT2" t="str">
        <f>+CON_Contact_Name</f>
        <v>Dan Anderson, Budget, Administration &amp; Regulatory</v>
      </c>
      <c r="AU2" t="str">
        <f>+CON_Email</f>
        <v>Dan.Anderson@pse.com</v>
      </c>
      <c r="AV2" t="str">
        <f>+CON_Phone</f>
        <v>425 424-6837</v>
      </c>
      <c r="AW2">
        <f>CON_Potential_2018_2027</f>
        <v>1799149</v>
      </c>
      <c r="AX2">
        <f>CON_Potential_2020_2029</f>
        <v>1799149</v>
      </c>
      <c r="AY2">
        <f>+CON_Report_Date</f>
        <v>43617</v>
      </c>
      <c r="AZ2">
        <f>+CON_Target_2018_2019</f>
        <v>520456</v>
      </c>
      <c r="BA2">
        <f>CON_Target_2020_2021</f>
        <v>526044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2017-11-01T07:00:00+00:00</OpenedDate>
    <SignificantOrder xmlns="dc463f71-b30c-4ab2-9473-d307f9d35888">false</SignificantOrder>
    <Date1 xmlns="dc463f71-b30c-4ab2-9473-d307f9d35888">2020-09-03T07:00:00+00:00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171088</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AB1BA8C9C5C5540BD7B93A1D6758338" ma:contentTypeVersion="104" ma:contentTypeDescription="" ma:contentTypeScope="" ma:versionID="0726c319a30ba202483da3ae796884a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EBBA77-6F8D-415E-8028-08399AAC68FE}"/>
</file>

<file path=customXml/itemProps2.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3.xml><?xml version="1.0" encoding="utf-8"?>
<ds:datastoreItem xmlns:ds="http://schemas.openxmlformats.org/officeDocument/2006/customXml" ds:itemID="{B5134EF7-F04D-4218-953F-7A835D8EE7C1}">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microsoft.com/sharepoint/v3"/>
    <ds:schemaRef ds:uri="http://purl.org/dc/term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EFD80DB7-63B0-4072-BF34-356112391B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54</vt:i4>
      </vt:variant>
    </vt:vector>
  </HeadingPairs>
  <TitlesOfParts>
    <vt:vector size="57" baseType="lpstr">
      <vt:lpstr>Background</vt:lpstr>
      <vt:lpstr>Conservation Report</vt:lpstr>
      <vt:lpstr>Data</vt:lpstr>
      <vt:lpstr>CON_2018_Agriculture_Expend</vt:lpstr>
      <vt:lpstr>CON_2018_Agriculture_MWH</vt:lpstr>
      <vt:lpstr>CON_2018_Commercial_Expend</vt:lpstr>
      <vt:lpstr>CON_2018_Commercial_MWH</vt:lpstr>
      <vt:lpstr>CON_2018_Distribution_Expend</vt:lpstr>
      <vt:lpstr>CON_2018_Distribution_MWH</vt:lpstr>
      <vt:lpstr>CON_2018_Expenditures</vt:lpstr>
      <vt:lpstr>CON_2018_Industrial_Expend</vt:lpstr>
      <vt:lpstr>CON_2018_Industrial_MWH</vt:lpstr>
      <vt:lpstr>CON_2018_MWH</vt:lpstr>
      <vt:lpstr>CON_2018_NEEA_Expend</vt:lpstr>
      <vt:lpstr>CON_2018_NEEA_MWH</vt:lpstr>
      <vt:lpstr>CON_2018_OtherSector1_Expend</vt:lpstr>
      <vt:lpstr>CON_2018_OtherSector1_MWH</vt:lpstr>
      <vt:lpstr>CON_2018_OtherSector2_Expend</vt:lpstr>
      <vt:lpstr>CON_2018_OtherSector2_MWH</vt:lpstr>
      <vt:lpstr>CON_2018_Production_Expend</vt:lpstr>
      <vt:lpstr>CON_2018_Production_MWH</vt:lpstr>
      <vt:lpstr>CON_2018_Program1_Expend</vt:lpstr>
      <vt:lpstr>CON_2018_Program2_Expend</vt:lpstr>
      <vt:lpstr>CON_2018_Residential_Expend</vt:lpstr>
      <vt:lpstr>CON_2018_Residential_MWH</vt:lpstr>
      <vt:lpstr>CON_2019_Agriculture_Expend</vt:lpstr>
      <vt:lpstr>CON_2019_Agriculture_MWH</vt:lpstr>
      <vt:lpstr>CON_2019_Commercial_Expend</vt:lpstr>
      <vt:lpstr>CON_2019_Commercial_MWH</vt:lpstr>
      <vt:lpstr>CON_2019_Distribution_Expend</vt:lpstr>
      <vt:lpstr>CON_2019_Distribution_MWH</vt:lpstr>
      <vt:lpstr>CON_2019_Expenditures</vt:lpstr>
      <vt:lpstr>CON_2019_Industrial_Expend</vt:lpstr>
      <vt:lpstr>CON_2019_Industrial_MWH</vt:lpstr>
      <vt:lpstr>CON_2019_MWH</vt:lpstr>
      <vt:lpstr>CON_2019_NEEA_Expend</vt:lpstr>
      <vt:lpstr>CON_2019_NEEA_MWH</vt:lpstr>
      <vt:lpstr>CON_2019_OtherSector1_Expend</vt:lpstr>
      <vt:lpstr>CON_2019_OtherSector1_MWH</vt:lpstr>
      <vt:lpstr>CON_2019_OtherSector2_Expend</vt:lpstr>
      <vt:lpstr>CON_2019_OtherSector2_MWH</vt:lpstr>
      <vt:lpstr>CON_2019_Production_Expend</vt:lpstr>
      <vt:lpstr>CON_2019_Production_MWH</vt:lpstr>
      <vt:lpstr>CON_2019_Program1_Expend</vt:lpstr>
      <vt:lpstr>CON_2019_Program2_Expend</vt:lpstr>
      <vt:lpstr>CON_2019_Residential_Expend</vt:lpstr>
      <vt:lpstr>CON_2019_Residential_MWH</vt:lpstr>
      <vt:lpstr>CON_Contact_Name</vt:lpstr>
      <vt:lpstr>CON_Email</vt:lpstr>
      <vt:lpstr>CON_Phone</vt:lpstr>
      <vt:lpstr>CON_Potential_2018_2027</vt:lpstr>
      <vt:lpstr>CON_Potential_2020_2029</vt:lpstr>
      <vt:lpstr>CON_Report_Date</vt:lpstr>
      <vt:lpstr>CON_Target_2018_2019</vt:lpstr>
      <vt:lpstr>CON_Target_2020_2021</vt:lpstr>
      <vt:lpstr>CON_Utility_Name</vt:lpstr>
      <vt:lpstr>'Conservation Report'!Print_Area</vt:lpstr>
    </vt:vector>
  </TitlesOfParts>
  <Company>CTED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2019 Report Workbook for Utilities</dc:title>
  <dc:creator>Glenn Blackmon</dc:creator>
  <cp:keywords/>
  <cp:lastModifiedBy>Andy Hemstreet</cp:lastModifiedBy>
  <cp:lastPrinted>2019-04-03T22:15:51Z</cp:lastPrinted>
  <dcterms:created xsi:type="dcterms:W3CDTF">2012-03-20T21:01:26Z</dcterms:created>
  <dcterms:modified xsi:type="dcterms:W3CDTF">2020-09-01T20:07:35Z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0x0101006E56B4D1795A2E4DB2F0B01679ED314A001AB1BA8C9C5C5540BD7B93A1D6758338</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y fmtid="{D5CDD505-2E9C-101B-9397-08002B2CF9AE}" pid="9" name="IsEFSEC">
    <vt:bool>false</vt:bool>
  </property>
</Properties>
</file>